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43.bin" ContentType="application/vnd.ms-office.activeX"/>
  <Override PartName="/xl/activeX/activeX54.bin" ContentType="application/vnd.ms-office.activeX"/>
  <Override PartName="/xl/charts/chart189.xml" ContentType="application/vnd.openxmlformats-officedocument.drawingml.chart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178.xml" ContentType="application/vnd.openxmlformats-officedocument.drawingml.chart+xml"/>
  <Override PartName="/xl/activeX/activeX19.xml" ContentType="application/vnd.ms-office.activeX+xml"/>
  <Override PartName="/xl/activeX/activeX32.bin" ContentType="application/vnd.ms-office.activeX"/>
  <Override PartName="/xl/charts/style6.xml" ContentType="application/vnd.ms-office.chartstyle+xml"/>
  <Override PartName="/xl/charts/chart109.xml" ContentType="application/vnd.openxmlformats-officedocument.drawingml.chart+xml"/>
  <Override PartName="/xl/charts/chart156.xml" ContentType="application/vnd.openxmlformats-officedocument.drawingml.chart+xml"/>
  <Override PartName="/xl/charts/chart167.xml" ContentType="application/vnd.openxmlformats-officedocument.drawingml.chart+xml"/>
  <Override PartName="/xl/activeX/activeX5.xml" ContentType="application/vnd.ms-office.activeX+xml"/>
  <Override PartName="/xl/activeX/activeX21.bin" ContentType="application/vnd.ms-office.activeX"/>
  <Default Extension="xml" ContentType="application/xml"/>
  <Override PartName="/xl/drawings/drawing2.xml" ContentType="application/vnd.openxmlformats-officedocument.drawing+xml"/>
  <Override PartName="/xl/charts/chart49.xml" ContentType="application/vnd.openxmlformats-officedocument.drawingml.chart+xml"/>
  <Override PartName="/xl/charts/chart96.xml" ContentType="application/vnd.openxmlformats-officedocument.drawingml.chart+xml"/>
  <Override PartName="/xl/charts/chart145.xml" ContentType="application/vnd.openxmlformats-officedocument.drawingml.chart+xml"/>
  <Override PartName="/xl/activeX/activeX10.bin" ContentType="application/vnd.ms-office.activeX"/>
  <Override PartName="/xl/activeX/activeX44.xml" ContentType="application/vnd.ms-office.activeX+xml"/>
  <Override PartName="/xl/charts/chart192.xml" ContentType="application/vnd.openxmlformats-officedocument.drawingml.chart+xml"/>
  <Override PartName="/xl/worksheets/sheet3.xml" ContentType="application/vnd.openxmlformats-officedocument.spreadsheetml.worksheet+xml"/>
  <Override PartName="/xl/charts/chart27.xml" ContentType="application/vnd.openxmlformats-officedocument.drawingml.chart+xml"/>
  <Override PartName="/xl/charts/chart38.xml" ContentType="application/vnd.openxmlformats-officedocument.drawingml.chart+xml"/>
  <Override PartName="/xl/charts/chart74.xml" ContentType="application/vnd.openxmlformats-officedocument.drawingml.chart+xml"/>
  <Override PartName="/xl/charts/chart85.xml" ContentType="application/vnd.openxmlformats-officedocument.drawingml.chart+xml"/>
  <Override PartName="/xl/charts/chart134.xml" ContentType="application/vnd.openxmlformats-officedocument.drawingml.chart+xml"/>
  <Override PartName="/xl/charts/chart181.xml" ContentType="application/vnd.openxmlformats-officedocument.drawingml.chart+xml"/>
  <Override PartName="/xl/activeX/activeX22.xml" ContentType="application/vnd.ms-office.activeX+xml"/>
  <Override PartName="/xl/activeX/activeX33.xml" ContentType="application/vnd.ms-office.activeX+xml"/>
  <Override PartName="/xl/charts/chart16.xml" ContentType="application/vnd.openxmlformats-officedocument.drawingml.chart+xml"/>
  <Override PartName="/xl/charts/chart63.xml" ContentType="application/vnd.openxmlformats-officedocument.drawingml.chart+xml"/>
  <Override PartName="/xl/charts/chart112.xml" ContentType="application/vnd.openxmlformats-officedocument.drawingml.chart+xml"/>
  <Override PartName="/xl/charts/chart123.xml" ContentType="application/vnd.openxmlformats-officedocument.drawingml.chart+xml"/>
  <Override PartName="/xl/charts/chart170.xml" ContentType="application/vnd.openxmlformats-officedocument.drawingml.chart+xml"/>
  <Override PartName="/xl/activeX/activeX9.bin" ContentType="application/vnd.ms-office.activeX"/>
  <Override PartName="/xl/activeX/activeX11.xml" ContentType="application/vnd.ms-office.activeX+xml"/>
  <Override PartName="/xl/charts/chart52.xml" ContentType="application/vnd.openxmlformats-officedocument.drawingml.chart+xml"/>
  <Override PartName="/xl/charts/chart101.xml" ContentType="application/vnd.openxmlformats-officedocument.drawingml.chart+xml"/>
  <Override PartName="/xl/activeX/activeX48.bin" ContentType="application/vnd.ms-office.activeX"/>
  <Override PartName="/xl/charts/chart9.xml" ContentType="application/vnd.openxmlformats-officedocument.drawingml.chart+xml"/>
  <Override PartName="/xl/charts/chart30.xml" ContentType="application/vnd.openxmlformats-officedocument.drawingml.chart+xml"/>
  <Override PartName="/xl/charts/chart41.xml" ContentType="application/vnd.openxmlformats-officedocument.drawingml.chart+xml"/>
  <Override PartName="/xl/activeX/activeX37.bin" ContentType="application/vnd.ms-office.activeX"/>
  <Override PartName="/xl/charts/colors1.xml" ContentType="application/vnd.ms-office.chartcolorstyle+xml"/>
  <Default Extension="png" ContentType="image/png"/>
  <Override PartName="/xl/activeX/activeX15.bin" ContentType="application/vnd.ms-office.activeX"/>
  <Override PartName="/xl/activeX/activeX26.bin" ContentType="application/vnd.ms-office.activeX"/>
  <Override PartName="/xl/charts/chart139.xml" ContentType="application/vnd.openxmlformats-officedocument.drawingml.chart+xml"/>
  <Override PartName="/xl/charts/chart186.xml" ContentType="application/vnd.openxmlformats-officedocument.drawingml.chart+xml"/>
  <Override PartName="/xl/activeX/activeX1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drawings/drawing7.xml" ContentType="application/vnd.openxmlformats-officedocument.drawing+xml"/>
  <Override PartName="/xl/charts/chart197.xml" ContentType="application/vnd.openxmlformats-officedocument.drawingml.chart+xml"/>
  <Override PartName="/xl/charts/chart202.xml" ContentType="application/vnd.openxmlformats-officedocument.drawingml.chart+xml"/>
  <Override PartName="/xl/worksheets/sheet8.xml" ContentType="application/vnd.openxmlformats-officedocument.spreadsheetml.worksheet+xml"/>
  <Override PartName="/xl/charts/chart79.xml" ContentType="application/vnd.openxmlformats-officedocument.drawingml.chart+xml"/>
  <Override PartName="/xl/charts/chart128.xml" ContentType="application/vnd.openxmlformats-officedocument.drawingml.chart+xml"/>
  <Override PartName="/xl/charts/chart175.xml" ContentType="application/vnd.openxmlformats-officedocument.drawingml.chart+xml"/>
  <Override PartName="/xl/activeX/activeX27.xml" ContentType="application/vnd.ms-office.activeX+xml"/>
  <Override PartName="/xl/activeX/activeX40.bin" ContentType="application/vnd.ms-office.activeX"/>
  <Default Extension="emf" ContentType="image/x-emf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57.xml" ContentType="application/vnd.openxmlformats-officedocument.drawingml.chart+xml"/>
  <Override PartName="/xl/charts/chart68.xml" ContentType="application/vnd.openxmlformats-officedocument.drawingml.chart+xml"/>
  <Override PartName="/xl/charts/chart117.xml" ContentType="application/vnd.openxmlformats-officedocument.drawingml.chart+xml"/>
  <Override PartName="/xl/charts/chart164.xml" ContentType="application/vnd.openxmlformats-officedocument.drawingml.chart+xml"/>
  <Override PartName="/xl/activeX/activeX2.xml" ContentType="application/vnd.ms-office.activeX+xml"/>
  <Override PartName="/xl/activeX/activeX16.xml" ContentType="application/vnd.ms-office.activeX+xml"/>
  <Override PartName="/xl/charts/style3.xml" ContentType="application/vnd.ms-office.chartstyle+xml"/>
  <Override PartName="/docProps/app.xml" ContentType="application/vnd.openxmlformats-officedocument.extended-properties+xml"/>
  <Override PartName="/xl/charts/chart46.xml" ContentType="application/vnd.openxmlformats-officedocument.drawingml.chart+xml"/>
  <Override PartName="/xl/charts/chart93.xml" ContentType="application/vnd.openxmlformats-officedocument.drawingml.chart+xml"/>
  <Override PartName="/xl/charts/chart106.xml" ContentType="application/vnd.openxmlformats-officedocument.drawingml.chart+xml"/>
  <Override PartName="/xl/charts/chart142.xml" ContentType="application/vnd.openxmlformats-officedocument.drawingml.chart+xml"/>
  <Override PartName="/xl/charts/chart153.xml" ContentType="application/vnd.openxmlformats-officedocument.drawingml.chart+xml"/>
  <Override PartName="/xl/activeX/activeX41.xml" ContentType="application/vnd.ms-office.activeX+xml"/>
  <Override PartName="/xl/activeX/activeX52.xml" ContentType="application/vnd.ms-office.activeX+xml"/>
  <Override PartName="/xl/charts/colors6.xml" ContentType="application/vnd.ms-office.chartcolorstyle+xml"/>
  <Override PartName="/xl/charts/chart35.xml" ContentType="application/vnd.openxmlformats-officedocument.drawingml.chart+xml"/>
  <Override PartName="/xl/charts/chart82.xml" ContentType="application/vnd.openxmlformats-officedocument.drawingml.chart+xml"/>
  <Override PartName="/xl/charts/chart131.xml" ContentType="application/vnd.openxmlformats-officedocument.drawingml.chart+xml"/>
  <Override PartName="/xl/activeX/activeX30.xml" ContentType="application/vnd.ms-office.activeX+xml"/>
  <Override PartName="/xl/calcChain.xml" ContentType="application/vnd.openxmlformats-officedocument.spreadsheetml.calcChain+xml"/>
  <Override PartName="/xl/charts/chart13.xml" ContentType="application/vnd.openxmlformats-officedocument.drawingml.chart+xml"/>
  <Override PartName="/xl/charts/chart24.xml" ContentType="application/vnd.openxmlformats-officedocument.drawingml.chart+xml"/>
  <Override PartName="/xl/charts/chart71.xml" ContentType="application/vnd.openxmlformats-officedocument.drawingml.chart+xml"/>
  <Override PartName="/xl/charts/chart120.xml" ContentType="application/vnd.openxmlformats-officedocument.drawingml.chart+xml"/>
  <Override PartName="/xl/charts/chart60.xml" ContentType="application/vnd.openxmlformats-officedocument.drawingml.chart+xml"/>
  <Override PartName="/xl/activeX/activeX6.bin" ContentType="application/vnd.ms-office.activeX"/>
  <Override PartName="/xl/activeX/activeX45.bin" ContentType="application/vnd.ms-office.activeX"/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activeX/activeX34.bin" ContentType="application/vnd.ms-office.activeX"/>
  <Override PartName="/xl/charts/style8.xml" ContentType="application/vnd.ms-office.chartstyle+xml"/>
  <Override PartName="/xl/charts/chart158.xml" ContentType="application/vnd.openxmlformats-officedocument.drawingml.chart+xml"/>
  <Override PartName="/xl/charts/chart169.xml" ContentType="application/vnd.openxmlformats-officedocument.drawingml.chart+xml"/>
  <Override PartName="/xl/activeX/activeX7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charts/chart98.xml" ContentType="application/vnd.openxmlformats-officedocument.drawingml.chart+xml"/>
  <Override PartName="/xl/charts/chart147.xml" ContentType="application/vnd.openxmlformats-officedocument.drawingml.chart+xml"/>
  <Override PartName="/xl/activeX/activeX12.bin" ContentType="application/vnd.ms-office.activeX"/>
  <Override PartName="/xl/activeX/activeX46.xml" ContentType="application/vnd.ms-office.activeX+xml"/>
  <Override PartName="/xl/charts/chart194.xml" ContentType="application/vnd.openxmlformats-officedocument.drawingml.chart+xml"/>
  <Override PartName="/xl/worksheets/sheet5.xml" ContentType="application/vnd.openxmlformats-officedocument.spreadsheetml.worksheet+xml"/>
  <Override PartName="/xl/charts/chart29.xml" ContentType="application/vnd.openxmlformats-officedocument.drawingml.chart+xml"/>
  <Override PartName="/xl/charts/chart76.xml" ContentType="application/vnd.openxmlformats-officedocument.drawingml.chart+xml"/>
  <Override PartName="/xl/charts/chart87.xml" ContentType="application/vnd.openxmlformats-officedocument.drawingml.chart+xml"/>
  <Override PartName="/xl/charts/chart136.xml" ContentType="application/vnd.openxmlformats-officedocument.drawingml.chart+xml"/>
  <Override PartName="/xl/charts/chart183.xml" ContentType="application/vnd.openxmlformats-officedocument.drawingml.chart+xml"/>
  <Override PartName="/xl/activeX/activeX24.xml" ContentType="application/vnd.ms-office.activeX+xml"/>
  <Override PartName="/xl/activeX/activeX35.xml" ContentType="application/vnd.ms-office.activeX+xml"/>
  <Override PartName="/xl/charts/chart18.xml" ContentType="application/vnd.openxmlformats-officedocument.drawingml.chart+xml"/>
  <Override PartName="/xl/charts/chart65.xml" ContentType="application/vnd.openxmlformats-officedocument.drawingml.chart+xml"/>
  <Override PartName="/xl/charts/chart114.xml" ContentType="application/vnd.openxmlformats-officedocument.drawingml.chart+xml"/>
  <Override PartName="/xl/charts/chart125.xml" ContentType="application/vnd.openxmlformats-officedocument.drawingml.chart+xml"/>
  <Override PartName="/xl/charts/chart161.xml" ContentType="application/vnd.openxmlformats-officedocument.drawingml.chart+xml"/>
  <Override PartName="/xl/charts/chart172.xml" ContentType="application/vnd.openxmlformats-officedocument.drawingml.chart+xml"/>
  <Override PartName="/xl/activeX/activeX13.xml" ContentType="application/vnd.ms-office.activeX+xml"/>
  <Override PartName="/xl/charts/chart54.xml" ContentType="application/vnd.openxmlformats-officedocument.drawingml.chart+xml"/>
  <Override PartName="/xl/charts/chart103.xml" ContentType="application/vnd.openxmlformats-officedocument.drawingml.chart+xml"/>
  <Override PartName="/xl/charts/chart150.xml" ContentType="application/vnd.openxmlformats-officedocument.drawingml.chart+xml"/>
  <Override PartName="/xl/drawings/drawing11.xml" ContentType="application/vnd.openxmlformats-officedocument.drawing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charts/chart90.xml" ContentType="application/vnd.openxmlformats-officedocument.drawingml.chart+xml"/>
  <Override PartName="/xl/activeX/activeX39.bin" ContentType="application/vnd.ms-office.activeX"/>
  <Override PartName="/xl/charts/colors3.xml" ContentType="application/vnd.ms-office.chartcolorstyle+xml"/>
  <Override PartName="/xl/charts/chart21.xml" ContentType="application/vnd.openxmlformats-officedocument.drawingml.chart+xml"/>
  <Override PartName="/xl/activeX/activeX17.bin" ContentType="application/vnd.ms-office.activeX"/>
  <Override PartName="/xl/activeX/activeX28.bin" ContentType="application/vnd.ms-office.activeX"/>
  <Override PartName="/xl/charts/chart10.xml" ContentType="application/vnd.openxmlformats-officedocument.drawingml.chart+xml"/>
  <Override PartName="/xl/charts/chart188.xml" ContentType="application/vnd.openxmlformats-officedocument.drawingml.chart+xml"/>
  <Override PartName="/xl/activeX/activeX3.bin" ContentType="application/vnd.ms-office.activeX"/>
  <Override PartName="/xl/activeX/activeX53.bin" ContentType="application/vnd.ms-office.activeX"/>
  <Override PartName="/xl/drawings/drawing9.xml" ContentType="application/vnd.openxmlformats-officedocument.drawing+xml"/>
  <Override PartName="/xl/charts/chart199.xml" ContentType="application/vnd.openxmlformats-officedocument.drawingml.chart+xml"/>
  <Override PartName="/xl/charts/chart177.xml" ContentType="application/vnd.openxmlformats-officedocument.drawingml.chart+xml"/>
  <Override PartName="/xl/activeX/activeX29.xml" ContentType="application/vnd.ms-office.activeX+xml"/>
  <Override PartName="/xl/activeX/activeX42.bin" ContentType="application/vnd.ms-office.activeX"/>
  <Override PartName="/xl/worksheets/sheet12.xml" ContentType="application/vnd.openxmlformats-officedocument.spreadsheetml.worksheet+xml"/>
  <Override PartName="/xl/charts/chart3.xml" ContentType="application/vnd.openxmlformats-officedocument.drawingml.chart+xml"/>
  <Override PartName="/xl/charts/chart59.xml" ContentType="application/vnd.openxmlformats-officedocument.drawingml.chart+xml"/>
  <Override PartName="/xl/charts/chart119.xml" ContentType="application/vnd.openxmlformats-officedocument.drawingml.chart+xml"/>
  <Override PartName="/xl/charts/chart166.xml" ContentType="application/vnd.openxmlformats-officedocument.drawingml.char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charts/style5.xml" ContentType="application/vnd.ms-office.chartstyle+xml"/>
  <Override PartName="/xl/charts/chart48.xml" ContentType="application/vnd.openxmlformats-officedocument.drawingml.chart+xml"/>
  <Override PartName="/xl/charts/chart95.xml" ContentType="application/vnd.openxmlformats-officedocument.drawingml.chart+xml"/>
  <Override PartName="/xl/charts/chart108.xml" ContentType="application/vnd.openxmlformats-officedocument.drawingml.chart+xml"/>
  <Override PartName="/xl/charts/chart155.xml" ContentType="application/vnd.openxmlformats-officedocument.drawingml.chart+xml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charts/colors8.xml" ContentType="application/vnd.ms-office.chartcolorstyle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37.xml" ContentType="application/vnd.openxmlformats-officedocument.drawingml.chart+xml"/>
  <Override PartName="/xl/charts/chart84.xml" ContentType="application/vnd.openxmlformats-officedocument.drawingml.chart+xml"/>
  <Override PartName="/xl/charts/chart133.xml" ContentType="application/vnd.openxmlformats-officedocument.drawingml.chart+xml"/>
  <Override PartName="/xl/charts/chart144.xml" ContentType="application/vnd.openxmlformats-officedocument.drawingml.chart+xml"/>
  <Override PartName="/xl/charts/chart180.xml" ContentType="application/vnd.openxmlformats-officedocument.drawingml.chart+xml"/>
  <Override PartName="/xl/activeX/activeX32.xml" ContentType="application/vnd.ms-office.activeX+xml"/>
  <Override PartName="/xl/charts/chart191.xml" ContentType="application/vnd.openxmlformats-officedocument.drawingml.chart+xml"/>
  <Override PartName="/xl/charts/chart26.xml" ContentType="application/vnd.openxmlformats-officedocument.drawingml.chart+xml"/>
  <Override PartName="/xl/charts/chart73.xml" ContentType="application/vnd.openxmlformats-officedocument.drawingml.chart+xml"/>
  <Override PartName="/xl/charts/chart122.xml" ContentType="application/vnd.openxmlformats-officedocument.drawingml.chart+xml"/>
  <Override PartName="/xl/activeX/activeX21.xml" ContentType="application/vnd.ms-office.activeX+xml"/>
  <Override PartName="/xl/charts/chart15.xml" ContentType="application/vnd.openxmlformats-officedocument.drawingml.chart+xml"/>
  <Override PartName="/xl/charts/chart51.xml" ContentType="application/vnd.openxmlformats-officedocument.drawingml.chart+xml"/>
  <Override PartName="/xl/charts/chart62.xml" ContentType="application/vnd.openxmlformats-officedocument.drawingml.chart+xml"/>
  <Override PartName="/xl/charts/chart111.xml" ContentType="application/vnd.openxmlformats-officedocument.drawingml.chart+xml"/>
  <Override PartName="/xl/activeX/activeX8.bin" ContentType="application/vnd.ms-office.activeX"/>
  <Override PartName="/xl/activeX/activeX10.xml" ContentType="application/vnd.ms-office.activeX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40.xml" ContentType="application/vnd.openxmlformats-officedocument.drawingml.chart+xml"/>
  <Override PartName="/xl/charts/chart100.xml" ContentType="application/vnd.openxmlformats-officedocument.drawingml.chart+xml"/>
  <Override PartName="/xl/activeX/activeX18.bin" ContentType="application/vnd.ms-office.activeX"/>
  <Override PartName="/xl/activeX/activeX36.bin" ContentType="application/vnd.ms-office.activeX"/>
  <Override PartName="/xl/activeX/activeX47.bin" ContentType="application/vnd.ms-office.activeX"/>
  <Override PartName="/xl/ctrlProps/ctrlProp1.xml" ContentType="application/vnd.ms-excel.controlproperties+xml"/>
  <Override PartName="/xl/activeX/activeX9.xml" ContentType="application/vnd.ms-office.activeX+xml"/>
  <Override PartName="/xl/activeX/activeX25.bin" ContentType="application/vnd.ms-office.activeX"/>
  <Override PartName="/xl/charts/chart149.xml" ContentType="application/vnd.openxmlformats-officedocument.drawingml.chart+xml"/>
  <Override PartName="/xl/activeX/activeX14.bin" ContentType="application/vnd.ms-office.activeX"/>
  <Override PartName="/xl/activeX/activeX48.xml" ContentType="application/vnd.ms-office.activeX+xml"/>
  <Override PartName="/xl/drawings/drawing6.xml" ContentType="application/vnd.openxmlformats-officedocument.drawing+xml"/>
  <Override PartName="/xl/charts/chart196.xml" ContentType="application/vnd.openxmlformats-officedocument.drawingml.chart+xml"/>
  <Override PartName="/xl/charts/chart201.xml" ContentType="application/vnd.openxmlformats-officedocument.drawingml.chart+xml"/>
  <Override PartName="/xl/worksheets/sheet7.xml" ContentType="application/vnd.openxmlformats-officedocument.spreadsheetml.worksheet+xml"/>
  <Override PartName="/xl/charts/chart78.xml" ContentType="application/vnd.openxmlformats-officedocument.drawingml.chart+xml"/>
  <Override PartName="/xl/charts/chart89.xml" ContentType="application/vnd.openxmlformats-officedocument.drawingml.chart+xml"/>
  <Override PartName="/xl/charts/chart138.xml" ContentType="application/vnd.openxmlformats-officedocument.drawingml.chart+xml"/>
  <Override PartName="/xl/charts/chart185.xml" ContentType="application/vnd.openxmlformats-officedocument.drawingml.chart+xml"/>
  <Override PartName="/xl/activeX/activeX37.xml" ContentType="application/vnd.ms-office.activeX+xml"/>
  <Override PartName="/xl/activeX/activeX50.bin" ContentType="application/vnd.ms-office.activeX"/>
  <Override PartName="/xl/vbaProject.bin" ContentType="application/vnd.ms-office.vbaProject"/>
  <Override PartName="/xl/charts/chart67.xml" ContentType="application/vnd.openxmlformats-officedocument.drawingml.chart+xml"/>
  <Override PartName="/xl/charts/chart116.xml" ContentType="application/vnd.openxmlformats-officedocument.drawingml.chart+xml"/>
  <Override PartName="/xl/charts/chart127.xml" ContentType="application/vnd.openxmlformats-officedocument.drawingml.chart+xml"/>
  <Override PartName="/xl/charts/chart163.xml" ContentType="application/vnd.openxmlformats-officedocument.drawingml.chart+xml"/>
  <Override PartName="/xl/charts/chart174.xml" ContentType="application/vnd.openxmlformats-officedocument.drawingml.chart+xml"/>
  <Override PartName="/xl/activeX/activeX15.xml" ContentType="application/vnd.ms-office.activeX+xml"/>
  <Override PartName="/xl/activeX/activeX26.xml" ContentType="application/vnd.ms-office.activeX+xml"/>
  <Override PartName="/xl/charts/style2.xml" ContentType="application/vnd.ms-office.chartstyle+xml"/>
  <Override PartName="/xl/charts/chart56.xml" ContentType="application/vnd.openxmlformats-officedocument.drawingml.chart+xml"/>
  <Override PartName="/xl/charts/chart105.xml" ContentType="application/vnd.openxmlformats-officedocument.drawingml.chart+xml"/>
  <Override PartName="/xl/charts/chart152.xml" ContentType="application/vnd.openxmlformats-officedocument.drawingml.chart+xml"/>
  <Override PartName="/xl/activeX/activeX1.xml" ContentType="application/vnd.ms-office.activeX+xml"/>
  <Override PartName="/xl/activeX/activeX51.xml" ContentType="application/vnd.ms-office.activeX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charts/chart81.xml" ContentType="application/vnd.openxmlformats-officedocument.drawingml.chart+xml"/>
  <Override PartName="/xl/charts/chart92.xml" ContentType="application/vnd.openxmlformats-officedocument.drawingml.chart+xml"/>
  <Override PartName="/xl/charts/chart141.xml" ContentType="application/vnd.openxmlformats-officedocument.drawingml.chart+xml"/>
  <Override PartName="/xl/activeX/activeX40.xml" ContentType="application/vnd.ms-office.activeX+xml"/>
  <Override PartName="/xl/charts/colors5.xml" ContentType="application/vnd.ms-office.chartcolorstyle+xml"/>
  <Override PartName="/xl/sharedStrings.xml" ContentType="application/vnd.openxmlformats-officedocument.spreadsheetml.sharedStrings+xml"/>
  <Override PartName="/xl/charts/chart23.xml" ContentType="application/vnd.openxmlformats-officedocument.drawingml.chart+xml"/>
  <Override PartName="/xl/charts/chart70.xml" ContentType="application/vnd.openxmlformats-officedocument.drawingml.chart+xml"/>
  <Override PartName="/xl/charts/chart130.xml" ContentType="application/vnd.openxmlformats-officedocument.drawingml.chart+xml"/>
  <Override PartName="/xl/activeX/activeX19.bin" ContentType="application/vnd.ms-office.activeX"/>
  <Override PartName="/xl/charts/chart12.xml" ContentType="application/vnd.openxmlformats-officedocument.drawingml.chart+xml"/>
  <Override PartName="/xl/activeX/activeX5.bin" ContentType="application/vnd.ms-office.activeX"/>
  <Default Extension="bin" ContentType="application/vnd.openxmlformats-officedocument.spreadsheetml.printerSettings"/>
  <Override PartName="/xl/charts/chart179.xml" ContentType="application/vnd.openxmlformats-officedocument.drawingml.chart+xml"/>
  <Override PartName="/xl/activeX/activeX44.bin" ContentType="application/vnd.ms-office.activeX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charts/chart168.xml" ContentType="application/vnd.openxmlformats-officedocument.drawingml.chart+xml"/>
  <Override PartName="/xl/activeX/activeX22.bin" ContentType="application/vnd.ms-office.activeX"/>
  <Override PartName="/xl/activeX/activeX33.bin" ContentType="application/vnd.ms-office.activeX"/>
  <Override PartName="/xl/charts/style7.xml" ContentType="application/vnd.ms-office.chartstyle+xml"/>
  <Override PartName="/xl/charts/chart97.xml" ContentType="application/vnd.openxmlformats-officedocument.drawingml.chart+xml"/>
  <Override PartName="/xl/charts/chart157.xml" ContentType="application/vnd.openxmlformats-officedocument.drawingml.chart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39.xml" ContentType="application/vnd.openxmlformats-officedocument.drawingml.chart+xml"/>
  <Override PartName="/xl/charts/chart86.xml" ContentType="application/vnd.openxmlformats-officedocument.drawingml.chart+xml"/>
  <Override PartName="/xl/charts/chart135.xml" ContentType="application/vnd.openxmlformats-officedocument.drawingml.chart+xml"/>
  <Override PartName="/xl/charts/chart146.xml" ContentType="application/vnd.openxmlformats-officedocument.drawingml.chart+xml"/>
  <Override PartName="/xl/charts/chart182.xml" ContentType="application/vnd.openxmlformats-officedocument.drawingml.chart+xml"/>
  <Override PartName="/xl/activeX/activeX34.xml" ContentType="application/vnd.ms-office.activeX+xml"/>
  <Override PartName="/xl/charts/chart193.xml" ContentType="application/vnd.openxmlformats-officedocument.drawingml.chart+xml"/>
  <Override PartName="/xl/charts/chart28.xml" ContentType="application/vnd.openxmlformats-officedocument.drawingml.chart+xml"/>
  <Override PartName="/xl/charts/chart75.xml" ContentType="application/vnd.openxmlformats-officedocument.drawingml.chart+xml"/>
  <Override PartName="/xl/charts/chart124.xml" ContentType="application/vnd.openxmlformats-officedocument.drawingml.chart+xml"/>
  <Override PartName="/xl/charts/chart171.xml" ContentType="application/vnd.openxmlformats-officedocument.drawingml.chart+xml"/>
  <Override PartName="/xl/activeX/activeX23.xml" ContentType="application/vnd.ms-office.activeX+xml"/>
  <Default Extension="wdp" ContentType="image/vnd.ms-photo"/>
  <Override PartName="/xl/charts/chart17.xml" ContentType="application/vnd.openxmlformats-officedocument.drawingml.chart+xml"/>
  <Override PartName="/xl/charts/chart53.xml" ContentType="application/vnd.openxmlformats-officedocument.drawingml.chart+xml"/>
  <Override PartName="/xl/charts/chart64.xml" ContentType="application/vnd.openxmlformats-officedocument.drawingml.chart+xml"/>
  <Override PartName="/xl/charts/chart113.xml" ContentType="application/vnd.openxmlformats-officedocument.drawingml.chart+xml"/>
  <Override PartName="/xl/charts/chart160.xml" ContentType="application/vnd.openxmlformats-officedocument.drawingml.chart+xml"/>
  <Default Extension="vml" ContentType="application/vnd.openxmlformats-officedocument.vmlDrawing"/>
  <Override PartName="/xl/activeX/activeX12.xml" ContentType="application/vnd.ms-office.activeX+xml"/>
  <Override PartName="/xl/charts/chart42.xml" ContentType="application/vnd.openxmlformats-officedocument.drawingml.chart+xml"/>
  <Override PartName="/xl/charts/chart102.xml" ContentType="application/vnd.openxmlformats-officedocument.drawingml.chart+xml"/>
  <Override PartName="/xl/activeX/activeX38.bin" ContentType="application/vnd.ms-office.activeX"/>
  <Override PartName="/xl/activeX/activeX49.bin" ContentType="application/vnd.ms-office.activeX"/>
  <Override PartName="/xl/drawings/drawing10.xml" ContentType="application/vnd.openxmlformats-officedocument.drawing+xml"/>
  <Override PartName="/xl/charts/colors2.xml" ContentType="application/vnd.ms-office.chartcolorstyle+xml"/>
  <Override PartName="/xl/charts/chart31.xml" ContentType="application/vnd.openxmlformats-officedocument.drawingml.chart+xml"/>
  <Override PartName="/xl/activeX/activeX27.bin" ContentType="application/vnd.ms-office.activeX"/>
  <Override PartName="/docProps/core.xml" ContentType="application/vnd.openxmlformats-package.core-properties+xml"/>
  <Override PartName="/xl/charts/chart20.xml" ContentType="application/vnd.openxmlformats-officedocument.drawingml.chart+xml"/>
  <Override PartName="/xl/activeX/activeX2.bin" ContentType="application/vnd.ms-office.activeX"/>
  <Override PartName="/xl/activeX/activeX16.bin" ContentType="application/vnd.ms-office.activeX"/>
  <Override PartName="/xl/charts/chart198.xml" ContentType="application/vnd.openxmlformats-officedocument.drawingml.chart+xml"/>
  <Override PartName="/xl/charts/chart203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harts/chart187.xml" ContentType="application/vnd.openxmlformats-officedocument.drawingml.chart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drawings/drawing8.xml" ContentType="application/vnd.openxmlformats-officedocument.drawing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charts/chart69.xml" ContentType="application/vnd.openxmlformats-officedocument.drawingml.chart+xml"/>
  <Override PartName="/xl/charts/chart118.xml" ContentType="application/vnd.openxmlformats-officedocument.drawingml.chart+xml"/>
  <Override PartName="/xl/charts/chart129.xml" ContentType="application/vnd.openxmlformats-officedocument.drawingml.chart+xml"/>
  <Override PartName="/xl/charts/chart165.xml" ContentType="application/vnd.openxmlformats-officedocument.drawingml.chart+xml"/>
  <Override PartName="/xl/charts/chart176.xml" ContentType="application/vnd.openxmlformats-officedocument.drawingml.char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charts/style4.xml" ContentType="application/vnd.ms-office.chartstyle+xml"/>
  <Default Extension="rels" ContentType="application/vnd.openxmlformats-package.relationships+xml"/>
  <Override PartName="/xl/charts/chart58.xml" ContentType="application/vnd.openxmlformats-officedocument.drawingml.chart+xml"/>
  <Override PartName="/xl/charts/chart107.xml" ContentType="application/vnd.openxmlformats-officedocument.drawingml.chart+xml"/>
  <Override PartName="/xl/charts/chart154.xml" ContentType="application/vnd.openxmlformats-officedocument.drawingml.chart+xml"/>
  <Override PartName="/xl/activeX/activeX3.xml" ContentType="application/vnd.ms-office.activeX+xml"/>
  <Override PartName="/xl/activeX/activeX53.xml" ContentType="application/vnd.ms-office.activeX+xml"/>
  <Override PartName="/xl/charts/chart36.xml" ContentType="application/vnd.openxmlformats-officedocument.drawingml.chart+xml"/>
  <Override PartName="/xl/charts/chart47.xml" ContentType="application/vnd.openxmlformats-officedocument.drawingml.chart+xml"/>
  <Override PartName="/xl/charts/chart83.xml" ContentType="application/vnd.openxmlformats-officedocument.drawingml.chart+xml"/>
  <Override PartName="/xl/charts/chart94.xml" ContentType="application/vnd.openxmlformats-officedocument.drawingml.chart+xml"/>
  <Override PartName="/xl/charts/chart143.xml" ContentType="application/vnd.openxmlformats-officedocument.drawingml.chart+xml"/>
  <Override PartName="/xl/activeX/activeX42.xml" ContentType="application/vnd.ms-office.activeX+xml"/>
  <Override PartName="/xl/charts/chart190.xml" ContentType="application/vnd.openxmlformats-officedocument.drawingml.chart+xml"/>
  <Override PartName="/xl/charts/colors7.xml" ContentType="application/vnd.ms-office.chartcolorstyle+xml"/>
  <Override PartName="/xl/worksheets/sheet1.xml" ContentType="application/vnd.openxmlformats-officedocument.spreadsheetml.worksheet+xml"/>
  <Override PartName="/xl/charts/chart25.xml" ContentType="application/vnd.openxmlformats-officedocument.drawingml.chart+xml"/>
  <Override PartName="/xl/charts/chart72.xml" ContentType="application/vnd.openxmlformats-officedocument.drawingml.chart+xml"/>
  <Override PartName="/xl/charts/chart132.xml" ContentType="application/vnd.openxmlformats-officedocument.drawingml.chart+xml"/>
  <Override PartName="/xl/activeX/activeX20.xml" ContentType="application/vnd.ms-office.activeX+xml"/>
  <Override PartName="/xl/activeX/activeX31.xml" ContentType="application/vnd.ms-office.activeX+xml"/>
  <Override PartName="/xl/charts/chart14.xml" ContentType="application/vnd.openxmlformats-officedocument.drawingml.chart+xml"/>
  <Override PartName="/xl/charts/chart61.xml" ContentType="application/vnd.openxmlformats-officedocument.drawingml.chart+xml"/>
  <Override PartName="/xl/charts/chart110.xml" ContentType="application/vnd.openxmlformats-officedocument.drawingml.chart+xml"/>
  <Override PartName="/xl/charts/chart121.xml" ContentType="application/vnd.openxmlformats-officedocument.drawingml.chart+xml"/>
  <Override PartName="/xl/activeX/activeX7.bin" ContentType="application/vnd.ms-office.activeX"/>
  <Override PartName="/xl/charts/chart50.xml" ContentType="application/vnd.openxmlformats-officedocument.drawingml.chart+xml"/>
  <Override PartName="/xl/activeX/activeX46.bin" ContentType="application/vnd.ms-office.activeX"/>
  <Override PartName="/xl/worksheets/sheet16.xml" ContentType="application/vnd.openxmlformats-officedocument.spreadsheetml.worksheet+xml"/>
  <Override PartName="/xl/charts/chart7.xml" ContentType="application/vnd.openxmlformats-officedocument.drawingml.chart+xml"/>
  <Override PartName="/xl/activeX/activeX35.bin" ContentType="application/vnd.ms-office.activeX"/>
  <Override PartName="/xl/charts/chart99.xml" ContentType="application/vnd.openxmlformats-officedocument.drawingml.chart+xml"/>
  <Override PartName="/xl/charts/chart159.xml" ContentType="application/vnd.openxmlformats-officedocument.drawingml.chart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worksheets/sheet6.xml" ContentType="application/vnd.openxmlformats-officedocument.spreadsheetml.worksheet+xml"/>
  <Default Extension="jpeg" ContentType="image/jpeg"/>
  <Override PartName="/xl/charts/chart88.xml" ContentType="application/vnd.openxmlformats-officedocument.drawingml.chart+xml"/>
  <Override PartName="/xl/charts/chart137.xml" ContentType="application/vnd.openxmlformats-officedocument.drawingml.chart+xml"/>
  <Override PartName="/xl/charts/chart148.xml" ContentType="application/vnd.openxmlformats-officedocument.drawingml.chart+xml"/>
  <Override PartName="/xl/charts/chart184.xml" ContentType="application/vnd.openxmlformats-officedocument.drawingml.chart+xml"/>
  <Override PartName="/xl/activeX/activeX36.xml" ContentType="application/vnd.ms-office.activeX+xml"/>
  <Override PartName="/xl/drawings/drawing5.xml" ContentType="application/vnd.openxmlformats-officedocument.drawing+xml"/>
  <Override PartName="/xl/charts/chart195.xml" ContentType="application/vnd.openxmlformats-officedocument.drawingml.chart+xml"/>
  <Override PartName="/xl/charts/chart200.xml" ContentType="application/vnd.openxmlformats-officedocument.drawingml.chart+xml"/>
  <Override PartName="/xl/charts/chart77.xml" ContentType="application/vnd.openxmlformats-officedocument.drawingml.chart+xml"/>
  <Override PartName="/xl/charts/chart126.xml" ContentType="application/vnd.openxmlformats-officedocument.drawingml.chart+xml"/>
  <Override PartName="/xl/charts/chart173.xml" ContentType="application/vnd.openxmlformats-officedocument.drawingml.chart+xml"/>
  <Override PartName="/xl/activeX/activeX25.xml" ContentType="application/vnd.ms-office.activeX+xml"/>
  <Override PartName="/xl/charts/style1.xml" ContentType="application/vnd.ms-office.chartstyle+xml"/>
  <Override PartName="/xl/charts/chart19.xml" ContentType="application/vnd.openxmlformats-officedocument.drawingml.chart+xml"/>
  <Override PartName="/xl/charts/chart55.xml" ContentType="application/vnd.openxmlformats-officedocument.drawingml.chart+xml"/>
  <Override PartName="/xl/charts/chart66.xml" ContentType="application/vnd.openxmlformats-officedocument.drawingml.chart+xml"/>
  <Override PartName="/xl/charts/chart115.xml" ContentType="application/vnd.openxmlformats-officedocument.drawingml.chart+xml"/>
  <Override PartName="/xl/charts/chart162.xml" ContentType="application/vnd.openxmlformats-officedocument.drawingml.chart+xml"/>
  <Override PartName="/xl/activeX/activeX14.xml" ContentType="application/vnd.ms-office.activeX+xml"/>
  <Override PartName="/xl/charts/chart44.xml" ContentType="application/vnd.openxmlformats-officedocument.drawingml.chart+xml"/>
  <Override PartName="/xl/charts/chart91.xml" ContentType="application/vnd.openxmlformats-officedocument.drawingml.chart+xml"/>
  <Override PartName="/xl/charts/chart104.xml" ContentType="application/vnd.openxmlformats-officedocument.drawingml.chart+xml"/>
  <Override PartName="/xl/charts/chart140.xml" ContentType="application/vnd.openxmlformats-officedocument.drawingml.chart+xml"/>
  <Override PartName="/xl/charts/chart151.xml" ContentType="application/vnd.openxmlformats-officedocument.drawingml.chart+xml"/>
  <Override PartName="/xl/activeX/activeX50.xml" ContentType="application/vnd.ms-office.activeX+xml"/>
  <Override PartName="/xl/drawings/drawing12.xml" ContentType="application/vnd.openxmlformats-officedocument.drawing+xml"/>
  <Override PartName="/xl/charts/colors4.xml" ContentType="application/vnd.ms-office.chartcolorstyle+xml"/>
  <Override PartName="/xl/charts/chart33.xml" ContentType="application/vnd.openxmlformats-officedocument.drawingml.chart+xml"/>
  <Override PartName="/xl/charts/chart80.xml" ContentType="application/vnd.openxmlformats-officedocument.drawingml.chart+xml"/>
  <Override PartName="/xl/activeX/activeX29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B7FE6334-C1A2-E50D-BD3D-5F4D41BBC2E3}"/>
  <workbookPr codeName="ThisWorkbook"/>
  <bookViews>
    <workbookView xWindow="105" yWindow="45" windowWidth="21840" windowHeight="5085" tabRatio="918"/>
  </bookViews>
  <sheets>
    <sheet name="Algandmed" sheetId="1" r:id="rId1"/>
    <sheet name="Settings" sheetId="44" r:id="rId2"/>
    <sheet name="Esitlus" sheetId="56" r:id="rId3"/>
    <sheet name="Lõppandmed" sheetId="2" r:id="rId4"/>
    <sheet name="Intensity" sheetId="50" r:id="rId5"/>
    <sheet name="ATT " sheetId="52" r:id="rId6"/>
    <sheet name="ATT DATA" sheetId="53" r:id="rId7"/>
    <sheet name="Esitlus1" sheetId="60" r:id="rId8"/>
    <sheet name="Esitlus2" sheetId="59" r:id="rId9"/>
    <sheet name="Esitlus3" sheetId="61" r:id="rId10"/>
    <sheet name="Esitlus4" sheetId="62" r:id="rId11"/>
    <sheet name="Esitlus5" sheetId="63" r:id="rId12"/>
    <sheet name="Esitlus6" sheetId="65" r:id="rId13"/>
    <sheet name="Esitlus7" sheetId="66" r:id="rId14"/>
    <sheet name="Esitlus8" sheetId="67" r:id="rId15"/>
    <sheet name="Üleminekud" sheetId="57" r:id="rId16"/>
  </sheets>
  <functionGroups/>
  <externalReferences>
    <externalReference r:id="rId17"/>
  </externalReferences>
  <definedNames>
    <definedName name="_xlnm._FilterDatabase" localSheetId="0" hidden="1">Algandmed!$A$1:$AB$2611</definedName>
    <definedName name="_xlnm._FilterDatabase" localSheetId="2" hidden="1">Esitlus!#REF!</definedName>
    <definedName name="_xlnm._FilterDatabase" localSheetId="15" hidden="1">Üleminekud!#REF!</definedName>
    <definedName name="neg_L1">Algandmed!$AG$1435</definedName>
    <definedName name="neg_L1_2p">Algandmed!$AQ$1435</definedName>
    <definedName name="neg_L21">Algandmed!$AG$1434</definedName>
    <definedName name="neg_L21_2p">Algandmed!$AQ$1434</definedName>
    <definedName name="neg_L22">Algandmed!$AG$1433</definedName>
    <definedName name="neg_L22_2p">Algandmed!$AQ$1433</definedName>
    <definedName name="neg_L3">Algandmed!$AG$1432</definedName>
    <definedName name="neg_L3_2p">Algandmed!$AQ$1432</definedName>
    <definedName name="neg_M1">Algandmed!$AH$1435</definedName>
    <definedName name="neg_M1_2p">Algandmed!$AR$1435</definedName>
    <definedName name="neg_M21">Algandmed!$AH$1434</definedName>
    <definedName name="neg_M21_2p">Algandmed!$AR$1434</definedName>
    <definedName name="neg_M22">Algandmed!$AH$1433</definedName>
    <definedName name="neg_M22_2p">Algandmed!$AR$1433</definedName>
    <definedName name="neg_M3">Algandmed!$AH$1432</definedName>
    <definedName name="neg_M3_2p">Algandmed!$AR$1432</definedName>
    <definedName name="neg_R1">Algandmed!$AI$1435</definedName>
    <definedName name="neg_R1_2p">Algandmed!$AS$1435</definedName>
    <definedName name="neg_R21">Algandmed!$AI$1434</definedName>
    <definedName name="neg_R21_2p">Algandmed!$AS$1434</definedName>
    <definedName name="neg_R22">Algandmed!$AI$1433</definedName>
    <definedName name="neg_R22_2p">Algandmed!$AS$1433</definedName>
    <definedName name="neg_R3">Algandmed!$AI$1432</definedName>
    <definedName name="neg_R3_2p">Algandmed!$AS$1432</definedName>
    <definedName name="pos_L1">Algandmed!$AC$1435</definedName>
    <definedName name="pos_L1_2p">Algandmed!$AM$1435</definedName>
    <definedName name="pos_L21">Algandmed!$AC$1434</definedName>
    <definedName name="pos_L21_2p">Algandmed!$AM$1434</definedName>
    <definedName name="pos_L22">Algandmed!$AC$1433</definedName>
    <definedName name="pos_L22_2p">Algandmed!$AM$1433</definedName>
    <definedName name="pos_L3">Algandmed!$AC$1432</definedName>
    <definedName name="pos_L3_2p">Algandmed!$AM$1432</definedName>
    <definedName name="pos_M1">Algandmed!$AD$1435</definedName>
    <definedName name="pos_M1_2p">Algandmed!$AN$1435</definedName>
    <definedName name="pos_M21">Algandmed!$AD$1434</definedName>
    <definedName name="pos_M21_2p">Algandmed!$AN$1434</definedName>
    <definedName name="pos_M22">Algandmed!$AD$1433</definedName>
    <definedName name="pos_M22_2p">Algandmed!$AN$1433</definedName>
    <definedName name="pos_M3">Algandmed!$AD$1432</definedName>
    <definedName name="pos_M3_2p">Algandmed!$AN$1432</definedName>
    <definedName name="pos_R1">Algandmed!$AE$1435</definedName>
    <definedName name="pos_R1_2p">Algandmed!$AO$1435</definedName>
    <definedName name="pos_R21">Algandmed!$AE$1434</definedName>
    <definedName name="pos_R21_2p">Algandmed!$AO$1434</definedName>
    <definedName name="pos_R22">Algandmed!$AE$1433</definedName>
    <definedName name="pos_R22_2p">Algandmed!$AO$1433</definedName>
    <definedName name="pos_R3">Algandmed!$AE$1432</definedName>
    <definedName name="pos_R3_2p">Algandmed!$AO$1432</definedName>
    <definedName name="_xlnm.Print_Area" localSheetId="2">Esitlus!$A$1:$N$551</definedName>
    <definedName name="_xlnm.Print_Area" localSheetId="8">Esitlus2!$A$1:$N$54</definedName>
    <definedName name="_xlnm.Print_Area" localSheetId="15">Üleminekud!$A$1:$G$68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6" i="57"/>
  <c r="U44" i="44"/>
  <c r="T44"/>
  <c r="S44"/>
  <c r="R44"/>
  <c r="Q44"/>
  <c r="P44"/>
  <c r="O44"/>
  <c r="N44"/>
  <c r="M44"/>
  <c r="L44"/>
  <c r="K44"/>
  <c r="J44"/>
  <c r="I44"/>
  <c r="H44"/>
  <c r="G44"/>
  <c r="F44"/>
  <c r="E44"/>
  <c r="D44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AB204" i="1"/>
  <c r="AB205"/>
  <c r="AB206"/>
  <c r="AB207"/>
  <c r="AB208"/>
  <c r="AB209"/>
  <c r="AB210"/>
  <c r="AB211"/>
  <c r="AB212"/>
  <c r="AB213"/>
  <c r="AB214"/>
  <c r="AB215"/>
  <c r="AB216"/>
  <c r="AB179"/>
  <c r="AB180"/>
  <c r="AB181"/>
  <c r="AB182"/>
  <c r="AB183"/>
  <c r="AB184"/>
  <c r="AB185"/>
  <c r="AB186"/>
  <c r="AB187"/>
  <c r="AB188"/>
  <c r="AB189"/>
  <c r="AB190"/>
  <c r="AB191"/>
  <c r="AB192"/>
  <c r="AB193"/>
  <c r="AB194"/>
  <c r="AB195"/>
  <c r="AB196"/>
  <c r="AB197"/>
  <c r="AB198"/>
  <c r="AB199"/>
  <c r="AB200"/>
  <c r="AB201"/>
  <c r="AB202"/>
  <c r="AB203"/>
  <c r="AB154"/>
  <c r="AB155"/>
  <c r="AB156"/>
  <c r="AB157"/>
  <c r="AB158"/>
  <c r="AB159"/>
  <c r="AB160"/>
  <c r="AB161"/>
  <c r="AB162"/>
  <c r="AB163"/>
  <c r="AB164"/>
  <c r="AB165"/>
  <c r="AB166"/>
  <c r="AB167"/>
  <c r="AB168"/>
  <c r="AB169"/>
  <c r="AB170"/>
  <c r="AB171"/>
  <c r="AB172"/>
  <c r="AB173"/>
  <c r="AB174"/>
  <c r="AB175"/>
  <c r="AB176"/>
  <c r="AB177"/>
  <c r="AB178"/>
  <c r="AB129"/>
  <c r="AB130"/>
  <c r="AB131"/>
  <c r="AB132"/>
  <c r="AB133"/>
  <c r="AB134"/>
  <c r="AB135"/>
  <c r="AB136"/>
  <c r="AB137"/>
  <c r="AB138"/>
  <c r="AB139"/>
  <c r="AB140"/>
  <c r="AB141"/>
  <c r="AB142"/>
  <c r="AB143"/>
  <c r="AB144"/>
  <c r="AB145"/>
  <c r="AB146"/>
  <c r="AB147"/>
  <c r="AB148"/>
  <c r="AB149"/>
  <c r="AB150"/>
  <c r="AB151"/>
  <c r="AB152"/>
  <c r="AB153"/>
  <c r="AB119"/>
  <c r="AB120"/>
  <c r="AB121"/>
  <c r="AB122"/>
  <c r="AB123"/>
  <c r="AB124"/>
  <c r="AB125"/>
  <c r="AB126"/>
  <c r="AB127"/>
  <c r="AB128"/>
  <c r="AB118"/>
  <c r="AB113"/>
  <c r="AB114"/>
  <c r="AB115"/>
  <c r="AB116"/>
  <c r="AB117"/>
  <c r="AB89"/>
  <c r="AB90"/>
  <c r="AB91"/>
  <c r="AB92"/>
  <c r="AB93"/>
  <c r="AB94"/>
  <c r="AB95"/>
  <c r="AB96"/>
  <c r="AB97"/>
  <c r="AB98"/>
  <c r="AB99"/>
  <c r="AB100"/>
  <c r="AB101"/>
  <c r="AB102"/>
  <c r="AB103"/>
  <c r="AB104"/>
  <c r="AB105"/>
  <c r="AB106"/>
  <c r="AB107"/>
  <c r="AB108"/>
  <c r="AB109"/>
  <c r="AB110"/>
  <c r="AB111"/>
  <c r="AB112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3"/>
  <c r="AB4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"/>
  <c r="AI1444"/>
  <c r="AG1444"/>
  <c r="AV506"/>
  <c r="AU506"/>
  <c r="AT506"/>
  <c r="AS506"/>
  <c r="AR506"/>
  <c r="AQ506"/>
  <c r="AP506"/>
  <c r="AO506"/>
  <c r="AN506"/>
  <c r="AV505"/>
  <c r="AU505"/>
  <c r="AT505"/>
  <c r="AS505"/>
  <c r="AR505"/>
  <c r="AQ505"/>
  <c r="AP505"/>
  <c r="AO505"/>
  <c r="AN505"/>
  <c r="BE504"/>
  <c r="BE506" s="1"/>
  <c r="BD504"/>
  <c r="BD506" s="1"/>
  <c r="BC504"/>
  <c r="BC506" s="1"/>
  <c r="BB504"/>
  <c r="BB506" s="1"/>
  <c r="BA504"/>
  <c r="BA506" s="1"/>
  <c r="AZ504"/>
  <c r="AZ506" s="1"/>
  <c r="AY504"/>
  <c r="AY506" s="1"/>
  <c r="AX504"/>
  <c r="AX506" s="1"/>
  <c r="AW504"/>
  <c r="AW506" s="1"/>
  <c r="AV504"/>
  <c r="AU504"/>
  <c r="AT504"/>
  <c r="AS504"/>
  <c r="AR504"/>
  <c r="AQ504"/>
  <c r="AP504"/>
  <c r="AO504"/>
  <c r="AN504"/>
  <c r="AM504"/>
  <c r="AM506" s="1"/>
  <c r="AL504"/>
  <c r="AL506" s="1"/>
  <c r="AK504"/>
  <c r="AK506" s="1"/>
  <c r="AJ504"/>
  <c r="AJ506" s="1"/>
  <c r="AI504"/>
  <c r="AI506" s="1"/>
  <c r="AH504"/>
  <c r="AH506" s="1"/>
  <c r="AG504"/>
  <c r="AG506" s="1"/>
  <c r="AF504"/>
  <c r="AF506" s="1"/>
  <c r="AE504"/>
  <c r="AE506" s="1"/>
  <c r="BE503"/>
  <c r="BE505" s="1"/>
  <c r="BD503"/>
  <c r="BD505" s="1"/>
  <c r="BC503"/>
  <c r="BC505" s="1"/>
  <c r="BB503"/>
  <c r="BB505" s="1"/>
  <c r="BA503"/>
  <c r="BA505" s="1"/>
  <c r="AZ503"/>
  <c r="AZ505" s="1"/>
  <c r="AY503"/>
  <c r="AY505" s="1"/>
  <c r="AX503"/>
  <c r="AX505" s="1"/>
  <c r="AW503"/>
  <c r="AW505" s="1"/>
  <c r="AV503"/>
  <c r="AU503"/>
  <c r="AT503"/>
  <c r="AS503"/>
  <c r="AR503"/>
  <c r="AQ503"/>
  <c r="AP503"/>
  <c r="AO503"/>
  <c r="AN503"/>
  <c r="AM503"/>
  <c r="AM505" s="1"/>
  <c r="AL503"/>
  <c r="AL505" s="1"/>
  <c r="AK503"/>
  <c r="AK505" s="1"/>
  <c r="AJ503"/>
  <c r="AJ505" s="1"/>
  <c r="AI503"/>
  <c r="AI505" s="1"/>
  <c r="AH503"/>
  <c r="AH505" s="1"/>
  <c r="AG503"/>
  <c r="AG505" s="1"/>
  <c r="AF503"/>
  <c r="AF505" s="1"/>
  <c r="AE503"/>
  <c r="AE505" s="1"/>
  <c r="BE502"/>
  <c r="BD502"/>
  <c r="BC502"/>
  <c r="BB502"/>
  <c r="BA502"/>
  <c r="AZ502"/>
  <c r="AY502"/>
  <c r="AX502"/>
  <c r="AW502"/>
  <c r="AV502"/>
  <c r="AU502"/>
  <c r="AT502"/>
  <c r="AS502"/>
  <c r="AR502"/>
  <c r="AQ502"/>
  <c r="AP502"/>
  <c r="AO502"/>
  <c r="AN502"/>
  <c r="AM502"/>
  <c r="AL502"/>
  <c r="AK502"/>
  <c r="AJ502"/>
  <c r="AI502"/>
  <c r="AH502"/>
  <c r="AG502"/>
  <c r="AF502"/>
  <c r="AE502"/>
  <c r="BE501"/>
  <c r="BD501"/>
  <c r="BC501"/>
  <c r="BB501"/>
  <c r="BA501"/>
  <c r="AZ501"/>
  <c r="AY501"/>
  <c r="AX501"/>
  <c r="AW501"/>
  <c r="AV501"/>
  <c r="AU501"/>
  <c r="AT501"/>
  <c r="AS501"/>
  <c r="AR501"/>
  <c r="AQ501"/>
  <c r="AP501"/>
  <c r="AO501"/>
  <c r="AN501"/>
  <c r="AM501"/>
  <c r="AL501"/>
  <c r="AK501"/>
  <c r="AJ501"/>
  <c r="AI501"/>
  <c r="AH501"/>
  <c r="AG501"/>
  <c r="AF501"/>
  <c r="AE501"/>
  <c r="BE500"/>
  <c r="BD500"/>
  <c r="BC500"/>
  <c r="BB500"/>
  <c r="BA500"/>
  <c r="AZ500"/>
  <c r="AY500"/>
  <c r="AX500"/>
  <c r="AW500"/>
  <c r="AV500"/>
  <c r="AU500"/>
  <c r="AT500"/>
  <c r="AS500"/>
  <c r="AR500"/>
  <c r="AQ500"/>
  <c r="AP500"/>
  <c r="AO500"/>
  <c r="AN500"/>
  <c r="AM500"/>
  <c r="AL500"/>
  <c r="AK500"/>
  <c r="AJ500"/>
  <c r="AI500"/>
  <c r="AH500"/>
  <c r="AG500"/>
  <c r="AF500"/>
  <c r="AE500"/>
  <c r="BE499"/>
  <c r="BD499"/>
  <c r="BC499"/>
  <c r="BB499"/>
  <c r="BA499"/>
  <c r="AZ499"/>
  <c r="AY499"/>
  <c r="AX499"/>
  <c r="AW499"/>
  <c r="AV499"/>
  <c r="AU499"/>
  <c r="AT499"/>
  <c r="AS499"/>
  <c r="AR499"/>
  <c r="AQ499"/>
  <c r="AP499"/>
  <c r="AO499"/>
  <c r="AN499"/>
  <c r="AM499"/>
  <c r="AL499"/>
  <c r="AK499"/>
  <c r="AJ499"/>
  <c r="AI499"/>
  <c r="AH499"/>
  <c r="AG499"/>
  <c r="AF499"/>
  <c r="AE499"/>
  <c r="BE498"/>
  <c r="BD498"/>
  <c r="BC498"/>
  <c r="BB498"/>
  <c r="BA498"/>
  <c r="AZ498"/>
  <c r="AY498"/>
  <c r="AX498"/>
  <c r="AW498"/>
  <c r="AV498"/>
  <c r="AU498"/>
  <c r="AT498"/>
  <c r="AS498"/>
  <c r="AR498"/>
  <c r="AQ498"/>
  <c r="AP498"/>
  <c r="AO498"/>
  <c r="AN498"/>
  <c r="AM498"/>
  <c r="AL498"/>
  <c r="AK498"/>
  <c r="AJ498"/>
  <c r="AI498"/>
  <c r="AH498"/>
  <c r="AG498"/>
  <c r="AF498"/>
  <c r="AE498"/>
  <c r="BE497"/>
  <c r="BD497"/>
  <c r="BC497"/>
  <c r="BB497"/>
  <c r="BA497"/>
  <c r="AZ497"/>
  <c r="AY497"/>
  <c r="AX497"/>
  <c r="AW497"/>
  <c r="AV497"/>
  <c r="AU497"/>
  <c r="AT497"/>
  <c r="AS497"/>
  <c r="AR497"/>
  <c r="AQ497"/>
  <c r="AP497"/>
  <c r="AO497"/>
  <c r="AN497"/>
  <c r="AM497"/>
  <c r="AL497"/>
  <c r="AK497"/>
  <c r="AJ497"/>
  <c r="AI497"/>
  <c r="AH497"/>
  <c r="AG497"/>
  <c r="AF497"/>
  <c r="AE497"/>
  <c r="BE496"/>
  <c r="BD496"/>
  <c r="BC496"/>
  <c r="BB496"/>
  <c r="BA496"/>
  <c r="AZ496"/>
  <c r="AY496"/>
  <c r="AX496"/>
  <c r="AW496"/>
  <c r="AV496"/>
  <c r="AU496"/>
  <c r="AT496"/>
  <c r="AS496"/>
  <c r="AR496"/>
  <c r="AQ496"/>
  <c r="AP496"/>
  <c r="AO496"/>
  <c r="AN496"/>
  <c r="AM496"/>
  <c r="AL496"/>
  <c r="AK496"/>
  <c r="AJ496"/>
  <c r="AI496"/>
  <c r="AH496"/>
  <c r="AG496"/>
  <c r="AF496"/>
  <c r="AE496"/>
  <c r="BE495"/>
  <c r="BD495"/>
  <c r="BC495"/>
  <c r="BB495"/>
  <c r="BA495"/>
  <c r="AZ495"/>
  <c r="AY495"/>
  <c r="AX495"/>
  <c r="AW495"/>
  <c r="AV495"/>
  <c r="AU495"/>
  <c r="AT495"/>
  <c r="AS495"/>
  <c r="AR495"/>
  <c r="AQ495"/>
  <c r="AP495"/>
  <c r="AO495"/>
  <c r="AN495"/>
  <c r="AM495"/>
  <c r="AL495"/>
  <c r="AK495"/>
  <c r="AJ495"/>
  <c r="AI495"/>
  <c r="AH495"/>
  <c r="AG495"/>
  <c r="AF495"/>
  <c r="AE495"/>
  <c r="BE494"/>
  <c r="BD494"/>
  <c r="BC494"/>
  <c r="BB494"/>
  <c r="BA494"/>
  <c r="AZ494"/>
  <c r="AY494"/>
  <c r="AX494"/>
  <c r="AW494"/>
  <c r="AV494"/>
  <c r="AU494"/>
  <c r="AT494"/>
  <c r="AS494"/>
  <c r="AR494"/>
  <c r="AQ494"/>
  <c r="AP494"/>
  <c r="AO494"/>
  <c r="AN494"/>
  <c r="AM494"/>
  <c r="AL494"/>
  <c r="AK494"/>
  <c r="AJ494"/>
  <c r="AI494"/>
  <c r="AH494"/>
  <c r="AG494"/>
  <c r="AF494"/>
  <c r="AE494"/>
  <c r="BE493"/>
  <c r="BD493"/>
  <c r="BC493"/>
  <c r="BB493"/>
  <c r="BA493"/>
  <c r="AZ493"/>
  <c r="AY493"/>
  <c r="AX493"/>
  <c r="AW493"/>
  <c r="AV493"/>
  <c r="AU493"/>
  <c r="AT493"/>
  <c r="AS493"/>
  <c r="AR493"/>
  <c r="AQ493"/>
  <c r="AP493"/>
  <c r="AO493"/>
  <c r="AN493"/>
  <c r="AM493"/>
  <c r="AL493"/>
  <c r="AK493"/>
  <c r="AJ493"/>
  <c r="AI493"/>
  <c r="AH493"/>
  <c r="AG493"/>
  <c r="AF493"/>
  <c r="AE493"/>
  <c r="BE492"/>
  <c r="BD492"/>
  <c r="BC492"/>
  <c r="BB492"/>
  <c r="BA492"/>
  <c r="AZ492"/>
  <c r="AY492"/>
  <c r="AX492"/>
  <c r="AW492"/>
  <c r="AV492"/>
  <c r="AU492"/>
  <c r="AT492"/>
  <c r="AS492"/>
  <c r="AR492"/>
  <c r="AQ492"/>
  <c r="AP492"/>
  <c r="AO492"/>
  <c r="AN492"/>
  <c r="AM492"/>
  <c r="AL492"/>
  <c r="AK492"/>
  <c r="AJ492"/>
  <c r="AI492"/>
  <c r="AH492"/>
  <c r="AG492"/>
  <c r="AF492"/>
  <c r="AE492"/>
  <c r="BE491"/>
  <c r="BD491"/>
  <c r="BC491"/>
  <c r="BB491"/>
  <c r="BA491"/>
  <c r="AZ491"/>
  <c r="AY491"/>
  <c r="AX491"/>
  <c r="AW491"/>
  <c r="AV491"/>
  <c r="AU491"/>
  <c r="AT491"/>
  <c r="AS491"/>
  <c r="AR491"/>
  <c r="AQ491"/>
  <c r="AP491"/>
  <c r="AO491"/>
  <c r="AN491"/>
  <c r="AM491"/>
  <c r="AL491"/>
  <c r="AK491"/>
  <c r="AJ491"/>
  <c r="AI491"/>
  <c r="AH491"/>
  <c r="AG491"/>
  <c r="AF491"/>
  <c r="AE491"/>
  <c r="BA387"/>
  <c r="AW387"/>
  <c r="AL387"/>
  <c r="AH387"/>
  <c r="BA381"/>
  <c r="AW381"/>
  <c r="AL381"/>
  <c r="AH381"/>
  <c r="BA347"/>
  <c r="AV347"/>
  <c r="AL347"/>
  <c r="AG347"/>
  <c r="BA341"/>
  <c r="AV341"/>
  <c r="AL341"/>
  <c r="AG341"/>
  <c r="AV307"/>
  <c r="AG307"/>
  <c r="AV301"/>
  <c r="AG301"/>
  <c r="AV273"/>
  <c r="AG273"/>
  <c r="AV267"/>
  <c r="AG267"/>
  <c r="AV226"/>
  <c r="AG226"/>
  <c r="AV220"/>
  <c r="AG220"/>
  <c r="AV176"/>
  <c r="AG176"/>
  <c r="AV170"/>
  <c r="AG170"/>
  <c r="AW107"/>
  <c r="AV107"/>
  <c r="AU107"/>
  <c r="AI107"/>
  <c r="AH107"/>
  <c r="AG107"/>
  <c r="AW104"/>
  <c r="AV104"/>
  <c r="AU104"/>
  <c r="AI104"/>
  <c r="AH104"/>
  <c r="AG104"/>
  <c r="BD98"/>
  <c r="BC98"/>
  <c r="BB98"/>
  <c r="BA98"/>
  <c r="AZ98"/>
  <c r="AY98"/>
  <c r="AX98"/>
  <c r="AW98"/>
  <c r="AV98"/>
  <c r="AO98"/>
  <c r="AN98"/>
  <c r="AM98"/>
  <c r="AL98"/>
  <c r="AK98"/>
  <c r="AJ98"/>
  <c r="AI98"/>
  <c r="AH98"/>
  <c r="AG98"/>
  <c r="BD92"/>
  <c r="BC92"/>
  <c r="BB92"/>
  <c r="BA92"/>
  <c r="AZ92"/>
  <c r="AY92"/>
  <c r="AX92"/>
  <c r="AW92"/>
  <c r="AV92"/>
  <c r="AO92"/>
  <c r="AN92"/>
  <c r="AM92"/>
  <c r="AL92"/>
  <c r="AK92"/>
  <c r="AJ92"/>
  <c r="AI92"/>
  <c r="AH92"/>
  <c r="AG92"/>
  <c r="BD64"/>
  <c r="BC64"/>
  <c r="BB64"/>
  <c r="BA64"/>
  <c r="AZ64"/>
  <c r="AY64"/>
  <c r="AX64"/>
  <c r="AW64"/>
  <c r="AV64"/>
  <c r="AO64"/>
  <c r="AN64"/>
  <c r="AM64"/>
  <c r="AL64"/>
  <c r="AK64"/>
  <c r="AJ64"/>
  <c r="AI64"/>
  <c r="AH64"/>
  <c r="AG64"/>
  <c r="BF45"/>
  <c r="BE45"/>
  <c r="BD45"/>
  <c r="BC45"/>
  <c r="BB45"/>
  <c r="BA45"/>
  <c r="AZ45"/>
  <c r="AY45"/>
  <c r="AX45"/>
  <c r="AQ45"/>
  <c r="AP45"/>
  <c r="AO45"/>
  <c r="AN45"/>
  <c r="AM45"/>
  <c r="AL45"/>
  <c r="AK45"/>
  <c r="AJ45"/>
  <c r="AI45"/>
  <c r="BF39"/>
  <c r="BE39"/>
  <c r="BD39"/>
  <c r="BC39"/>
  <c r="BB39"/>
  <c r="BA39"/>
  <c r="AZ39"/>
  <c r="AY39"/>
  <c r="AX39"/>
  <c r="AQ39"/>
  <c r="AP39"/>
  <c r="AO39"/>
  <c r="AN39"/>
  <c r="AM39"/>
  <c r="AL39"/>
  <c r="AK39"/>
  <c r="AJ39"/>
  <c r="AI39"/>
  <c r="BF33"/>
  <c r="BE33"/>
  <c r="BD33"/>
  <c r="BC33"/>
  <c r="BB33"/>
  <c r="BA33"/>
  <c r="AZ33"/>
  <c r="AY33"/>
  <c r="AX33"/>
  <c r="AQ33"/>
  <c r="AP33"/>
  <c r="AO33"/>
  <c r="AN33"/>
  <c r="AM33"/>
  <c r="AL33"/>
  <c r="AK33"/>
  <c r="AJ33"/>
  <c r="AI33"/>
  <c r="BN24"/>
  <c r="BM24"/>
  <c r="BL24"/>
  <c r="BK24"/>
  <c r="BJ24"/>
  <c r="BI24"/>
  <c r="BF24"/>
  <c r="BE24"/>
  <c r="BD24"/>
  <c r="BB24"/>
  <c r="AZ24"/>
  <c r="AU24"/>
  <c r="AT24"/>
  <c r="AS24"/>
  <c r="AR24"/>
  <c r="AQ24"/>
  <c r="AN24"/>
  <c r="AM24"/>
  <c r="AL24"/>
  <c r="AJ24"/>
  <c r="AH24"/>
  <c r="BN20"/>
  <c r="BM20"/>
  <c r="BL20"/>
  <c r="BK20"/>
  <c r="BJ20"/>
  <c r="BI20"/>
  <c r="BF20"/>
  <c r="BE20"/>
  <c r="BD20"/>
  <c r="BB20"/>
  <c r="AZ20"/>
  <c r="AU20"/>
  <c r="AT20"/>
  <c r="AS20"/>
  <c r="AR20"/>
  <c r="AQ20"/>
  <c r="AN20"/>
  <c r="AM20"/>
  <c r="AL20"/>
  <c r="AJ20"/>
  <c r="AH20"/>
  <c r="AL1374"/>
  <c r="AQ1358"/>
  <c r="AQ1374" s="1"/>
  <c r="AL1358"/>
  <c r="AG1358"/>
  <c r="AG1374" s="1"/>
  <c r="AQ1342"/>
  <c r="AL1342"/>
  <c r="AG1342"/>
  <c r="AQ1326"/>
  <c r="AL1326"/>
  <c r="AG1326"/>
  <c r="AQ1310"/>
  <c r="AL1310"/>
  <c r="AG1310"/>
  <c r="AQ1294"/>
  <c r="AL1294"/>
  <c r="AG1294"/>
  <c r="AQ1278"/>
  <c r="AL1278"/>
  <c r="AG1278"/>
  <c r="AW1262"/>
  <c r="AQ1262"/>
  <c r="AG1262"/>
  <c r="AQ1226"/>
  <c r="AQ1242" s="1"/>
  <c r="AL1226"/>
  <c r="AG1226"/>
  <c r="AG1242" s="1"/>
  <c r="AQ1210"/>
  <c r="AL1210"/>
  <c r="AG1210"/>
  <c r="AQ1194"/>
  <c r="AL1194"/>
  <c r="AG1194"/>
  <c r="AQ1178"/>
  <c r="AL1178"/>
  <c r="AG1178"/>
  <c r="AQ1162"/>
  <c r="AL1162"/>
  <c r="AG1162"/>
  <c r="AQ1146"/>
  <c r="AL1146"/>
  <c r="AG1146"/>
  <c r="AW1130"/>
  <c r="AQ1130"/>
  <c r="AL1130"/>
  <c r="AG1130"/>
  <c r="AL1106"/>
  <c r="AQ1090"/>
  <c r="AQ1106" s="1"/>
  <c r="AL1090"/>
  <c r="AG1090"/>
  <c r="AG1106" s="1"/>
  <c r="AQ1074"/>
  <c r="AL1074"/>
  <c r="AG1074"/>
  <c r="AQ1058"/>
  <c r="AL1058"/>
  <c r="AG1058"/>
  <c r="AQ1042"/>
  <c r="AL1042"/>
  <c r="AG1042"/>
  <c r="AQ1026"/>
  <c r="AL1026"/>
  <c r="AG1026"/>
  <c r="AQ1010"/>
  <c r="AL1010"/>
  <c r="AG1010"/>
  <c r="AW994"/>
  <c r="AQ994"/>
  <c r="AG994"/>
  <c r="AQ958"/>
  <c r="AQ974" s="1"/>
  <c r="AL958"/>
  <c r="AG958"/>
  <c r="AG974" s="1"/>
  <c r="AQ942"/>
  <c r="AL942"/>
  <c r="AG942"/>
  <c r="AQ926"/>
  <c r="AL926"/>
  <c r="AG926"/>
  <c r="AQ910"/>
  <c r="AL910"/>
  <c r="AG910"/>
  <c r="AQ894"/>
  <c r="AL894"/>
  <c r="AG894"/>
  <c r="AQ878"/>
  <c r="AL878"/>
  <c r="AG878"/>
  <c r="AW862"/>
  <c r="AQ862"/>
  <c r="AL862"/>
  <c r="AG862"/>
  <c r="AQ830"/>
  <c r="AL830"/>
  <c r="AG830"/>
  <c r="AQ829"/>
  <c r="AL829"/>
  <c r="AG829"/>
  <c r="AQ823"/>
  <c r="AL823"/>
  <c r="AG823"/>
  <c r="AQ822"/>
  <c r="AL822"/>
  <c r="AG822"/>
  <c r="AQ813"/>
  <c r="AL813"/>
  <c r="AG813"/>
  <c r="AQ812"/>
  <c r="AL812"/>
  <c r="AG812"/>
  <c r="AQ806"/>
  <c r="AL806"/>
  <c r="AG806"/>
  <c r="AQ805"/>
  <c r="AL805"/>
  <c r="AG805"/>
  <c r="AQ794"/>
  <c r="AL794"/>
  <c r="AG794"/>
  <c r="AQ793"/>
  <c r="AL793"/>
  <c r="AG793"/>
  <c r="AQ787"/>
  <c r="AL787"/>
  <c r="AG787"/>
  <c r="AQ786"/>
  <c r="AL786"/>
  <c r="AG786"/>
  <c r="AQ777"/>
  <c r="AL777"/>
  <c r="AG777"/>
  <c r="AQ776"/>
  <c r="AL776"/>
  <c r="AG776"/>
  <c r="AQ770"/>
  <c r="AL770"/>
  <c r="AG770"/>
  <c r="AQ769"/>
  <c r="AL769"/>
  <c r="AG769"/>
  <c r="AQ757"/>
  <c r="AL757"/>
  <c r="AG757"/>
  <c r="AQ750"/>
  <c r="AL750"/>
  <c r="AG750"/>
  <c r="AQ740"/>
  <c r="AL740"/>
  <c r="AG740"/>
  <c r="AQ733"/>
  <c r="AL733"/>
  <c r="AG733"/>
  <c r="AQ722"/>
  <c r="AL722"/>
  <c r="AG722"/>
  <c r="AQ721"/>
  <c r="AL721"/>
  <c r="AG721"/>
  <c r="AQ715"/>
  <c r="AL715"/>
  <c r="AG715"/>
  <c r="AQ714"/>
  <c r="AL714"/>
  <c r="AG714"/>
  <c r="AQ705"/>
  <c r="AL705"/>
  <c r="AG705"/>
  <c r="AQ704"/>
  <c r="AL704"/>
  <c r="AG704"/>
  <c r="AQ698"/>
  <c r="AL698"/>
  <c r="AG698"/>
  <c r="AQ697"/>
  <c r="AL697"/>
  <c r="AG697"/>
  <c r="AQ687"/>
  <c r="AL687"/>
  <c r="AG687"/>
  <c r="AQ686"/>
  <c r="AL686"/>
  <c r="AG686"/>
  <c r="AQ680"/>
  <c r="AL680"/>
  <c r="AG680"/>
  <c r="AQ679"/>
  <c r="AL679"/>
  <c r="AG679"/>
  <c r="AQ670"/>
  <c r="AL670"/>
  <c r="AG670"/>
  <c r="AQ669"/>
  <c r="AL669"/>
  <c r="AG669"/>
  <c r="AQ663"/>
  <c r="AL663"/>
  <c r="AG663"/>
  <c r="AQ662"/>
  <c r="AL662"/>
  <c r="AG662"/>
  <c r="AQ652"/>
  <c r="AL652"/>
  <c r="AG652"/>
  <c r="AQ645"/>
  <c r="AL645"/>
  <c r="AG645"/>
  <c r="AQ635"/>
  <c r="AL635"/>
  <c r="AG635"/>
  <c r="AQ628"/>
  <c r="AL628"/>
  <c r="AG628"/>
  <c r="AY616"/>
  <c r="AX616"/>
  <c r="AW616"/>
  <c r="AV616"/>
  <c r="AH616"/>
  <c r="AG616"/>
  <c r="AF616"/>
  <c r="AE616"/>
  <c r="AY602"/>
  <c r="AX602"/>
  <c r="AW602"/>
  <c r="AV602"/>
  <c r="AH602"/>
  <c r="AG602"/>
  <c r="AF602"/>
  <c r="AE602"/>
  <c r="AE596"/>
  <c r="AZ575"/>
  <c r="AY575"/>
  <c r="AX575"/>
  <c r="AW575"/>
  <c r="AV575"/>
  <c r="AI575"/>
  <c r="AH575"/>
  <c r="AG575"/>
  <c r="AF575"/>
  <c r="AE575"/>
  <c r="AZ561"/>
  <c r="AY561"/>
  <c r="AX561"/>
  <c r="AW561"/>
  <c r="AV561"/>
  <c r="AI561"/>
  <c r="AH561"/>
  <c r="AG561"/>
  <c r="AF561"/>
  <c r="AE561"/>
  <c r="AE555"/>
  <c r="AN549"/>
  <c r="AN548"/>
  <c r="AW547"/>
  <c r="AW549" s="1"/>
  <c r="AN547"/>
  <c r="AE547"/>
  <c r="AE549" s="1"/>
  <c r="AW546"/>
  <c r="AW548" s="1"/>
  <c r="AN546"/>
  <c r="AE546"/>
  <c r="AE548" s="1"/>
  <c r="AW545"/>
  <c r="AN545"/>
  <c r="AE545"/>
  <c r="AW544"/>
  <c r="AN544"/>
  <c r="AE544"/>
  <c r="AW543"/>
  <c r="AN543"/>
  <c r="AE543"/>
  <c r="AW542"/>
  <c r="AN542"/>
  <c r="AE542"/>
  <c r="AW541"/>
  <c r="AN541"/>
  <c r="AE541"/>
  <c r="AW540"/>
  <c r="AN540"/>
  <c r="AE540"/>
  <c r="AW539"/>
  <c r="AN539"/>
  <c r="AE539"/>
  <c r="AW538"/>
  <c r="AN538"/>
  <c r="AE538"/>
  <c r="AW537"/>
  <c r="AN537"/>
  <c r="AE537"/>
  <c r="AW536"/>
  <c r="AN536"/>
  <c r="AE536"/>
  <c r="AW535"/>
  <c r="AN535"/>
  <c r="AE535"/>
  <c r="AW534"/>
  <c r="AN534"/>
  <c r="AE534"/>
  <c r="AN528"/>
  <c r="AN527"/>
  <c r="AW526"/>
  <c r="AW528" s="1"/>
  <c r="AN526"/>
  <c r="AE526"/>
  <c r="AE528" s="1"/>
  <c r="AW525"/>
  <c r="AW527" s="1"/>
  <c r="AN525"/>
  <c r="AE525"/>
  <c r="AE527" s="1"/>
  <c r="AW524"/>
  <c r="AN524"/>
  <c r="AE524"/>
  <c r="AW523"/>
  <c r="AN523"/>
  <c r="AE523"/>
  <c r="AW522"/>
  <c r="AN522"/>
  <c r="AE522"/>
  <c r="AW521"/>
  <c r="AN521"/>
  <c r="AE521"/>
  <c r="AW520"/>
  <c r="AN520"/>
  <c r="AE520"/>
  <c r="AW519"/>
  <c r="AN519"/>
  <c r="AE519"/>
  <c r="AW518"/>
  <c r="AN518"/>
  <c r="AE518"/>
  <c r="AW517"/>
  <c r="AN517"/>
  <c r="AE517"/>
  <c r="AW516"/>
  <c r="AN516"/>
  <c r="AE516"/>
  <c r="AW515"/>
  <c r="AN515"/>
  <c r="AE515"/>
  <c r="AW514"/>
  <c r="AN514"/>
  <c r="AE514"/>
  <c r="AW513"/>
  <c r="AN513"/>
  <c r="AE513"/>
  <c r="AW484"/>
  <c r="AN484"/>
  <c r="AE484"/>
  <c r="AW483"/>
  <c r="AN483"/>
  <c r="AE483"/>
  <c r="AW482"/>
  <c r="AN482"/>
  <c r="AE482"/>
  <c r="AW481"/>
  <c r="AN481"/>
  <c r="AE481"/>
  <c r="AW480"/>
  <c r="AN480"/>
  <c r="AE480"/>
  <c r="AW479"/>
  <c r="AN479"/>
  <c r="AE479"/>
  <c r="AW478"/>
  <c r="AN478"/>
  <c r="AE478"/>
  <c r="AW477"/>
  <c r="AN477"/>
  <c r="AE477"/>
  <c r="AW476"/>
  <c r="AN476"/>
  <c r="AE476"/>
  <c r="AW475"/>
  <c r="AN475"/>
  <c r="AE475"/>
  <c r="AW474"/>
  <c r="AN474"/>
  <c r="AE474"/>
  <c r="AW473"/>
  <c r="AN473"/>
  <c r="AE473"/>
  <c r="AW472"/>
  <c r="AN472"/>
  <c r="AE472"/>
  <c r="AW471"/>
  <c r="AN471"/>
  <c r="AE471"/>
  <c r="AW470"/>
  <c r="AN470"/>
  <c r="AE470"/>
  <c r="AW469"/>
  <c r="AN469"/>
  <c r="AE469"/>
  <c r="AP463"/>
  <c r="AP461"/>
  <c r="AE461"/>
  <c r="AE463" s="1"/>
  <c r="AP460"/>
  <c r="AP462" s="1"/>
  <c r="AE460"/>
  <c r="AE462" s="1"/>
  <c r="AP459"/>
  <c r="AE459"/>
  <c r="AP458"/>
  <c r="AE458"/>
  <c r="AP457"/>
  <c r="AE457"/>
  <c r="AP456"/>
  <c r="AE456"/>
  <c r="AP455"/>
  <c r="AE455"/>
  <c r="AP454"/>
  <c r="AE454"/>
  <c r="AP453"/>
  <c r="AE453"/>
  <c r="AP452"/>
  <c r="AE452"/>
  <c r="AP451"/>
  <c r="AE451"/>
  <c r="AP450"/>
  <c r="AE450"/>
  <c r="AP449"/>
  <c r="AE449"/>
  <c r="AP448"/>
  <c r="AE448"/>
  <c r="AI442"/>
  <c r="AH442"/>
  <c r="AI441"/>
  <c r="AH441"/>
  <c r="AL440"/>
  <c r="AL442" s="1"/>
  <c r="AK440"/>
  <c r="AK442" s="1"/>
  <c r="AI440"/>
  <c r="AH440"/>
  <c r="AF440"/>
  <c r="AF442" s="1"/>
  <c r="AE440"/>
  <c r="AE442" s="1"/>
  <c r="AL439"/>
  <c r="AL441" s="1"/>
  <c r="AK439"/>
  <c r="AK441" s="1"/>
  <c r="AI439"/>
  <c r="AH439"/>
  <c r="AF439"/>
  <c r="AF441" s="1"/>
  <c r="AE439"/>
  <c r="AE441" s="1"/>
  <c r="AL438"/>
  <c r="AK438"/>
  <c r="AI438"/>
  <c r="AH438"/>
  <c r="AF438"/>
  <c r="AE438"/>
  <c r="AL437"/>
  <c r="AK437"/>
  <c r="AI437"/>
  <c r="AH437"/>
  <c r="AF437"/>
  <c r="AE437"/>
  <c r="AL436"/>
  <c r="AK436"/>
  <c r="AI436"/>
  <c r="AH436"/>
  <c r="AF436"/>
  <c r="AE436"/>
  <c r="AL435"/>
  <c r="AK435"/>
  <c r="AI435"/>
  <c r="AH435"/>
  <c r="AF435"/>
  <c r="AE435"/>
  <c r="AL434"/>
  <c r="AK434"/>
  <c r="AI434"/>
  <c r="AH434"/>
  <c r="AF434"/>
  <c r="AE434"/>
  <c r="AL433"/>
  <c r="AK433"/>
  <c r="AI433"/>
  <c r="AH433"/>
  <c r="AF433"/>
  <c r="AE433"/>
  <c r="AL432"/>
  <c r="AK432"/>
  <c r="AI432"/>
  <c r="AH432"/>
  <c r="AF432"/>
  <c r="AE432"/>
  <c r="AL431"/>
  <c r="AK431"/>
  <c r="AI431"/>
  <c r="AH431"/>
  <c r="AF431"/>
  <c r="AE431"/>
  <c r="AL430"/>
  <c r="AK430"/>
  <c r="AI430"/>
  <c r="AH430"/>
  <c r="AF430"/>
  <c r="AE430"/>
  <c r="AL429"/>
  <c r="AK429"/>
  <c r="AI429"/>
  <c r="AH429"/>
  <c r="AF429"/>
  <c r="AE429"/>
  <c r="AL428"/>
  <c r="AK428"/>
  <c r="AI428"/>
  <c r="AH428"/>
  <c r="AF428"/>
  <c r="AE428"/>
  <c r="AL427"/>
  <c r="AK427"/>
  <c r="AI427"/>
  <c r="AH427"/>
  <c r="AF427"/>
  <c r="AE427"/>
  <c r="AO420"/>
  <c r="AO419"/>
  <c r="AX418"/>
  <c r="AX420" s="1"/>
  <c r="AO418"/>
  <c r="AF418"/>
  <c r="AF420" s="1"/>
  <c r="AX417"/>
  <c r="AX419" s="1"/>
  <c r="AO417"/>
  <c r="AF417"/>
  <c r="AF419" s="1"/>
  <c r="AX416"/>
  <c r="AO416"/>
  <c r="AF416"/>
  <c r="AX415"/>
  <c r="AO415"/>
  <c r="AF415"/>
  <c r="AX414"/>
  <c r="AO414"/>
  <c r="AF414"/>
  <c r="AX413"/>
  <c r="AO413"/>
  <c r="AF413"/>
  <c r="AX412"/>
  <c r="AO412"/>
  <c r="AF412"/>
  <c r="AX411"/>
  <c r="AO411"/>
  <c r="AF411"/>
  <c r="AX410"/>
  <c r="AO410"/>
  <c r="AF410"/>
  <c r="AX409"/>
  <c r="AO409"/>
  <c r="AF409"/>
  <c r="AX408"/>
  <c r="AO408"/>
  <c r="AF408"/>
  <c r="AX407"/>
  <c r="AO407"/>
  <c r="AF407"/>
  <c r="AX406"/>
  <c r="AO406"/>
  <c r="AF406"/>
  <c r="AX405"/>
  <c r="AO405"/>
  <c r="AF405"/>
  <c r="AE275"/>
  <c r="AW240"/>
  <c r="AV240"/>
  <c r="AU240"/>
  <c r="AT240"/>
  <c r="AH240"/>
  <c r="AG240"/>
  <c r="AF240"/>
  <c r="AE240"/>
  <c r="AX232"/>
  <c r="AW232"/>
  <c r="AV232"/>
  <c r="AU232"/>
  <c r="AT232"/>
  <c r="AI232"/>
  <c r="AH232"/>
  <c r="AG232"/>
  <c r="AF232"/>
  <c r="AE232"/>
  <c r="AU226"/>
  <c r="AT226"/>
  <c r="AF226"/>
  <c r="AE226"/>
  <c r="AU220"/>
  <c r="AT220"/>
  <c r="AF220"/>
  <c r="AE220"/>
  <c r="AW214"/>
  <c r="AV214"/>
  <c r="AU214"/>
  <c r="AT214"/>
  <c r="AH214"/>
  <c r="AG214"/>
  <c r="AF214"/>
  <c r="AE214"/>
  <c r="AV205"/>
  <c r="AU205"/>
  <c r="AT205"/>
  <c r="AG205"/>
  <c r="AF205"/>
  <c r="AE205"/>
  <c r="AU200"/>
  <c r="AT200"/>
  <c r="AF200"/>
  <c r="AE200"/>
  <c r="AW190"/>
  <c r="AV190"/>
  <c r="AU190"/>
  <c r="AT190"/>
  <c r="AH190"/>
  <c r="AG190"/>
  <c r="AF190"/>
  <c r="AE190"/>
  <c r="AX182"/>
  <c r="AW182"/>
  <c r="AV182"/>
  <c r="AU182"/>
  <c r="AT182"/>
  <c r="AI182"/>
  <c r="AH182"/>
  <c r="AG182"/>
  <c r="AF182"/>
  <c r="AE182"/>
  <c r="AU176"/>
  <c r="AT176"/>
  <c r="AF176"/>
  <c r="AE176"/>
  <c r="AU170"/>
  <c r="AT170"/>
  <c r="AF170"/>
  <c r="AE170"/>
  <c r="AW164"/>
  <c r="AV164"/>
  <c r="AU164"/>
  <c r="AT164"/>
  <c r="AH164"/>
  <c r="AG164"/>
  <c r="AF164"/>
  <c r="AE164"/>
  <c r="AV156"/>
  <c r="AU156"/>
  <c r="AG156"/>
  <c r="AF156"/>
  <c r="AU151"/>
  <c r="AT151"/>
  <c r="AF151"/>
  <c r="AE151"/>
  <c r="AW146"/>
  <c r="AH146"/>
  <c r="AW145"/>
  <c r="AH145"/>
  <c r="AW144"/>
  <c r="AH144"/>
  <c r="AW138"/>
  <c r="AH138"/>
  <c r="AW137"/>
  <c r="AH137"/>
  <c r="AW136"/>
  <c r="AH136"/>
  <c r="AW131"/>
  <c r="AH131"/>
  <c r="AW130"/>
  <c r="AH130"/>
  <c r="AW129"/>
  <c r="AH129"/>
  <c r="BC124"/>
  <c r="AJ124"/>
  <c r="BC123"/>
  <c r="AJ123"/>
  <c r="BC122"/>
  <c r="AJ122"/>
  <c r="BC118"/>
  <c r="AJ118"/>
  <c r="BC117"/>
  <c r="AJ117"/>
  <c r="BC116"/>
  <c r="AJ116"/>
  <c r="AV97"/>
  <c r="AG97"/>
  <c r="AV96"/>
  <c r="AG96"/>
  <c r="AV91"/>
  <c r="AG91"/>
  <c r="AV90"/>
  <c r="AG90"/>
  <c r="AV86"/>
  <c r="AG86"/>
  <c r="AV82"/>
  <c r="AG82"/>
  <c r="AV78"/>
  <c r="AG78"/>
  <c r="AV74"/>
  <c r="AG74"/>
  <c r="AV70"/>
  <c r="AG70"/>
  <c r="AV66"/>
  <c r="AG66"/>
  <c r="AV65"/>
  <c r="AG65"/>
  <c r="BE52"/>
  <c r="BD52"/>
  <c r="BC52"/>
  <c r="BB52"/>
  <c r="BA52"/>
  <c r="AZ52"/>
  <c r="AY52"/>
  <c r="AX52"/>
  <c r="AW52"/>
  <c r="AV52"/>
  <c r="AU52"/>
  <c r="AO52"/>
  <c r="AN52"/>
  <c r="AM52"/>
  <c r="AL52"/>
  <c r="AK52"/>
  <c r="AJ52"/>
  <c r="AI52"/>
  <c r="AH52"/>
  <c r="AG52"/>
  <c r="AF52"/>
  <c r="AX48"/>
  <c r="AI48"/>
  <c r="AX44"/>
  <c r="AI44"/>
  <c r="AX43"/>
  <c r="AI43"/>
  <c r="AX38"/>
  <c r="AI38"/>
  <c r="AX37"/>
  <c r="AI37"/>
  <c r="AX32"/>
  <c r="AI32"/>
  <c r="AX31"/>
  <c r="AI31"/>
  <c r="BB23"/>
  <c r="AJ23"/>
  <c r="BB22"/>
  <c r="AJ22"/>
  <c r="BB19"/>
  <c r="AJ19"/>
  <c r="BB18"/>
  <c r="AJ18"/>
  <c r="AV6"/>
  <c r="AG6"/>
  <c r="AV528"/>
  <c r="AU528"/>
  <c r="AT528"/>
  <c r="AS528"/>
  <c r="AR528"/>
  <c r="AQ528"/>
  <c r="AP528"/>
  <c r="AO528"/>
  <c r="AV527"/>
  <c r="AU527"/>
  <c r="AT527"/>
  <c r="AS527"/>
  <c r="AR527"/>
  <c r="AQ527"/>
  <c r="AP527"/>
  <c r="AO527"/>
  <c r="BE526"/>
  <c r="BE528" s="1"/>
  <c r="BD526"/>
  <c r="BD528" s="1"/>
  <c r="BC526"/>
  <c r="BC528" s="1"/>
  <c r="BB526"/>
  <c r="BB528" s="1"/>
  <c r="BA526"/>
  <c r="BA528" s="1"/>
  <c r="AZ526"/>
  <c r="AZ528" s="1"/>
  <c r="AY526"/>
  <c r="AY528" s="1"/>
  <c r="AX526"/>
  <c r="AX528" s="1"/>
  <c r="AV526"/>
  <c r="AU526"/>
  <c r="AT526"/>
  <c r="AS526"/>
  <c r="AR526"/>
  <c r="AQ526"/>
  <c r="AP526"/>
  <c r="AO526"/>
  <c r="AM526"/>
  <c r="AM528" s="1"/>
  <c r="AL526"/>
  <c r="AL528" s="1"/>
  <c r="AK526"/>
  <c r="AK528" s="1"/>
  <c r="AJ526"/>
  <c r="AJ528" s="1"/>
  <c r="AI526"/>
  <c r="AI528" s="1"/>
  <c r="AH526"/>
  <c r="AH528" s="1"/>
  <c r="AG526"/>
  <c r="AG528" s="1"/>
  <c r="AF526"/>
  <c r="AF528" s="1"/>
  <c r="BE525"/>
  <c r="BE527" s="1"/>
  <c r="BD525"/>
  <c r="BD527" s="1"/>
  <c r="BC525"/>
  <c r="BC527" s="1"/>
  <c r="BB525"/>
  <c r="BB527" s="1"/>
  <c r="BA525"/>
  <c r="BA527" s="1"/>
  <c r="AZ525"/>
  <c r="AZ527" s="1"/>
  <c r="AY525"/>
  <c r="AY527" s="1"/>
  <c r="AX525"/>
  <c r="AX527" s="1"/>
  <c r="AV525"/>
  <c r="AU525"/>
  <c r="AT525"/>
  <c r="AS525"/>
  <c r="AR525"/>
  <c r="AQ525"/>
  <c r="AP525"/>
  <c r="AO525"/>
  <c r="AM525"/>
  <c r="AM527" s="1"/>
  <c r="AL525"/>
  <c r="AL527" s="1"/>
  <c r="AK525"/>
  <c r="AK527" s="1"/>
  <c r="AJ525"/>
  <c r="AJ527" s="1"/>
  <c r="AI525"/>
  <c r="AI527" s="1"/>
  <c r="AH525"/>
  <c r="AH527" s="1"/>
  <c r="AG525"/>
  <c r="AG527" s="1"/>
  <c r="AF525"/>
  <c r="AF527" s="1"/>
  <c r="BE524"/>
  <c r="BD524"/>
  <c r="BC524"/>
  <c r="BB524"/>
  <c r="BA524"/>
  <c r="AZ524"/>
  <c r="AY524"/>
  <c r="AX524"/>
  <c r="AV524"/>
  <c r="AU524"/>
  <c r="AT524"/>
  <c r="AS524"/>
  <c r="AR524"/>
  <c r="AQ524"/>
  <c r="AP524"/>
  <c r="AO524"/>
  <c r="AM524"/>
  <c r="AL524"/>
  <c r="AK524"/>
  <c r="AJ524"/>
  <c r="AI524"/>
  <c r="AH524"/>
  <c r="AG524"/>
  <c r="AF524"/>
  <c r="BE523"/>
  <c r="BD523"/>
  <c r="BC523"/>
  <c r="BB523"/>
  <c r="BA523"/>
  <c r="AZ523"/>
  <c r="AY523"/>
  <c r="AX523"/>
  <c r="AV523"/>
  <c r="AU523"/>
  <c r="AT523"/>
  <c r="AS523"/>
  <c r="AR523"/>
  <c r="AQ523"/>
  <c r="AP523"/>
  <c r="AO523"/>
  <c r="AM523"/>
  <c r="AL523"/>
  <c r="AK523"/>
  <c r="AJ523"/>
  <c r="AI523"/>
  <c r="AH523"/>
  <c r="AG523"/>
  <c r="AF523"/>
  <c r="BE522"/>
  <c r="BD522"/>
  <c r="BC522"/>
  <c r="BB522"/>
  <c r="BA522"/>
  <c r="AZ522"/>
  <c r="AY522"/>
  <c r="AX522"/>
  <c r="AV522"/>
  <c r="AU522"/>
  <c r="AT522"/>
  <c r="AS522"/>
  <c r="AR522"/>
  <c r="AQ522"/>
  <c r="AP522"/>
  <c r="AO522"/>
  <c r="AM522"/>
  <c r="AL522"/>
  <c r="AK522"/>
  <c r="AJ522"/>
  <c r="AI522"/>
  <c r="AH522"/>
  <c r="AG522"/>
  <c r="AF522"/>
  <c r="BE521"/>
  <c r="BD521"/>
  <c r="BC521"/>
  <c r="BB521"/>
  <c r="BA521"/>
  <c r="AZ521"/>
  <c r="AY521"/>
  <c r="AX521"/>
  <c r="AV521"/>
  <c r="AU521"/>
  <c r="AT521"/>
  <c r="AS521"/>
  <c r="AR521"/>
  <c r="AQ521"/>
  <c r="AP521"/>
  <c r="AO521"/>
  <c r="AM521"/>
  <c r="AL521"/>
  <c r="AK521"/>
  <c r="AJ521"/>
  <c r="AI521"/>
  <c r="AH521"/>
  <c r="AG521"/>
  <c r="AF521"/>
  <c r="BE520"/>
  <c r="BD520"/>
  <c r="BC520"/>
  <c r="BB520"/>
  <c r="BA520"/>
  <c r="AZ520"/>
  <c r="AY520"/>
  <c r="AX520"/>
  <c r="AV520"/>
  <c r="AU520"/>
  <c r="AT520"/>
  <c r="AS520"/>
  <c r="AR520"/>
  <c r="AQ520"/>
  <c r="AP520"/>
  <c r="AO520"/>
  <c r="AM520"/>
  <c r="AL520"/>
  <c r="AK520"/>
  <c r="AJ520"/>
  <c r="AI520"/>
  <c r="AH520"/>
  <c r="AG520"/>
  <c r="AF520"/>
  <c r="BE519"/>
  <c r="BD519"/>
  <c r="BC519"/>
  <c r="BB519"/>
  <c r="BA519"/>
  <c r="AZ519"/>
  <c r="AY519"/>
  <c r="AX519"/>
  <c r="AV519"/>
  <c r="AU519"/>
  <c r="AT519"/>
  <c r="AS519"/>
  <c r="AR519"/>
  <c r="AQ519"/>
  <c r="AP519"/>
  <c r="AO519"/>
  <c r="AM519"/>
  <c r="AL519"/>
  <c r="AK519"/>
  <c r="AJ519"/>
  <c r="AI519"/>
  <c r="AH519"/>
  <c r="AG519"/>
  <c r="AF519"/>
  <c r="BE518"/>
  <c r="BD518"/>
  <c r="BC518"/>
  <c r="BB518"/>
  <c r="BA518"/>
  <c r="AZ518"/>
  <c r="AY518"/>
  <c r="AX518"/>
  <c r="AV518"/>
  <c r="AU518"/>
  <c r="AT518"/>
  <c r="AS518"/>
  <c r="AR518"/>
  <c r="AQ518"/>
  <c r="AP518"/>
  <c r="AO518"/>
  <c r="AM518"/>
  <c r="AL518"/>
  <c r="AK518"/>
  <c r="AJ518"/>
  <c r="AI518"/>
  <c r="AH518"/>
  <c r="AG518"/>
  <c r="AF518"/>
  <c r="BE517"/>
  <c r="BD517"/>
  <c r="BC517"/>
  <c r="BB517"/>
  <c r="BA517"/>
  <c r="AZ517"/>
  <c r="AY517"/>
  <c r="AX517"/>
  <c r="AV517"/>
  <c r="AU517"/>
  <c r="AT517"/>
  <c r="AS517"/>
  <c r="AR517"/>
  <c r="AQ517"/>
  <c r="AP517"/>
  <c r="AO517"/>
  <c r="AM517"/>
  <c r="AL517"/>
  <c r="AK517"/>
  <c r="AJ517"/>
  <c r="AI517"/>
  <c r="AH517"/>
  <c r="AG517"/>
  <c r="AF517"/>
  <c r="BE516"/>
  <c r="BD516"/>
  <c r="BC516"/>
  <c r="BB516"/>
  <c r="BA516"/>
  <c r="AZ516"/>
  <c r="AY516"/>
  <c r="AX516"/>
  <c r="AV516"/>
  <c r="AU516"/>
  <c r="AT516"/>
  <c r="AS516"/>
  <c r="AR516"/>
  <c r="AQ516"/>
  <c r="AP516"/>
  <c r="AO516"/>
  <c r="AM516"/>
  <c r="AL516"/>
  <c r="AK516"/>
  <c r="AJ516"/>
  <c r="AI516"/>
  <c r="AH516"/>
  <c r="AG516"/>
  <c r="AF516"/>
  <c r="BE515"/>
  <c r="BD515"/>
  <c r="BC515"/>
  <c r="BB515"/>
  <c r="BA515"/>
  <c r="AZ515"/>
  <c r="AY515"/>
  <c r="AX515"/>
  <c r="AV515"/>
  <c r="AU515"/>
  <c r="AT515"/>
  <c r="AS515"/>
  <c r="AR515"/>
  <c r="AQ515"/>
  <c r="AP515"/>
  <c r="AO515"/>
  <c r="AM515"/>
  <c r="AL515"/>
  <c r="AK515"/>
  <c r="AJ515"/>
  <c r="AI515"/>
  <c r="AH515"/>
  <c r="AG515"/>
  <c r="AF515"/>
  <c r="BE514"/>
  <c r="BD514"/>
  <c r="BC514"/>
  <c r="BB514"/>
  <c r="BA514"/>
  <c r="AZ514"/>
  <c r="AY514"/>
  <c r="AX514"/>
  <c r="AV514"/>
  <c r="AU514"/>
  <c r="AT514"/>
  <c r="AS514"/>
  <c r="AR514"/>
  <c r="AQ514"/>
  <c r="AP514"/>
  <c r="AO514"/>
  <c r="AM514"/>
  <c r="AL514"/>
  <c r="AK514"/>
  <c r="AJ514"/>
  <c r="AI514"/>
  <c r="AH514"/>
  <c r="AG514"/>
  <c r="AF514"/>
  <c r="BE513"/>
  <c r="BD513"/>
  <c r="BC513"/>
  <c r="BB513"/>
  <c r="BA513"/>
  <c r="AZ513"/>
  <c r="AY513"/>
  <c r="AX513"/>
  <c r="AV513"/>
  <c r="AU513"/>
  <c r="AT513"/>
  <c r="AS513"/>
  <c r="AR513"/>
  <c r="AQ513"/>
  <c r="AP513"/>
  <c r="AO513"/>
  <c r="AM513"/>
  <c r="AL513"/>
  <c r="AK513"/>
  <c r="AJ513"/>
  <c r="AI513"/>
  <c r="AH513"/>
  <c r="AG513"/>
  <c r="AF513"/>
  <c r="AZ387"/>
  <c r="AV387"/>
  <c r="AK387"/>
  <c r="AG387"/>
  <c r="AZ381"/>
  <c r="AV381"/>
  <c r="AK381"/>
  <c r="AG381"/>
  <c r="AZ347"/>
  <c r="AU347"/>
  <c r="AK347"/>
  <c r="AF347"/>
  <c r="AZ341"/>
  <c r="AU341"/>
  <c r="AK341"/>
  <c r="AF341"/>
  <c r="AU307"/>
  <c r="AF307"/>
  <c r="AU301"/>
  <c r="AF301"/>
  <c r="AU273"/>
  <c r="AF273"/>
  <c r="AU267"/>
  <c r="AF267"/>
  <c r="AW106"/>
  <c r="AV106"/>
  <c r="AU106"/>
  <c r="AI106"/>
  <c r="AH106"/>
  <c r="AG106"/>
  <c r="AW103"/>
  <c r="AV103"/>
  <c r="AU103"/>
  <c r="AI103"/>
  <c r="AH103"/>
  <c r="AG103"/>
  <c r="BD97"/>
  <c r="BC97"/>
  <c r="BB97"/>
  <c r="BA97"/>
  <c r="AZ97"/>
  <c r="AY97"/>
  <c r="AX97"/>
  <c r="AW97"/>
  <c r="AO97"/>
  <c r="AN97"/>
  <c r="AM97"/>
  <c r="AL97"/>
  <c r="AK97"/>
  <c r="AJ97"/>
  <c r="AI97"/>
  <c r="AH97"/>
  <c r="BD91"/>
  <c r="BC91"/>
  <c r="BB91"/>
  <c r="BA91"/>
  <c r="AZ91"/>
  <c r="AY91"/>
  <c r="AX91"/>
  <c r="AW91"/>
  <c r="AO91"/>
  <c r="AN91"/>
  <c r="AM91"/>
  <c r="AL91"/>
  <c r="AK91"/>
  <c r="AJ91"/>
  <c r="AI91"/>
  <c r="AH91"/>
  <c r="BD65"/>
  <c r="BC65"/>
  <c r="BB65"/>
  <c r="BA65"/>
  <c r="AZ65"/>
  <c r="AY65"/>
  <c r="AX65"/>
  <c r="AW65"/>
  <c r="AO65"/>
  <c r="AN65"/>
  <c r="AM65"/>
  <c r="AL65"/>
  <c r="AK65"/>
  <c r="AJ65"/>
  <c r="AI65"/>
  <c r="AH65"/>
  <c r="BF48"/>
  <c r="BE48"/>
  <c r="BD48"/>
  <c r="BC48"/>
  <c r="BB48"/>
  <c r="BA48"/>
  <c r="AZ48"/>
  <c r="AY48"/>
  <c r="AQ48"/>
  <c r="AP48"/>
  <c r="AO48"/>
  <c r="AN48"/>
  <c r="AM48"/>
  <c r="AL48"/>
  <c r="AK48"/>
  <c r="AJ48"/>
  <c r="BF44"/>
  <c r="BE44"/>
  <c r="BD44"/>
  <c r="BC44"/>
  <c r="BB44"/>
  <c r="BA44"/>
  <c r="AZ44"/>
  <c r="AY44"/>
  <c r="AQ44"/>
  <c r="AP44"/>
  <c r="AO44"/>
  <c r="AN44"/>
  <c r="AM44"/>
  <c r="AL44"/>
  <c r="AK44"/>
  <c r="AJ44"/>
  <c r="BF38"/>
  <c r="BE38"/>
  <c r="BD38"/>
  <c r="BC38"/>
  <c r="BB38"/>
  <c r="BA38"/>
  <c r="AZ38"/>
  <c r="AY38"/>
  <c r="AQ38"/>
  <c r="AP38"/>
  <c r="AO38"/>
  <c r="AN38"/>
  <c r="AM38"/>
  <c r="AL38"/>
  <c r="AK38"/>
  <c r="AJ38"/>
  <c r="BF32"/>
  <c r="BE32"/>
  <c r="BD32"/>
  <c r="BC32"/>
  <c r="BB32"/>
  <c r="BA32"/>
  <c r="AZ32"/>
  <c r="AY32"/>
  <c r="AQ32"/>
  <c r="AP32"/>
  <c r="AO32"/>
  <c r="AN32"/>
  <c r="AM32"/>
  <c r="AL32"/>
  <c r="AK32"/>
  <c r="AJ32"/>
  <c r="BN23"/>
  <c r="BM23"/>
  <c r="BL23"/>
  <c r="BK23"/>
  <c r="BJ23"/>
  <c r="BF23"/>
  <c r="BE23"/>
  <c r="BD23"/>
  <c r="AZ23"/>
  <c r="AU23"/>
  <c r="AT23"/>
  <c r="AS23"/>
  <c r="AR23"/>
  <c r="AQ23"/>
  <c r="AN23"/>
  <c r="AM23"/>
  <c r="AL23"/>
  <c r="AH23"/>
  <c r="BN19"/>
  <c r="BM19"/>
  <c r="BL19"/>
  <c r="BK19"/>
  <c r="BJ19"/>
  <c r="BI19"/>
  <c r="BF19"/>
  <c r="BE19"/>
  <c r="BD19"/>
  <c r="AZ19"/>
  <c r="AU19"/>
  <c r="AT19"/>
  <c r="AS19"/>
  <c r="AR19"/>
  <c r="AQ19"/>
  <c r="AN19"/>
  <c r="AM19"/>
  <c r="AL19"/>
  <c r="AH19"/>
  <c r="AV549"/>
  <c r="AU549"/>
  <c r="AT549"/>
  <c r="AS549"/>
  <c r="AR549"/>
  <c r="AQ549"/>
  <c r="AP549"/>
  <c r="AO549"/>
  <c r="AV548"/>
  <c r="AU548"/>
  <c r="AT548"/>
  <c r="AS548"/>
  <c r="AR548"/>
  <c r="AQ548"/>
  <c r="AP548"/>
  <c r="AO548"/>
  <c r="BE547"/>
  <c r="BE549" s="1"/>
  <c r="BD547"/>
  <c r="BD549" s="1"/>
  <c r="BC547"/>
  <c r="BC549" s="1"/>
  <c r="BB547"/>
  <c r="BB549" s="1"/>
  <c r="BA547"/>
  <c r="BA549" s="1"/>
  <c r="AZ547"/>
  <c r="AZ549" s="1"/>
  <c r="AY547"/>
  <c r="AY549" s="1"/>
  <c r="AX547"/>
  <c r="AX549" s="1"/>
  <c r="AV547"/>
  <c r="AU547"/>
  <c r="AT547"/>
  <c r="AS547"/>
  <c r="AR547"/>
  <c r="AQ547"/>
  <c r="AP547"/>
  <c r="AO547"/>
  <c r="AM547"/>
  <c r="AM549" s="1"/>
  <c r="AL547"/>
  <c r="AL549" s="1"/>
  <c r="AK547"/>
  <c r="AK549" s="1"/>
  <c r="AJ547"/>
  <c r="AJ549" s="1"/>
  <c r="AI547"/>
  <c r="AI549" s="1"/>
  <c r="AH547"/>
  <c r="AH549" s="1"/>
  <c r="AG547"/>
  <c r="AG549" s="1"/>
  <c r="AF547"/>
  <c r="AF549" s="1"/>
  <c r="BE546"/>
  <c r="BE548" s="1"/>
  <c r="BD546"/>
  <c r="BD548" s="1"/>
  <c r="BC546"/>
  <c r="BC548" s="1"/>
  <c r="BB546"/>
  <c r="BB548" s="1"/>
  <c r="BA546"/>
  <c r="BA548" s="1"/>
  <c r="AZ546"/>
  <c r="AZ548" s="1"/>
  <c r="AY546"/>
  <c r="AY548" s="1"/>
  <c r="AX546"/>
  <c r="AX548" s="1"/>
  <c r="AV546"/>
  <c r="AU546"/>
  <c r="AT546"/>
  <c r="AS546"/>
  <c r="AR546"/>
  <c r="AQ546"/>
  <c r="AP546"/>
  <c r="AO546"/>
  <c r="AM546"/>
  <c r="AM548" s="1"/>
  <c r="AL546"/>
  <c r="AL548" s="1"/>
  <c r="AK546"/>
  <c r="AK548" s="1"/>
  <c r="AJ546"/>
  <c r="AJ548" s="1"/>
  <c r="AI546"/>
  <c r="AI548" s="1"/>
  <c r="AH546"/>
  <c r="AH548" s="1"/>
  <c r="AG546"/>
  <c r="AG548" s="1"/>
  <c r="AF546"/>
  <c r="AF548" s="1"/>
  <c r="BE545"/>
  <c r="BD545"/>
  <c r="BC545"/>
  <c r="BB545"/>
  <c r="BA545"/>
  <c r="AZ545"/>
  <c r="AY545"/>
  <c r="AX545"/>
  <c r="AV545"/>
  <c r="AU545"/>
  <c r="AT545"/>
  <c r="AS545"/>
  <c r="AR545"/>
  <c r="AQ545"/>
  <c r="AP545"/>
  <c r="AO545"/>
  <c r="AM545"/>
  <c r="AL545"/>
  <c r="AK545"/>
  <c r="AJ545"/>
  <c r="AI545"/>
  <c r="AH545"/>
  <c r="AG545"/>
  <c r="AF545"/>
  <c r="BE544"/>
  <c r="BD544"/>
  <c r="BC544"/>
  <c r="BB544"/>
  <c r="BA544"/>
  <c r="AZ544"/>
  <c r="AY544"/>
  <c r="AX544"/>
  <c r="AV544"/>
  <c r="AU544"/>
  <c r="AT544"/>
  <c r="AS544"/>
  <c r="AR544"/>
  <c r="AQ544"/>
  <c r="AP544"/>
  <c r="AO544"/>
  <c r="AM544"/>
  <c r="AL544"/>
  <c r="AK544"/>
  <c r="AJ544"/>
  <c r="AI544"/>
  <c r="AH544"/>
  <c r="AG544"/>
  <c r="AF544"/>
  <c r="BE543"/>
  <c r="BD543"/>
  <c r="BC543"/>
  <c r="BB543"/>
  <c r="BA543"/>
  <c r="AZ543"/>
  <c r="AY543"/>
  <c r="AX543"/>
  <c r="AV543"/>
  <c r="AU543"/>
  <c r="AT543"/>
  <c r="AS543"/>
  <c r="AR543"/>
  <c r="AQ543"/>
  <c r="AP543"/>
  <c r="AO543"/>
  <c r="AM543"/>
  <c r="AL543"/>
  <c r="AK543"/>
  <c r="AJ543"/>
  <c r="AI543"/>
  <c r="AH543"/>
  <c r="AG543"/>
  <c r="AF543"/>
  <c r="BE542"/>
  <c r="BD542"/>
  <c r="BC542"/>
  <c r="BB542"/>
  <c r="BA542"/>
  <c r="AZ542"/>
  <c r="AY542"/>
  <c r="AX542"/>
  <c r="AV542"/>
  <c r="AU542"/>
  <c r="AT542"/>
  <c r="AS542"/>
  <c r="AR542"/>
  <c r="AQ542"/>
  <c r="AP542"/>
  <c r="AO542"/>
  <c r="AM542"/>
  <c r="AL542"/>
  <c r="AK542"/>
  <c r="AJ542"/>
  <c r="AI542"/>
  <c r="AH542"/>
  <c r="AG542"/>
  <c r="AF542"/>
  <c r="BE541"/>
  <c r="BD541"/>
  <c r="BC541"/>
  <c r="BB541"/>
  <c r="BA541"/>
  <c r="AZ541"/>
  <c r="AY541"/>
  <c r="AX541"/>
  <c r="AV541"/>
  <c r="AU541"/>
  <c r="AT541"/>
  <c r="AS541"/>
  <c r="AR541"/>
  <c r="AQ541"/>
  <c r="AP541"/>
  <c r="AO541"/>
  <c r="AM541"/>
  <c r="AL541"/>
  <c r="AK541"/>
  <c r="AJ541"/>
  <c r="AI541"/>
  <c r="AH541"/>
  <c r="AG541"/>
  <c r="AF541"/>
  <c r="BE540"/>
  <c r="BD540"/>
  <c r="BC540"/>
  <c r="BB540"/>
  <c r="BA540"/>
  <c r="AZ540"/>
  <c r="AY540"/>
  <c r="AX540"/>
  <c r="AV540"/>
  <c r="AU540"/>
  <c r="AT540"/>
  <c r="AS540"/>
  <c r="AR540"/>
  <c r="AQ540"/>
  <c r="AP540"/>
  <c r="AO540"/>
  <c r="AM540"/>
  <c r="AL540"/>
  <c r="AK540"/>
  <c r="AJ540"/>
  <c r="AI540"/>
  <c r="AH540"/>
  <c r="AG540"/>
  <c r="AF540"/>
  <c r="BE539"/>
  <c r="BD539"/>
  <c r="BC539"/>
  <c r="BB539"/>
  <c r="BA539"/>
  <c r="AZ539"/>
  <c r="AY539"/>
  <c r="AX539"/>
  <c r="AV539"/>
  <c r="AU539"/>
  <c r="AT539"/>
  <c r="AS539"/>
  <c r="AR539"/>
  <c r="AQ539"/>
  <c r="AP539"/>
  <c r="AO539"/>
  <c r="AM539"/>
  <c r="AL539"/>
  <c r="AK539"/>
  <c r="AJ539"/>
  <c r="AI539"/>
  <c r="AH539"/>
  <c r="AG539"/>
  <c r="AF539"/>
  <c r="BE538"/>
  <c r="BD538"/>
  <c r="BC538"/>
  <c r="BB538"/>
  <c r="BA538"/>
  <c r="AZ538"/>
  <c r="AY538"/>
  <c r="AX538"/>
  <c r="AV538"/>
  <c r="AU538"/>
  <c r="AT538"/>
  <c r="AS538"/>
  <c r="AR538"/>
  <c r="AQ538"/>
  <c r="AP538"/>
  <c r="AO538"/>
  <c r="AM538"/>
  <c r="AL538"/>
  <c r="AK538"/>
  <c r="AJ538"/>
  <c r="AI538"/>
  <c r="AH538"/>
  <c r="AG538"/>
  <c r="AF538"/>
  <c r="BE537"/>
  <c r="BD537"/>
  <c r="BC537"/>
  <c r="BB537"/>
  <c r="BA537"/>
  <c r="AZ537"/>
  <c r="AY537"/>
  <c r="AX537"/>
  <c r="AV537"/>
  <c r="AU537"/>
  <c r="AT537"/>
  <c r="AS537"/>
  <c r="AR537"/>
  <c r="AQ537"/>
  <c r="AP537"/>
  <c r="AO537"/>
  <c r="AM537"/>
  <c r="AL537"/>
  <c r="AK537"/>
  <c r="AJ537"/>
  <c r="AI537"/>
  <c r="AH537"/>
  <c r="AG537"/>
  <c r="AF537"/>
  <c r="BE536"/>
  <c r="BD536"/>
  <c r="BC536"/>
  <c r="BB536"/>
  <c r="BA536"/>
  <c r="AZ536"/>
  <c r="AY536"/>
  <c r="AX536"/>
  <c r="AV536"/>
  <c r="AU536"/>
  <c r="AT536"/>
  <c r="AS536"/>
  <c r="AR536"/>
  <c r="AQ536"/>
  <c r="AP536"/>
  <c r="AO536"/>
  <c r="AM536"/>
  <c r="AL536"/>
  <c r="AK536"/>
  <c r="AJ536"/>
  <c r="AI536"/>
  <c r="AH536"/>
  <c r="AG536"/>
  <c r="AF536"/>
  <c r="BE535"/>
  <c r="BD535"/>
  <c r="BC535"/>
  <c r="BB535"/>
  <c r="BA535"/>
  <c r="AZ535"/>
  <c r="AY535"/>
  <c r="AX535"/>
  <c r="AV535"/>
  <c r="AU535"/>
  <c r="AT535"/>
  <c r="AS535"/>
  <c r="AR535"/>
  <c r="AQ535"/>
  <c r="AP535"/>
  <c r="AO535"/>
  <c r="AM535"/>
  <c r="AL535"/>
  <c r="AK535"/>
  <c r="AJ535"/>
  <c r="AI535"/>
  <c r="AH535"/>
  <c r="AG535"/>
  <c r="AF535"/>
  <c r="BE534"/>
  <c r="BD534"/>
  <c r="BC534"/>
  <c r="BB534"/>
  <c r="BA534"/>
  <c r="AZ534"/>
  <c r="AY534"/>
  <c r="AX534"/>
  <c r="AV534"/>
  <c r="AU534"/>
  <c r="AT534"/>
  <c r="AS534"/>
  <c r="AR534"/>
  <c r="AQ534"/>
  <c r="AP534"/>
  <c r="AO534"/>
  <c r="AM534"/>
  <c r="AL534"/>
  <c r="AK534"/>
  <c r="AJ534"/>
  <c r="AI534"/>
  <c r="AH534"/>
  <c r="AG534"/>
  <c r="AF534"/>
  <c r="AY387"/>
  <c r="AT387"/>
  <c r="AJ387"/>
  <c r="AE387"/>
  <c r="AY381"/>
  <c r="AT381"/>
  <c r="AJ381"/>
  <c r="AE381"/>
  <c r="AY347"/>
  <c r="AT347"/>
  <c r="AJ347"/>
  <c r="AE347"/>
  <c r="AY341"/>
  <c r="AT341"/>
  <c r="AJ341"/>
  <c r="AE341"/>
  <c r="AT307"/>
  <c r="AE307"/>
  <c r="AT301"/>
  <c r="AE301"/>
  <c r="AT273"/>
  <c r="AE273"/>
  <c r="AT267"/>
  <c r="AE267"/>
  <c r="AW105"/>
  <c r="AV105"/>
  <c r="AU105"/>
  <c r="AI105"/>
  <c r="AH105"/>
  <c r="AG105"/>
  <c r="AW102"/>
  <c r="AV102"/>
  <c r="AU102"/>
  <c r="AI102"/>
  <c r="AH102"/>
  <c r="AG102"/>
  <c r="BD96"/>
  <c r="BC96"/>
  <c r="BB96"/>
  <c r="BA96"/>
  <c r="AZ96"/>
  <c r="AY96"/>
  <c r="AX96"/>
  <c r="AW96"/>
  <c r="AO96"/>
  <c r="AN96"/>
  <c r="AM96"/>
  <c r="AL96"/>
  <c r="AK96"/>
  <c r="AJ96"/>
  <c r="AI96"/>
  <c r="AH96"/>
  <c r="BD90"/>
  <c r="BC90"/>
  <c r="BB90"/>
  <c r="BA90"/>
  <c r="AZ90"/>
  <c r="AY90"/>
  <c r="AX90"/>
  <c r="AW90"/>
  <c r="AO90"/>
  <c r="AN90"/>
  <c r="AM90"/>
  <c r="AL90"/>
  <c r="AK90"/>
  <c r="AJ90"/>
  <c r="AI90"/>
  <c r="AH90"/>
  <c r="BD66"/>
  <c r="BC66"/>
  <c r="BB66"/>
  <c r="BA66"/>
  <c r="AZ66"/>
  <c r="AY66"/>
  <c r="AX66"/>
  <c r="AW66"/>
  <c r="AO66"/>
  <c r="AN66"/>
  <c r="AM66"/>
  <c r="AL66"/>
  <c r="AK66"/>
  <c r="AJ66"/>
  <c r="AI66"/>
  <c r="AH66"/>
  <c r="BF43"/>
  <c r="BE43"/>
  <c r="BD43"/>
  <c r="BC43"/>
  <c r="BB43"/>
  <c r="BA43"/>
  <c r="AZ43"/>
  <c r="AY43"/>
  <c r="AQ43"/>
  <c r="AP43"/>
  <c r="AO43"/>
  <c r="AN43"/>
  <c r="AM43"/>
  <c r="AL43"/>
  <c r="AK43"/>
  <c r="AJ43"/>
  <c r="BF37"/>
  <c r="BE37"/>
  <c r="BD37"/>
  <c r="BC37"/>
  <c r="BB37"/>
  <c r="BA37"/>
  <c r="AZ37"/>
  <c r="AY37"/>
  <c r="AQ37"/>
  <c r="AP37"/>
  <c r="AO37"/>
  <c r="AN37"/>
  <c r="AM37"/>
  <c r="AL37"/>
  <c r="AK37"/>
  <c r="AJ37"/>
  <c r="BF31"/>
  <c r="BE31"/>
  <c r="BD31"/>
  <c r="BC31"/>
  <c r="BB31"/>
  <c r="BA31"/>
  <c r="AZ31"/>
  <c r="AY31"/>
  <c r="AQ31"/>
  <c r="AP31"/>
  <c r="AO31"/>
  <c r="AN31"/>
  <c r="AM31"/>
  <c r="AL31"/>
  <c r="AK31"/>
  <c r="AJ31"/>
  <c r="BN22"/>
  <c r="BM22"/>
  <c r="BL22"/>
  <c r="BK22"/>
  <c r="BJ22"/>
  <c r="BI22"/>
  <c r="BF22"/>
  <c r="BE22"/>
  <c r="BD22"/>
  <c r="AZ22"/>
  <c r="AU22"/>
  <c r="AT22"/>
  <c r="AS22"/>
  <c r="AR22"/>
  <c r="AQ22"/>
  <c r="AN22"/>
  <c r="AM22"/>
  <c r="AL22"/>
  <c r="AH22"/>
  <c r="BN18"/>
  <c r="BM18"/>
  <c r="BL18"/>
  <c r="BK18"/>
  <c r="BJ18"/>
  <c r="BI18"/>
  <c r="BF18"/>
  <c r="BE18"/>
  <c r="BD18"/>
  <c r="AZ18"/>
  <c r="AU18"/>
  <c r="AT18"/>
  <c r="AS18"/>
  <c r="AR18"/>
  <c r="AQ18"/>
  <c r="AN18"/>
  <c r="AM18"/>
  <c r="AL18"/>
  <c r="AH18"/>
  <c r="AM1434"/>
  <c r="A19" i="57" s="1"/>
  <c r="AS1435" i="1"/>
  <c r="G20" i="57" s="1"/>
  <c r="AS1434" i="1"/>
  <c r="G19" i="57" s="1"/>
  <c r="AS1433" i="1"/>
  <c r="G18" i="57" s="1"/>
  <c r="AS1432" i="1"/>
  <c r="G17" i="57" s="1"/>
  <c r="AR1435" i="1"/>
  <c r="F20" i="57" s="1"/>
  <c r="AR1434" i="1"/>
  <c r="F19" i="57" s="1"/>
  <c r="AR1433" i="1"/>
  <c r="F18" i="57" s="1"/>
  <c r="AR1432" i="1"/>
  <c r="F17" i="57" s="1"/>
  <c r="AQ1435" i="1"/>
  <c r="E20" i="57" s="1"/>
  <c r="AQ1434" i="1"/>
  <c r="E19" i="57" s="1"/>
  <c r="AQ1433" i="1"/>
  <c r="E18" i="57" s="1"/>
  <c r="AQ1432" i="1"/>
  <c r="E17" i="57" s="1"/>
  <c r="AN1435" i="1"/>
  <c r="B20" i="57" s="1"/>
  <c r="AN1434" i="1"/>
  <c r="B19" i="57" s="1"/>
  <c r="AM1435" i="1"/>
  <c r="A20" i="57" s="1"/>
  <c r="AO1435" i="1"/>
  <c r="C20" i="57" s="1"/>
  <c r="AO1434" i="1"/>
  <c r="C19" i="57" s="1"/>
  <c r="AO1433" i="1"/>
  <c r="C18" i="57" s="1"/>
  <c r="AN1433" i="1"/>
  <c r="B18" i="57" s="1"/>
  <c r="AM1433" i="1"/>
  <c r="A18" i="57" s="1"/>
  <c r="AO1432" i="1"/>
  <c r="C17" i="57" s="1"/>
  <c r="AN1432" i="1"/>
  <c r="B17" i="57" s="1"/>
  <c r="AI1435" i="1"/>
  <c r="G33" i="57" s="1"/>
  <c r="AH1435" i="1"/>
  <c r="AG1435"/>
  <c r="E33" i="57" s="1"/>
  <c r="AI1434" i="1"/>
  <c r="G32" i="57" s="1"/>
  <c r="AH1434" i="1"/>
  <c r="F32" i="57" s="1"/>
  <c r="AG1434" i="1"/>
  <c r="E32" i="57" s="1"/>
  <c r="AI1433" i="1"/>
  <c r="G31" i="57" s="1"/>
  <c r="AH1433" i="1"/>
  <c r="AG1433"/>
  <c r="E31" i="57" s="1"/>
  <c r="AI1432" i="1"/>
  <c r="G30" i="57" s="1"/>
  <c r="AH1432" i="1"/>
  <c r="F30" i="57" s="1"/>
  <c r="AG1432" i="1"/>
  <c r="E30" i="57" s="1"/>
  <c r="AE1435" i="1"/>
  <c r="C33" i="57" s="1"/>
  <c r="AD1435" i="1"/>
  <c r="AC1435"/>
  <c r="A33" i="57" s="1"/>
  <c r="AE1434" i="1"/>
  <c r="AD1434"/>
  <c r="B32" i="57" s="1"/>
  <c r="AC1434" i="1"/>
  <c r="A32" i="57" s="1"/>
  <c r="AE1433" i="1"/>
  <c r="C31" i="57" s="1"/>
  <c r="AD1433" i="1"/>
  <c r="AC1433"/>
  <c r="A31" i="57" s="1"/>
  <c r="AE1432" i="1"/>
  <c r="AD1432"/>
  <c r="B30" i="57" s="1"/>
  <c r="AM1432" i="1"/>
  <c r="A17" i="57" s="1"/>
  <c r="AC1432" i="1"/>
  <c r="C30" i="57" l="1"/>
  <c r="B31"/>
  <c r="C32"/>
  <c r="B33"/>
  <c r="F31"/>
  <c r="F33"/>
  <c r="A30"/>
  <c r="AA48" i="1"/>
  <c r="Z48"/>
  <c r="AH48" l="1"/>
  <c r="C9" i="57" l="1"/>
  <c r="C8"/>
  <c r="C7"/>
  <c r="C6"/>
  <c r="B9"/>
  <c r="B8"/>
  <c r="B7"/>
  <c r="B6"/>
  <c r="A8"/>
  <c r="A7"/>
  <c r="G6"/>
  <c r="G7"/>
  <c r="G8"/>
  <c r="G9"/>
  <c r="F6"/>
  <c r="F7"/>
  <c r="F8"/>
  <c r="F9"/>
  <c r="E9"/>
  <c r="E8"/>
  <c r="E7"/>
  <c r="E6"/>
  <c r="A9" l="1"/>
  <c r="Z3" i="1"/>
  <c r="AA3"/>
  <c r="Z4"/>
  <c r="AA4"/>
  <c r="Z5"/>
  <c r="AA5"/>
  <c r="Z6"/>
  <c r="AA6"/>
  <c r="Z7"/>
  <c r="AA7"/>
  <c r="Z8"/>
  <c r="AA8"/>
  <c r="Z9"/>
  <c r="AA9"/>
  <c r="Z10"/>
  <c r="AA10"/>
  <c r="Z11"/>
  <c r="AA11"/>
  <c r="Z12"/>
  <c r="AA12"/>
  <c r="Z13"/>
  <c r="AA13"/>
  <c r="Z14"/>
  <c r="AA14"/>
  <c r="Z15"/>
  <c r="AA15"/>
  <c r="Z16"/>
  <c r="AA16"/>
  <c r="Z17"/>
  <c r="AA17"/>
  <c r="Z18"/>
  <c r="AA18"/>
  <c r="Z19"/>
  <c r="AA19"/>
  <c r="Z20"/>
  <c r="AA20"/>
  <c r="Z21"/>
  <c r="AA21"/>
  <c r="Z22"/>
  <c r="AA22"/>
  <c r="Z23"/>
  <c r="AA23"/>
  <c r="Z24"/>
  <c r="AA24"/>
  <c r="Z25"/>
  <c r="AA25"/>
  <c r="Z26"/>
  <c r="AA26"/>
  <c r="Z27"/>
  <c r="AA27"/>
  <c r="Z28"/>
  <c r="AA28"/>
  <c r="Z29"/>
  <c r="AA29"/>
  <c r="Z30"/>
  <c r="AA30"/>
  <c r="Z31"/>
  <c r="AA31"/>
  <c r="Z32"/>
  <c r="AA32"/>
  <c r="Z33"/>
  <c r="AA33"/>
  <c r="Z34"/>
  <c r="AA34"/>
  <c r="Z35"/>
  <c r="AA35"/>
  <c r="Z36"/>
  <c r="AA36"/>
  <c r="Z37"/>
  <c r="AA37"/>
  <c r="Z38"/>
  <c r="AA38"/>
  <c r="Z39"/>
  <c r="AA39"/>
  <c r="Z40"/>
  <c r="AA40"/>
  <c r="Z41"/>
  <c r="AA41"/>
  <c r="Z42"/>
  <c r="AA42"/>
  <c r="Z43"/>
  <c r="AA43"/>
  <c r="Z44"/>
  <c r="AA44"/>
  <c r="Z45"/>
  <c r="AA45"/>
  <c r="Z46"/>
  <c r="AA46"/>
  <c r="Z47"/>
  <c r="AA47"/>
  <c r="Z49"/>
  <c r="AA49"/>
  <c r="Z50"/>
  <c r="AA50"/>
  <c r="Z51"/>
  <c r="AA51"/>
  <c r="Z52"/>
  <c r="AA52"/>
  <c r="Z53"/>
  <c r="AA53"/>
  <c r="Z54"/>
  <c r="AA54"/>
  <c r="Z55"/>
  <c r="AA55"/>
  <c r="Z56"/>
  <c r="AA56"/>
  <c r="Z57"/>
  <c r="AA57"/>
  <c r="Z58"/>
  <c r="AA58"/>
  <c r="Z59"/>
  <c r="AA59"/>
  <c r="Z60"/>
  <c r="AA60"/>
  <c r="Z61"/>
  <c r="AA61"/>
  <c r="Z62"/>
  <c r="AA62"/>
  <c r="Z63"/>
  <c r="AA63"/>
  <c r="Z64"/>
  <c r="AA64"/>
  <c r="Z65"/>
  <c r="AA65"/>
  <c r="Z66"/>
  <c r="AA66"/>
  <c r="Z67"/>
  <c r="AA67"/>
  <c r="Z68"/>
  <c r="AA68"/>
  <c r="Z69"/>
  <c r="AA69"/>
  <c r="Z70"/>
  <c r="AA70"/>
  <c r="Z71"/>
  <c r="AA71"/>
  <c r="Z72"/>
  <c r="AA72"/>
  <c r="Z73"/>
  <c r="AA73"/>
  <c r="Z74"/>
  <c r="AA74"/>
  <c r="Z75"/>
  <c r="AA75"/>
  <c r="Z76"/>
  <c r="AA76"/>
  <c r="Z77"/>
  <c r="AA77"/>
  <c r="Z78"/>
  <c r="AA78"/>
  <c r="Z79"/>
  <c r="AA79"/>
  <c r="Z80"/>
  <c r="AA80"/>
  <c r="Z81"/>
  <c r="AA81"/>
  <c r="Z82"/>
  <c r="AA82"/>
  <c r="Z83"/>
  <c r="AA83"/>
  <c r="Z84"/>
  <c r="AA84"/>
  <c r="Z85"/>
  <c r="AA85"/>
  <c r="Z86"/>
  <c r="AA86"/>
  <c r="Z87"/>
  <c r="AA87"/>
  <c r="Z88"/>
  <c r="AA88"/>
  <c r="Z89"/>
  <c r="AA89"/>
  <c r="Z90"/>
  <c r="AA90"/>
  <c r="Z91"/>
  <c r="AA91"/>
  <c r="Z92"/>
  <c r="AA92"/>
  <c r="Z93"/>
  <c r="AA93"/>
  <c r="Z94"/>
  <c r="AA94"/>
  <c r="Z95"/>
  <c r="AA95"/>
  <c r="Z96"/>
  <c r="AA96"/>
  <c r="Z97"/>
  <c r="AA97"/>
  <c r="Z98"/>
  <c r="AA98"/>
  <c r="Z99"/>
  <c r="AA99"/>
  <c r="Z100"/>
  <c r="AA100"/>
  <c r="Z101"/>
  <c r="AA101"/>
  <c r="Z102"/>
  <c r="AA102"/>
  <c r="Z103"/>
  <c r="AA103"/>
  <c r="Z104"/>
  <c r="AA104"/>
  <c r="Z105"/>
  <c r="AA105"/>
  <c r="Z106"/>
  <c r="AA106"/>
  <c r="Z107"/>
  <c r="AA107"/>
  <c r="Z108"/>
  <c r="AA108"/>
  <c r="Z109"/>
  <c r="AA109"/>
  <c r="Z110"/>
  <c r="AA110"/>
  <c r="Z111"/>
  <c r="AA111"/>
  <c r="Z112"/>
  <c r="AA112"/>
  <c r="Z113"/>
  <c r="AA113"/>
  <c r="Z114"/>
  <c r="AA114"/>
  <c r="Z115"/>
  <c r="AA115"/>
  <c r="Z116"/>
  <c r="AA116"/>
  <c r="Z117"/>
  <c r="AA117"/>
  <c r="Z118"/>
  <c r="AA118"/>
  <c r="Z119"/>
  <c r="AA119"/>
  <c r="Z120"/>
  <c r="AA120"/>
  <c r="Z121"/>
  <c r="AA121"/>
  <c r="Z122"/>
  <c r="AA122"/>
  <c r="Z123"/>
  <c r="AA123"/>
  <c r="Z124"/>
  <c r="AA124"/>
  <c r="Z125"/>
  <c r="AA125"/>
  <c r="Z126"/>
  <c r="AA126"/>
  <c r="Z127"/>
  <c r="AA127"/>
  <c r="Z128"/>
  <c r="AA128"/>
  <c r="Z129"/>
  <c r="AA129"/>
  <c r="Z130"/>
  <c r="AA130"/>
  <c r="Z131"/>
  <c r="AA131"/>
  <c r="Z132"/>
  <c r="AA132"/>
  <c r="Z133"/>
  <c r="AA133"/>
  <c r="Z134"/>
  <c r="AA134"/>
  <c r="Z135"/>
  <c r="AA135"/>
  <c r="Z136"/>
  <c r="AA136"/>
  <c r="Z137"/>
  <c r="AA137"/>
  <c r="Z138"/>
  <c r="AA138"/>
  <c r="Z139"/>
  <c r="AA139"/>
  <c r="Z140"/>
  <c r="AA140"/>
  <c r="Z141"/>
  <c r="AA141"/>
  <c r="Z142"/>
  <c r="AA142"/>
  <c r="Z143"/>
  <c r="AA143"/>
  <c r="Z144"/>
  <c r="AA144"/>
  <c r="Z145"/>
  <c r="AA145"/>
  <c r="Z146"/>
  <c r="AA146"/>
  <c r="Z147"/>
  <c r="AA147"/>
  <c r="Z148"/>
  <c r="AA148"/>
  <c r="Z149"/>
  <c r="AA149"/>
  <c r="Z150"/>
  <c r="AA150"/>
  <c r="Z151"/>
  <c r="AA151"/>
  <c r="Z152"/>
  <c r="AA152"/>
  <c r="Z153"/>
  <c r="AA153"/>
  <c r="Z154"/>
  <c r="AA154"/>
  <c r="Z155"/>
  <c r="AA155"/>
  <c r="Z156"/>
  <c r="AA156"/>
  <c r="Z157"/>
  <c r="AA157"/>
  <c r="Z158"/>
  <c r="AA158"/>
  <c r="Z159"/>
  <c r="AA159"/>
  <c r="Z160"/>
  <c r="AA160"/>
  <c r="Z161"/>
  <c r="AA161"/>
  <c r="Z162"/>
  <c r="AA162"/>
  <c r="Z163"/>
  <c r="AA163"/>
  <c r="Z164"/>
  <c r="AA164"/>
  <c r="Z165"/>
  <c r="AA165"/>
  <c r="Z166"/>
  <c r="AA166"/>
  <c r="Z167"/>
  <c r="AA167"/>
  <c r="Z168"/>
  <c r="AA168"/>
  <c r="Z169"/>
  <c r="AA169"/>
  <c r="Z170"/>
  <c r="AA170"/>
  <c r="Z171"/>
  <c r="AA171"/>
  <c r="Z172"/>
  <c r="AA172"/>
  <c r="Z173"/>
  <c r="AA173"/>
  <c r="Z174"/>
  <c r="AA174"/>
  <c r="Z175"/>
  <c r="AA175"/>
  <c r="Z176"/>
  <c r="AA176"/>
  <c r="Z177"/>
  <c r="AA177"/>
  <c r="Z178"/>
  <c r="AA178"/>
  <c r="Z179"/>
  <c r="AA179"/>
  <c r="Z180"/>
  <c r="AA180"/>
  <c r="Z181"/>
  <c r="AA181"/>
  <c r="Z182"/>
  <c r="AA182"/>
  <c r="Z183"/>
  <c r="AA183"/>
  <c r="Z184"/>
  <c r="AA184"/>
  <c r="Z185"/>
  <c r="AA185"/>
  <c r="Z186"/>
  <c r="AA186"/>
  <c r="Z187"/>
  <c r="AA187"/>
  <c r="Z188"/>
  <c r="AA188"/>
  <c r="Z189"/>
  <c r="AA189"/>
  <c r="Z190"/>
  <c r="AA190"/>
  <c r="Z191"/>
  <c r="AA191"/>
  <c r="Z192"/>
  <c r="AA192"/>
  <c r="Z193"/>
  <c r="AA193"/>
  <c r="Z194"/>
  <c r="AA194"/>
  <c r="Z195"/>
  <c r="AA195"/>
  <c r="Z196"/>
  <c r="AA196"/>
  <c r="Z197"/>
  <c r="AA197"/>
  <c r="Z198"/>
  <c r="AA198"/>
  <c r="Z199"/>
  <c r="AA199"/>
  <c r="Z200"/>
  <c r="AA200"/>
  <c r="Z201"/>
  <c r="AA201"/>
  <c r="Z202"/>
  <c r="AA202"/>
  <c r="Z203"/>
  <c r="AA203"/>
  <c r="Z204"/>
  <c r="AA204"/>
  <c r="Z205"/>
  <c r="AA205"/>
  <c r="Z206"/>
  <c r="AA206"/>
  <c r="Z207"/>
  <c r="AA207"/>
  <c r="Z208"/>
  <c r="AA208"/>
  <c r="Z209"/>
  <c r="AA209"/>
  <c r="Z210"/>
  <c r="AA210"/>
  <c r="Z211"/>
  <c r="AA211"/>
  <c r="Z212"/>
  <c r="AA212"/>
  <c r="Z213"/>
  <c r="AA213"/>
  <c r="Z214"/>
  <c r="AA214"/>
  <c r="Z215"/>
  <c r="AA215"/>
  <c r="Z216"/>
  <c r="AA216"/>
  <c r="Z217"/>
  <c r="AA217"/>
  <c r="Z218"/>
  <c r="AA218"/>
  <c r="Z219"/>
  <c r="AA219"/>
  <c r="Z220"/>
  <c r="AA220"/>
  <c r="Z221"/>
  <c r="AA221"/>
  <c r="Z222"/>
  <c r="AA222"/>
  <c r="Z223"/>
  <c r="AA223"/>
  <c r="Z224"/>
  <c r="AA224"/>
  <c r="Z225"/>
  <c r="AA225"/>
  <c r="Z226"/>
  <c r="AA226"/>
  <c r="Z227"/>
  <c r="AA227"/>
  <c r="Z228"/>
  <c r="AA228"/>
  <c r="Z229"/>
  <c r="AA229"/>
  <c r="Z230"/>
  <c r="AA230"/>
  <c r="Z231"/>
  <c r="AA231"/>
  <c r="Z232"/>
  <c r="AA232"/>
  <c r="Z233"/>
  <c r="AA233"/>
  <c r="Z234"/>
  <c r="AA234"/>
  <c r="Z235"/>
  <c r="AA235"/>
  <c r="Z236"/>
  <c r="AA236"/>
  <c r="Z237"/>
  <c r="AA237"/>
  <c r="Z238"/>
  <c r="AA238"/>
  <c r="Z239"/>
  <c r="AA239"/>
  <c r="Z240"/>
  <c r="AA240"/>
  <c r="Z241"/>
  <c r="AA241"/>
  <c r="Z242"/>
  <c r="AA242"/>
  <c r="Z243"/>
  <c r="AA243"/>
  <c r="Z244"/>
  <c r="AA244"/>
  <c r="Z245"/>
  <c r="AA245"/>
  <c r="Z246"/>
  <c r="AA246"/>
  <c r="Z247"/>
  <c r="AA247"/>
  <c r="Z248"/>
  <c r="AA248"/>
  <c r="Z249"/>
  <c r="AA249"/>
  <c r="Z250"/>
  <c r="AA250"/>
  <c r="Z251"/>
  <c r="AA251"/>
  <c r="Z252"/>
  <c r="AA252"/>
  <c r="Z253"/>
  <c r="AA253"/>
  <c r="Z254"/>
  <c r="AA254"/>
  <c r="Z255"/>
  <c r="AA255"/>
  <c r="Z256"/>
  <c r="AA256"/>
  <c r="Z257"/>
  <c r="AA257"/>
  <c r="Z258"/>
  <c r="AA258"/>
  <c r="Z259"/>
  <c r="AA259"/>
  <c r="Z260"/>
  <c r="AA260"/>
  <c r="Z261"/>
  <c r="AA261"/>
  <c r="Z262"/>
  <c r="AA262"/>
  <c r="Z263"/>
  <c r="AA263"/>
  <c r="Z264"/>
  <c r="AA264"/>
  <c r="Z265"/>
  <c r="AA265"/>
  <c r="Z266"/>
  <c r="AA266"/>
  <c r="Z267"/>
  <c r="AA267"/>
  <c r="Z268"/>
  <c r="AA268"/>
  <c r="Z269"/>
  <c r="AA269"/>
  <c r="Z270"/>
  <c r="AA270"/>
  <c r="Z271"/>
  <c r="AA271"/>
  <c r="Z272"/>
  <c r="AA272"/>
  <c r="Z273"/>
  <c r="AA273"/>
  <c r="Z274"/>
  <c r="AA274"/>
  <c r="Z275"/>
  <c r="AA275"/>
  <c r="Z276"/>
  <c r="AA276"/>
  <c r="Z277"/>
  <c r="AA277"/>
  <c r="Z278"/>
  <c r="AA278"/>
  <c r="Z279"/>
  <c r="AA279"/>
  <c r="Z280"/>
  <c r="AA280"/>
  <c r="Z281"/>
  <c r="AA281"/>
  <c r="Z282"/>
  <c r="AA282"/>
  <c r="Z283"/>
  <c r="AA283"/>
  <c r="Z284"/>
  <c r="AA284"/>
  <c r="Z285"/>
  <c r="AA285"/>
  <c r="Z286"/>
  <c r="AA286"/>
  <c r="Z287"/>
  <c r="AA287"/>
  <c r="Z288"/>
  <c r="AA288"/>
  <c r="Z289"/>
  <c r="AA289"/>
  <c r="Z290"/>
  <c r="AA290"/>
  <c r="Z291"/>
  <c r="AA291"/>
  <c r="Z292"/>
  <c r="AA292"/>
  <c r="Z293"/>
  <c r="AA293"/>
  <c r="Z294"/>
  <c r="AA294"/>
  <c r="Z295"/>
  <c r="AA295"/>
  <c r="Z296"/>
  <c r="AA296"/>
  <c r="Z297"/>
  <c r="AA297"/>
  <c r="Z298"/>
  <c r="AA298"/>
  <c r="Z299"/>
  <c r="AA299"/>
  <c r="Z300"/>
  <c r="AA300"/>
  <c r="Z301"/>
  <c r="AA301"/>
  <c r="Z302"/>
  <c r="AA302"/>
  <c r="Z303"/>
  <c r="AA303"/>
  <c r="Z304"/>
  <c r="AA304"/>
  <c r="Z305"/>
  <c r="AA305"/>
  <c r="Z306"/>
  <c r="AA306"/>
  <c r="Z307"/>
  <c r="AA307"/>
  <c r="Z308"/>
  <c r="AA308"/>
  <c r="Z309"/>
  <c r="AA309"/>
  <c r="Z310"/>
  <c r="AA310"/>
  <c r="Z311"/>
  <c r="AA311"/>
  <c r="Z312"/>
  <c r="AA312"/>
  <c r="Z313"/>
  <c r="AA313"/>
  <c r="Z314"/>
  <c r="AA314"/>
  <c r="Z315"/>
  <c r="AA315"/>
  <c r="Z316"/>
  <c r="AA316"/>
  <c r="Z317"/>
  <c r="AA317"/>
  <c r="Z318"/>
  <c r="AA318"/>
  <c r="Z319"/>
  <c r="AA319"/>
  <c r="Z320"/>
  <c r="AA320"/>
  <c r="Z321"/>
  <c r="AA321"/>
  <c r="Z322"/>
  <c r="AA322"/>
  <c r="Z323"/>
  <c r="AA323"/>
  <c r="Z324"/>
  <c r="AA324"/>
  <c r="Z325"/>
  <c r="AA325"/>
  <c r="Z326"/>
  <c r="AA326"/>
  <c r="Z327"/>
  <c r="AA327"/>
  <c r="Z328"/>
  <c r="AA328"/>
  <c r="Z329"/>
  <c r="AA329"/>
  <c r="Z330"/>
  <c r="AA330"/>
  <c r="Z331"/>
  <c r="AA331"/>
  <c r="Z332"/>
  <c r="AA332"/>
  <c r="Z333"/>
  <c r="AA333"/>
  <c r="Z334"/>
  <c r="AA334"/>
  <c r="Z335"/>
  <c r="AA335"/>
  <c r="Z336"/>
  <c r="AA336"/>
  <c r="Z337"/>
  <c r="AA337"/>
  <c r="Z338"/>
  <c r="AA338"/>
  <c r="Z339"/>
  <c r="AA339"/>
  <c r="Z340"/>
  <c r="AA340"/>
  <c r="Z341"/>
  <c r="AA341"/>
  <c r="Z342"/>
  <c r="AA342"/>
  <c r="Z343"/>
  <c r="AA343"/>
  <c r="Z344"/>
  <c r="AA344"/>
  <c r="Z345"/>
  <c r="AA345"/>
  <c r="Z346"/>
  <c r="AA346"/>
  <c r="Z347"/>
  <c r="AA347"/>
  <c r="Z348"/>
  <c r="AA348"/>
  <c r="Z349"/>
  <c r="AA349"/>
  <c r="Z350"/>
  <c r="AA350"/>
  <c r="Z351"/>
  <c r="AA351"/>
  <c r="Z352"/>
  <c r="AA352"/>
  <c r="Z353"/>
  <c r="AA353"/>
  <c r="Z354"/>
  <c r="AA354"/>
  <c r="Z355"/>
  <c r="AA355"/>
  <c r="Z356"/>
  <c r="AA356"/>
  <c r="Z357"/>
  <c r="AA357"/>
  <c r="Z358"/>
  <c r="AA358"/>
  <c r="Z359"/>
  <c r="AA359"/>
  <c r="Z360"/>
  <c r="AA360"/>
  <c r="Z361"/>
  <c r="AA361"/>
  <c r="Z362"/>
  <c r="AA362"/>
  <c r="Z363"/>
  <c r="AA363"/>
  <c r="Z364"/>
  <c r="AA364"/>
  <c r="Z365"/>
  <c r="AA365"/>
  <c r="Z366"/>
  <c r="AA366"/>
  <c r="Z367"/>
  <c r="AA367"/>
  <c r="Z368"/>
  <c r="AA368"/>
  <c r="Z369"/>
  <c r="AA369"/>
  <c r="Z370"/>
  <c r="AA370"/>
  <c r="Z371"/>
  <c r="AA371"/>
  <c r="Z372"/>
  <c r="AA372"/>
  <c r="Z373"/>
  <c r="AA373"/>
  <c r="Z374"/>
  <c r="AA374"/>
  <c r="Z375"/>
  <c r="AA375"/>
  <c r="Z376"/>
  <c r="AA376"/>
  <c r="Z377"/>
  <c r="AA377"/>
  <c r="Z378"/>
  <c r="AA378"/>
  <c r="Z379"/>
  <c r="AA379"/>
  <c r="Z380"/>
  <c r="AA380"/>
  <c r="Z381"/>
  <c r="AA381"/>
  <c r="Z382"/>
  <c r="AA382"/>
  <c r="Z383"/>
  <c r="AA383"/>
  <c r="Z384"/>
  <c r="AA384"/>
  <c r="Z385"/>
  <c r="AA385"/>
  <c r="Z386"/>
  <c r="AA386"/>
  <c r="Z387"/>
  <c r="AA387"/>
  <c r="Z388"/>
  <c r="AA388"/>
  <c r="Z389"/>
  <c r="AA389"/>
  <c r="Z390"/>
  <c r="AA390"/>
  <c r="Z391"/>
  <c r="AA391"/>
  <c r="Z392"/>
  <c r="AA392"/>
  <c r="Z393"/>
  <c r="AA393"/>
  <c r="Z394"/>
  <c r="AA394"/>
  <c r="Z395"/>
  <c r="AA395"/>
  <c r="Z396"/>
  <c r="AA396"/>
  <c r="Z397"/>
  <c r="AA397"/>
  <c r="Z398"/>
  <c r="AA398"/>
  <c r="Z399"/>
  <c r="AA399"/>
  <c r="Z400"/>
  <c r="AA400"/>
  <c r="Z401"/>
  <c r="AA401"/>
  <c r="Z402"/>
  <c r="AA402"/>
  <c r="Z403"/>
  <c r="AA403"/>
  <c r="Z404"/>
  <c r="AA404"/>
  <c r="Z405"/>
  <c r="AA405"/>
  <c r="Z406"/>
  <c r="AA406"/>
  <c r="Z407"/>
  <c r="AA407"/>
  <c r="Z408"/>
  <c r="AA408"/>
  <c r="Z409"/>
  <c r="AA409"/>
  <c r="Z410"/>
  <c r="AA410"/>
  <c r="Z411"/>
  <c r="AA411"/>
  <c r="Z412"/>
  <c r="AA412"/>
  <c r="Z413"/>
  <c r="AA413"/>
  <c r="Z414"/>
  <c r="AA414"/>
  <c r="Z415"/>
  <c r="AA415"/>
  <c r="Z416"/>
  <c r="AA416"/>
  <c r="Z417"/>
  <c r="AA417"/>
  <c r="Z418"/>
  <c r="AA418"/>
  <c r="Z419"/>
  <c r="AA419"/>
  <c r="Z420"/>
  <c r="AA420"/>
  <c r="Z421"/>
  <c r="AA421"/>
  <c r="Z422"/>
  <c r="AA422"/>
  <c r="Z423"/>
  <c r="AA423"/>
  <c r="Z424"/>
  <c r="AA424"/>
  <c r="Z425"/>
  <c r="AA425"/>
  <c r="Z426"/>
  <c r="AA426"/>
  <c r="Z427"/>
  <c r="AA427"/>
  <c r="Z428"/>
  <c r="AA428"/>
  <c r="Z429"/>
  <c r="AA429"/>
  <c r="Z430"/>
  <c r="AA430"/>
  <c r="Z431"/>
  <c r="AA431"/>
  <c r="Z432"/>
  <c r="AA432"/>
  <c r="Z433"/>
  <c r="AA433"/>
  <c r="Z434"/>
  <c r="AA434"/>
  <c r="Z435"/>
  <c r="AA435"/>
  <c r="Z436"/>
  <c r="AA436"/>
  <c r="Z437"/>
  <c r="AA437"/>
  <c r="Z438"/>
  <c r="AA438"/>
  <c r="Z439"/>
  <c r="AA439"/>
  <c r="Z440"/>
  <c r="AA440"/>
  <c r="Z441"/>
  <c r="AA441"/>
  <c r="Z442"/>
  <c r="AA442"/>
  <c r="Z443"/>
  <c r="AA443"/>
  <c r="Z444"/>
  <c r="AA444"/>
  <c r="Z445"/>
  <c r="AA445"/>
  <c r="Z446"/>
  <c r="AA446"/>
  <c r="Z447"/>
  <c r="AA447"/>
  <c r="Z448"/>
  <c r="AA448"/>
  <c r="Z449"/>
  <c r="AA449"/>
  <c r="Z450"/>
  <c r="AA450"/>
  <c r="Z451"/>
  <c r="AA451"/>
  <c r="Z452"/>
  <c r="AA452"/>
  <c r="Z453"/>
  <c r="AA453"/>
  <c r="Z454"/>
  <c r="AA454"/>
  <c r="Z455"/>
  <c r="AA455"/>
  <c r="Z456"/>
  <c r="AA456"/>
  <c r="Z457"/>
  <c r="AA457"/>
  <c r="Z458"/>
  <c r="AA458"/>
  <c r="Z459"/>
  <c r="AA459"/>
  <c r="Z460"/>
  <c r="AA460"/>
  <c r="Z461"/>
  <c r="AA461"/>
  <c r="Z462"/>
  <c r="AA462"/>
  <c r="Z463"/>
  <c r="AA463"/>
  <c r="Z464"/>
  <c r="AA464"/>
  <c r="Z465"/>
  <c r="AA465"/>
  <c r="Z466"/>
  <c r="AA466"/>
  <c r="Z467"/>
  <c r="AA467"/>
  <c r="Z468"/>
  <c r="AA468"/>
  <c r="Z469"/>
  <c r="AA469"/>
  <c r="Z470"/>
  <c r="AA470"/>
  <c r="Z471"/>
  <c r="AA471"/>
  <c r="Z472"/>
  <c r="AA472"/>
  <c r="Z473"/>
  <c r="AA473"/>
  <c r="Z474"/>
  <c r="AA474"/>
  <c r="Z475"/>
  <c r="AA475"/>
  <c r="Z476"/>
  <c r="AA476"/>
  <c r="Z477"/>
  <c r="AA477"/>
  <c r="Z478"/>
  <c r="AA478"/>
  <c r="Z479"/>
  <c r="AA479"/>
  <c r="Z480"/>
  <c r="AA480"/>
  <c r="Z481"/>
  <c r="AA481"/>
  <c r="Z482"/>
  <c r="AA482"/>
  <c r="Z483"/>
  <c r="AA483"/>
  <c r="Z484"/>
  <c r="AA484"/>
  <c r="Z485"/>
  <c r="AA485"/>
  <c r="Z486"/>
  <c r="AA486"/>
  <c r="Z487"/>
  <c r="AA487"/>
  <c r="Z488"/>
  <c r="AA488"/>
  <c r="Z489"/>
  <c r="AA489"/>
  <c r="Z490"/>
  <c r="AA490"/>
  <c r="Z491"/>
  <c r="AA491"/>
  <c r="Z492"/>
  <c r="AA492"/>
  <c r="Z493"/>
  <c r="AA493"/>
  <c r="Z494"/>
  <c r="AA494"/>
  <c r="Z495"/>
  <c r="AA495"/>
  <c r="Z496"/>
  <c r="AA496"/>
  <c r="Z497"/>
  <c r="AA497"/>
  <c r="Z498"/>
  <c r="AA498"/>
  <c r="Z499"/>
  <c r="AA499"/>
  <c r="Z500"/>
  <c r="AA500"/>
  <c r="Z501"/>
  <c r="AA501"/>
  <c r="Z502"/>
  <c r="AA502"/>
  <c r="Z503"/>
  <c r="AA503"/>
  <c r="Z504"/>
  <c r="AA504"/>
  <c r="Z505"/>
  <c r="AA505"/>
  <c r="Z506"/>
  <c r="AA506"/>
  <c r="Z507"/>
  <c r="AA507"/>
  <c r="Z508"/>
  <c r="AA508"/>
  <c r="Z509"/>
  <c r="AA509"/>
  <c r="Z510"/>
  <c r="AA510"/>
  <c r="Z511"/>
  <c r="AA511"/>
  <c r="Z512"/>
  <c r="AA512"/>
  <c r="Z513"/>
  <c r="AA513"/>
  <c r="Z514"/>
  <c r="AA514"/>
  <c r="Z515"/>
  <c r="AA515"/>
  <c r="Z516"/>
  <c r="AA516"/>
  <c r="Z517"/>
  <c r="AA517"/>
  <c r="Z518"/>
  <c r="AA518"/>
  <c r="Z519"/>
  <c r="AA519"/>
  <c r="Z520"/>
  <c r="AA520"/>
  <c r="Z521"/>
  <c r="AA521"/>
  <c r="Z522"/>
  <c r="AA522"/>
  <c r="Z523"/>
  <c r="AA523"/>
  <c r="Z524"/>
  <c r="AA524"/>
  <c r="Z525"/>
  <c r="AA525"/>
  <c r="Z526"/>
  <c r="AA526"/>
  <c r="Z527"/>
  <c r="AA527"/>
  <c r="Z528"/>
  <c r="AA528"/>
  <c r="Z529"/>
  <c r="AA529"/>
  <c r="Z530"/>
  <c r="AA530"/>
  <c r="Z531"/>
  <c r="AA531"/>
  <c r="Z532"/>
  <c r="AA532"/>
  <c r="Z533"/>
  <c r="AA533"/>
  <c r="Z534"/>
  <c r="AA534"/>
  <c r="Z535"/>
  <c r="AA535"/>
  <c r="Z536"/>
  <c r="AA536"/>
  <c r="Z537"/>
  <c r="AA537"/>
  <c r="Z538"/>
  <c r="AA538"/>
  <c r="Z539"/>
  <c r="AA539"/>
  <c r="Z540"/>
  <c r="AA540"/>
  <c r="Z541"/>
  <c r="AA541"/>
  <c r="Z542"/>
  <c r="AA542"/>
  <c r="Z543"/>
  <c r="AA543"/>
  <c r="Z544"/>
  <c r="AA544"/>
  <c r="Z545"/>
  <c r="AA545"/>
  <c r="Z546"/>
  <c r="AA546"/>
  <c r="Z547"/>
  <c r="AA547"/>
  <c r="Z548"/>
  <c r="AA548"/>
  <c r="Z549"/>
  <c r="AA549"/>
  <c r="Z550"/>
  <c r="AA550"/>
  <c r="Z551"/>
  <c r="AA551"/>
  <c r="Z552"/>
  <c r="AA552"/>
  <c r="Z553"/>
  <c r="AA553"/>
  <c r="Z554"/>
  <c r="AA554"/>
  <c r="Z555"/>
  <c r="AA555"/>
  <c r="Z556"/>
  <c r="AA556"/>
  <c r="Z557"/>
  <c r="AA557"/>
  <c r="Z558"/>
  <c r="AA558"/>
  <c r="Z559"/>
  <c r="AA559"/>
  <c r="Z560"/>
  <c r="AA560"/>
  <c r="Z561"/>
  <c r="AA561"/>
  <c r="Z562"/>
  <c r="AA562"/>
  <c r="Z563"/>
  <c r="AA563"/>
  <c r="Z564"/>
  <c r="AA564"/>
  <c r="Z565"/>
  <c r="AA565"/>
  <c r="Z566"/>
  <c r="AA566"/>
  <c r="Z567"/>
  <c r="AA567"/>
  <c r="Z568"/>
  <c r="AA568"/>
  <c r="Z569"/>
  <c r="AA569"/>
  <c r="Z570"/>
  <c r="AA570"/>
  <c r="Z571"/>
  <c r="AA571"/>
  <c r="Z572"/>
  <c r="AA572"/>
  <c r="Z573"/>
  <c r="AA573"/>
  <c r="Z574"/>
  <c r="AA574"/>
  <c r="Z575"/>
  <c r="AA575"/>
  <c r="Z576"/>
  <c r="AA576"/>
  <c r="Z577"/>
  <c r="AA577"/>
  <c r="Z578"/>
  <c r="AA578"/>
  <c r="Z579"/>
  <c r="AA579"/>
  <c r="Z580"/>
  <c r="AA580"/>
  <c r="Z581"/>
  <c r="AA581"/>
  <c r="Z582"/>
  <c r="AA582"/>
  <c r="Z583"/>
  <c r="AA583"/>
  <c r="Z584"/>
  <c r="AA584"/>
  <c r="Z585"/>
  <c r="AA585"/>
  <c r="Z586"/>
  <c r="AA586"/>
  <c r="Z587"/>
  <c r="AA587"/>
  <c r="Z588"/>
  <c r="AA588"/>
  <c r="Z589"/>
  <c r="AA589"/>
  <c r="Z590"/>
  <c r="AA590"/>
  <c r="Z591"/>
  <c r="AA591"/>
  <c r="Z592"/>
  <c r="AA592"/>
  <c r="Z593"/>
  <c r="AA593"/>
  <c r="Z594"/>
  <c r="AA594"/>
  <c r="Z595"/>
  <c r="AA595"/>
  <c r="Z596"/>
  <c r="AA596"/>
  <c r="Z597"/>
  <c r="AA597"/>
  <c r="Z598"/>
  <c r="AA598"/>
  <c r="Z599"/>
  <c r="AA599"/>
  <c r="Z600"/>
  <c r="AA600"/>
  <c r="Z601"/>
  <c r="AA601"/>
  <c r="Z602"/>
  <c r="AA602"/>
  <c r="Z603"/>
  <c r="AA603"/>
  <c r="Z604"/>
  <c r="AA604"/>
  <c r="Z605"/>
  <c r="AA605"/>
  <c r="Z606"/>
  <c r="AA606"/>
  <c r="Z607"/>
  <c r="AA607"/>
  <c r="Z608"/>
  <c r="AA608"/>
  <c r="Z609"/>
  <c r="AA609"/>
  <c r="Z610"/>
  <c r="AA610"/>
  <c r="Z611"/>
  <c r="AA611"/>
  <c r="Z612"/>
  <c r="AA612"/>
  <c r="Z613"/>
  <c r="AA613"/>
  <c r="Z614"/>
  <c r="AA614"/>
  <c r="Z615"/>
  <c r="AA615"/>
  <c r="Z616"/>
  <c r="AA616"/>
  <c r="Z617"/>
  <c r="AA617"/>
  <c r="Z618"/>
  <c r="AA618"/>
  <c r="Z619"/>
  <c r="AA619"/>
  <c r="Z620"/>
  <c r="AA620"/>
  <c r="Z621"/>
  <c r="AA621"/>
  <c r="Z622"/>
  <c r="AA622"/>
  <c r="Z623"/>
  <c r="AA623"/>
  <c r="Z624"/>
  <c r="AA624"/>
  <c r="Z625"/>
  <c r="AA625"/>
  <c r="Z626"/>
  <c r="AA626"/>
  <c r="Z627"/>
  <c r="AA627"/>
  <c r="Z628"/>
  <c r="AA628"/>
  <c r="Z629"/>
  <c r="AA629"/>
  <c r="Z630"/>
  <c r="AA630"/>
  <c r="Z631"/>
  <c r="AA631"/>
  <c r="Z632"/>
  <c r="AA632"/>
  <c r="Z633"/>
  <c r="AA633"/>
  <c r="Z634"/>
  <c r="AA634"/>
  <c r="Z635"/>
  <c r="AA635"/>
  <c r="Z636"/>
  <c r="AA636"/>
  <c r="Z637"/>
  <c r="AA637"/>
  <c r="Z638"/>
  <c r="AA638"/>
  <c r="Z639"/>
  <c r="AA639"/>
  <c r="Z640"/>
  <c r="AA640"/>
  <c r="Z641"/>
  <c r="AA641"/>
  <c r="Z642"/>
  <c r="AA642"/>
  <c r="Z643"/>
  <c r="AA643"/>
  <c r="Z644"/>
  <c r="AA644"/>
  <c r="Z645"/>
  <c r="AA645"/>
  <c r="Z646"/>
  <c r="AA646"/>
  <c r="Z647"/>
  <c r="AA647"/>
  <c r="Z648"/>
  <c r="AA648"/>
  <c r="Z649"/>
  <c r="AA649"/>
  <c r="Z650"/>
  <c r="AA650"/>
  <c r="Z651"/>
  <c r="AA651"/>
  <c r="Z652"/>
  <c r="AA652"/>
  <c r="Z653"/>
  <c r="AA653"/>
  <c r="Z654"/>
  <c r="AA654"/>
  <c r="Z655"/>
  <c r="AA655"/>
  <c r="Z656"/>
  <c r="AA656"/>
  <c r="Z657"/>
  <c r="AA657"/>
  <c r="Z658"/>
  <c r="AA658"/>
  <c r="Z659"/>
  <c r="AA659"/>
  <c r="Z660"/>
  <c r="AA660"/>
  <c r="Z661"/>
  <c r="AA661"/>
  <c r="Z662"/>
  <c r="AA662"/>
  <c r="Z663"/>
  <c r="AA663"/>
  <c r="Z664"/>
  <c r="AA664"/>
  <c r="Z665"/>
  <c r="AA665"/>
  <c r="Z666"/>
  <c r="AA666"/>
  <c r="Z667"/>
  <c r="AA667"/>
  <c r="Z668"/>
  <c r="AA668"/>
  <c r="Z669"/>
  <c r="AA669"/>
  <c r="Z670"/>
  <c r="AA670"/>
  <c r="Z671"/>
  <c r="AA671"/>
  <c r="Z672"/>
  <c r="AA672"/>
  <c r="Z673"/>
  <c r="AA673"/>
  <c r="Z674"/>
  <c r="AA674"/>
  <c r="Z675"/>
  <c r="AA675"/>
  <c r="Z676"/>
  <c r="AA676"/>
  <c r="Z677"/>
  <c r="AA677"/>
  <c r="Z678"/>
  <c r="AA678"/>
  <c r="Z679"/>
  <c r="AA679"/>
  <c r="Z680"/>
  <c r="AA680"/>
  <c r="Z681"/>
  <c r="AA681"/>
  <c r="Z682"/>
  <c r="AA682"/>
  <c r="Z683"/>
  <c r="AA683"/>
  <c r="Z684"/>
  <c r="AA684"/>
  <c r="Z685"/>
  <c r="AA685"/>
  <c r="Z686"/>
  <c r="AA686"/>
  <c r="Z687"/>
  <c r="AA687"/>
  <c r="Z688"/>
  <c r="AA688"/>
  <c r="Z689"/>
  <c r="AA689"/>
  <c r="Z690"/>
  <c r="AA690"/>
  <c r="Z691"/>
  <c r="AA691"/>
  <c r="Z692"/>
  <c r="AA692"/>
  <c r="Z693"/>
  <c r="AA693"/>
  <c r="Z694"/>
  <c r="AA694"/>
  <c r="Z695"/>
  <c r="AA695"/>
  <c r="Z696"/>
  <c r="AA696"/>
  <c r="Z697"/>
  <c r="AA697"/>
  <c r="Z698"/>
  <c r="AA698"/>
  <c r="Z699"/>
  <c r="AA699"/>
  <c r="Z700"/>
  <c r="AA700"/>
  <c r="Z701"/>
  <c r="AA701"/>
  <c r="Z702"/>
  <c r="AA702"/>
  <c r="Z703"/>
  <c r="AA703"/>
  <c r="Z704"/>
  <c r="AA704"/>
  <c r="Z705"/>
  <c r="AA705"/>
  <c r="Z706"/>
  <c r="AA706"/>
  <c r="Z707"/>
  <c r="AA707"/>
  <c r="Z708"/>
  <c r="AA708"/>
  <c r="Z709"/>
  <c r="AA709"/>
  <c r="Z710"/>
  <c r="AA710"/>
  <c r="Z711"/>
  <c r="AA711"/>
  <c r="Z712"/>
  <c r="AA712"/>
  <c r="Z713"/>
  <c r="AA713"/>
  <c r="Z714"/>
  <c r="AA714"/>
  <c r="Z715"/>
  <c r="AA715"/>
  <c r="Z716"/>
  <c r="AA716"/>
  <c r="Z717"/>
  <c r="AA717"/>
  <c r="Z718"/>
  <c r="AA718"/>
  <c r="Z719"/>
  <c r="AA719"/>
  <c r="Z720"/>
  <c r="AA720"/>
  <c r="Z721"/>
  <c r="AA721"/>
  <c r="Z722"/>
  <c r="AA722"/>
  <c r="Z723"/>
  <c r="AA723"/>
  <c r="Z724"/>
  <c r="AA724"/>
  <c r="Z725"/>
  <c r="AA725"/>
  <c r="Z726"/>
  <c r="AA726"/>
  <c r="Z727"/>
  <c r="AA727"/>
  <c r="Z728"/>
  <c r="AA728"/>
  <c r="Z729"/>
  <c r="AA729"/>
  <c r="Z730"/>
  <c r="AA730"/>
  <c r="Z731"/>
  <c r="AA731"/>
  <c r="Z732"/>
  <c r="AA732"/>
  <c r="Z733"/>
  <c r="AA733"/>
  <c r="Z734"/>
  <c r="AA734"/>
  <c r="Z735"/>
  <c r="AA735"/>
  <c r="Z736"/>
  <c r="AA736"/>
  <c r="Z737"/>
  <c r="AA737"/>
  <c r="Z738"/>
  <c r="AA738"/>
  <c r="Z739"/>
  <c r="AA739"/>
  <c r="Z740"/>
  <c r="AA740"/>
  <c r="Z741"/>
  <c r="AA741"/>
  <c r="Z742"/>
  <c r="AA742"/>
  <c r="Z743"/>
  <c r="AA743"/>
  <c r="Z744"/>
  <c r="AA744"/>
  <c r="Z745"/>
  <c r="AA745"/>
  <c r="Z746"/>
  <c r="AA746"/>
  <c r="Z747"/>
  <c r="AA747"/>
  <c r="Z748"/>
  <c r="AA748"/>
  <c r="Z749"/>
  <c r="AA749"/>
  <c r="Z750"/>
  <c r="AA750"/>
  <c r="Z751"/>
  <c r="AA751"/>
  <c r="Z752"/>
  <c r="AA752"/>
  <c r="Z753"/>
  <c r="AA753"/>
  <c r="Z754"/>
  <c r="AA754"/>
  <c r="Z755"/>
  <c r="AA755"/>
  <c r="Z756"/>
  <c r="AA756"/>
  <c r="Z757"/>
  <c r="AA757"/>
  <c r="Z758"/>
  <c r="AA758"/>
  <c r="Z759"/>
  <c r="AA759"/>
  <c r="Z760"/>
  <c r="AA760"/>
  <c r="Z761"/>
  <c r="AA761"/>
  <c r="Z762"/>
  <c r="AA762"/>
  <c r="Z763"/>
  <c r="AA763"/>
  <c r="Z764"/>
  <c r="AA764"/>
  <c r="Z765"/>
  <c r="AA765"/>
  <c r="Z766"/>
  <c r="AA766"/>
  <c r="Z767"/>
  <c r="AA767"/>
  <c r="Z768"/>
  <c r="AA768"/>
  <c r="Z769"/>
  <c r="AA769"/>
  <c r="Z770"/>
  <c r="AA770"/>
  <c r="Z771"/>
  <c r="AA771"/>
  <c r="Z772"/>
  <c r="AA772"/>
  <c r="Z773"/>
  <c r="AA773"/>
  <c r="Z774"/>
  <c r="AA774"/>
  <c r="Z775"/>
  <c r="AA775"/>
  <c r="Z776"/>
  <c r="AA776"/>
  <c r="Z777"/>
  <c r="AA777"/>
  <c r="Z778"/>
  <c r="AA778"/>
  <c r="Z779"/>
  <c r="AA779"/>
  <c r="Z780"/>
  <c r="AA780"/>
  <c r="Z781"/>
  <c r="AA781"/>
  <c r="Z782"/>
  <c r="AA782"/>
  <c r="Z783"/>
  <c r="AA783"/>
  <c r="Z784"/>
  <c r="AA784"/>
  <c r="Z785"/>
  <c r="AA785"/>
  <c r="Z786"/>
  <c r="AA786"/>
  <c r="Z787"/>
  <c r="AA787"/>
  <c r="Z788"/>
  <c r="AA788"/>
  <c r="Z789"/>
  <c r="AA789"/>
  <c r="Z790"/>
  <c r="AA790"/>
  <c r="Z791"/>
  <c r="AA791"/>
  <c r="Z792"/>
  <c r="AA792"/>
  <c r="Z793"/>
  <c r="AA793"/>
  <c r="Z794"/>
  <c r="AA794"/>
  <c r="Z795"/>
  <c r="AA795"/>
  <c r="Z796"/>
  <c r="AA796"/>
  <c r="Z797"/>
  <c r="AA797"/>
  <c r="Z798"/>
  <c r="AA798"/>
  <c r="Z799"/>
  <c r="AA799"/>
  <c r="Z800"/>
  <c r="AA800"/>
  <c r="Z801"/>
  <c r="AA801"/>
  <c r="Z802"/>
  <c r="AA802"/>
  <c r="Z803"/>
  <c r="AA803"/>
  <c r="Z804"/>
  <c r="AA804"/>
  <c r="Z805"/>
  <c r="AA805"/>
  <c r="Z806"/>
  <c r="AA806"/>
  <c r="Z807"/>
  <c r="AA807"/>
  <c r="Z808"/>
  <c r="AA808"/>
  <c r="Z809"/>
  <c r="AA809"/>
  <c r="Z810"/>
  <c r="AA810"/>
  <c r="Z811"/>
  <c r="AA811"/>
  <c r="Z812"/>
  <c r="AA812"/>
  <c r="Z813"/>
  <c r="AA813"/>
  <c r="Z814"/>
  <c r="AA814"/>
  <c r="Z815"/>
  <c r="AA815"/>
  <c r="Z816"/>
  <c r="AA816"/>
  <c r="Z817"/>
  <c r="AA817"/>
  <c r="Z818"/>
  <c r="AA818"/>
  <c r="Z819"/>
  <c r="AA819"/>
  <c r="Z820"/>
  <c r="AA820"/>
  <c r="Z821"/>
  <c r="AA821"/>
  <c r="Z822"/>
  <c r="AA822"/>
  <c r="Z823"/>
  <c r="AA823"/>
  <c r="Z824"/>
  <c r="AA824"/>
  <c r="Z825"/>
  <c r="AA825"/>
  <c r="Z826"/>
  <c r="AA826"/>
  <c r="Z827"/>
  <c r="AA827"/>
  <c r="Z828"/>
  <c r="AA828"/>
  <c r="Z829"/>
  <c r="AA829"/>
  <c r="Z830"/>
  <c r="AA830"/>
  <c r="Z831"/>
  <c r="AA831"/>
  <c r="Z832"/>
  <c r="AA832"/>
  <c r="Z833"/>
  <c r="AA833"/>
  <c r="Z834"/>
  <c r="AA834"/>
  <c r="Z835"/>
  <c r="AA835"/>
  <c r="Z836"/>
  <c r="AA836"/>
  <c r="Z837"/>
  <c r="AA837"/>
  <c r="Z838"/>
  <c r="AA838"/>
  <c r="Z839"/>
  <c r="AA839"/>
  <c r="Z840"/>
  <c r="AA840"/>
  <c r="Z841"/>
  <c r="AA841"/>
  <c r="Z842"/>
  <c r="AA842"/>
  <c r="Z843"/>
  <c r="AA843"/>
  <c r="Z844"/>
  <c r="AA844"/>
  <c r="Z845"/>
  <c r="AA845"/>
  <c r="Z846"/>
  <c r="AA846"/>
  <c r="Z847"/>
  <c r="AA847"/>
  <c r="Z848"/>
  <c r="AA848"/>
  <c r="Z849"/>
  <c r="AA849"/>
  <c r="Z850"/>
  <c r="AA850"/>
  <c r="Z851"/>
  <c r="AA851"/>
  <c r="Z852"/>
  <c r="AA852"/>
  <c r="Z853"/>
  <c r="AA853"/>
  <c r="Z854"/>
  <c r="AA854"/>
  <c r="Z855"/>
  <c r="AA855"/>
  <c r="Z856"/>
  <c r="AA856"/>
  <c r="Z857"/>
  <c r="AA857"/>
  <c r="Z858"/>
  <c r="AA858"/>
  <c r="Z859"/>
  <c r="AA859"/>
  <c r="Z860"/>
  <c r="AA860"/>
  <c r="Z861"/>
  <c r="AA861"/>
  <c r="Z862"/>
  <c r="AA862"/>
  <c r="Z863"/>
  <c r="AA863"/>
  <c r="Z864"/>
  <c r="AA864"/>
  <c r="Z865"/>
  <c r="AA865"/>
  <c r="Z866"/>
  <c r="AA866"/>
  <c r="Z867"/>
  <c r="AA867"/>
  <c r="Z868"/>
  <c r="AA868"/>
  <c r="Z869"/>
  <c r="AA869"/>
  <c r="Z870"/>
  <c r="AA870"/>
  <c r="Z871"/>
  <c r="AA871"/>
  <c r="Z872"/>
  <c r="AA872"/>
  <c r="Z873"/>
  <c r="AA873"/>
  <c r="Z874"/>
  <c r="AA874"/>
  <c r="Z875"/>
  <c r="AA875"/>
  <c r="Z876"/>
  <c r="AA876"/>
  <c r="Z877"/>
  <c r="AA877"/>
  <c r="Z878"/>
  <c r="AA878"/>
  <c r="Z879"/>
  <c r="AA879"/>
  <c r="Z880"/>
  <c r="AA880"/>
  <c r="Z881"/>
  <c r="AA881"/>
  <c r="Z882"/>
  <c r="AA882"/>
  <c r="Z883"/>
  <c r="AA883"/>
  <c r="Z884"/>
  <c r="AA884"/>
  <c r="Z885"/>
  <c r="AA885"/>
  <c r="Z886"/>
  <c r="AA886"/>
  <c r="Z887"/>
  <c r="AA887"/>
  <c r="Z888"/>
  <c r="AA888"/>
  <c r="Z889"/>
  <c r="AA889"/>
  <c r="Z890"/>
  <c r="AA890"/>
  <c r="Z891"/>
  <c r="AA891"/>
  <c r="Z892"/>
  <c r="AA892"/>
  <c r="Z893"/>
  <c r="AA893"/>
  <c r="Z894"/>
  <c r="AA894"/>
  <c r="Z895"/>
  <c r="AA895"/>
  <c r="Z896"/>
  <c r="AA896"/>
  <c r="Z897"/>
  <c r="AA897"/>
  <c r="Z898"/>
  <c r="AA898"/>
  <c r="Z899"/>
  <c r="AA899"/>
  <c r="Z900"/>
  <c r="AA900"/>
  <c r="Z901"/>
  <c r="AA901"/>
  <c r="Z902"/>
  <c r="AA902"/>
  <c r="Z903"/>
  <c r="AA903"/>
  <c r="Z904"/>
  <c r="AA904"/>
  <c r="Z905"/>
  <c r="AA905"/>
  <c r="Z906"/>
  <c r="AA906"/>
  <c r="Z907"/>
  <c r="AA907"/>
  <c r="Z908"/>
  <c r="AA908"/>
  <c r="Z909"/>
  <c r="AA909"/>
  <c r="Z910"/>
  <c r="AA910"/>
  <c r="Z911"/>
  <c r="AA911"/>
  <c r="Z912"/>
  <c r="AA912"/>
  <c r="Z913"/>
  <c r="AA913"/>
  <c r="Z914"/>
  <c r="AA914"/>
  <c r="Z915"/>
  <c r="AA915"/>
  <c r="Z916"/>
  <c r="AA916"/>
  <c r="Z917"/>
  <c r="AA917"/>
  <c r="Z918"/>
  <c r="AA918"/>
  <c r="Z919"/>
  <c r="AA919"/>
  <c r="Z920"/>
  <c r="AA920"/>
  <c r="Z921"/>
  <c r="AA921"/>
  <c r="Z922"/>
  <c r="AA922"/>
  <c r="Z923"/>
  <c r="AA923"/>
  <c r="Z924"/>
  <c r="AA924"/>
  <c r="Z925"/>
  <c r="AA925"/>
  <c r="Z926"/>
  <c r="AA926"/>
  <c r="Z927"/>
  <c r="AA927"/>
  <c r="Z928"/>
  <c r="AA928"/>
  <c r="Z929"/>
  <c r="AA929"/>
  <c r="Z930"/>
  <c r="AA930"/>
  <c r="Z931"/>
  <c r="AA931"/>
  <c r="Z932"/>
  <c r="AA932"/>
  <c r="Z933"/>
  <c r="AA933"/>
  <c r="Z934"/>
  <c r="AA934"/>
  <c r="Z935"/>
  <c r="AA935"/>
  <c r="Z936"/>
  <c r="AA936"/>
  <c r="Z937"/>
  <c r="AA937"/>
  <c r="Z938"/>
  <c r="AA938"/>
  <c r="Z939"/>
  <c r="AA939"/>
  <c r="Z940"/>
  <c r="AA940"/>
  <c r="Z941"/>
  <c r="AA941"/>
  <c r="Z942"/>
  <c r="AA942"/>
  <c r="Z943"/>
  <c r="AA943"/>
  <c r="Z944"/>
  <c r="AA944"/>
  <c r="Z945"/>
  <c r="AA945"/>
  <c r="Z946"/>
  <c r="AA946"/>
  <c r="Z947"/>
  <c r="AA947"/>
  <c r="Z948"/>
  <c r="AA948"/>
  <c r="Z949"/>
  <c r="AA949"/>
  <c r="Z950"/>
  <c r="AA950"/>
  <c r="Z951"/>
  <c r="AA951"/>
  <c r="Z952"/>
  <c r="AA952"/>
  <c r="Z953"/>
  <c r="AA953"/>
  <c r="Z954"/>
  <c r="AA954"/>
  <c r="Z955"/>
  <c r="AA955"/>
  <c r="Z956"/>
  <c r="AA956"/>
  <c r="Z957"/>
  <c r="AA957"/>
  <c r="Z958"/>
  <c r="AA958"/>
  <c r="Z959"/>
  <c r="AA959"/>
  <c r="Z960"/>
  <c r="AA960"/>
  <c r="Z961"/>
  <c r="AA961"/>
  <c r="Z962"/>
  <c r="AA962"/>
  <c r="Z963"/>
  <c r="AA963"/>
  <c r="Z964"/>
  <c r="AA964"/>
  <c r="Z965"/>
  <c r="AA965"/>
  <c r="Z966"/>
  <c r="AA966"/>
  <c r="Z967"/>
  <c r="AA967"/>
  <c r="Z968"/>
  <c r="AA968"/>
  <c r="Z969"/>
  <c r="AA969"/>
  <c r="Z970"/>
  <c r="AA970"/>
  <c r="Z971"/>
  <c r="AA971"/>
  <c r="Z972"/>
  <c r="AA972"/>
  <c r="Z973"/>
  <c r="AA973"/>
  <c r="Z974"/>
  <c r="AA974"/>
  <c r="Z975"/>
  <c r="AA975"/>
  <c r="Z976"/>
  <c r="AA976"/>
  <c r="Z977"/>
  <c r="AA977"/>
  <c r="Z978"/>
  <c r="AA978"/>
  <c r="Z979"/>
  <c r="AA979"/>
  <c r="Z980"/>
  <c r="AA980"/>
  <c r="Z981"/>
  <c r="AA981"/>
  <c r="Z982"/>
  <c r="AA982"/>
  <c r="Z983"/>
  <c r="AA983"/>
  <c r="Z984"/>
  <c r="AA984"/>
  <c r="Z985"/>
  <c r="AA985"/>
  <c r="Z986"/>
  <c r="AA986"/>
  <c r="Z987"/>
  <c r="AA987"/>
  <c r="Z988"/>
  <c r="AA988"/>
  <c r="Z989"/>
  <c r="AA989"/>
  <c r="Z990"/>
  <c r="AA990"/>
  <c r="Z991"/>
  <c r="AA991"/>
  <c r="Z992"/>
  <c r="AA992"/>
  <c r="Z993"/>
  <c r="AA993"/>
  <c r="Z994"/>
  <c r="AA994"/>
  <c r="Z995"/>
  <c r="AA995"/>
  <c r="Z996"/>
  <c r="AA996"/>
  <c r="Z997"/>
  <c r="AA997"/>
  <c r="Z998"/>
  <c r="AA998"/>
  <c r="Z999"/>
  <c r="AA999"/>
  <c r="Z1000"/>
  <c r="AA1000"/>
  <c r="Z1001"/>
  <c r="AA1001"/>
  <c r="Z1002"/>
  <c r="AA1002"/>
  <c r="Z1003"/>
  <c r="AA1003"/>
  <c r="Z1004"/>
  <c r="AA1004"/>
  <c r="Z1005"/>
  <c r="AA1005"/>
  <c r="Z1006"/>
  <c r="AA1006"/>
  <c r="Z1007"/>
  <c r="AA1007"/>
  <c r="Z1008"/>
  <c r="AA1008"/>
  <c r="Z1009"/>
  <c r="AA1009"/>
  <c r="Z1010"/>
  <c r="AA1010"/>
  <c r="Z1011"/>
  <c r="AA1011"/>
  <c r="Z1012"/>
  <c r="AA1012"/>
  <c r="Z1013"/>
  <c r="AA1013"/>
  <c r="Z1014"/>
  <c r="AA1014"/>
  <c r="Z1015"/>
  <c r="AA1015"/>
  <c r="Z1016"/>
  <c r="AA1016"/>
  <c r="Z1017"/>
  <c r="AA1017"/>
  <c r="Z1018"/>
  <c r="AA1018"/>
  <c r="Z1019"/>
  <c r="AA1019"/>
  <c r="Z1020"/>
  <c r="AA1020"/>
  <c r="Z1021"/>
  <c r="AA1021"/>
  <c r="Z1022"/>
  <c r="AA1022"/>
  <c r="Z1023"/>
  <c r="AA1023"/>
  <c r="Z1024"/>
  <c r="AA1024"/>
  <c r="Z1025"/>
  <c r="AA1025"/>
  <c r="Z1026"/>
  <c r="AA1026"/>
  <c r="Z1027"/>
  <c r="AA1027"/>
  <c r="Z1028"/>
  <c r="AA1028"/>
  <c r="Z1029"/>
  <c r="AA1029"/>
  <c r="Z1030"/>
  <c r="AA1030"/>
  <c r="Z1031"/>
  <c r="AA1031"/>
  <c r="Z1032"/>
  <c r="AA1032"/>
  <c r="Z1033"/>
  <c r="AA1033"/>
  <c r="Z1034"/>
  <c r="AA1034"/>
  <c r="Z1035"/>
  <c r="AA1035"/>
  <c r="Z1036"/>
  <c r="AA1036"/>
  <c r="Z1037"/>
  <c r="AA1037"/>
  <c r="Z1038"/>
  <c r="AA1038"/>
  <c r="Z1039"/>
  <c r="AA1039"/>
  <c r="Z1040"/>
  <c r="AA1040"/>
  <c r="Z1041"/>
  <c r="AA1041"/>
  <c r="Z1042"/>
  <c r="AA1042"/>
  <c r="Z1043"/>
  <c r="AA1043"/>
  <c r="Z1044"/>
  <c r="AA1044"/>
  <c r="Z1045"/>
  <c r="AA1045"/>
  <c r="Z1046"/>
  <c r="AA1046"/>
  <c r="Z1047"/>
  <c r="AA1047"/>
  <c r="Z1048"/>
  <c r="AA1048"/>
  <c r="Z1049"/>
  <c r="AA1049"/>
  <c r="Z1050"/>
  <c r="AA1050"/>
  <c r="Z1051"/>
  <c r="AA1051"/>
  <c r="Z1052"/>
  <c r="AA1052"/>
  <c r="Z1053"/>
  <c r="AA1053"/>
  <c r="Z1054"/>
  <c r="AA1054"/>
  <c r="Z1055"/>
  <c r="AA1055"/>
  <c r="Z1056"/>
  <c r="AA1056"/>
  <c r="Z1057"/>
  <c r="AA1057"/>
  <c r="Z1058"/>
  <c r="AA1058"/>
  <c r="Z1059"/>
  <c r="AA1059"/>
  <c r="Z1060"/>
  <c r="AA1060"/>
  <c r="Z1061"/>
  <c r="AA1061"/>
  <c r="Z1062"/>
  <c r="AA1062"/>
  <c r="Z1063"/>
  <c r="AA1063"/>
  <c r="Z1064"/>
  <c r="AA1064"/>
  <c r="Z1065"/>
  <c r="AA1065"/>
  <c r="Z1066"/>
  <c r="AA1066"/>
  <c r="Z1067"/>
  <c r="AA1067"/>
  <c r="Z1068"/>
  <c r="AA1068"/>
  <c r="Z1069"/>
  <c r="AA1069"/>
  <c r="Z1070"/>
  <c r="AA1070"/>
  <c r="Z1071"/>
  <c r="AA1071"/>
  <c r="Z1072"/>
  <c r="AA1072"/>
  <c r="Z1073"/>
  <c r="AA1073"/>
  <c r="Z1074"/>
  <c r="AA1074"/>
  <c r="Z1075"/>
  <c r="AA1075"/>
  <c r="Z1076"/>
  <c r="AA1076"/>
  <c r="Z1077"/>
  <c r="AA1077"/>
  <c r="Z1078"/>
  <c r="AA1078"/>
  <c r="Z1079"/>
  <c r="AA1079"/>
  <c r="Z1080"/>
  <c r="AA1080"/>
  <c r="Z1081"/>
  <c r="AA1081"/>
  <c r="Z1082"/>
  <c r="AA1082"/>
  <c r="Z1083"/>
  <c r="AA1083"/>
  <c r="Z1084"/>
  <c r="AA1084"/>
  <c r="Z1085"/>
  <c r="AA1085"/>
  <c r="Z1086"/>
  <c r="AA1086"/>
  <c r="Z1087"/>
  <c r="AA1087"/>
  <c r="Z1088"/>
  <c r="AA1088"/>
  <c r="Z1089"/>
  <c r="AA1089"/>
  <c r="Z1090"/>
  <c r="AA1090"/>
  <c r="Z1091"/>
  <c r="AA1091"/>
  <c r="Z1092"/>
  <c r="AA1092"/>
  <c r="Z1093"/>
  <c r="AA1093"/>
  <c r="Z1094"/>
  <c r="AA1094"/>
  <c r="Z1095"/>
  <c r="AA1095"/>
  <c r="Z1096"/>
  <c r="AA1096"/>
  <c r="Z1097"/>
  <c r="AA1097"/>
  <c r="Z1098"/>
  <c r="AA1098"/>
  <c r="Z1099"/>
  <c r="AA1099"/>
  <c r="Z1100"/>
  <c r="AA1100"/>
  <c r="Z1101"/>
  <c r="AA1101"/>
  <c r="Z1102"/>
  <c r="AA1102"/>
  <c r="Z1103"/>
  <c r="AA1103"/>
  <c r="Z1104"/>
  <c r="AA1104"/>
  <c r="Z1105"/>
  <c r="AA1105"/>
  <c r="Z1106"/>
  <c r="AA1106"/>
  <c r="Z1107"/>
  <c r="AA1107"/>
  <c r="Z1108"/>
  <c r="AA1108"/>
  <c r="Z1109"/>
  <c r="AA1109"/>
  <c r="Z1110"/>
  <c r="AA1110"/>
  <c r="Z1111"/>
  <c r="AA1111"/>
  <c r="Z1112"/>
  <c r="AA1112"/>
  <c r="Z1113"/>
  <c r="AA1113"/>
  <c r="Z1114"/>
  <c r="AA1114"/>
  <c r="Z1115"/>
  <c r="AA1115"/>
  <c r="Z1116"/>
  <c r="AA1116"/>
  <c r="Z1117"/>
  <c r="AA1117"/>
  <c r="Z1118"/>
  <c r="AA1118"/>
  <c r="Z1119"/>
  <c r="AA1119"/>
  <c r="Z1120"/>
  <c r="AA1120"/>
  <c r="Z1121"/>
  <c r="AA1121"/>
  <c r="Z1122"/>
  <c r="AA1122"/>
  <c r="Z1123"/>
  <c r="AA1123"/>
  <c r="Z1124"/>
  <c r="AA1124"/>
  <c r="Z1125"/>
  <c r="AA1125"/>
  <c r="Z1126"/>
  <c r="AA1126"/>
  <c r="Z1127"/>
  <c r="AA1127"/>
  <c r="Z1128"/>
  <c r="AA1128"/>
  <c r="Z1129"/>
  <c r="AA1129"/>
  <c r="Z1130"/>
  <c r="AA1130"/>
  <c r="Z1131"/>
  <c r="AA1131"/>
  <c r="Z1132"/>
  <c r="AA1132"/>
  <c r="Z1133"/>
  <c r="AA1133"/>
  <c r="Z1134"/>
  <c r="AA1134"/>
  <c r="Z1135"/>
  <c r="AA1135"/>
  <c r="Z1136"/>
  <c r="AA1136"/>
  <c r="Z1137"/>
  <c r="AA1137"/>
  <c r="Z1138"/>
  <c r="AA1138"/>
  <c r="Z1139"/>
  <c r="AA1139"/>
  <c r="Z1140"/>
  <c r="AA1140"/>
  <c r="Z1141"/>
  <c r="AA1141"/>
  <c r="Z1142"/>
  <c r="AA1142"/>
  <c r="Z1143"/>
  <c r="AA1143"/>
  <c r="Z1144"/>
  <c r="AA1144"/>
  <c r="Z1145"/>
  <c r="AA1145"/>
  <c r="Z1146"/>
  <c r="AA1146"/>
  <c r="Z1147"/>
  <c r="AA1147"/>
  <c r="Z1148"/>
  <c r="AA1148"/>
  <c r="Z1149"/>
  <c r="AA1149"/>
  <c r="Z1150"/>
  <c r="AA1150"/>
  <c r="Z1151"/>
  <c r="AA1151"/>
  <c r="Z1152"/>
  <c r="AA1152"/>
  <c r="Z1153"/>
  <c r="AA1153"/>
  <c r="Z1154"/>
  <c r="AA1154"/>
  <c r="Z1155"/>
  <c r="AA1155"/>
  <c r="Z1156"/>
  <c r="AA1156"/>
  <c r="Z1157"/>
  <c r="AA1157"/>
  <c r="Z1158"/>
  <c r="AA1158"/>
  <c r="Z1159"/>
  <c r="AA1159"/>
  <c r="Z1160"/>
  <c r="AA1160"/>
  <c r="Z1161"/>
  <c r="AA1161"/>
  <c r="Z1162"/>
  <c r="AA1162"/>
  <c r="Z1163"/>
  <c r="AA1163"/>
  <c r="Z1164"/>
  <c r="AA1164"/>
  <c r="Z1165"/>
  <c r="AA1165"/>
  <c r="Z1166"/>
  <c r="AA1166"/>
  <c r="Z1167"/>
  <c r="AA1167"/>
  <c r="Z1168"/>
  <c r="AA1168"/>
  <c r="Z1169"/>
  <c r="AA1169"/>
  <c r="Z1170"/>
  <c r="AA1170"/>
  <c r="Z1171"/>
  <c r="AA1171"/>
  <c r="Z1172"/>
  <c r="AA1172"/>
  <c r="Z1173"/>
  <c r="AA1173"/>
  <c r="Z1174"/>
  <c r="AA1174"/>
  <c r="Z1175"/>
  <c r="AA1175"/>
  <c r="Z1176"/>
  <c r="AA1176"/>
  <c r="Z1177"/>
  <c r="AA1177"/>
  <c r="Z1178"/>
  <c r="AA1178"/>
  <c r="Z1179"/>
  <c r="AA1179"/>
  <c r="Z1180"/>
  <c r="AA1180"/>
  <c r="Z1181"/>
  <c r="AA1181"/>
  <c r="Z1182"/>
  <c r="AA1182"/>
  <c r="Z1183"/>
  <c r="AA1183"/>
  <c r="Z1184"/>
  <c r="AA1184"/>
  <c r="Z1185"/>
  <c r="AA1185"/>
  <c r="Z1186"/>
  <c r="AA1186"/>
  <c r="Z1187"/>
  <c r="AA1187"/>
  <c r="Z1188"/>
  <c r="AA1188"/>
  <c r="Z1189"/>
  <c r="AA1189"/>
  <c r="Z1190"/>
  <c r="AA1190"/>
  <c r="Z1191"/>
  <c r="AA1191"/>
  <c r="Z1192"/>
  <c r="AA1192"/>
  <c r="Z1193"/>
  <c r="AA1193"/>
  <c r="Z1194"/>
  <c r="AA1194"/>
  <c r="Z1195"/>
  <c r="AA1195"/>
  <c r="Z1196"/>
  <c r="AA1196"/>
  <c r="Z1197"/>
  <c r="AA1197"/>
  <c r="Z1198"/>
  <c r="AA1198"/>
  <c r="Z1199"/>
  <c r="AA1199"/>
  <c r="Z1200"/>
  <c r="AA1200"/>
  <c r="Z1201"/>
  <c r="AA1201"/>
  <c r="Z1202"/>
  <c r="AA1202"/>
  <c r="Z1203"/>
  <c r="AA1203"/>
  <c r="Z1204"/>
  <c r="AA1204"/>
  <c r="Z1205"/>
  <c r="AA1205"/>
  <c r="Z1206"/>
  <c r="AA1206"/>
  <c r="Z1207"/>
  <c r="AA1207"/>
  <c r="Z1208"/>
  <c r="AA1208"/>
  <c r="Z1209"/>
  <c r="AA1209"/>
  <c r="Z1210"/>
  <c r="AA1210"/>
  <c r="Z1211"/>
  <c r="AA1211"/>
  <c r="Z1212"/>
  <c r="AA1212"/>
  <c r="Z1213"/>
  <c r="AA1213"/>
  <c r="Z1214"/>
  <c r="AA1214"/>
  <c r="Z1215"/>
  <c r="AA1215"/>
  <c r="Z1216"/>
  <c r="AA1216"/>
  <c r="Z1217"/>
  <c r="AA1217"/>
  <c r="Z1218"/>
  <c r="AA1218"/>
  <c r="Z1219"/>
  <c r="AA1219"/>
  <c r="Z1220"/>
  <c r="AA1220"/>
  <c r="Z1221"/>
  <c r="AA1221"/>
  <c r="Z1222"/>
  <c r="AA1222"/>
  <c r="Z1223"/>
  <c r="AA1223"/>
  <c r="Z1224"/>
  <c r="AA1224"/>
  <c r="Z1225"/>
  <c r="AA1225"/>
  <c r="Z1226"/>
  <c r="AA1226"/>
  <c r="Z1227"/>
  <c r="AA1227"/>
  <c r="Z1228"/>
  <c r="AA1228"/>
  <c r="Z1229"/>
  <c r="AA1229"/>
  <c r="Z1230"/>
  <c r="AA1230"/>
  <c r="Z1231"/>
  <c r="AA1231"/>
  <c r="Z1232"/>
  <c r="AA1232"/>
  <c r="Z1233"/>
  <c r="AA1233"/>
  <c r="Z1234"/>
  <c r="AA1234"/>
  <c r="Z1235"/>
  <c r="AA1235"/>
  <c r="Z1236"/>
  <c r="AA1236"/>
  <c r="Z1237"/>
  <c r="AA1237"/>
  <c r="Z1238"/>
  <c r="AA1238"/>
  <c r="Z1239"/>
  <c r="AA1239"/>
  <c r="Z1240"/>
  <c r="AA1240"/>
  <c r="Z1241"/>
  <c r="AA1241"/>
  <c r="Z1242"/>
  <c r="AA1242"/>
  <c r="Z1243"/>
  <c r="AA1243"/>
  <c r="Z1244"/>
  <c r="AA1244"/>
  <c r="Z1245"/>
  <c r="AA1245"/>
  <c r="Z1246"/>
  <c r="AA1246"/>
  <c r="Z1247"/>
  <c r="AA1247"/>
  <c r="Z1248"/>
  <c r="AA1248"/>
  <c r="Z1249"/>
  <c r="AA1249"/>
  <c r="Z1250"/>
  <c r="AA1250"/>
  <c r="Z1251"/>
  <c r="AA1251"/>
  <c r="Z1252"/>
  <c r="AA1252"/>
  <c r="Z1253"/>
  <c r="AA1253"/>
  <c r="Z1254"/>
  <c r="AA1254"/>
  <c r="Z1255"/>
  <c r="AA1255"/>
  <c r="Z1256"/>
  <c r="AA1256"/>
  <c r="Z1257"/>
  <c r="AA1257"/>
  <c r="Z1258"/>
  <c r="AA1258"/>
  <c r="Z1259"/>
  <c r="AA1259"/>
  <c r="Z1260"/>
  <c r="AA1260"/>
  <c r="Z1261"/>
  <c r="AA1261"/>
  <c r="Z1262"/>
  <c r="AA1262"/>
  <c r="Z1263"/>
  <c r="AA1263"/>
  <c r="Z1264"/>
  <c r="AA1264"/>
  <c r="Z1265"/>
  <c r="AA1265"/>
  <c r="Z1266"/>
  <c r="AA1266"/>
  <c r="Z1267"/>
  <c r="AA1267"/>
  <c r="Z1268"/>
  <c r="AA1268"/>
  <c r="Z1269"/>
  <c r="AA1269"/>
  <c r="Z1270"/>
  <c r="AA1270"/>
  <c r="Z1271"/>
  <c r="AA1271"/>
  <c r="Z1272"/>
  <c r="AA1272"/>
  <c r="Z1273"/>
  <c r="AA1273"/>
  <c r="Z1274"/>
  <c r="AA1274"/>
  <c r="Z1275"/>
  <c r="AA1275"/>
  <c r="Z1276"/>
  <c r="AA1276"/>
  <c r="Z1277"/>
  <c r="AA1277"/>
  <c r="Z1278"/>
  <c r="AA1278"/>
  <c r="Z1279"/>
  <c r="AA1279"/>
  <c r="Z1280"/>
  <c r="AA1280"/>
  <c r="Z1281"/>
  <c r="AA1281"/>
  <c r="Z1282"/>
  <c r="AA1282"/>
  <c r="Z1283"/>
  <c r="AA1283"/>
  <c r="Z1284"/>
  <c r="AA1284"/>
  <c r="Z1285"/>
  <c r="AA1285"/>
  <c r="Z1286"/>
  <c r="AA1286"/>
  <c r="Z1287"/>
  <c r="AA1287"/>
  <c r="Z1288"/>
  <c r="AA1288"/>
  <c r="Z1289"/>
  <c r="AA1289"/>
  <c r="Z1290"/>
  <c r="AA1290"/>
  <c r="Z1291"/>
  <c r="AA1291"/>
  <c r="Z1292"/>
  <c r="AA1292"/>
  <c r="Z1293"/>
  <c r="AA1293"/>
  <c r="Z1294"/>
  <c r="AA1294"/>
  <c r="Z1295"/>
  <c r="AA1295"/>
  <c r="Z1296"/>
  <c r="AA1296"/>
  <c r="Z1297"/>
  <c r="AA1297"/>
  <c r="Z1298"/>
  <c r="AA1298"/>
  <c r="Z1299"/>
  <c r="AA1299"/>
  <c r="Z1300"/>
  <c r="AA1300"/>
  <c r="Z1301"/>
  <c r="AA1301"/>
  <c r="Z1302"/>
  <c r="AA1302"/>
  <c r="Z1303"/>
  <c r="AA1303"/>
  <c r="Z1304"/>
  <c r="AA1304"/>
  <c r="Z1305"/>
  <c r="AA1305"/>
  <c r="Z1306"/>
  <c r="AA1306"/>
  <c r="Z1307"/>
  <c r="AA1307"/>
  <c r="Z1308"/>
  <c r="AA1308"/>
  <c r="Z1309"/>
  <c r="AA1309"/>
  <c r="Z1310"/>
  <c r="AA1310"/>
  <c r="Z1311"/>
  <c r="AA1311"/>
  <c r="Z1312"/>
  <c r="AA1312"/>
  <c r="Z1313"/>
  <c r="AA1313"/>
  <c r="Z1314"/>
  <c r="AA1314"/>
  <c r="Z1315"/>
  <c r="AA1315"/>
  <c r="Z1316"/>
  <c r="AA1316"/>
  <c r="Z1317"/>
  <c r="AA1317"/>
  <c r="Z1318"/>
  <c r="AA1318"/>
  <c r="Z1319"/>
  <c r="AA1319"/>
  <c r="Z1320"/>
  <c r="AA1320"/>
  <c r="Z1321"/>
  <c r="AA1321"/>
  <c r="Z1322"/>
  <c r="AA1322"/>
  <c r="Z1323"/>
  <c r="AA1323"/>
  <c r="Z1324"/>
  <c r="AA1324"/>
  <c r="Z1325"/>
  <c r="AA1325"/>
  <c r="Z1326"/>
  <c r="AA1326"/>
  <c r="Z1327"/>
  <c r="AA1327"/>
  <c r="Z1328"/>
  <c r="AA1328"/>
  <c r="Z1329"/>
  <c r="AA1329"/>
  <c r="Z1330"/>
  <c r="AA1330"/>
  <c r="Z1331"/>
  <c r="AA1331"/>
  <c r="Z1332"/>
  <c r="AA1332"/>
  <c r="Z1333"/>
  <c r="AA1333"/>
  <c r="Z1334"/>
  <c r="AA1334"/>
  <c r="Z1335"/>
  <c r="AA1335"/>
  <c r="Z1336"/>
  <c r="AA1336"/>
  <c r="Z1337"/>
  <c r="AA1337"/>
  <c r="Z1338"/>
  <c r="AA1338"/>
  <c r="Z1339"/>
  <c r="AA1339"/>
  <c r="Z1340"/>
  <c r="AA1340"/>
  <c r="Z1341"/>
  <c r="AA1341"/>
  <c r="Z1342"/>
  <c r="AA1342"/>
  <c r="Z1343"/>
  <c r="AA1343"/>
  <c r="Z1344"/>
  <c r="AA1344"/>
  <c r="Z1345"/>
  <c r="AA1345"/>
  <c r="Z1346"/>
  <c r="AA1346"/>
  <c r="Z1347"/>
  <c r="AA1347"/>
  <c r="Z1348"/>
  <c r="AA1348"/>
  <c r="Z1349"/>
  <c r="AA1349"/>
  <c r="Z1350"/>
  <c r="AA1350"/>
  <c r="Z1351"/>
  <c r="AA1351"/>
  <c r="Z1352"/>
  <c r="AA1352"/>
  <c r="Z1353"/>
  <c r="AA1353"/>
  <c r="Z1354"/>
  <c r="AA1354"/>
  <c r="Z1355"/>
  <c r="AA1355"/>
  <c r="Z1356"/>
  <c r="AA1356"/>
  <c r="Z1357"/>
  <c r="AA1357"/>
  <c r="Z1358"/>
  <c r="AA1358"/>
  <c r="Z1359"/>
  <c r="AA1359"/>
  <c r="Z1360"/>
  <c r="AA1360"/>
  <c r="Z1361"/>
  <c r="AA1361"/>
  <c r="Z1362"/>
  <c r="AA1362"/>
  <c r="Z1363"/>
  <c r="AA1363"/>
  <c r="Z1364"/>
  <c r="AA1364"/>
  <c r="Z1365"/>
  <c r="AA1365"/>
  <c r="Z1366"/>
  <c r="AA1366"/>
  <c r="Z1367"/>
  <c r="AA1367"/>
  <c r="Z1368"/>
  <c r="AA1368"/>
  <c r="Z1369"/>
  <c r="AA1369"/>
  <c r="Z1370"/>
  <c r="AA1370"/>
  <c r="Z1371"/>
  <c r="AA1371"/>
  <c r="Z1372"/>
  <c r="AA1372"/>
  <c r="Z1373"/>
  <c r="AA1373"/>
  <c r="Z1374"/>
  <c r="AA1374"/>
  <c r="Z1375"/>
  <c r="AA1375"/>
  <c r="Z1376"/>
  <c r="AA1376"/>
  <c r="Z1377"/>
  <c r="AA1377"/>
  <c r="Z1378"/>
  <c r="AA1378"/>
  <c r="Z1379"/>
  <c r="AA1379"/>
  <c r="Z1380"/>
  <c r="AA1380"/>
  <c r="Z1381"/>
  <c r="AA1381"/>
  <c r="Z1382"/>
  <c r="AA1382"/>
  <c r="Z1383"/>
  <c r="AA1383"/>
  <c r="Z1384"/>
  <c r="AA1384"/>
  <c r="Z1385"/>
  <c r="AA1385"/>
  <c r="Z1386"/>
  <c r="AA1386"/>
  <c r="Z1387"/>
  <c r="AA1387"/>
  <c r="Z1388"/>
  <c r="AA1388"/>
  <c r="Z1389"/>
  <c r="AA1389"/>
  <c r="Z1390"/>
  <c r="AA1390"/>
  <c r="Z1391"/>
  <c r="AA1391"/>
  <c r="Z1392"/>
  <c r="AA1392"/>
  <c r="Z1393"/>
  <c r="AA1393"/>
  <c r="Z1394"/>
  <c r="AA1394"/>
  <c r="Z1395"/>
  <c r="AA1395"/>
  <c r="Z1396"/>
  <c r="AA1396"/>
  <c r="Z1397"/>
  <c r="AA1397"/>
  <c r="Z1398"/>
  <c r="AA1398"/>
  <c r="Z1399"/>
  <c r="AA1399"/>
  <c r="Z1400"/>
  <c r="AA1400"/>
  <c r="Z1401"/>
  <c r="AA1401"/>
  <c r="Z1402"/>
  <c r="AA1402"/>
  <c r="Z1403"/>
  <c r="AA1403"/>
  <c r="Z1404"/>
  <c r="AA1404"/>
  <c r="Z1405"/>
  <c r="AA1405"/>
  <c r="Z1406"/>
  <c r="AA1406"/>
  <c r="Z1407"/>
  <c r="AA1407"/>
  <c r="Z1408"/>
  <c r="AA1408"/>
  <c r="Z1409"/>
  <c r="AA1409"/>
  <c r="Z1410"/>
  <c r="AA1410"/>
  <c r="Z1411"/>
  <c r="AA1411"/>
  <c r="Z1412"/>
  <c r="AA1412"/>
  <c r="Z1413"/>
  <c r="AA1413"/>
  <c r="Z1414"/>
  <c r="AA1414"/>
  <c r="Z1415"/>
  <c r="AA1415"/>
  <c r="Z1416"/>
  <c r="AA1416"/>
  <c r="Z1417"/>
  <c r="AA1417"/>
  <c r="Z1418"/>
  <c r="AA1418"/>
  <c r="Z1419"/>
  <c r="AA1419"/>
  <c r="Z1420"/>
  <c r="AA1420"/>
  <c r="Z1421"/>
  <c r="AA1421"/>
  <c r="Z1422"/>
  <c r="AA1422"/>
  <c r="Z1423"/>
  <c r="AA1423"/>
  <c r="Z1424"/>
  <c r="AA1424"/>
  <c r="Z1425"/>
  <c r="AA1425"/>
  <c r="Z1426"/>
  <c r="AA1426"/>
  <c r="Z1427"/>
  <c r="AA1427"/>
  <c r="Z1428"/>
  <c r="AA1428"/>
  <c r="Z1429"/>
  <c r="AA1429"/>
  <c r="Z1430"/>
  <c r="AA1430"/>
  <c r="Z1431"/>
  <c r="AA1431"/>
  <c r="Z1432"/>
  <c r="AA1432"/>
  <c r="Z1433"/>
  <c r="AA1433"/>
  <c r="Z1434"/>
  <c r="AA1434"/>
  <c r="Z1435"/>
  <c r="AA1435"/>
  <c r="Z1436"/>
  <c r="AA1436"/>
  <c r="Z1437"/>
  <c r="AA1437"/>
  <c r="Z1438"/>
  <c r="AA1438"/>
  <c r="Z1439"/>
  <c r="AA1439"/>
  <c r="Z1440"/>
  <c r="AA1440"/>
  <c r="Z1441"/>
  <c r="AA1441"/>
  <c r="Z1442"/>
  <c r="AA1442"/>
  <c r="Z1443"/>
  <c r="AA1443"/>
  <c r="Z1444"/>
  <c r="AA1444"/>
  <c r="Z1445"/>
  <c r="AA1445"/>
  <c r="Z1446"/>
  <c r="AA1446"/>
  <c r="Z1447"/>
  <c r="AA1447"/>
  <c r="Z1448"/>
  <c r="AA1448"/>
  <c r="Z1449"/>
  <c r="AA1449"/>
  <c r="Z1450"/>
  <c r="AA1450"/>
  <c r="Z1451"/>
  <c r="AA1451"/>
  <c r="Z1452"/>
  <c r="AA1452"/>
  <c r="Z1453"/>
  <c r="AA1453"/>
  <c r="Z1454"/>
  <c r="AA1454"/>
  <c r="Z1455"/>
  <c r="AA1455"/>
  <c r="Z1456"/>
  <c r="AA1456"/>
  <c r="Z1457"/>
  <c r="AA1457"/>
  <c r="Z1458"/>
  <c r="AA1458"/>
  <c r="Z1459"/>
  <c r="AA1459"/>
  <c r="Z1460"/>
  <c r="AA1460"/>
  <c r="Z1461"/>
  <c r="AA1461"/>
  <c r="Z1462"/>
  <c r="AA1462"/>
  <c r="Z1463"/>
  <c r="AA1463"/>
  <c r="Z1464"/>
  <c r="AA1464"/>
  <c r="Z1465"/>
  <c r="AA1465"/>
  <c r="Z1466"/>
  <c r="AA1466"/>
  <c r="Z1467"/>
  <c r="AA1467"/>
  <c r="Z1468"/>
  <c r="AA1468"/>
  <c r="Z1469"/>
  <c r="AA1469"/>
  <c r="Z1470"/>
  <c r="AA1470"/>
  <c r="Z1471"/>
  <c r="AA1471"/>
  <c r="Z1472"/>
  <c r="AA1472"/>
  <c r="Z1473"/>
  <c r="AA1473"/>
  <c r="Z1474"/>
  <c r="AA1474"/>
  <c r="Z1475"/>
  <c r="AA1475"/>
  <c r="Z1476"/>
  <c r="AA1476"/>
  <c r="Z1477"/>
  <c r="AA1477"/>
  <c r="Z1478"/>
  <c r="AA1478"/>
  <c r="Z1479"/>
  <c r="AA1479"/>
  <c r="Z1480"/>
  <c r="AA1480"/>
  <c r="Z1481"/>
  <c r="AA1481"/>
  <c r="Z1482"/>
  <c r="AA1482"/>
  <c r="Z1483"/>
  <c r="AA1483"/>
  <c r="Z1484"/>
  <c r="AA1484"/>
  <c r="Z1485"/>
  <c r="AA1485"/>
  <c r="Z1486"/>
  <c r="AA1486"/>
  <c r="Z1487"/>
  <c r="AA1487"/>
  <c r="Z1488"/>
  <c r="AA1488"/>
  <c r="Z1489"/>
  <c r="AA1489"/>
  <c r="Z1490"/>
  <c r="AA1490"/>
  <c r="Z1491"/>
  <c r="AA1491"/>
  <c r="Z1492"/>
  <c r="AA1492"/>
  <c r="Z1493"/>
  <c r="AA1493"/>
  <c r="Z1494"/>
  <c r="AA1494"/>
  <c r="Z1495"/>
  <c r="AA1495"/>
  <c r="Z1496"/>
  <c r="AA1496"/>
  <c r="Z1497"/>
  <c r="AA1497"/>
  <c r="Z1498"/>
  <c r="AA1498"/>
  <c r="Z1499"/>
  <c r="AA1499"/>
  <c r="Z1500"/>
  <c r="AA1500"/>
  <c r="Z1501"/>
  <c r="AA1501"/>
  <c r="Z1502"/>
  <c r="AA1502"/>
  <c r="Z1503"/>
  <c r="AA1503"/>
  <c r="Z1504"/>
  <c r="AA1504"/>
  <c r="Z1505"/>
  <c r="AA1505"/>
  <c r="Z1506"/>
  <c r="AA1506"/>
  <c r="Z1507"/>
  <c r="AA1507"/>
  <c r="Z1508"/>
  <c r="AA1508"/>
  <c r="Z1509"/>
  <c r="AA1509"/>
  <c r="Z1510"/>
  <c r="AA1510"/>
  <c r="Z1511"/>
  <c r="AA1511"/>
  <c r="Z1512"/>
  <c r="AA1512"/>
  <c r="Z1513"/>
  <c r="AA1513"/>
  <c r="Z1514"/>
  <c r="AA1514"/>
  <c r="Z1515"/>
  <c r="AA1515"/>
  <c r="Z1516"/>
  <c r="AA1516"/>
  <c r="Z1517"/>
  <c r="AA1517"/>
  <c r="Z1518"/>
  <c r="AA1518"/>
  <c r="Z1519"/>
  <c r="AA1519"/>
  <c r="Z1520"/>
  <c r="AA1520"/>
  <c r="Z1521"/>
  <c r="AA1521"/>
  <c r="Z1522"/>
  <c r="AA1522"/>
  <c r="Z1523"/>
  <c r="AA1523"/>
  <c r="Z1524"/>
  <c r="AA1524"/>
  <c r="Z1525"/>
  <c r="AA1525"/>
  <c r="Z1526"/>
  <c r="AA1526"/>
  <c r="Z1527"/>
  <c r="AA1527"/>
  <c r="Z1528"/>
  <c r="AA1528"/>
  <c r="Z1529"/>
  <c r="AA1529"/>
  <c r="Z1530"/>
  <c r="AA1530"/>
  <c r="Z1531"/>
  <c r="AA1531"/>
  <c r="Z1532"/>
  <c r="AA1532"/>
  <c r="Z1533"/>
  <c r="AA1533"/>
  <c r="Z1534"/>
  <c r="AA1534"/>
  <c r="Z1535"/>
  <c r="AA1535"/>
  <c r="Z1536"/>
  <c r="AA1536"/>
  <c r="Z1537"/>
  <c r="AA1537"/>
  <c r="Z1538"/>
  <c r="AA1538"/>
  <c r="Z1539"/>
  <c r="AA1539"/>
  <c r="Z1540"/>
  <c r="AA1540"/>
  <c r="Z1541"/>
  <c r="AA1541"/>
  <c r="Z1542"/>
  <c r="AA1542"/>
  <c r="Z1543"/>
  <c r="AA1543"/>
  <c r="Z1544"/>
  <c r="AA1544"/>
  <c r="Z1545"/>
  <c r="AA1545"/>
  <c r="Z1546"/>
  <c r="AA1546"/>
  <c r="Z1547"/>
  <c r="AA1547"/>
  <c r="Z1548"/>
  <c r="AA1548"/>
  <c r="Z1549"/>
  <c r="AA1549"/>
  <c r="Z1550"/>
  <c r="AA1550"/>
  <c r="Z1551"/>
  <c r="AA1551"/>
  <c r="Z1552"/>
  <c r="AA1552"/>
  <c r="Z1553"/>
  <c r="AA1553"/>
  <c r="Z1554"/>
  <c r="AA1554"/>
  <c r="Z1555"/>
  <c r="AA1555"/>
  <c r="Z1556"/>
  <c r="AA1556"/>
  <c r="Z1557"/>
  <c r="AA1557"/>
  <c r="Z1558"/>
  <c r="AA1558"/>
  <c r="Z1559"/>
  <c r="AA1559"/>
  <c r="Z1560"/>
  <c r="AA1560"/>
  <c r="Z1561"/>
  <c r="AA1561"/>
  <c r="Z1562"/>
  <c r="AA1562"/>
  <c r="Z1563"/>
  <c r="AA1563"/>
  <c r="Z1564"/>
  <c r="AA1564"/>
  <c r="Z1565"/>
  <c r="AA1565"/>
  <c r="Z1566"/>
  <c r="AA1566"/>
  <c r="Z1567"/>
  <c r="AA1567"/>
  <c r="Z1568"/>
  <c r="AA1568"/>
  <c r="Z1569"/>
  <c r="AA1569"/>
  <c r="Z1570"/>
  <c r="AA1570"/>
  <c r="Z1571"/>
  <c r="AA1571"/>
  <c r="Z1572"/>
  <c r="AA1572"/>
  <c r="Z1573"/>
  <c r="AA1573"/>
  <c r="Z1574"/>
  <c r="AA1574"/>
  <c r="Z1575"/>
  <c r="AA1575"/>
  <c r="Z1576"/>
  <c r="AA1576"/>
  <c r="Z1577"/>
  <c r="AA1577"/>
  <c r="Z1578"/>
  <c r="AA1578"/>
  <c r="Z1579"/>
  <c r="AA1579"/>
  <c r="Z1580"/>
  <c r="AA1580"/>
  <c r="Z1581"/>
  <c r="AA1581"/>
  <c r="Z1582"/>
  <c r="AA1582"/>
  <c r="Z1583"/>
  <c r="AA1583"/>
  <c r="Z1584"/>
  <c r="AA1584"/>
  <c r="Z1585"/>
  <c r="AA1585"/>
  <c r="Z1586"/>
  <c r="AA1586"/>
  <c r="Z1587"/>
  <c r="AA1587"/>
  <c r="Z1588"/>
  <c r="AA1588"/>
  <c r="Z1589"/>
  <c r="AA1589"/>
  <c r="Z1590"/>
  <c r="AA1590"/>
  <c r="Z1591"/>
  <c r="AA1591"/>
  <c r="Z1592"/>
  <c r="AA1592"/>
  <c r="Z1593"/>
  <c r="AA1593"/>
  <c r="Z1594"/>
  <c r="AA1594"/>
  <c r="Z1595"/>
  <c r="AA1595"/>
  <c r="Z1596"/>
  <c r="AA1596"/>
  <c r="Z1597"/>
  <c r="AA1597"/>
  <c r="Z1598"/>
  <c r="AA1598"/>
  <c r="Z1599"/>
  <c r="AA1599"/>
  <c r="Z1600"/>
  <c r="AA1600"/>
  <c r="Z1601"/>
  <c r="AA1601"/>
  <c r="Z1602"/>
  <c r="AA1602"/>
  <c r="Z1603"/>
  <c r="AA1603"/>
  <c r="Z1604"/>
  <c r="AA1604"/>
  <c r="Z1605"/>
  <c r="AA1605"/>
  <c r="Z1606"/>
  <c r="AA1606"/>
  <c r="Z1607"/>
  <c r="AA1607"/>
  <c r="Z1608"/>
  <c r="AA1608"/>
  <c r="Z1609"/>
  <c r="AA1609"/>
  <c r="Z1610"/>
  <c r="AA1610"/>
  <c r="Z1611"/>
  <c r="AA1611"/>
  <c r="Z1612"/>
  <c r="AA1612"/>
  <c r="Z1613"/>
  <c r="AA1613"/>
  <c r="Z1614"/>
  <c r="AA1614"/>
  <c r="Z1615"/>
  <c r="AA1615"/>
  <c r="Z1616"/>
  <c r="AA1616"/>
  <c r="Z1617"/>
  <c r="AA1617"/>
  <c r="Z1618"/>
  <c r="AA1618"/>
  <c r="Z1619"/>
  <c r="AA1619"/>
  <c r="Z1620"/>
  <c r="AA1620"/>
  <c r="Z1621"/>
  <c r="AA1621"/>
  <c r="Z1622"/>
  <c r="AA1622"/>
  <c r="Z1623"/>
  <c r="AA1623"/>
  <c r="Z1624"/>
  <c r="AA1624"/>
  <c r="Z1625"/>
  <c r="AA1625"/>
  <c r="Z1626"/>
  <c r="AA1626"/>
  <c r="Z1627"/>
  <c r="AA1627"/>
  <c r="Z1628"/>
  <c r="AA1628"/>
  <c r="Z1629"/>
  <c r="AA1629"/>
  <c r="Z1630"/>
  <c r="AA1630"/>
  <c r="Z1631"/>
  <c r="AA1631"/>
  <c r="Z1632"/>
  <c r="AA1632"/>
  <c r="Z1633"/>
  <c r="AA1633"/>
  <c r="Z1634"/>
  <c r="AA1634"/>
  <c r="Z1635"/>
  <c r="AA1635"/>
  <c r="Z1636"/>
  <c r="AA1636"/>
  <c r="Z1637"/>
  <c r="AA1637"/>
  <c r="Z1638"/>
  <c r="AA1638"/>
  <c r="Z1639"/>
  <c r="AA1639"/>
  <c r="Z1640"/>
  <c r="AA1640"/>
  <c r="Z1641"/>
  <c r="AA1641"/>
  <c r="Z1642"/>
  <c r="AA1642"/>
  <c r="Z1643"/>
  <c r="AA1643"/>
  <c r="Z1644"/>
  <c r="AA1644"/>
  <c r="Z1645"/>
  <c r="AA1645"/>
  <c r="Z1646"/>
  <c r="AA1646"/>
  <c r="Z1647"/>
  <c r="AA1647"/>
  <c r="Z1648"/>
  <c r="AA1648"/>
  <c r="Z1649"/>
  <c r="AA1649"/>
  <c r="Z1650"/>
  <c r="AA1650"/>
  <c r="Z1651"/>
  <c r="AA1651"/>
  <c r="Z1652"/>
  <c r="AA1652"/>
  <c r="Z1653"/>
  <c r="AA1653"/>
  <c r="Z1654"/>
  <c r="AA1654"/>
  <c r="Z1655"/>
  <c r="AA1655"/>
  <c r="Z1656"/>
  <c r="AA1656"/>
  <c r="Z1657"/>
  <c r="AA1657"/>
  <c r="Z1658"/>
  <c r="AA1658"/>
  <c r="Z1659"/>
  <c r="AA1659"/>
  <c r="Z1660"/>
  <c r="AA1660"/>
  <c r="Z1661"/>
  <c r="AA1661"/>
  <c r="Z1662"/>
  <c r="AA1662"/>
  <c r="Z1663"/>
  <c r="AA1663"/>
  <c r="Z1664"/>
  <c r="AA1664"/>
  <c r="Z1665"/>
  <c r="AA1665"/>
  <c r="Z1666"/>
  <c r="AA1666"/>
  <c r="Z1667"/>
  <c r="AA1667"/>
  <c r="Z1668"/>
  <c r="AA1668"/>
  <c r="Z1669"/>
  <c r="AA1669"/>
  <c r="Z1670"/>
  <c r="AA1670"/>
  <c r="Z1671"/>
  <c r="AA1671"/>
  <c r="Z1672"/>
  <c r="AA1672"/>
  <c r="Z1673"/>
  <c r="AA1673"/>
  <c r="Z1674"/>
  <c r="AA1674"/>
  <c r="Z1675"/>
  <c r="AA1675"/>
  <c r="Z1676"/>
  <c r="AA1676"/>
  <c r="Z1677"/>
  <c r="AA1677"/>
  <c r="Z1678"/>
  <c r="AA1678"/>
  <c r="Z1679"/>
  <c r="AA1679"/>
  <c r="Z1680"/>
  <c r="AA1680"/>
  <c r="Z1681"/>
  <c r="AA1681"/>
  <c r="Z1682"/>
  <c r="AA1682"/>
  <c r="Z1683"/>
  <c r="AA1683"/>
  <c r="Z1684"/>
  <c r="AA1684"/>
  <c r="Z1685"/>
  <c r="AA1685"/>
  <c r="Z1686"/>
  <c r="AA1686"/>
  <c r="Z1687"/>
  <c r="AA1687"/>
  <c r="Z1688"/>
  <c r="AA1688"/>
  <c r="Z1689"/>
  <c r="AA1689"/>
  <c r="Z1690"/>
  <c r="AA1690"/>
  <c r="Z1691"/>
  <c r="AA1691"/>
  <c r="Z1692"/>
  <c r="AA1692"/>
  <c r="Z1693"/>
  <c r="AA1693"/>
  <c r="Z1694"/>
  <c r="AA1694"/>
  <c r="Z1695"/>
  <c r="AA1695"/>
  <c r="Z1696"/>
  <c r="AA1696"/>
  <c r="Z1697"/>
  <c r="AA1697"/>
  <c r="Z1698"/>
  <c r="AA1698"/>
  <c r="Z1699"/>
  <c r="AA1699"/>
  <c r="Z1700"/>
  <c r="AA1700"/>
  <c r="Z1701"/>
  <c r="AA1701"/>
  <c r="AA2" l="1"/>
  <c r="Z2" l="1"/>
  <c r="AX455" l="1"/>
  <c r="AM455"/>
  <c r="L47" i="53" l="1"/>
  <c r="K47"/>
  <c r="L44"/>
  <c r="K44"/>
  <c r="L41"/>
  <c r="K41"/>
  <c r="I41"/>
  <c r="H41"/>
  <c r="F41"/>
  <c r="E41"/>
  <c r="L38"/>
  <c r="K38"/>
  <c r="I38"/>
  <c r="H38"/>
  <c r="F38"/>
  <c r="E38"/>
  <c r="L35"/>
  <c r="K35"/>
  <c r="I35"/>
  <c r="H35"/>
  <c r="F35"/>
  <c r="E35"/>
  <c r="L28"/>
  <c r="K28"/>
  <c r="L25"/>
  <c r="K25"/>
  <c r="I25"/>
  <c r="H25"/>
  <c r="F25"/>
  <c r="E25"/>
  <c r="L22"/>
  <c r="K22"/>
  <c r="I22"/>
  <c r="H22"/>
  <c r="F22"/>
  <c r="E22"/>
  <c r="L19"/>
  <c r="K19"/>
  <c r="I19"/>
  <c r="H19"/>
  <c r="F19"/>
  <c r="E19"/>
  <c r="L11"/>
  <c r="K11"/>
  <c r="I11"/>
  <c r="H11"/>
  <c r="F11"/>
  <c r="E11"/>
  <c r="V8"/>
  <c r="U8"/>
  <c r="L8"/>
  <c r="K8"/>
  <c r="I8"/>
  <c r="H8"/>
  <c r="F8"/>
  <c r="E8"/>
  <c r="V5"/>
  <c r="U5"/>
  <c r="L5"/>
  <c r="K5"/>
  <c r="I5"/>
  <c r="H5"/>
  <c r="F5"/>
  <c r="E5"/>
  <c r="AG59" i="52"/>
  <c r="AF59"/>
  <c r="AG57"/>
  <c r="AF57"/>
  <c r="AG55"/>
  <c r="AF55"/>
  <c r="AG53"/>
  <c r="AF53"/>
  <c r="AM51"/>
  <c r="AL51"/>
  <c r="AJ51"/>
  <c r="AI51"/>
  <c r="AG51"/>
  <c r="AF51"/>
  <c r="AD51"/>
  <c r="AC51"/>
  <c r="AA51"/>
  <c r="Z51"/>
  <c r="AM49"/>
  <c r="AL49"/>
  <c r="AJ49"/>
  <c r="AI49"/>
  <c r="AG49"/>
  <c r="AF49"/>
  <c r="AD49"/>
  <c r="AC49"/>
  <c r="AA49"/>
  <c r="Z49"/>
  <c r="AM47"/>
  <c r="AL47"/>
  <c r="AJ47"/>
  <c r="AI47"/>
  <c r="AG47"/>
  <c r="AF47"/>
  <c r="AD47"/>
  <c r="AC47"/>
  <c r="AA47"/>
  <c r="Z47"/>
  <c r="AM45"/>
  <c r="AL45"/>
  <c r="AJ45"/>
  <c r="AI45"/>
  <c r="AG45"/>
  <c r="AF45"/>
  <c r="AD45"/>
  <c r="AC45"/>
  <c r="AA45"/>
  <c r="Z45"/>
  <c r="AM43"/>
  <c r="AL43"/>
  <c r="AJ43"/>
  <c r="AI43"/>
  <c r="AG43"/>
  <c r="AF43"/>
  <c r="AD43"/>
  <c r="AC43"/>
  <c r="AA43"/>
  <c r="Z43"/>
  <c r="AM41"/>
  <c r="AL41"/>
  <c r="AJ41"/>
  <c r="AI41"/>
  <c r="AG41"/>
  <c r="AF41"/>
  <c r="AD41"/>
  <c r="AC41"/>
  <c r="AA41"/>
  <c r="Z41"/>
  <c r="AG35"/>
  <c r="AF35"/>
  <c r="AG33"/>
  <c r="AF33"/>
  <c r="AM31"/>
  <c r="AL31"/>
  <c r="AJ31"/>
  <c r="AI31"/>
  <c r="AG31"/>
  <c r="AF31"/>
  <c r="AD31"/>
  <c r="AC31"/>
  <c r="AA31"/>
  <c r="Z31"/>
  <c r="AM29"/>
  <c r="AL29"/>
  <c r="AJ29"/>
  <c r="AI29"/>
  <c r="AG29"/>
  <c r="AF29"/>
  <c r="AD29"/>
  <c r="AC29"/>
  <c r="AA29"/>
  <c r="Z29"/>
  <c r="AM27"/>
  <c r="AL27"/>
  <c r="AJ27"/>
  <c r="AI27"/>
  <c r="AG27"/>
  <c r="AF27"/>
  <c r="AD27"/>
  <c r="AC27"/>
  <c r="AA27"/>
  <c r="Z27"/>
  <c r="AM25"/>
  <c r="AL25"/>
  <c r="AJ25"/>
  <c r="AI25"/>
  <c r="AG25"/>
  <c r="AF25"/>
  <c r="AD25"/>
  <c r="AC25"/>
  <c r="AA25"/>
  <c r="Z25"/>
  <c r="AM23"/>
  <c r="AN23" s="1"/>
  <c r="AL23"/>
  <c r="AJ23"/>
  <c r="AI23"/>
  <c r="AG23"/>
  <c r="AF23"/>
  <c r="AD23"/>
  <c r="AC23"/>
  <c r="AA23"/>
  <c r="AB23" s="1"/>
  <c r="Z23"/>
  <c r="AM21"/>
  <c r="AN21" s="1"/>
  <c r="AL21"/>
  <c r="AJ21"/>
  <c r="AI21"/>
  <c r="AG21"/>
  <c r="AF21"/>
  <c r="AD21"/>
  <c r="AC21"/>
  <c r="AA21"/>
  <c r="AB21" s="1"/>
  <c r="Z21"/>
  <c r="AM14"/>
  <c r="AN14" s="1"/>
  <c r="AL14"/>
  <c r="AJ14"/>
  <c r="AI14"/>
  <c r="AG14"/>
  <c r="AF14"/>
  <c r="AD14"/>
  <c r="AC14"/>
  <c r="AA14"/>
  <c r="AB14" s="1"/>
  <c r="Z14"/>
  <c r="AM12"/>
  <c r="AN12" s="1"/>
  <c r="AL12"/>
  <c r="AJ12"/>
  <c r="AI12"/>
  <c r="AG12"/>
  <c r="AF12"/>
  <c r="AD12"/>
  <c r="AC12"/>
  <c r="AA12"/>
  <c r="AB12" s="1"/>
  <c r="Z12"/>
  <c r="AM10"/>
  <c r="AN10" s="1"/>
  <c r="AL10"/>
  <c r="AJ10"/>
  <c r="AI10"/>
  <c r="AG10"/>
  <c r="AF10"/>
  <c r="AD10"/>
  <c r="AC10"/>
  <c r="AA10"/>
  <c r="AB10" s="1"/>
  <c r="Z10"/>
  <c r="W9"/>
  <c r="V9"/>
  <c r="AM8"/>
  <c r="AN8" s="1"/>
  <c r="AL8"/>
  <c r="AJ8"/>
  <c r="AI8"/>
  <c r="AG8"/>
  <c r="AF8"/>
  <c r="AD8"/>
  <c r="AC8"/>
  <c r="AA8"/>
  <c r="AB8" s="1"/>
  <c r="Z8"/>
  <c r="W8"/>
  <c r="V8"/>
  <c r="AM6"/>
  <c r="AN6" s="1"/>
  <c r="AL6"/>
  <c r="AJ6"/>
  <c r="AI6"/>
  <c r="AG6"/>
  <c r="AF6"/>
  <c r="AD6"/>
  <c r="AC6"/>
  <c r="AA6"/>
  <c r="Z6"/>
  <c r="W5"/>
  <c r="V5"/>
  <c r="AM4"/>
  <c r="AN4" s="1"/>
  <c r="AL4"/>
  <c r="AJ4"/>
  <c r="AI4"/>
  <c r="AG4"/>
  <c r="AF4"/>
  <c r="AD4"/>
  <c r="AC4"/>
  <c r="AA4"/>
  <c r="Z4"/>
  <c r="W4"/>
  <c r="V4"/>
  <c r="H4"/>
  <c r="F4"/>
  <c r="X794" i="1"/>
  <c r="X458"/>
  <c r="X539"/>
  <c r="X1156"/>
  <c r="X1548"/>
  <c r="X638"/>
  <c r="X625"/>
  <c r="X471"/>
  <c r="X618"/>
  <c r="X1570"/>
  <c r="X723"/>
  <c r="X713"/>
  <c r="X578"/>
  <c r="X230"/>
  <c r="X530"/>
  <c r="X1667"/>
  <c r="X639"/>
  <c r="X993"/>
  <c r="X1465"/>
  <c r="X961"/>
  <c r="X1068"/>
  <c r="X1178"/>
  <c r="X968"/>
  <c r="X612"/>
  <c r="X448"/>
  <c r="X1034"/>
  <c r="X651"/>
  <c r="X1024"/>
  <c r="X777"/>
  <c r="X746"/>
  <c r="X767"/>
  <c r="X942"/>
  <c r="X938"/>
  <c r="X227"/>
  <c r="X541"/>
  <c r="X924"/>
  <c r="X1244"/>
  <c r="X627"/>
  <c r="X879"/>
  <c r="X1107"/>
  <c r="X1506"/>
  <c r="X894"/>
  <c r="X552"/>
  <c r="X1050"/>
  <c r="X932"/>
  <c r="X1119"/>
  <c r="X1292"/>
  <c r="X1536"/>
  <c r="X884"/>
  <c r="X1407"/>
  <c r="X1061"/>
  <c r="X1695"/>
  <c r="X659"/>
  <c r="X1637"/>
  <c r="X506"/>
  <c r="X562"/>
  <c r="X852"/>
  <c r="X754"/>
  <c r="X548"/>
  <c r="X667"/>
  <c r="X1390"/>
  <c r="X1300"/>
  <c r="X1130"/>
  <c r="X1118"/>
  <c r="X1131"/>
  <c r="X604"/>
  <c r="X1620"/>
  <c r="X1691"/>
  <c r="X865"/>
  <c r="X720"/>
  <c r="X1446"/>
  <c r="X1100"/>
  <c r="X1165"/>
  <c r="X806"/>
  <c r="X900"/>
  <c r="X819"/>
  <c r="X1230"/>
  <c r="X1438"/>
  <c r="X1276"/>
  <c r="X737"/>
  <c r="X1277"/>
  <c r="X680"/>
  <c r="X1460"/>
  <c r="X766"/>
  <c r="X1450"/>
  <c r="X978"/>
  <c r="X1380"/>
  <c r="X224"/>
  <c r="X1116"/>
  <c r="X225"/>
  <c r="X560"/>
  <c r="X456"/>
  <c r="X1571"/>
  <c r="X836"/>
  <c r="X1162"/>
  <c r="X478"/>
  <c r="X1088"/>
  <c r="X1550"/>
  <c r="X693"/>
  <c r="X881"/>
  <c r="X222"/>
  <c r="X874"/>
  <c r="X1526"/>
  <c r="X1507"/>
  <c r="X555"/>
  <c r="X744"/>
  <c r="X789"/>
  <c r="X1079"/>
  <c r="X1288"/>
  <c r="X633"/>
  <c r="X830"/>
  <c r="X463"/>
  <c r="X483"/>
  <c r="X1290"/>
  <c r="X1223"/>
  <c r="X634"/>
  <c r="X838"/>
  <c r="X887"/>
  <c r="X1594"/>
  <c r="X1603"/>
  <c r="X1055"/>
  <c r="X1678"/>
  <c r="X724"/>
  <c r="X974"/>
  <c r="X990"/>
  <c r="X987"/>
  <c r="X1411"/>
  <c r="X889"/>
  <c r="X666"/>
  <c r="X701"/>
  <c r="X1038"/>
  <c r="X1022"/>
  <c r="X498"/>
  <c r="X609"/>
  <c r="X1316"/>
  <c r="X1483"/>
  <c r="X804"/>
  <c r="X493"/>
  <c r="X1672"/>
  <c r="X1458"/>
  <c r="X232"/>
  <c r="X240"/>
  <c r="X489"/>
  <c r="X1225"/>
  <c r="X537"/>
  <c r="X1436"/>
  <c r="X883"/>
  <c r="X1182"/>
  <c r="X1552"/>
  <c r="X1624"/>
  <c r="X786"/>
  <c r="X725"/>
  <c r="X484"/>
  <c r="X1046"/>
  <c r="X831"/>
  <c r="X762"/>
  <c r="X614"/>
  <c r="X848"/>
  <c r="X1659"/>
  <c r="X1671"/>
  <c r="X868"/>
  <c r="X1069"/>
  <c r="X1529"/>
  <c r="X1459"/>
  <c r="X989"/>
  <c r="X1015"/>
  <c r="X455"/>
  <c r="X1247"/>
  <c r="X1091"/>
  <c r="X1688"/>
  <c r="X1202"/>
  <c r="X1255"/>
  <c r="X1120"/>
  <c r="X923"/>
  <c r="X1151"/>
  <c r="X510"/>
  <c r="X1173"/>
  <c r="X1154"/>
  <c r="X817"/>
  <c r="X1002"/>
  <c r="X741"/>
  <c r="X1066"/>
  <c r="X805"/>
  <c r="X1469"/>
  <c r="X464"/>
  <c r="X1489"/>
  <c r="X1638"/>
  <c r="X1166"/>
  <c r="X1093"/>
  <c r="X709"/>
  <c r="X466"/>
  <c r="X821"/>
  <c r="X468"/>
  <c r="X678"/>
  <c r="X1396"/>
  <c r="X705"/>
  <c r="X832"/>
  <c r="X1275"/>
  <c r="X1325"/>
  <c r="X969"/>
  <c r="X1014"/>
  <c r="X1158"/>
  <c r="X756"/>
  <c r="X513"/>
  <c r="X950"/>
  <c r="X1376"/>
  <c r="X1373"/>
  <c r="X765"/>
  <c r="X998"/>
  <c r="X1183"/>
  <c r="X547"/>
  <c r="X1097"/>
  <c r="X1401"/>
  <c r="X843"/>
  <c r="X1556"/>
  <c r="X616"/>
  <c r="X776"/>
  <c r="X237"/>
  <c r="X1350"/>
  <c r="X731"/>
  <c r="X241"/>
  <c r="X1593"/>
  <c r="X1229"/>
  <c r="X1157"/>
  <c r="X956"/>
  <c r="X1307"/>
  <c r="X461"/>
  <c r="X1314"/>
  <c r="X1351"/>
  <c r="X505"/>
  <c r="X1466"/>
  <c r="X1370"/>
  <c r="X218"/>
  <c r="X1490"/>
  <c r="X1011"/>
  <c r="X1355"/>
  <c r="X465"/>
  <c r="X626"/>
  <c r="X1274"/>
  <c r="X629"/>
  <c r="X1074"/>
  <c r="X1215"/>
  <c r="X1273"/>
  <c r="X1641"/>
  <c r="X1547"/>
  <c r="X1184"/>
  <c r="X1410"/>
  <c r="X854"/>
  <c r="X1304"/>
  <c r="X1614"/>
  <c r="X1243"/>
  <c r="X239"/>
  <c r="X1140"/>
  <c r="X1366"/>
  <c r="X1643"/>
  <c r="X727"/>
  <c r="X233"/>
  <c r="X914"/>
  <c r="X665"/>
  <c r="X825"/>
  <c r="X1513"/>
  <c r="X785"/>
  <c r="X521"/>
  <c r="X1577"/>
  <c r="X926"/>
  <c r="X591"/>
  <c r="X824"/>
  <c r="X1415"/>
  <c r="X1087"/>
  <c r="X1488"/>
  <c r="X946"/>
  <c r="X492"/>
  <c r="X1018"/>
  <c r="X793"/>
  <c r="X698"/>
  <c r="X986"/>
  <c r="X479"/>
  <c r="X469"/>
  <c r="X1622"/>
  <c r="X864"/>
  <c r="X1123"/>
  <c r="X1013"/>
  <c r="X496"/>
  <c r="X690"/>
  <c r="X1006"/>
  <c r="X945"/>
  <c r="X219"/>
  <c r="X1063"/>
  <c r="X1027"/>
  <c r="X913"/>
  <c r="X871"/>
  <c r="X553"/>
  <c r="X1186"/>
  <c r="X1470"/>
  <c r="X470"/>
  <c r="X485"/>
  <c r="X527"/>
  <c r="X589"/>
  <c r="X451"/>
  <c r="X495"/>
  <c r="X700"/>
  <c r="X745"/>
  <c r="X238"/>
  <c r="X474"/>
  <c r="X1040"/>
  <c r="X801"/>
  <c r="X682"/>
  <c r="X1205"/>
  <c r="X773"/>
  <c r="X841"/>
  <c r="X531"/>
  <c r="X853"/>
  <c r="X588"/>
  <c r="X217"/>
  <c r="X1008"/>
  <c r="X462"/>
  <c r="X472"/>
  <c r="X719"/>
  <c r="X922"/>
  <c r="X757"/>
  <c r="X826"/>
  <c r="X508"/>
  <c r="X677"/>
  <c r="X1212"/>
  <c r="X1077"/>
  <c r="X1214"/>
  <c r="X890"/>
  <c r="X1310"/>
  <c r="X970"/>
  <c r="X1528"/>
  <c r="X779"/>
  <c r="X509"/>
  <c r="X697"/>
  <c r="X906"/>
  <c r="X885"/>
  <c r="X1580"/>
  <c r="X477"/>
  <c r="X1044"/>
  <c r="X1647"/>
  <c r="X733"/>
  <c r="X1051"/>
  <c r="X1297"/>
  <c r="X1285"/>
  <c r="X953"/>
  <c r="X1232"/>
  <c r="X1449"/>
  <c r="X1037"/>
  <c r="X663"/>
  <c r="X1265"/>
  <c r="X594"/>
  <c r="X1241"/>
  <c r="X1646"/>
  <c r="X488"/>
  <c r="X858"/>
  <c r="X1618"/>
  <c r="X999"/>
  <c r="X1545"/>
  <c r="X1248"/>
  <c r="X842"/>
  <c r="X1418"/>
  <c r="X918"/>
  <c r="X598"/>
  <c r="X1605"/>
  <c r="X1546"/>
  <c r="X587"/>
  <c r="X691"/>
  <c r="X834"/>
  <c r="X1532"/>
  <c r="X1054"/>
  <c r="X1149"/>
  <c r="X620"/>
  <c r="X803"/>
  <c r="X782"/>
  <c r="X1511"/>
  <c r="X1004"/>
  <c r="X939"/>
  <c r="X1052"/>
  <c r="X1096"/>
  <c r="X1185"/>
  <c r="X940"/>
  <c r="X1180"/>
  <c r="X450"/>
  <c r="X244"/>
  <c r="X647"/>
  <c r="X1560"/>
  <c r="X1163"/>
  <c r="X1348"/>
  <c r="X1264"/>
  <c r="X528"/>
  <c r="X809"/>
  <c r="X1503"/>
  <c r="X991"/>
  <c r="X265"/>
  <c r="X424"/>
  <c r="X333"/>
  <c r="X1682"/>
  <c r="X313"/>
  <c r="X1352"/>
  <c r="X769"/>
  <c r="X893"/>
  <c r="X1558"/>
  <c r="X1402"/>
  <c r="X1505"/>
  <c r="X391"/>
  <c r="X267"/>
  <c r="X414"/>
  <c r="X784"/>
  <c r="X768"/>
  <c r="X1098"/>
  <c r="X441"/>
  <c r="X571"/>
  <c r="X1665"/>
  <c r="X584"/>
  <c r="X1514"/>
  <c r="X1169"/>
  <c r="X572"/>
  <c r="X412"/>
  <c r="X352"/>
  <c r="X343"/>
  <c r="X1201"/>
  <c r="X1041"/>
  <c r="X621"/>
  <c r="X1480"/>
  <c r="X585"/>
  <c r="X869"/>
  <c r="X1515"/>
  <c r="X480"/>
  <c r="X1259"/>
  <c r="X1537"/>
  <c r="X1645"/>
  <c r="X1318"/>
  <c r="X1477"/>
  <c r="X1443"/>
  <c r="X1217"/>
  <c r="X601"/>
  <c r="X1495"/>
  <c r="X1192"/>
  <c r="X1694"/>
  <c r="X1106"/>
  <c r="X1499"/>
  <c r="X1327"/>
  <c r="X892"/>
  <c r="X688"/>
  <c r="X243"/>
  <c r="X599"/>
  <c r="X1254"/>
  <c r="X654"/>
  <c r="X1573"/>
  <c r="X454"/>
  <c r="X1553"/>
  <c r="X501"/>
  <c r="X1017"/>
  <c r="X1301"/>
  <c r="X1332"/>
  <c r="X1427"/>
  <c r="X1485"/>
  <c r="X1699"/>
  <c r="X1294"/>
  <c r="X1080"/>
  <c r="X1317"/>
  <c r="X516"/>
  <c r="X742"/>
  <c r="X815"/>
  <c r="X1356"/>
  <c r="X1375"/>
  <c r="X1617"/>
  <c r="X1167"/>
  <c r="X1026"/>
  <c r="X1656"/>
  <c r="X1204"/>
  <c r="X1660"/>
  <c r="X916"/>
  <c r="X904"/>
  <c r="X1501"/>
  <c r="X1340"/>
  <c r="X1524"/>
  <c r="X274"/>
  <c r="X358"/>
  <c r="X349"/>
  <c r="X1632"/>
  <c r="X1196"/>
  <c r="X311"/>
  <c r="X568"/>
  <c r="X1101"/>
  <c r="X1071"/>
  <c r="X1434"/>
  <c r="X706"/>
  <c r="X1609"/>
  <c r="X791"/>
  <c r="X1689"/>
  <c r="X1435"/>
  <c r="X753"/>
  <c r="X1141"/>
  <c r="X1698"/>
  <c r="X664"/>
  <c r="X1161"/>
  <c r="X1049"/>
  <c r="X895"/>
  <c r="X1516"/>
  <c r="X583"/>
  <c r="X1176"/>
  <c r="X1476"/>
  <c r="X1621"/>
  <c r="X937"/>
  <c r="X1578"/>
  <c r="X1053"/>
  <c r="X1105"/>
  <c r="X919"/>
  <c r="X1252"/>
  <c r="X1210"/>
  <c r="X1658"/>
  <c r="X648"/>
  <c r="X1164"/>
  <c r="X755"/>
  <c r="X1029"/>
  <c r="X1306"/>
  <c r="X1468"/>
  <c r="X1268"/>
  <c r="X1399"/>
  <c r="X1282"/>
  <c r="X407"/>
  <c r="X426"/>
  <c r="X377"/>
  <c r="X1386"/>
  <c r="X1486"/>
  <c r="X287"/>
  <c r="X1308"/>
  <c r="X1279"/>
  <c r="X947"/>
  <c r="X644"/>
  <c r="X1313"/>
  <c r="X254"/>
  <c r="X387"/>
  <c r="X355"/>
  <c r="X370"/>
  <c r="X898"/>
  <c r="X668"/>
  <c r="X362"/>
  <c r="X770"/>
  <c r="X1467"/>
  <c r="X1633"/>
  <c r="X1067"/>
  <c r="X1269"/>
  <c r="X1036"/>
  <c r="X296"/>
  <c r="X366"/>
  <c r="X379"/>
  <c r="X1103"/>
  <c r="X499"/>
  <c r="X504"/>
  <c r="X899"/>
  <c r="X1509"/>
  <c r="X452"/>
  <c r="X1296"/>
  <c r="X1597"/>
  <c r="X1657"/>
  <c r="X1043"/>
  <c r="X860"/>
  <c r="X631"/>
  <c r="X1368"/>
  <c r="X655"/>
  <c r="X758"/>
  <c r="X1582"/>
  <c r="X1500"/>
  <c r="X1021"/>
  <c r="X1575"/>
  <c r="X1039"/>
  <c r="X1565"/>
  <c r="X1334"/>
  <c r="X687"/>
  <c r="X859"/>
  <c r="X1197"/>
  <c r="X223"/>
  <c r="X593"/>
  <c r="X1187"/>
  <c r="X1315"/>
  <c r="X933"/>
  <c r="X787"/>
  <c r="X1604"/>
  <c r="X1235"/>
  <c r="X497"/>
  <c r="X1600"/>
  <c r="X971"/>
  <c r="X1253"/>
  <c r="X1591"/>
  <c r="X694"/>
  <c r="X849"/>
  <c r="X624"/>
  <c r="X1696"/>
  <c r="X1697"/>
  <c r="X1369"/>
  <c r="X1675"/>
  <c r="X1504"/>
  <c r="X595"/>
  <c r="X1111"/>
  <c r="X550"/>
  <c r="X1473"/>
  <c r="X957"/>
  <c r="X502"/>
  <c r="X1126"/>
  <c r="X1218"/>
  <c r="X1160"/>
  <c r="X1170"/>
  <c r="X1634"/>
  <c r="X1551"/>
  <c r="X260"/>
  <c r="X318"/>
  <c r="X293"/>
  <c r="X774"/>
  <c r="X340"/>
  <c r="X1584"/>
  <c r="X1198"/>
  <c r="X1250"/>
  <c r="X1585"/>
  <c r="X1353"/>
  <c r="X1403"/>
  <c r="X251"/>
  <c r="X388"/>
  <c r="X354"/>
  <c r="X1381"/>
  <c r="X1258"/>
  <c r="X759"/>
  <c r="X286"/>
  <c r="X1611"/>
  <c r="X546"/>
  <c r="X1569"/>
  <c r="X1669"/>
  <c r="X1519"/>
  <c r="X729"/>
  <c r="X249"/>
  <c r="X406"/>
  <c r="X295"/>
  <c r="X247"/>
  <c r="X645"/>
  <c r="X570"/>
  <c r="X1152"/>
  <c r="X1102"/>
  <c r="X1283"/>
  <c r="X1492"/>
  <c r="X1666"/>
  <c r="X1650"/>
  <c r="X948"/>
  <c r="X522"/>
  <c r="X372"/>
  <c r="X1404"/>
  <c r="X276"/>
  <c r="X921"/>
  <c r="X524"/>
  <c r="X1471"/>
  <c r="X279"/>
  <c r="X1444"/>
  <c r="X361"/>
  <c r="X481"/>
  <c r="X1636"/>
  <c r="X1065"/>
  <c r="X266"/>
  <c r="X392"/>
  <c r="X726"/>
  <c r="X1448"/>
  <c r="X380"/>
  <c r="X364"/>
  <c r="X1454"/>
  <c r="X920"/>
  <c r="X288"/>
  <c r="X778"/>
  <c r="X427"/>
  <c r="X1085"/>
  <c r="X1358"/>
  <c r="X255"/>
  <c r="X596"/>
  <c r="X1627"/>
  <c r="X417"/>
  <c r="X902"/>
  <c r="X1181"/>
  <c r="X308"/>
  <c r="X1344"/>
  <c r="X280"/>
  <c r="X710"/>
  <c r="X1692"/>
  <c r="X704"/>
  <c r="X1576"/>
  <c r="X1522"/>
  <c r="X515"/>
  <c r="X1612"/>
  <c r="X1683"/>
  <c r="X896"/>
  <c r="X1171"/>
  <c r="X1337"/>
  <c r="X1487"/>
  <c r="X303"/>
  <c r="X1095"/>
  <c r="X329"/>
  <c r="X1237"/>
  <c r="X672"/>
  <c r="X619"/>
  <c r="X339"/>
  <c r="X558"/>
  <c r="X1372"/>
  <c r="X846"/>
  <c r="X1533"/>
  <c r="X867"/>
  <c r="X1538"/>
  <c r="X641"/>
  <c r="X1003"/>
  <c r="X1543"/>
  <c r="X1400"/>
  <c r="X270"/>
  <c r="X390"/>
  <c r="X317"/>
  <c r="X1148"/>
  <c r="X1147"/>
  <c r="X309"/>
  <c r="X250"/>
  <c r="X1544"/>
  <c r="X393"/>
  <c r="X1035"/>
  <c r="X820"/>
  <c r="X444"/>
  <c r="X421"/>
  <c r="X1394"/>
  <c r="X1138"/>
  <c r="X307"/>
  <c r="X1231"/>
  <c r="X1114"/>
  <c r="X1060"/>
  <c r="X827"/>
  <c r="X1502"/>
  <c r="X271"/>
  <c r="X1527"/>
  <c r="X310"/>
  <c r="X1322"/>
  <c r="X1020"/>
  <c r="X1567"/>
  <c r="X415"/>
  <c r="X540"/>
  <c r="X1271"/>
  <c r="X259"/>
  <c r="X306"/>
  <c r="X1299"/>
  <c r="X1291"/>
  <c r="X771"/>
  <c r="X1267"/>
  <c r="X356"/>
  <c r="X517"/>
  <c r="X1211"/>
  <c r="X383"/>
  <c r="X242"/>
  <c r="X1089"/>
  <c r="X1607"/>
  <c r="X1629"/>
  <c r="X650"/>
  <c r="X1032"/>
  <c r="X523"/>
  <c r="X536"/>
  <c r="X256"/>
  <c r="X1423"/>
  <c r="X1498"/>
  <c r="X330"/>
  <c r="X176"/>
  <c r="X215"/>
  <c r="X149"/>
  <c r="X206"/>
  <c r="X164"/>
  <c r="X13"/>
  <c r="X36"/>
  <c r="X192"/>
  <c r="X199"/>
  <c r="X181"/>
  <c r="X740"/>
  <c r="X617"/>
  <c r="X573"/>
  <c r="X703"/>
  <c r="X228"/>
  <c r="X1497"/>
  <c r="X708"/>
  <c r="X236"/>
  <c r="X576"/>
  <c r="X226"/>
  <c r="X246"/>
  <c r="X910"/>
  <c r="X564"/>
  <c r="X569"/>
  <c r="X1635"/>
  <c r="X954"/>
  <c r="X679"/>
  <c r="X566"/>
  <c r="X623"/>
  <c r="X1208"/>
  <c r="X1321"/>
  <c r="X707"/>
  <c r="X535"/>
  <c r="X873"/>
  <c r="X835"/>
  <c r="X750"/>
  <c r="X453"/>
  <c r="X837"/>
  <c r="X1016"/>
  <c r="X1287"/>
  <c r="X503"/>
  <c r="X851"/>
  <c r="X676"/>
  <c r="X1270"/>
  <c r="X822"/>
  <c r="X1010"/>
  <c r="X1019"/>
  <c r="X1145"/>
  <c r="X861"/>
  <c r="X1562"/>
  <c r="X557"/>
  <c r="X635"/>
  <c r="X1122"/>
  <c r="X718"/>
  <c r="X519"/>
  <c r="X597"/>
  <c r="X1033"/>
  <c r="X220"/>
  <c r="X1305"/>
  <c r="X518"/>
  <c r="X692"/>
  <c r="X245"/>
  <c r="X1260"/>
  <c r="X1583"/>
  <c r="X671"/>
  <c r="X1523"/>
  <c r="X1397"/>
  <c r="X1281"/>
  <c r="X1431"/>
  <c r="X582"/>
  <c r="X1343"/>
  <c r="X685"/>
  <c r="X1493"/>
  <c r="X1559"/>
  <c r="X656"/>
  <c r="X1478"/>
  <c r="X699"/>
  <c r="X636"/>
  <c r="X442"/>
  <c r="X1642"/>
  <c r="X435"/>
  <c r="X1328"/>
  <c r="X1363"/>
  <c r="X1124"/>
  <c r="X285"/>
  <c r="X1242"/>
  <c r="X399"/>
  <c r="X554"/>
  <c r="X1663"/>
  <c r="X1588"/>
  <c r="X272"/>
  <c r="X1062"/>
  <c r="X1137"/>
  <c r="X1379"/>
  <c r="X1047"/>
  <c r="X1177"/>
  <c r="X840"/>
  <c r="X1610"/>
  <c r="X714"/>
  <c r="X927"/>
  <c r="X732"/>
  <c r="X1303"/>
  <c r="X1681"/>
  <c r="X538"/>
  <c r="X1251"/>
  <c r="X545"/>
  <c r="X661"/>
  <c r="X611"/>
  <c r="X514"/>
  <c r="X637"/>
  <c r="X605"/>
  <c r="X494"/>
  <c r="X965"/>
  <c r="X1132"/>
  <c r="X1206"/>
  <c r="X1422"/>
  <c r="X1092"/>
  <c r="X1590"/>
  <c r="X1685"/>
  <c r="X800"/>
  <c r="X319"/>
  <c r="X302"/>
  <c r="X405"/>
  <c r="X613"/>
  <c r="X1172"/>
  <c r="X1661"/>
  <c r="X526"/>
  <c r="X975"/>
  <c r="X1405"/>
  <c r="X574"/>
  <c r="X1652"/>
  <c r="X1234"/>
  <c r="X955"/>
  <c r="X1424"/>
  <c r="X1457"/>
  <c r="X592"/>
  <c r="X1421"/>
  <c r="X1222"/>
  <c r="X1028"/>
  <c r="X1615"/>
  <c r="X1474"/>
  <c r="X1081"/>
  <c r="X368"/>
  <c r="X422"/>
  <c r="X437"/>
  <c r="X1664"/>
  <c r="X915"/>
  <c r="X1395"/>
  <c r="X326"/>
  <c r="X1508"/>
  <c r="X395"/>
  <c r="X1127"/>
  <c r="X1406"/>
  <c r="X1146"/>
  <c r="X418"/>
  <c r="X551"/>
  <c r="X1481"/>
  <c r="X586"/>
  <c r="X1094"/>
  <c r="X749"/>
  <c r="X1361"/>
  <c r="X532"/>
  <c r="X739"/>
  <c r="X1023"/>
  <c r="X1121"/>
  <c r="X882"/>
  <c r="X912"/>
  <c r="X1494"/>
  <c r="X543"/>
  <c r="X640"/>
  <c r="X1561"/>
  <c r="X763"/>
  <c r="X1083"/>
  <c r="X818"/>
  <c r="X1668"/>
  <c r="X1346"/>
  <c r="X802"/>
  <c r="X1075"/>
  <c r="X1136"/>
  <c r="X1387"/>
  <c r="X988"/>
  <c r="X1159"/>
  <c r="X880"/>
  <c r="X1072"/>
  <c r="X304"/>
  <c r="X423"/>
  <c r="X363"/>
  <c r="X735"/>
  <c r="X1654"/>
  <c r="X1574"/>
  <c r="X324"/>
  <c r="X446"/>
  <c r="X1001"/>
  <c r="X1190"/>
  <c r="X1595"/>
  <c r="X983"/>
  <c r="X1219"/>
  <c r="X335"/>
  <c r="X1155"/>
  <c r="X1309"/>
  <c r="X1193"/>
  <c r="X1541"/>
  <c r="X1139"/>
  <c r="X367"/>
  <c r="X1461"/>
  <c r="X1086"/>
  <c r="X359"/>
  <c r="X952"/>
  <c r="X972"/>
  <c r="X409"/>
  <c r="X1233"/>
  <c r="X401"/>
  <c r="X1453"/>
  <c r="X1364"/>
  <c r="X1442"/>
  <c r="X615"/>
  <c r="X403"/>
  <c r="X1391"/>
  <c r="X686"/>
  <c r="X1329"/>
  <c r="X1426"/>
  <c r="X877"/>
  <c r="X907"/>
  <c r="X1326"/>
  <c r="X1203"/>
  <c r="X1385"/>
  <c r="X320"/>
  <c r="X321"/>
  <c r="X1245"/>
  <c r="X346"/>
  <c r="X935"/>
  <c r="X1530"/>
  <c r="X829"/>
  <c r="X1042"/>
  <c r="X1207"/>
  <c r="X420"/>
  <c r="X944"/>
  <c r="X1464"/>
  <c r="X1623"/>
  <c r="X1521"/>
  <c r="X814"/>
  <c r="X353"/>
  <c r="X1549"/>
  <c r="X1445"/>
  <c r="X1076"/>
  <c r="X404"/>
  <c r="X1525"/>
  <c r="X1367"/>
  <c r="X261"/>
  <c r="X1680"/>
  <c r="X1598"/>
  <c r="X1289"/>
  <c r="X299"/>
  <c r="X780"/>
  <c r="X1673"/>
  <c r="X1330"/>
  <c r="X1586"/>
  <c r="X1109"/>
  <c r="X1389"/>
  <c r="X345"/>
  <c r="X331"/>
  <c r="X178"/>
  <c r="X186"/>
  <c r="X25"/>
  <c r="X169"/>
  <c r="X211"/>
  <c r="X4"/>
  <c r="X190"/>
  <c r="X145"/>
  <c r="X19"/>
  <c r="X1608"/>
  <c r="X792"/>
  <c r="X1360"/>
  <c r="X305"/>
  <c r="X328"/>
  <c r="X1293"/>
  <c r="X273"/>
  <c r="X1463"/>
  <c r="X1531"/>
  <c r="X1200"/>
  <c r="X262"/>
  <c r="X600"/>
  <c r="X743"/>
  <c r="X1278"/>
  <c r="X1679"/>
  <c r="X235"/>
  <c r="X1073"/>
  <c r="X1359"/>
  <c r="X1012"/>
  <c r="X268"/>
  <c r="X1084"/>
  <c r="X567"/>
  <c r="X1520"/>
  <c r="X1339"/>
  <c r="X1228"/>
  <c r="X323"/>
  <c r="X1335"/>
  <c r="X1601"/>
  <c r="X580"/>
  <c r="X269"/>
  <c r="X1676"/>
  <c r="X797"/>
  <c r="X982"/>
  <c r="X416"/>
  <c r="X796"/>
  <c r="X1602"/>
  <c r="X980"/>
  <c r="X1630"/>
  <c r="X943"/>
  <c r="X297"/>
  <c r="X951"/>
  <c r="X1000"/>
  <c r="X1554"/>
  <c r="X1168"/>
  <c r="X728"/>
  <c r="X1674"/>
  <c r="X1581"/>
  <c r="X1456"/>
  <c r="X394"/>
  <c r="X258"/>
  <c r="X1599"/>
  <c r="X292"/>
  <c r="X1433"/>
  <c r="X1104"/>
  <c r="X371"/>
  <c r="X1365"/>
  <c r="X1644"/>
  <c r="X984"/>
  <c r="X646"/>
  <c r="X1144"/>
  <c r="X870"/>
  <c r="X1082"/>
  <c r="X717"/>
  <c r="X1568"/>
  <c r="X643"/>
  <c r="X747"/>
  <c r="X369"/>
  <c r="X436"/>
  <c r="X1653"/>
  <c r="X410"/>
  <c r="X1331"/>
  <c r="X1227"/>
  <c r="X1512"/>
  <c r="X348"/>
  <c r="X168"/>
  <c r="X174"/>
  <c r="X166"/>
  <c r="X153"/>
  <c r="X142"/>
  <c r="X198"/>
  <c r="X130"/>
  <c r="X141"/>
  <c r="X207"/>
  <c r="X123"/>
  <c r="X214"/>
  <c r="X143"/>
  <c r="X60"/>
  <c r="X39"/>
  <c r="X52"/>
  <c r="X9"/>
  <c r="X16"/>
  <c r="X213"/>
  <c r="X155"/>
  <c r="X203"/>
  <c r="X122"/>
  <c r="X189"/>
  <c r="X134"/>
  <c r="X148"/>
  <c r="X188"/>
  <c r="X205"/>
  <c r="X26"/>
  <c r="X35"/>
  <c r="X75"/>
  <c r="X172"/>
  <c r="X175"/>
  <c r="X212"/>
  <c r="X82"/>
  <c r="X45"/>
  <c r="X47"/>
  <c r="X1447"/>
  <c r="X229"/>
  <c r="X1302"/>
  <c r="X658"/>
  <c r="X443"/>
  <c r="X1414"/>
  <c r="X357"/>
  <c r="X264"/>
  <c r="X872"/>
  <c r="X1557"/>
  <c r="X298"/>
  <c r="X630"/>
  <c r="X396"/>
  <c r="X398"/>
  <c r="X839"/>
  <c r="X1007"/>
  <c r="X721"/>
  <c r="X722"/>
  <c r="X253"/>
  <c r="X433"/>
  <c r="X607"/>
  <c r="X1428"/>
  <c r="X1191"/>
  <c r="X1462"/>
  <c r="X1261"/>
  <c r="X344"/>
  <c r="X374"/>
  <c r="X1143"/>
  <c r="X1388"/>
  <c r="X1090"/>
  <c r="X788"/>
  <c r="X812"/>
  <c r="X816"/>
  <c r="X734"/>
  <c r="X828"/>
  <c r="X652"/>
  <c r="X1135"/>
  <c r="X284"/>
  <c r="X257"/>
  <c r="X173"/>
  <c r="X201"/>
  <c r="X152"/>
  <c r="X150"/>
  <c r="X184"/>
  <c r="X159"/>
  <c r="X200"/>
  <c r="X147"/>
  <c r="X78"/>
  <c r="X67"/>
  <c r="X8"/>
  <c r="X158"/>
  <c r="X208"/>
  <c r="X140"/>
  <c r="X138"/>
  <c r="X216"/>
  <c r="X27"/>
  <c r="X42"/>
  <c r="X210"/>
  <c r="X209"/>
  <c r="X37"/>
  <c r="X689"/>
  <c r="X772"/>
  <c r="X487"/>
  <c r="X657"/>
  <c r="X457"/>
  <c r="X930"/>
  <c r="X525"/>
  <c r="X1640"/>
  <c r="X856"/>
  <c r="X875"/>
  <c r="X949"/>
  <c r="X967"/>
  <c r="X1662"/>
  <c r="X512"/>
  <c r="X476"/>
  <c r="X903"/>
  <c r="X473"/>
  <c r="X653"/>
  <c r="X544"/>
  <c r="X1491"/>
  <c r="X542"/>
  <c r="X702"/>
  <c r="X857"/>
  <c r="X628"/>
  <c r="X1220"/>
  <c r="X660"/>
  <c r="X482"/>
  <c r="X823"/>
  <c r="X231"/>
  <c r="X847"/>
  <c r="X995"/>
  <c r="X221"/>
  <c r="X460"/>
  <c r="X449"/>
  <c r="X810"/>
  <c r="X783"/>
  <c r="X1432"/>
  <c r="X959"/>
  <c r="X976"/>
  <c r="X929"/>
  <c r="X994"/>
  <c r="X1174"/>
  <c r="X533"/>
  <c r="X977"/>
  <c r="X963"/>
  <c r="X447"/>
  <c r="X507"/>
  <c r="X958"/>
  <c r="X1058"/>
  <c r="X905"/>
  <c r="X1057"/>
  <c r="X761"/>
  <c r="X1371"/>
  <c r="X844"/>
  <c r="X673"/>
  <c r="X1134"/>
  <c r="X878"/>
  <c r="X1150"/>
  <c r="X579"/>
  <c r="X833"/>
  <c r="X979"/>
  <c r="X1566"/>
  <c r="X622"/>
  <c r="X1117"/>
  <c r="X1639"/>
  <c r="X670"/>
  <c r="X603"/>
  <c r="X911"/>
  <c r="X291"/>
  <c r="X386"/>
  <c r="X1540"/>
  <c r="X475"/>
  <c r="X813"/>
  <c r="X1213"/>
  <c r="X365"/>
  <c r="X382"/>
  <c r="X1651"/>
  <c r="X500"/>
  <c r="X486"/>
  <c r="X1429"/>
  <c r="X248"/>
  <c r="X360"/>
  <c r="X1312"/>
  <c r="X1670"/>
  <c r="X1194"/>
  <c r="X1482"/>
  <c r="X1357"/>
  <c r="X1579"/>
  <c r="X981"/>
  <c r="X1125"/>
  <c r="X1563"/>
  <c r="X855"/>
  <c r="X459"/>
  <c r="X712"/>
  <c r="X1059"/>
  <c r="X928"/>
  <c r="X1216"/>
  <c r="X681"/>
  <c r="X1625"/>
  <c r="X575"/>
  <c r="X964"/>
  <c r="X1392"/>
  <c r="X1596"/>
  <c r="X590"/>
  <c r="X751"/>
  <c r="X662"/>
  <c r="X1295"/>
  <c r="X1378"/>
  <c r="X1031"/>
  <c r="X563"/>
  <c r="X1589"/>
  <c r="X281"/>
  <c r="X1113"/>
  <c r="X1539"/>
  <c r="X1256"/>
  <c r="X669"/>
  <c r="X1475"/>
  <c r="X888"/>
  <c r="X799"/>
  <c r="X1226"/>
  <c r="X736"/>
  <c r="X960"/>
  <c r="X1420"/>
  <c r="X1286"/>
  <c r="X1518"/>
  <c r="X1129"/>
  <c r="X716"/>
  <c r="X529"/>
  <c r="X1345"/>
  <c r="X1606"/>
  <c r="X760"/>
  <c r="X1078"/>
  <c r="X445"/>
  <c r="X430"/>
  <c r="X1045"/>
  <c r="X811"/>
  <c r="X1209"/>
  <c r="X642"/>
  <c r="X312"/>
  <c r="X290"/>
  <c r="X1626"/>
  <c r="X289"/>
  <c r="X1649"/>
  <c r="X962"/>
  <c r="X1441"/>
  <c r="X425"/>
  <c r="X577"/>
  <c r="X1009"/>
  <c r="X1246"/>
  <c r="X748"/>
  <c r="X1413"/>
  <c r="X1199"/>
  <c r="X1319"/>
  <c r="X1440"/>
  <c r="X1693"/>
  <c r="X1687"/>
  <c r="X808"/>
  <c r="X1224"/>
  <c r="X992"/>
  <c r="X1064"/>
  <c r="X234"/>
  <c r="X1354"/>
  <c r="X606"/>
  <c r="X1452"/>
  <c r="X715"/>
  <c r="X1398"/>
  <c r="X1347"/>
  <c r="X1510"/>
  <c r="X511"/>
  <c r="X1619"/>
  <c r="X520"/>
  <c r="X1655"/>
  <c r="X941"/>
  <c r="X1384"/>
  <c r="X850"/>
  <c r="X431"/>
  <c r="X1479"/>
  <c r="X632"/>
  <c r="X1320"/>
  <c r="X790"/>
  <c r="X1323"/>
  <c r="X381"/>
  <c r="X1099"/>
  <c r="X438"/>
  <c r="X1189"/>
  <c r="X1298"/>
  <c r="X1572"/>
  <c r="X325"/>
  <c r="X316"/>
  <c r="X1108"/>
  <c r="X608"/>
  <c r="X764"/>
  <c r="X862"/>
  <c r="X966"/>
  <c r="X300"/>
  <c r="X886"/>
  <c r="X1272"/>
  <c r="X337"/>
  <c r="X610"/>
  <c r="X549"/>
  <c r="X301"/>
  <c r="X1112"/>
  <c r="X684"/>
  <c r="X1484"/>
  <c r="X263"/>
  <c r="X1686"/>
  <c r="X1628"/>
  <c r="X1616"/>
  <c r="X376"/>
  <c r="X1338"/>
  <c r="X931"/>
  <c r="X342"/>
  <c r="X1133"/>
  <c r="X1257"/>
  <c r="X863"/>
  <c r="X1056"/>
  <c r="X1115"/>
  <c r="X411"/>
  <c r="X695"/>
  <c r="X400"/>
  <c r="X781"/>
  <c r="X1221"/>
  <c r="X730"/>
  <c r="X1239"/>
  <c r="X565"/>
  <c r="X439"/>
  <c r="X1249"/>
  <c r="X490"/>
  <c r="X378"/>
  <c r="X1284"/>
  <c r="X936"/>
  <c r="X283"/>
  <c r="X1262"/>
  <c r="X334"/>
  <c r="X908"/>
  <c r="X1025"/>
  <c r="X322"/>
  <c r="X675"/>
  <c r="X1542"/>
  <c r="X845"/>
  <c r="X866"/>
  <c r="X1336"/>
  <c r="X397"/>
  <c r="X683"/>
  <c r="X1417"/>
  <c r="X1416"/>
  <c r="X429"/>
  <c r="X432"/>
  <c r="X1188"/>
  <c r="X1280"/>
  <c r="X1333"/>
  <c r="X170"/>
  <c r="X121"/>
  <c r="X183"/>
  <c r="X28"/>
  <c r="X161"/>
  <c r="X191"/>
  <c r="X62"/>
  <c r="X157"/>
  <c r="X146"/>
  <c r="X6"/>
  <c r="X1393"/>
  <c r="X1383"/>
  <c r="X1266"/>
  <c r="X336"/>
  <c r="X674"/>
  <c r="X1362"/>
  <c r="X1175"/>
  <c r="X997"/>
  <c r="X1677"/>
  <c r="X402"/>
  <c r="X428"/>
  <c r="X1374"/>
  <c r="X891"/>
  <c r="X1409"/>
  <c r="X876"/>
  <c r="X1153"/>
  <c r="X341"/>
  <c r="X1311"/>
  <c r="X1142"/>
  <c r="X440"/>
  <c r="X467"/>
  <c r="X738"/>
  <c r="X419"/>
  <c r="X1341"/>
  <c r="X384"/>
  <c r="X1564"/>
  <c r="X408"/>
  <c r="X602"/>
  <c r="X1005"/>
  <c r="X534"/>
  <c r="X350"/>
  <c r="X1377"/>
  <c r="X1592"/>
  <c r="X282"/>
  <c r="X1430"/>
  <c r="X925"/>
  <c r="X556"/>
  <c r="X1349"/>
  <c r="X901"/>
  <c r="X385"/>
  <c r="X1382"/>
  <c r="X798"/>
  <c r="X491"/>
  <c r="X1110"/>
  <c r="X1128"/>
  <c r="X909"/>
  <c r="X1496"/>
  <c r="X1439"/>
  <c r="X1455"/>
  <c r="X1700"/>
  <c r="X294"/>
  <c r="X1648"/>
  <c r="X1238"/>
  <c r="X434"/>
  <c r="X1412"/>
  <c r="X347"/>
  <c r="X775"/>
  <c r="X934"/>
  <c r="X1179"/>
  <c r="X1472"/>
  <c r="X1451"/>
  <c r="X1070"/>
  <c r="X561"/>
  <c r="X1408"/>
  <c r="X1613"/>
  <c r="X413"/>
  <c r="X1419"/>
  <c r="X996"/>
  <c r="X351"/>
  <c r="X985"/>
  <c r="X1517"/>
  <c r="X389"/>
  <c r="X1535"/>
  <c r="X196"/>
  <c r="X137"/>
  <c r="X167"/>
  <c r="X135"/>
  <c r="X119"/>
  <c r="X160"/>
  <c r="X187"/>
  <c r="X151"/>
  <c r="X124"/>
  <c r="X180"/>
  <c r="X197"/>
  <c r="X127"/>
  <c r="X105"/>
  <c r="X76"/>
  <c r="X69"/>
  <c r="X3"/>
  <c r="X43"/>
  <c r="X81"/>
  <c r="X163"/>
  <c r="X136"/>
  <c r="X128"/>
  <c r="X171"/>
  <c r="X182"/>
  <c r="X129"/>
  <c r="X125"/>
  <c r="X126"/>
  <c r="X2"/>
  <c r="X53"/>
  <c r="X30"/>
  <c r="X156"/>
  <c r="X177"/>
  <c r="X139"/>
  <c r="X165"/>
  <c r="X80"/>
  <c r="X23"/>
  <c r="X77"/>
  <c r="X1048"/>
  <c r="X1437"/>
  <c r="X1684"/>
  <c r="X278"/>
  <c r="X1195"/>
  <c r="X795"/>
  <c r="X1236"/>
  <c r="X373"/>
  <c r="X315"/>
  <c r="X696"/>
  <c r="X1324"/>
  <c r="X252"/>
  <c r="X338"/>
  <c r="X314"/>
  <c r="X649"/>
  <c r="X1534"/>
  <c r="X1030"/>
  <c r="X1690"/>
  <c r="X973"/>
  <c r="X1631"/>
  <c r="X581"/>
  <c r="X1263"/>
  <c r="X752"/>
  <c r="X327"/>
  <c r="X807"/>
  <c r="X277"/>
  <c r="X711"/>
  <c r="X897"/>
  <c r="X332"/>
  <c r="X1587"/>
  <c r="X1555"/>
  <c r="X1240"/>
  <c r="X1425"/>
  <c r="X559"/>
  <c r="X275"/>
  <c r="X1701"/>
  <c r="X375"/>
  <c r="X917"/>
  <c r="X1342"/>
  <c r="X162"/>
  <c r="X120"/>
  <c r="X195"/>
  <c r="X193"/>
  <c r="X154"/>
  <c r="X185"/>
  <c r="X118"/>
  <c r="X68"/>
  <c r="X41"/>
  <c r="X61"/>
  <c r="X79"/>
  <c r="X204"/>
  <c r="X179"/>
  <c r="X132"/>
  <c r="X144"/>
  <c r="X131"/>
  <c r="X14"/>
  <c r="X202"/>
  <c r="X133"/>
  <c r="X56"/>
  <c r="X38"/>
  <c r="Y39" l="1"/>
  <c r="Y38"/>
  <c r="Y210"/>
  <c r="Y134"/>
  <c r="Y211"/>
  <c r="Y203"/>
  <c r="Y43"/>
  <c r="Y28"/>
  <c r="Y132"/>
  <c r="Y217"/>
  <c r="Y145"/>
  <c r="Y139"/>
  <c r="Y133"/>
  <c r="Y141"/>
  <c r="Y180"/>
  <c r="Y209"/>
  <c r="Y205"/>
  <c r="Y159"/>
  <c r="Y80"/>
  <c r="Y9"/>
  <c r="Y62"/>
  <c r="Y68"/>
  <c r="Y42"/>
  <c r="Y79"/>
  <c r="Y69"/>
  <c r="Y148"/>
  <c r="Y119"/>
  <c r="Y201"/>
  <c r="Y186"/>
  <c r="Y160"/>
  <c r="Y155"/>
  <c r="Y185"/>
  <c r="Y151"/>
  <c r="Y196"/>
  <c r="Y153"/>
  <c r="Y121"/>
  <c r="Y202"/>
  <c r="Y163"/>
  <c r="Y174"/>
  <c r="Y1343"/>
  <c r="Y258"/>
  <c r="Y918"/>
  <c r="Y285"/>
  <c r="Y376"/>
  <c r="Y1136"/>
  <c r="Y653"/>
  <c r="Y276"/>
  <c r="Y829"/>
  <c r="Y560"/>
  <c r="Y735"/>
  <c r="Y1426"/>
  <c r="Y817"/>
  <c r="Y1241"/>
  <c r="Y813"/>
  <c r="Y1556"/>
  <c r="Y789"/>
  <c r="Y1588"/>
  <c r="Y1091"/>
  <c r="Y333"/>
  <c r="Y1389"/>
  <c r="Y898"/>
  <c r="Y1144"/>
  <c r="Y712"/>
  <c r="Y375"/>
  <c r="Y278"/>
  <c r="Y345"/>
  <c r="Y808"/>
  <c r="Y1262"/>
  <c r="Y328"/>
  <c r="Y1463"/>
  <c r="Y753"/>
  <c r="Y1192"/>
  <c r="Y1264"/>
  <c r="Y1429"/>
  <c r="Y582"/>
  <c r="Y608"/>
  <c r="Y1632"/>
  <c r="Y434"/>
  <c r="Y974"/>
  <c r="Y254"/>
  <c r="Y1691"/>
  <c r="Y723"/>
  <c r="Y1031"/>
  <c r="Y722"/>
  <c r="Y1535"/>
  <c r="Y1008"/>
  <c r="Y650"/>
  <c r="Y840"/>
  <c r="Y315"/>
  <c r="Y399"/>
  <c r="Y339"/>
  <c r="Y397"/>
  <c r="Y253"/>
  <c r="Y631"/>
  <c r="Y1325"/>
  <c r="Y299"/>
  <c r="Y697"/>
  <c r="Y1558"/>
  <c r="Y316"/>
  <c r="Y873"/>
  <c r="Y374"/>
  <c r="Y265"/>
  <c r="Y1237"/>
  <c r="Y358"/>
  <c r="Y796"/>
  <c r="Y1415"/>
  <c r="Y1196"/>
  <c r="Y444"/>
  <c r="Y279"/>
  <c r="Y659"/>
  <c r="Y1685"/>
  <c r="Y1303"/>
  <c r="Y1438"/>
  <c r="Y230"/>
  <c r="Y1049"/>
  <c r="Y1448"/>
  <c r="Y78"/>
  <c r="Y81"/>
  <c r="Y166"/>
  <c r="Y213"/>
  <c r="Y140"/>
  <c r="Y176"/>
  <c r="Y178"/>
  <c r="Y173"/>
  <c r="Y157"/>
  <c r="Y76"/>
  <c r="Y36"/>
  <c r="Y27"/>
  <c r="Y3"/>
  <c r="Y206"/>
  <c r="Y127"/>
  <c r="Y189"/>
  <c r="Y126"/>
  <c r="Y149"/>
  <c r="Y130"/>
  <c r="Y135"/>
  <c r="Y183"/>
  <c r="Y190"/>
  <c r="Y172"/>
  <c r="Y123"/>
  <c r="Y129"/>
  <c r="Y204"/>
  <c r="Y137"/>
  <c r="Y156"/>
  <c r="Y164"/>
  <c r="Y214"/>
  <c r="Y82"/>
  <c r="Y4"/>
  <c r="Y53"/>
  <c r="Y77"/>
  <c r="Y61"/>
  <c r="Y144"/>
  <c r="Y128"/>
  <c r="Y215"/>
  <c r="Y198"/>
  <c r="Y124"/>
  <c r="Y181"/>
  <c r="Y208"/>
  <c r="Y125"/>
  <c r="Y142"/>
  <c r="Y152"/>
  <c r="Y131"/>
  <c r="Y188"/>
  <c r="Y199"/>
  <c r="Y161"/>
  <c r="Y143"/>
  <c r="Y120"/>
  <c r="Y154"/>
  <c r="Y136"/>
  <c r="Y167"/>
  <c r="Y168"/>
  <c r="Y175"/>
  <c r="Y138"/>
  <c r="Y169"/>
  <c r="Y197"/>
  <c r="Y349"/>
  <c r="Y1536"/>
  <c r="Y1513"/>
  <c r="Y390"/>
  <c r="Y1228"/>
  <c r="Y1518"/>
  <c r="Y1332"/>
  <c r="Y986"/>
  <c r="Y411"/>
  <c r="Y352"/>
  <c r="Y1654"/>
  <c r="Y997"/>
  <c r="Y437"/>
  <c r="Y1420"/>
  <c r="Y370"/>
  <c r="Y414"/>
  <c r="Y748"/>
  <c r="Y1614"/>
  <c r="Y644"/>
  <c r="Y1409"/>
  <c r="Y1569"/>
  <c r="Y562"/>
  <c r="Y718"/>
  <c r="Y1071"/>
  <c r="Y1083"/>
  <c r="Y1452"/>
  <c r="Y871"/>
  <c r="Y1473"/>
  <c r="Y1145"/>
  <c r="Y1180"/>
  <c r="Y647"/>
  <c r="Y935"/>
  <c r="Y985"/>
  <c r="Y776"/>
  <c r="Y1645"/>
  <c r="Y348"/>
  <c r="Y1366"/>
  <c r="Y1413"/>
  <c r="Y372"/>
  <c r="Y435"/>
  <c r="Y1105"/>
  <c r="Y1239"/>
  <c r="Y1434"/>
  <c r="Y1649"/>
  <c r="Y293"/>
  <c r="Y295"/>
  <c r="Y1600"/>
  <c r="Y1701"/>
  <c r="Y259"/>
  <c r="Y1456"/>
  <c r="Y395"/>
  <c r="Y1440"/>
  <c r="Y1457"/>
  <c r="Y1497"/>
  <c r="Y1582"/>
  <c r="Y910"/>
  <c r="Y1675"/>
  <c r="Y1129"/>
  <c r="Y729"/>
  <c r="Y1111"/>
  <c r="Y1169"/>
  <c r="Y492"/>
  <c r="Y1555"/>
  <c r="Y799"/>
  <c r="Y1001"/>
  <c r="Y1383"/>
  <c r="Y952"/>
  <c r="Y386"/>
  <c r="Y298"/>
  <c r="Y902"/>
  <c r="Y944"/>
  <c r="Y1350"/>
  <c r="Y1631"/>
  <c r="Y557"/>
  <c r="Y981"/>
  <c r="Y926"/>
  <c r="Y1603"/>
  <c r="Y1431"/>
  <c r="Y797"/>
  <c r="Y283"/>
  <c r="Y417"/>
  <c r="Y1593"/>
  <c r="Y983"/>
  <c r="Y1378"/>
  <c r="Y798"/>
  <c r="Y351"/>
  <c r="Y1677"/>
  <c r="Y535"/>
  <c r="Y270"/>
  <c r="Y1006"/>
  <c r="Y581"/>
  <c r="Y603"/>
  <c r="Y1602"/>
  <c r="Y409"/>
  <c r="Y1336"/>
  <c r="Y1565"/>
  <c r="Y324"/>
  <c r="Y385"/>
  <c r="Y1229"/>
  <c r="Y1342"/>
  <c r="Y1340"/>
  <c r="Y420"/>
  <c r="Y1521"/>
  <c r="Y739"/>
  <c r="Y568"/>
  <c r="Y468"/>
  <c r="Y1085"/>
  <c r="Y441"/>
  <c r="Y269"/>
  <c r="Y1143"/>
  <c r="Y1013"/>
  <c r="Y1312"/>
  <c r="Y1360"/>
  <c r="Y342"/>
  <c r="Y1074"/>
  <c r="Y1154"/>
  <c r="Y236"/>
  <c r="Y877"/>
  <c r="Y1680"/>
  <c r="Y1410"/>
  <c r="Y1279"/>
  <c r="Y892"/>
  <c r="Y744"/>
  <c r="Y1375"/>
  <c r="Y601"/>
  <c r="Y429"/>
  <c r="Y263"/>
  <c r="Y403"/>
  <c r="Y1201"/>
  <c r="Y1678"/>
  <c r="Y1532"/>
  <c r="Y998"/>
  <c r="Y1464"/>
  <c r="Y1176"/>
  <c r="Y274"/>
  <c r="Y1363"/>
  <c r="Y1294"/>
  <c r="Y675"/>
  <c r="Y329"/>
  <c r="Y337"/>
  <c r="Y306"/>
  <c r="Y1267"/>
  <c r="Y1361"/>
  <c r="Y1384"/>
  <c r="Y793"/>
  <c r="Y1394"/>
  <c r="Y1609"/>
  <c r="Y147"/>
  <c r="Y146"/>
  <c r="Y158"/>
  <c r="Y191"/>
  <c r="Y192"/>
  <c r="Y182"/>
  <c r="Y212"/>
  <c r="Y200"/>
  <c r="Y162"/>
  <c r="Y193"/>
  <c r="Y170"/>
  <c r="Y37"/>
  <c r="Y14"/>
  <c r="Y26"/>
  <c r="Y165"/>
  <c r="Y184"/>
  <c r="Y207"/>
  <c r="Y187"/>
  <c r="Y150"/>
  <c r="Y122"/>
  <c r="Y216"/>
  <c r="Y179"/>
  <c r="Y177"/>
  <c r="Y171"/>
  <c r="Y331"/>
  <c r="Y332"/>
  <c r="Y1499"/>
  <c r="Y1334"/>
  <c r="Y1424"/>
  <c r="Y346"/>
  <c r="Y257"/>
  <c r="Y1281"/>
  <c r="Y537"/>
  <c r="Y1390"/>
  <c r="Y524"/>
  <c r="Y1189"/>
  <c r="Y1033"/>
  <c r="Y1110"/>
  <c r="Y651"/>
  <c r="Y433"/>
  <c r="Y1630"/>
  <c r="Y1587"/>
  <c r="Y1608"/>
  <c r="Y430"/>
  <c r="Y1090"/>
  <c r="Y1331"/>
  <c r="Y243"/>
  <c r="Y1417"/>
  <c r="Y384"/>
  <c r="Y1674"/>
  <c r="Y1212"/>
  <c r="Y1418"/>
  <c r="Y518"/>
  <c r="Y781"/>
  <c r="Y357"/>
  <c r="Y684"/>
  <c r="Y1268"/>
  <c r="Y300"/>
  <c r="Y772"/>
  <c r="Y398"/>
  <c r="Y1292"/>
  <c r="Y1290"/>
  <c r="Y1300"/>
  <c r="Y1337"/>
  <c r="Y307"/>
  <c r="Y1599"/>
  <c r="Y260"/>
  <c r="Y867"/>
  <c r="Y1272"/>
  <c r="Y1681"/>
  <c r="Y541"/>
  <c r="Y846"/>
  <c r="Y416"/>
  <c r="Y262"/>
  <c r="Y1568"/>
  <c r="Y1543"/>
  <c r="Y1021"/>
  <c r="Y1368"/>
  <c r="Y1323"/>
  <c r="Y676"/>
  <c r="Y311"/>
  <c r="Y1526"/>
  <c r="Y1528"/>
  <c r="Y323"/>
  <c r="Y272"/>
  <c r="Y405"/>
  <c r="Y1503"/>
  <c r="Y1026"/>
  <c r="Y828"/>
  <c r="Y1077"/>
  <c r="Y1061"/>
  <c r="Y909"/>
  <c r="Y1115"/>
  <c r="Y1446"/>
  <c r="Y1232"/>
  <c r="Y335"/>
  <c r="Y308"/>
  <c r="Y1550"/>
  <c r="Y1139"/>
  <c r="Y1263"/>
  <c r="Y1395"/>
  <c r="Y354"/>
  <c r="Y422"/>
  <c r="Y284"/>
  <c r="Y445"/>
  <c r="Y815"/>
  <c r="Y821"/>
  <c r="Y937"/>
  <c r="Y1036"/>
  <c r="Y1522"/>
  <c r="Y394"/>
  <c r="Y1285"/>
  <c r="Y1545"/>
  <c r="Y1624"/>
  <c r="Y251"/>
  <c r="Y379"/>
  <c r="Y310"/>
  <c r="Y1465"/>
  <c r="Y1148"/>
  <c r="Y491"/>
  <c r="Y1149"/>
  <c r="Y945"/>
  <c r="Y318"/>
  <c r="Y1250"/>
  <c r="Y391"/>
  <c r="Y421"/>
  <c r="Y271"/>
  <c r="Y440"/>
  <c r="Y1401"/>
  <c r="Y1208"/>
  <c r="Y1544"/>
  <c r="Y566"/>
  <c r="Y1004"/>
  <c r="Y1043"/>
  <c r="Y642"/>
  <c r="Y1240"/>
  <c r="Y1539"/>
  <c r="Y830"/>
  <c r="Y868"/>
  <c r="Y731"/>
  <c r="Y1534"/>
  <c r="Y1531"/>
  <c r="Y847"/>
  <c r="Y1222"/>
  <c r="Y1373"/>
  <c r="Y936"/>
  <c r="Y559"/>
  <c r="Y782"/>
  <c r="Y340"/>
  <c r="Y347"/>
  <c r="Y620"/>
  <c r="Y401"/>
  <c r="Y673"/>
  <c r="Y1246"/>
  <c r="Y1238"/>
  <c r="Y696"/>
  <c r="Y330"/>
  <c r="Y322"/>
  <c r="Y1096"/>
  <c r="Y412"/>
  <c r="Y304"/>
  <c r="Y321"/>
  <c r="Y1488"/>
  <c r="Y1116"/>
  <c r="Y1338"/>
  <c r="Y1386"/>
  <c r="Y1172"/>
  <c r="Y1057"/>
  <c r="Y897"/>
  <c r="Y1204"/>
  <c r="Y1684"/>
  <c r="Y864"/>
  <c r="Y1613"/>
  <c r="Y1327"/>
  <c r="Y516"/>
  <c r="Y1258"/>
  <c r="Y1523"/>
  <c r="Y908"/>
  <c r="Y1577"/>
  <c r="Y1134"/>
  <c r="Y705"/>
  <c r="Y878"/>
  <c r="Y1693"/>
  <c r="Y343"/>
  <c r="Y711"/>
  <c r="Y1427"/>
  <c r="Y281"/>
  <c r="Y932"/>
  <c r="Y1345"/>
  <c r="Y1330"/>
  <c r="Y309"/>
  <c r="Y1339"/>
  <c r="Y1182"/>
  <c r="Y687"/>
  <c r="Y903"/>
  <c r="Y377"/>
  <c r="Y418"/>
  <c r="Y1392"/>
  <c r="Y1628"/>
  <c r="Y1617"/>
  <c r="Y597"/>
  <c r="Y404"/>
  <c r="Y256"/>
  <c r="Y1629"/>
  <c r="Y1359"/>
  <c r="Y616"/>
  <c r="Y1086"/>
  <c r="Y1687"/>
  <c r="Y428"/>
  <c r="Y1443"/>
  <c r="Y779"/>
  <c r="Y264"/>
  <c r="Y289"/>
  <c r="Y1365"/>
  <c r="Y921"/>
  <c r="Y1485"/>
  <c r="Y1455"/>
  <c r="Y1454"/>
  <c r="Y365"/>
  <c r="Y685"/>
  <c r="Y381"/>
  <c r="Y402"/>
  <c r="Y1449"/>
  <c r="Y1113"/>
  <c r="Y727"/>
  <c r="Y1234"/>
  <c r="Y393"/>
  <c r="Y302"/>
  <c r="Y267"/>
  <c r="Y410"/>
  <c r="Y1066"/>
  <c r="Y550"/>
  <c r="Y1637"/>
  <c r="Y973"/>
  <c r="Y482"/>
  <c r="Y611"/>
  <c r="Y362"/>
  <c r="Y953"/>
  <c r="Y1445"/>
  <c r="Y338"/>
  <c r="Y280"/>
  <c r="Y360"/>
  <c r="Y1472"/>
  <c r="Y1273"/>
  <c r="Y525"/>
  <c r="Y1087"/>
  <c r="Y922"/>
  <c r="Y887"/>
  <c r="Y277"/>
  <c r="Y1462"/>
  <c r="Y1405"/>
  <c r="Y301"/>
  <c r="Y373"/>
  <c r="Y368"/>
  <c r="Y523"/>
  <c r="Y967"/>
  <c r="Y949"/>
  <c r="Y1140"/>
  <c r="Y1651"/>
  <c r="Y863"/>
  <c r="Y1667"/>
  <c r="Y1542"/>
  <c r="Y1493"/>
  <c r="Y765"/>
  <c r="Y1284"/>
  <c r="Y1194"/>
  <c r="Y1103"/>
  <c r="Y609"/>
  <c r="Y1153"/>
  <c r="Y1310"/>
  <c r="Y571"/>
  <c r="Y1109"/>
  <c r="Y646"/>
  <c r="Y1156"/>
  <c r="Y248"/>
  <c r="Y317"/>
  <c r="Y296"/>
  <c r="Y336"/>
  <c r="Y407"/>
  <c r="Y326"/>
  <c r="Y250"/>
  <c r="Y1220"/>
  <c r="Y730"/>
  <c r="Y1573"/>
  <c r="Y1520"/>
  <c r="Y984"/>
  <c r="Y1670"/>
  <c r="Y1299"/>
  <c r="Y1570"/>
  <c r="Y1596"/>
  <c r="Y547"/>
  <c r="Y1190"/>
  <c r="Y1612"/>
  <c r="Y1191"/>
  <c r="Y287"/>
  <c r="Y439"/>
  <c r="Y760"/>
  <c r="Y1002"/>
  <c r="Y1259"/>
  <c r="Y1100"/>
  <c r="Y1382"/>
  <c r="Y447"/>
  <c r="Y355"/>
  <c r="Y382"/>
  <c r="Y389"/>
  <c r="Y325"/>
  <c r="Y252"/>
  <c r="Y1324"/>
  <c r="Y1404"/>
  <c r="Y1575"/>
  <c r="Y1354"/>
  <c r="Y791"/>
  <c r="Y1586"/>
  <c r="Y1655"/>
  <c r="Y1251"/>
  <c r="Y1321"/>
  <c r="Y1199"/>
  <c r="Y736"/>
  <c r="Y1585"/>
  <c r="Y633"/>
  <c r="Y341"/>
  <c r="Y364"/>
  <c r="Y775"/>
  <c r="Y1480"/>
  <c r="Y294"/>
  <c r="Y424"/>
  <c r="Y319"/>
  <c r="Y432"/>
  <c r="Y261"/>
  <c r="Y305"/>
  <c r="Y1552"/>
  <c r="Y851"/>
  <c r="Y1635"/>
  <c r="Y1073"/>
  <c r="Y1171"/>
  <c r="Y1385"/>
  <c r="Y1161"/>
  <c r="Y881"/>
  <c r="Y1219"/>
  <c r="Y942"/>
  <c r="Y1127"/>
  <c r="Y1160"/>
  <c r="Y503"/>
  <c r="Y1656"/>
  <c r="Y958"/>
  <c r="Y989"/>
  <c r="Y1474"/>
  <c r="Y521"/>
  <c r="Y551"/>
  <c r="Y1388"/>
  <c r="Y1112"/>
  <c r="Y1620"/>
  <c r="Y596"/>
  <c r="Y1137"/>
  <c r="Y1505"/>
  <c r="Y512"/>
  <c r="Y1676"/>
  <c r="Y1076"/>
  <c r="Y1370"/>
  <c r="Y1511"/>
  <c r="Y1698"/>
  <c r="Y803"/>
  <c r="Y1697"/>
  <c r="Y1348"/>
  <c r="Y625"/>
  <c r="Y1347"/>
  <c r="Y850"/>
  <c r="Y1399"/>
  <c r="Y695"/>
  <c r="Y1669"/>
  <c r="Y1592"/>
  <c r="Y716"/>
  <c r="Y1254"/>
  <c r="Y819"/>
  <c r="Y972"/>
  <c r="Y1453"/>
  <c r="Y1601"/>
  <c r="Y1084"/>
  <c r="Y498"/>
  <c r="Y607"/>
  <c r="Y1236"/>
  <c r="Y764"/>
  <c r="Y1605"/>
  <c r="Y1355"/>
  <c r="Y788"/>
  <c r="Y1562"/>
  <c r="Y934"/>
  <c r="Y235"/>
  <c r="Y1316"/>
  <c r="Y641"/>
  <c r="Y1188"/>
  <c r="Y1065"/>
  <c r="Y594"/>
  <c r="Y544"/>
  <c r="Y224"/>
  <c r="Y993"/>
  <c r="Y1198"/>
  <c r="Y1495"/>
  <c r="Y860"/>
  <c r="Y1225"/>
  <c r="Y688"/>
  <c r="Y913"/>
  <c r="Y1335"/>
  <c r="Y809"/>
  <c r="Y1566"/>
  <c r="Y883"/>
  <c r="Y1040"/>
  <c r="Y1688"/>
  <c r="Y1576"/>
  <c r="Y1122"/>
  <c r="Y1022"/>
  <c r="Y1694"/>
  <c r="Y1501"/>
  <c r="Y1024"/>
  <c r="Y1583"/>
  <c r="Y1441"/>
  <c r="Y759"/>
  <c r="Y740"/>
  <c r="Y656"/>
  <c r="Y1320"/>
  <c r="Y1369"/>
  <c r="Y533"/>
  <c r="Y632"/>
  <c r="Y1200"/>
  <c r="Y861"/>
  <c r="Y1362"/>
  <c r="Y1044"/>
  <c r="Y1414"/>
  <c r="Y1658"/>
  <c r="Y750"/>
  <c r="Y1598"/>
  <c r="Y749"/>
  <c r="Y1297"/>
  <c r="Y1095"/>
  <c r="Y453"/>
  <c r="Y1247"/>
  <c r="Y1510"/>
  <c r="Y587"/>
  <c r="Y900"/>
  <c r="Y1010"/>
  <c r="Y505"/>
  <c r="Y1482"/>
  <c r="Y500"/>
  <c r="Y578"/>
  <c r="Y1104"/>
  <c r="Y552"/>
  <c r="Y380"/>
  <c r="Y426"/>
  <c r="Y367"/>
  <c r="Y419"/>
  <c r="Y297"/>
  <c r="Y1442"/>
  <c r="Y1037"/>
  <c r="Y1147"/>
  <c r="Y1270"/>
  <c r="Y963"/>
  <c r="Y1068"/>
  <c r="Y1407"/>
  <c r="Y1634"/>
  <c r="Y1650"/>
  <c r="Y1468"/>
  <c r="Y1128"/>
  <c r="Y771"/>
  <c r="Y290"/>
  <c r="Y363"/>
  <c r="Y396"/>
  <c r="Y669"/>
  <c r="Y1627"/>
  <c r="Y899"/>
  <c r="Y1509"/>
  <c r="Y371"/>
  <c r="Y291"/>
  <c r="Y356"/>
  <c r="Y327"/>
  <c r="Y388"/>
  <c r="Y313"/>
  <c r="Y255"/>
  <c r="Y1396"/>
  <c r="Y1314"/>
  <c r="Y643"/>
  <c r="Y645"/>
  <c r="Y916"/>
  <c r="Y948"/>
  <c r="Y1210"/>
  <c r="Y1280"/>
  <c r="Y1665"/>
  <c r="Y1309"/>
  <c r="Y812"/>
  <c r="Y288"/>
  <c r="Y438"/>
  <c r="Y1487"/>
  <c r="Y1046"/>
  <c r="Y1387"/>
  <c r="Y423"/>
  <c r="Y378"/>
  <c r="Y431"/>
  <c r="Y427"/>
  <c r="Y369"/>
  <c r="Y408"/>
  <c r="Y446"/>
  <c r="Y1283"/>
  <c r="Y1082"/>
  <c r="Y1400"/>
  <c r="Y1079"/>
  <c r="Y1269"/>
  <c r="Y1475"/>
  <c r="Y1469"/>
  <c r="Y761"/>
  <c r="Y1307"/>
  <c r="Y1616"/>
  <c r="Y1030"/>
  <c r="Y1607"/>
  <c r="Y756"/>
  <c r="Y1029"/>
  <c r="Y1165"/>
  <c r="Y1346"/>
  <c r="Y649"/>
  <c r="Y1223"/>
  <c r="Y1659"/>
  <c r="Y530"/>
  <c r="Y1211"/>
  <c r="Y1422"/>
  <c r="Y1253"/>
  <c r="Y717"/>
  <c r="Y920"/>
  <c r="Y593"/>
  <c r="Y1106"/>
  <c r="Y1130"/>
  <c r="Y1054"/>
  <c r="Y1458"/>
  <c r="Y1579"/>
  <c r="Y1519"/>
  <c r="Y938"/>
  <c r="Y1425"/>
  <c r="Y1622"/>
  <c r="Y1287"/>
  <c r="Y1477"/>
  <c r="Y956"/>
  <c r="Y1177"/>
  <c r="Y1421"/>
  <c r="Y584"/>
  <c r="Y1235"/>
  <c r="Y1517"/>
  <c r="Y961"/>
  <c r="Y896"/>
  <c r="Y1653"/>
  <c r="Y1050"/>
  <c r="Y737"/>
  <c r="Y1162"/>
  <c r="Y575"/>
  <c r="Y665"/>
  <c r="Y1227"/>
  <c r="Y1699"/>
  <c r="Y1406"/>
  <c r="Y1142"/>
  <c r="Y800"/>
  <c r="Y754"/>
  <c r="Y976"/>
  <c r="Y1436"/>
  <c r="Y889"/>
  <c r="Y1690"/>
  <c r="Y527"/>
  <c r="Y792"/>
  <c r="Y1476"/>
  <c r="Y1610"/>
  <c r="Y1662"/>
  <c r="Y707"/>
  <c r="Y670"/>
  <c r="Y1435"/>
  <c r="Y1173"/>
  <c r="Y1072"/>
  <c r="Y1257"/>
  <c r="Y1102"/>
  <c r="Y614"/>
  <c r="Y569"/>
  <c r="Y1540"/>
  <c r="Y312"/>
  <c r="Y406"/>
  <c r="Y1197"/>
  <c r="Y1114"/>
  <c r="Y1633"/>
  <c r="Y303"/>
  <c r="Y350"/>
  <c r="Y282"/>
  <c r="Y359"/>
  <c r="Y320"/>
  <c r="Y275"/>
  <c r="Y1590"/>
  <c r="Y1525"/>
  <c r="Y801"/>
  <c r="Y1341"/>
  <c r="Y564"/>
  <c r="Y1502"/>
  <c r="Y1686"/>
  <c r="Y905"/>
  <c r="Y1032"/>
  <c r="Y917"/>
  <c r="Y1591"/>
  <c r="Y1661"/>
  <c r="Y1379"/>
  <c r="Y1205"/>
  <c r="Y1093"/>
  <c r="Y1657"/>
  <c r="Y1296"/>
  <c r="Y1027"/>
  <c r="Y1423"/>
  <c r="Y1168"/>
  <c r="Y663"/>
  <c r="Y1618"/>
  <c r="Y1207"/>
  <c r="Y1376"/>
  <c r="Y752"/>
  <c r="Y1357"/>
  <c r="Y1133"/>
  <c r="Y816"/>
  <c r="Y591"/>
  <c r="Y743"/>
  <c r="Y966"/>
  <c r="Y517"/>
  <c r="Y1597"/>
  <c r="Y1318"/>
  <c r="Y495"/>
  <c r="Y1081"/>
  <c r="Y1393"/>
  <c r="Y1295"/>
  <c r="Y606"/>
  <c r="Y1700"/>
  <c r="Y965"/>
  <c r="Y1486"/>
  <c r="Y638"/>
  <c r="Y1428"/>
  <c r="Y576"/>
  <c r="Y1333"/>
  <c r="Y515"/>
  <c r="Y1302"/>
  <c r="Y1626"/>
  <c r="Y1018"/>
  <c r="Y612"/>
  <c r="Y502"/>
  <c r="Y682"/>
  <c r="Y1554"/>
  <c r="Y662"/>
  <c r="Y455"/>
  <c r="Y1217"/>
  <c r="Y1574"/>
  <c r="Y546"/>
  <c r="Y655"/>
  <c r="Y929"/>
  <c r="Y1255"/>
  <c r="Y1252"/>
  <c r="Y600"/>
  <c r="Y1060"/>
  <c r="Y244"/>
  <c r="Y539"/>
  <c r="Y689"/>
  <c r="Y713"/>
  <c r="Y893"/>
  <c r="Y1682"/>
  <c r="Y1328"/>
  <c r="Y460"/>
  <c r="Y1500"/>
  <c r="Y1304"/>
  <c r="Y1107"/>
  <c r="Y856"/>
  <c r="Y1695"/>
  <c r="Y733"/>
  <c r="Y1193"/>
  <c r="Y1564"/>
  <c r="Y1496"/>
  <c r="Y928"/>
  <c r="Y602"/>
  <c r="Y1126"/>
  <c r="Y1218"/>
  <c r="Y715"/>
  <c r="Y1444"/>
  <c r="Y982"/>
  <c r="Y1478"/>
  <c r="Y1611"/>
  <c r="Y1319"/>
  <c r="Y1580"/>
  <c r="Y1646"/>
  <c r="Y841"/>
  <c r="Y1538"/>
  <c r="Y1358"/>
  <c r="Y1260"/>
  <c r="Y1178"/>
  <c r="Y481"/>
  <c r="Y1483"/>
  <c r="Y1516"/>
  <c r="Y1048"/>
  <c r="Y870"/>
  <c r="Y1195"/>
  <c r="Y586"/>
  <c r="Y1380"/>
  <c r="Y1481"/>
  <c r="Y1671"/>
  <c r="Y622"/>
  <c r="Y1138"/>
  <c r="Y1042"/>
  <c r="Y1313"/>
  <c r="Y1202"/>
  <c r="Y1063"/>
  <c r="Y344"/>
  <c r="Y361"/>
  <c r="Y353"/>
  <c r="Y273"/>
  <c r="Y413"/>
  <c r="Y249"/>
  <c r="Y573"/>
  <c r="Y1589"/>
  <c r="Y1170"/>
  <c r="Y1430"/>
  <c r="Y1515"/>
  <c r="Y1664"/>
  <c r="Y585"/>
  <c r="Y487"/>
  <c r="Y1666"/>
  <c r="Y555"/>
  <c r="Y572"/>
  <c r="Y501"/>
  <c r="Y442"/>
  <c r="Y400"/>
  <c r="Y1099"/>
  <c r="Y1652"/>
  <c r="Y769"/>
  <c r="Y1243"/>
  <c r="Y785"/>
  <c r="Y383"/>
  <c r="Y415"/>
  <c r="Y286"/>
  <c r="Y268"/>
  <c r="Y366"/>
  <c r="Y392"/>
  <c r="Y1125"/>
  <c r="Y1506"/>
  <c r="Y1214"/>
  <c r="Y1403"/>
  <c r="Y1364"/>
  <c r="Y1559"/>
  <c r="Y814"/>
  <c r="Y894"/>
  <c r="Y1329"/>
  <c r="Y770"/>
  <c r="Y476"/>
  <c r="Y1353"/>
  <c r="Y436"/>
  <c r="Y314"/>
  <c r="Y1541"/>
  <c r="Y1683"/>
  <c r="Y1643"/>
  <c r="Y334"/>
  <c r="Y387"/>
  <c r="Y425"/>
  <c r="Y443"/>
  <c r="Y266"/>
  <c r="Y292"/>
  <c r="Y992"/>
  <c r="Y637"/>
  <c r="Y1504"/>
  <c r="Y912"/>
  <c r="Y810"/>
  <c r="Y700"/>
  <c r="Y529"/>
  <c r="Y604"/>
  <c r="Y1265"/>
  <c r="Y1479"/>
  <c r="Y1349"/>
  <c r="Y671"/>
  <c r="Y1164"/>
  <c r="Y657"/>
  <c r="Y1561"/>
  <c r="Y1640"/>
  <c r="Y728"/>
  <c r="Y648"/>
  <c r="Y1644"/>
  <c r="Y1560"/>
  <c r="Y1367"/>
  <c r="Y245"/>
  <c r="Y1141"/>
  <c r="Y1118"/>
  <c r="Y240"/>
  <c r="Y451"/>
  <c r="Y1244"/>
  <c r="Y1494"/>
  <c r="Y1615"/>
  <c r="Y1181"/>
  <c r="Y1305"/>
  <c r="Y623"/>
  <c r="Y855"/>
  <c r="Y941"/>
  <c r="Y1411"/>
  <c r="Y686"/>
  <c r="Y1185"/>
  <c r="Y1186"/>
  <c r="Y1548"/>
  <c r="Y1567"/>
  <c r="Y1642"/>
  <c r="Y1097"/>
  <c r="Y1274"/>
  <c r="Y1344"/>
  <c r="Y1216"/>
  <c r="Y1053"/>
  <c r="Y1075"/>
  <c r="Y980"/>
  <c r="Y630"/>
  <c r="Y940"/>
  <c r="Y1275"/>
  <c r="Y583"/>
  <c r="Y627"/>
  <c r="Y1005"/>
  <c r="Y466"/>
  <c r="Y834"/>
  <c r="Y1356"/>
  <c r="Y1512"/>
  <c r="Y1012"/>
  <c r="Y1432"/>
  <c r="Y1491"/>
  <c r="Y783"/>
  <c r="Y219"/>
  <c r="Y580"/>
  <c r="Y1371"/>
  <c r="Y804"/>
  <c r="Y1467"/>
  <c r="Y1282"/>
  <c r="Y506"/>
  <c r="Y621"/>
  <c r="Y1352"/>
  <c r="Y1151"/>
  <c r="Y1315"/>
  <c r="Y1150"/>
  <c r="Y462"/>
  <c r="Y1398"/>
  <c r="Y1308"/>
  <c r="Y1055"/>
  <c r="Y957"/>
  <c r="Y879"/>
  <c r="Y1158"/>
  <c r="Y1533"/>
  <c r="Y1230"/>
  <c r="Y1524"/>
  <c r="Y1594"/>
  <c r="Y835"/>
  <c r="Y242"/>
  <c r="Y1135"/>
  <c r="Y732"/>
  <c r="Y692"/>
  <c r="Y1351"/>
  <c r="Y672"/>
  <c r="Y238"/>
  <c r="Y588"/>
  <c r="Y777"/>
  <c r="Y674"/>
  <c r="Y617"/>
  <c r="Y1547"/>
  <c r="Y1557"/>
  <c r="Y1584"/>
  <c r="Y844"/>
  <c r="Y1606"/>
  <c r="Y1402"/>
  <c r="Y845"/>
  <c r="Y1098"/>
  <c r="Y599"/>
  <c r="Y548"/>
  <c r="Y1261"/>
  <c r="Y1184"/>
  <c r="Y919"/>
  <c r="Y999"/>
  <c r="Y1372"/>
  <c r="Y766"/>
  <c r="Y1419"/>
  <c r="Y1374"/>
  <c r="Y246"/>
  <c r="Y1377"/>
  <c r="Y843"/>
  <c r="Y951"/>
  <c r="Y762"/>
  <c r="Y514"/>
  <c r="Y1249"/>
  <c r="Y757"/>
  <c r="Y693"/>
  <c r="Y1159"/>
  <c r="Y1546"/>
  <c r="Y1015"/>
  <c r="Y1058"/>
  <c r="Y970"/>
  <c r="Y1000"/>
  <c r="Y1326"/>
  <c r="Y519"/>
  <c r="Y1276"/>
  <c r="Y1619"/>
  <c r="Y833"/>
  <c r="Y906"/>
  <c r="Y706"/>
  <c r="Y859"/>
  <c r="Y1397"/>
  <c r="Y1306"/>
  <c r="Y679"/>
  <c r="Y489"/>
  <c r="Y469"/>
  <c r="Y1059"/>
  <c r="Y822"/>
  <c r="Y1647"/>
  <c r="Y467"/>
  <c r="Y221"/>
  <c r="Y710"/>
  <c r="Y1242"/>
  <c r="Y1094"/>
  <c r="Y959"/>
  <c r="Y1167"/>
  <c r="Y595"/>
  <c r="Y1639"/>
  <c r="Y1034"/>
  <c r="Y1490"/>
  <c r="Y1266"/>
  <c r="Y465"/>
  <c r="Y508"/>
  <c r="Y1470"/>
  <c r="Y664"/>
  <c r="Y806"/>
  <c r="Y598"/>
  <c r="Y1067"/>
  <c r="Y1038"/>
  <c r="Y742"/>
  <c r="Y448"/>
  <c r="Y1003"/>
  <c r="Y1450"/>
  <c r="Y818"/>
  <c r="Y520"/>
  <c r="Y1155"/>
  <c r="Y1233"/>
  <c r="Y1174"/>
  <c r="Y964"/>
  <c r="Y511"/>
  <c r="Y954"/>
  <c r="Y1152"/>
  <c r="Y719"/>
  <c r="Y924"/>
  <c r="Y1286"/>
  <c r="Y1121"/>
  <c r="Y978"/>
  <c r="Y1256"/>
  <c r="Y1298"/>
  <c r="Y1203"/>
  <c r="Y1123"/>
  <c r="Y1689"/>
  <c r="Y1052"/>
  <c r="Y1092"/>
  <c r="Y534"/>
  <c r="Y1248"/>
  <c r="Y734"/>
  <c r="Y456"/>
  <c r="Y636"/>
  <c r="Y1016"/>
  <c r="Y1648"/>
  <c r="Y990"/>
  <c r="Y1175"/>
  <c r="Y1460"/>
  <c r="Y1045"/>
  <c r="Y1530"/>
  <c r="Y558"/>
  <c r="Y1070"/>
  <c r="Y478"/>
  <c r="Y869"/>
  <c r="Y995"/>
  <c r="Y1672"/>
  <c r="Y1581"/>
  <c r="Y1660"/>
  <c r="Y1563"/>
  <c r="Y849"/>
  <c r="Y886"/>
  <c r="Y615"/>
  <c r="Y930"/>
  <c r="Y763"/>
  <c r="Y907"/>
  <c r="Y832"/>
  <c r="Y862"/>
  <c r="Y1047"/>
  <c r="Y698"/>
  <c r="Y485"/>
  <c r="Y977"/>
  <c r="Y726"/>
  <c r="Y510"/>
  <c r="Y787"/>
  <c r="Y1146"/>
  <c r="Y1625"/>
  <c r="Y780"/>
  <c r="Y1553"/>
  <c r="Y960"/>
  <c r="Y1183"/>
  <c r="Y1529"/>
  <c r="Y884"/>
  <c r="Y1020"/>
  <c r="Y1437"/>
  <c r="Y971"/>
  <c r="Y538"/>
  <c r="Y1433"/>
  <c r="Y1226"/>
  <c r="Y1311"/>
  <c r="Y490"/>
  <c r="Y1011"/>
  <c r="Y241"/>
  <c r="Y891"/>
  <c r="Y233"/>
  <c r="Y784"/>
  <c r="Y1459"/>
  <c r="Y1215"/>
  <c r="Y1673"/>
  <c r="Y823"/>
  <c r="Y494"/>
  <c r="Y1078"/>
  <c r="Y805"/>
  <c r="Y811"/>
  <c r="Y1484"/>
  <c r="Y1213"/>
  <c r="Y1317"/>
  <c r="Y1271"/>
  <c r="Y610"/>
  <c r="Y678"/>
  <c r="Y499"/>
  <c r="Y450"/>
  <c r="Y1023"/>
  <c r="Y509"/>
  <c r="Y1039"/>
  <c r="Y677"/>
  <c r="Y702"/>
  <c r="Y827"/>
  <c r="Y667"/>
  <c r="Y461"/>
  <c r="Y890"/>
  <c r="Y758"/>
  <c r="Y1412"/>
  <c r="Y852"/>
  <c r="Y988"/>
  <c r="Y923"/>
  <c r="Y991"/>
  <c r="Y222"/>
  <c r="Y975"/>
  <c r="Y720"/>
  <c r="Y725"/>
  <c r="Y504"/>
  <c r="Y1679"/>
  <c r="Y473"/>
  <c r="Y1056"/>
  <c r="Y996"/>
  <c r="Y1604"/>
  <c r="Y463"/>
  <c r="Y1595"/>
  <c r="Y1288"/>
  <c r="Y888"/>
  <c r="Y1009"/>
  <c r="Y839"/>
  <c r="Y848"/>
  <c r="Y635"/>
  <c r="Y218"/>
  <c r="Y1224"/>
  <c r="Y1017"/>
  <c r="Y1291"/>
  <c r="Y589"/>
  <c r="Y484"/>
  <c r="Y232"/>
  <c r="Y464"/>
  <c r="Y854"/>
  <c r="Y831"/>
  <c r="Y838"/>
  <c r="Y634"/>
  <c r="Y532"/>
  <c r="Y1289"/>
  <c r="Y824"/>
  <c r="Y1080"/>
  <c r="Y842"/>
  <c r="Y790"/>
  <c r="Y454"/>
  <c r="Y745"/>
  <c r="Y774"/>
  <c r="Y556"/>
  <c r="Y483"/>
  <c r="Y1508"/>
  <c r="Y1206"/>
  <c r="Y1527"/>
  <c r="Y751"/>
  <c r="Y875"/>
  <c r="Y683"/>
  <c r="Y223"/>
  <c r="Y661"/>
  <c r="Y882"/>
  <c r="Y802"/>
  <c r="Y694"/>
  <c r="Y836"/>
  <c r="Y1551"/>
  <c r="Y1041"/>
  <c r="Y1089"/>
  <c r="Y1221"/>
  <c r="Y479"/>
  <c r="Y475"/>
  <c r="Y1163"/>
  <c r="Y874"/>
  <c r="Y837"/>
  <c r="Y239"/>
  <c r="Y1572"/>
  <c r="Y629"/>
  <c r="Y457"/>
  <c r="Y746"/>
  <c r="Y561"/>
  <c r="Y536"/>
  <c r="Y226"/>
  <c r="Y701"/>
  <c r="Y1117"/>
  <c r="Y858"/>
  <c r="Y225"/>
  <c r="Y496"/>
  <c r="Y1381"/>
  <c r="Y708"/>
  <c r="Y979"/>
  <c r="Y452"/>
  <c r="Y1451"/>
  <c r="Y703"/>
  <c r="Y767"/>
  <c r="Y590"/>
  <c r="Y1461"/>
  <c r="Y1322"/>
  <c r="Y681"/>
  <c r="Y528"/>
  <c r="Y1278"/>
  <c r="Y543"/>
  <c r="Y738"/>
  <c r="Y486"/>
  <c r="Y1277"/>
  <c r="Y1209"/>
  <c r="Y1439"/>
  <c r="Y471"/>
  <c r="Y1231"/>
  <c r="Y1492"/>
  <c r="Y820"/>
  <c r="Y1471"/>
  <c r="Y901"/>
  <c r="Y624"/>
  <c r="Y807"/>
  <c r="Y1187"/>
  <c r="Y1166"/>
  <c r="Y545"/>
  <c r="Y1101"/>
  <c r="Y554"/>
  <c r="Y1447"/>
  <c r="Y567"/>
  <c r="Y721"/>
  <c r="Y872"/>
  <c r="Y866"/>
  <c r="Y654"/>
  <c r="Y1692"/>
  <c r="Y914"/>
  <c r="Y1621"/>
  <c r="Y680"/>
  <c r="Y605"/>
  <c r="Y1028"/>
  <c r="Y1132"/>
  <c r="Y474"/>
  <c r="Y1119"/>
  <c r="Y1064"/>
  <c r="Y1131"/>
  <c r="Y955"/>
  <c r="Y1301"/>
  <c r="Y220"/>
  <c r="Y1391"/>
  <c r="Y904"/>
  <c r="Y668"/>
  <c r="Y946"/>
  <c r="Y549"/>
  <c r="Y1636"/>
  <c r="Y755"/>
  <c r="Y1007"/>
  <c r="Y853"/>
  <c r="Y477"/>
  <c r="Y563"/>
  <c r="Y691"/>
  <c r="Y507"/>
  <c r="Y570"/>
  <c r="Y1638"/>
  <c r="Y497"/>
  <c r="Y660"/>
  <c r="Y513"/>
  <c r="Y1696"/>
  <c r="Y1014"/>
  <c r="Y1062"/>
  <c r="Y565"/>
  <c r="Y1408"/>
  <c r="Y1124"/>
  <c r="Y885"/>
  <c r="Y1663"/>
  <c r="Y1537"/>
  <c r="Y865"/>
  <c r="Y1293"/>
  <c r="Y911"/>
  <c r="Y1120"/>
  <c r="Y1623"/>
  <c r="Y933"/>
  <c r="Y968"/>
  <c r="Y1051"/>
  <c r="Y470"/>
  <c r="Y553"/>
  <c r="Y247"/>
  <c r="Y895"/>
  <c r="Y480"/>
  <c r="Y1507"/>
  <c r="Y950"/>
  <c r="Y1108"/>
  <c r="Y987"/>
  <c r="Y880"/>
  <c r="Y227"/>
  <c r="Y628"/>
  <c r="Y699"/>
  <c r="Y1245"/>
  <c r="Y876"/>
  <c r="Y925"/>
  <c r="Y794"/>
  <c r="Y542"/>
  <c r="Y577"/>
  <c r="Y228"/>
  <c r="Y1019"/>
  <c r="Y939"/>
  <c r="Y857"/>
  <c r="Y943"/>
  <c r="Y493"/>
  <c r="Y768"/>
  <c r="Y237"/>
  <c r="Y747"/>
  <c r="Y947"/>
  <c r="Y778"/>
  <c r="Y1641"/>
  <c r="Y1025"/>
  <c r="Y1489"/>
  <c r="Y652"/>
  <c r="Y709"/>
  <c r="Y1035"/>
  <c r="Y1088"/>
  <c r="Y449"/>
  <c r="Y526"/>
  <c r="Y613"/>
  <c r="Y1416"/>
  <c r="Y969"/>
  <c r="Y1498"/>
  <c r="Y1179"/>
  <c r="Y825"/>
  <c r="Y1069"/>
  <c r="Y931"/>
  <c r="Y962"/>
  <c r="Y592"/>
  <c r="Y1466"/>
  <c r="Y229"/>
  <c r="Y994"/>
  <c r="Y927"/>
  <c r="Y640"/>
  <c r="Y458"/>
  <c r="Y1668"/>
  <c r="Y1578"/>
  <c r="Y531"/>
  <c r="Y704"/>
  <c r="Y231"/>
  <c r="Y522"/>
  <c r="Y579"/>
  <c r="Y658"/>
  <c r="Y714"/>
  <c r="Y786"/>
  <c r="Y724"/>
  <c r="Y574"/>
  <c r="Y1571"/>
  <c r="Y1514"/>
  <c r="Y619"/>
  <c r="Y488"/>
  <c r="Y472"/>
  <c r="Y826"/>
  <c r="Y626"/>
  <c r="Y618"/>
  <c r="Y639"/>
  <c r="Y666"/>
  <c r="Y1549"/>
  <c r="Y773"/>
  <c r="Y1157"/>
  <c r="Y915"/>
  <c r="Y540"/>
  <c r="Y741"/>
  <c r="Y459"/>
  <c r="Y234"/>
  <c r="Y795"/>
  <c r="Y690"/>
  <c r="J19" i="53"/>
  <c r="M25"/>
  <c r="AB6" i="52"/>
  <c r="F19"/>
  <c r="F17"/>
  <c r="H17"/>
  <c r="H19"/>
  <c r="G17"/>
  <c r="G19"/>
  <c r="M22" i="53"/>
  <c r="G22"/>
  <c r="AB27" i="52" s="1"/>
  <c r="N32" i="53"/>
  <c r="J11"/>
  <c r="AE12" i="52" s="1"/>
  <c r="M5" i="53"/>
  <c r="AH6" i="52" s="1"/>
  <c r="M38" i="53"/>
  <c r="AH45" i="52" s="1"/>
  <c r="W8" i="53"/>
  <c r="X8" i="52" s="1"/>
  <c r="J22" i="53"/>
  <c r="AE25" i="52" s="1"/>
  <c r="O2" i="53"/>
  <c r="AB25" i="52"/>
  <c r="M28" i="53"/>
  <c r="AH35" i="52" s="1"/>
  <c r="J41" i="53"/>
  <c r="AK49" i="52" s="1"/>
  <c r="G25" i="53"/>
  <c r="AB29" i="52" s="1"/>
  <c r="J38" i="53"/>
  <c r="AE45" i="52" s="1"/>
  <c r="J8" i="53"/>
  <c r="AE8" i="52" s="1"/>
  <c r="O32" i="53"/>
  <c r="AH25" i="52"/>
  <c r="M8" i="53"/>
  <c r="AH10" i="52" s="1"/>
  <c r="M11" i="53"/>
  <c r="AH14" i="52" s="1"/>
  <c r="J25" i="53"/>
  <c r="AE31" i="52" s="1"/>
  <c r="J35" i="53"/>
  <c r="AE43" i="52" s="1"/>
  <c r="M41" i="53"/>
  <c r="AH49" i="52" s="1"/>
  <c r="M19" i="53"/>
  <c r="AH23" i="52" s="1"/>
  <c r="M44" i="53"/>
  <c r="AH55" i="52" s="1"/>
  <c r="N16" i="53"/>
  <c r="AH27" i="52"/>
  <c r="W5" i="53"/>
  <c r="X4" i="52" s="1"/>
  <c r="O16" i="53"/>
  <c r="M35"/>
  <c r="AH41" i="52" s="1"/>
  <c r="J5" i="53"/>
  <c r="AK4" i="52" s="1"/>
  <c r="N2" i="53"/>
  <c r="G41"/>
  <c r="AB51" i="52" s="1"/>
  <c r="M47" i="53"/>
  <c r="AH57" i="52" s="1"/>
  <c r="G38" i="53"/>
  <c r="AB47" i="52" s="1"/>
  <c r="AI2"/>
  <c r="AI19"/>
  <c r="AJ39"/>
  <c r="AJ19"/>
  <c r="AJ2"/>
  <c r="AI39"/>
  <c r="AH59"/>
  <c r="AK21"/>
  <c r="AK23"/>
  <c r="AE23"/>
  <c r="AH29"/>
  <c r="AH31"/>
  <c r="AE21"/>
  <c r="G35" i="53"/>
  <c r="AN41" i="52" s="1"/>
  <c r="AB4"/>
  <c r="U7" i="50"/>
  <c r="R13"/>
  <c r="R12"/>
  <c r="R11"/>
  <c r="R10"/>
  <c r="AK47" i="52" l="1"/>
  <c r="AK45"/>
  <c r="AK14"/>
  <c r="AK12"/>
  <c r="AE14"/>
  <c r="AN47"/>
  <c r="AK25"/>
  <c r="AK27"/>
  <c r="X9"/>
  <c r="AE27"/>
  <c r="AE51"/>
  <c r="P32" i="53"/>
  <c r="AH47" i="52"/>
  <c r="AN27"/>
  <c r="AN25"/>
  <c r="AH4"/>
  <c r="AN31"/>
  <c r="AN29"/>
  <c r="P2" i="53"/>
  <c r="AB31" i="52"/>
  <c r="AN45"/>
  <c r="AE47"/>
  <c r="AK8"/>
  <c r="AB45"/>
  <c r="AE10"/>
  <c r="AE29"/>
  <c r="AH43"/>
  <c r="AH33"/>
  <c r="X5"/>
  <c r="AH8"/>
  <c r="AK31"/>
  <c r="AE49"/>
  <c r="AK29"/>
  <c r="AK51"/>
  <c r="AH12"/>
  <c r="AK41"/>
  <c r="AE41"/>
  <c r="AH21"/>
  <c r="AK43"/>
  <c r="AK6"/>
  <c r="AB49"/>
  <c r="AN51"/>
  <c r="AH51"/>
  <c r="P16" i="53"/>
  <c r="AH53" i="52"/>
  <c r="AN49"/>
  <c r="AE6"/>
  <c r="AE4"/>
  <c r="AK10"/>
  <c r="AB43"/>
  <c r="AB41"/>
  <c r="AN43"/>
  <c r="R14" i="50"/>
  <c r="O13"/>
  <c r="N13"/>
  <c r="M13"/>
  <c r="L13"/>
  <c r="K13"/>
  <c r="J13"/>
  <c r="I13"/>
  <c r="H13"/>
  <c r="G13"/>
  <c r="F13"/>
  <c r="E13"/>
  <c r="D13"/>
  <c r="C13"/>
  <c r="O12"/>
  <c r="N12"/>
  <c r="M12"/>
  <c r="L12"/>
  <c r="K12"/>
  <c r="J12"/>
  <c r="I12"/>
  <c r="H12"/>
  <c r="G12"/>
  <c r="F12"/>
  <c r="E12"/>
  <c r="D12"/>
  <c r="C12"/>
  <c r="O11"/>
  <c r="N11"/>
  <c r="M11"/>
  <c r="L11"/>
  <c r="K11"/>
  <c r="J11"/>
  <c r="I11"/>
  <c r="H11"/>
  <c r="G11"/>
  <c r="F11"/>
  <c r="E11"/>
  <c r="D11"/>
  <c r="C11"/>
  <c r="O10"/>
  <c r="N10"/>
  <c r="M10"/>
  <c r="L10"/>
  <c r="K10"/>
  <c r="J10"/>
  <c r="I10"/>
  <c r="H10"/>
  <c r="G10"/>
  <c r="F10"/>
  <c r="E10"/>
  <c r="D10"/>
  <c r="C10"/>
  <c r="P8"/>
  <c r="P7"/>
  <c r="P6"/>
  <c r="P5"/>
  <c r="P4"/>
  <c r="H3" i="52" l="1"/>
  <c r="J14" i="50"/>
  <c r="D14"/>
  <c r="H14"/>
  <c r="L14"/>
  <c r="I14"/>
  <c r="C14"/>
  <c r="G14"/>
  <c r="K14"/>
  <c r="O14"/>
  <c r="F3" i="52"/>
  <c r="E14" i="50"/>
  <c r="M14"/>
  <c r="F14"/>
  <c r="N14"/>
  <c r="P14" l="1"/>
  <c r="AE241" i="1" l="1"/>
  <c r="AF241"/>
  <c r="AG241"/>
  <c r="AH241"/>
  <c r="AT241"/>
  <c r="AU241"/>
  <c r="AV241"/>
  <c r="AW241"/>
  <c r="AX233"/>
  <c r="AW233"/>
  <c r="AV233"/>
  <c r="AU233"/>
  <c r="AT233"/>
  <c r="AI233"/>
  <c r="AH233"/>
  <c r="AG233"/>
  <c r="AF233"/>
  <c r="AE233"/>
  <c r="AW191" l="1"/>
  <c r="AV191"/>
  <c r="AU191"/>
  <c r="AT191"/>
  <c r="AH191"/>
  <c r="AG191"/>
  <c r="AF191"/>
  <c r="AE191"/>
  <c r="AX183"/>
  <c r="AW183"/>
  <c r="AV183"/>
  <c r="AU183"/>
  <c r="AI183"/>
  <c r="AH183"/>
  <c r="AG183"/>
  <c r="AF183"/>
  <c r="AE183"/>
  <c r="AT183"/>
  <c r="AQ758" l="1"/>
  <c r="AL758"/>
  <c r="AG758"/>
  <c r="AQ751"/>
  <c r="AL751"/>
  <c r="AG751"/>
  <c r="AQ741"/>
  <c r="AL741"/>
  <c r="AG741"/>
  <c r="AQ734"/>
  <c r="AL734"/>
  <c r="AG734"/>
  <c r="AQ653"/>
  <c r="AL653"/>
  <c r="AG653"/>
  <c r="AQ646"/>
  <c r="AL646"/>
  <c r="AG646"/>
  <c r="AQ636"/>
  <c r="AL636"/>
  <c r="AG636"/>
  <c r="AQ629"/>
  <c r="AL629"/>
  <c r="AG629"/>
  <c r="AG888" l="1"/>
  <c r="AH854"/>
  <c r="AQ1220" l="1"/>
  <c r="AQ1236" s="1"/>
  <c r="R919" i="44" s="1"/>
  <c r="AG1144" i="1"/>
  <c r="AG1128" s="1"/>
  <c r="AG1143"/>
  <c r="AG1127" s="1"/>
  <c r="AN419"/>
  <c r="AN420"/>
  <c r="AP405"/>
  <c r="AP406"/>
  <c r="AQ405"/>
  <c r="AQ406"/>
  <c r="AR405"/>
  <c r="AR406"/>
  <c r="AS405"/>
  <c r="AS406"/>
  <c r="AT405"/>
  <c r="AT406"/>
  <c r="E397" i="44"/>
  <c r="D397"/>
  <c r="AU461" i="1"/>
  <c r="AU463" s="1"/>
  <c r="AU460"/>
  <c r="AU462" s="1"/>
  <c r="AU459"/>
  <c r="AU458"/>
  <c r="AU456"/>
  <c r="AU455"/>
  <c r="AU454"/>
  <c r="AU453"/>
  <c r="AU452"/>
  <c r="AU451"/>
  <c r="AU449" s="1"/>
  <c r="AU450"/>
  <c r="AU448" s="1"/>
  <c r="AJ461"/>
  <c r="AJ463" s="1"/>
  <c r="AJ460"/>
  <c r="AJ462" s="1"/>
  <c r="AJ459"/>
  <c r="AJ458"/>
  <c r="AJ457"/>
  <c r="AJ456"/>
  <c r="AJ455"/>
  <c r="AJ454"/>
  <c r="AJ453"/>
  <c r="AJ452"/>
  <c r="AJ451"/>
  <c r="AJ449" s="1"/>
  <c r="AJ450"/>
  <c r="AU457"/>
  <c r="F397" i="44" l="1"/>
  <c r="I347"/>
  <c r="J347"/>
  <c r="I305"/>
  <c r="J305"/>
  <c r="L361"/>
  <c r="L319"/>
  <c r="AJ448" i="1"/>
  <c r="AZ124" l="1"/>
  <c r="AZ123"/>
  <c r="AZ122"/>
  <c r="AZ118"/>
  <c r="AZ117"/>
  <c r="BB117" s="1"/>
  <c r="AZ116"/>
  <c r="BB116" s="1"/>
  <c r="AG124"/>
  <c r="AI124" s="1"/>
  <c r="AG123"/>
  <c r="AI123" s="1"/>
  <c r="AG122"/>
  <c r="AI122" s="1"/>
  <c r="AG118"/>
  <c r="AI118" s="1"/>
  <c r="AG117"/>
  <c r="AI117" s="1"/>
  <c r="AG116"/>
  <c r="BA24"/>
  <c r="BA23"/>
  <c r="BA22"/>
  <c r="BA20"/>
  <c r="BA19"/>
  <c r="BA18"/>
  <c r="AI22"/>
  <c r="AI23"/>
  <c r="AI24"/>
  <c r="AI20"/>
  <c r="AI19"/>
  <c r="AI18"/>
  <c r="AH21" l="1"/>
  <c r="AI21" s="1"/>
  <c r="AZ21"/>
  <c r="BA21" s="1"/>
  <c r="BB118"/>
  <c r="BB122"/>
  <c r="AG119"/>
  <c r="AH116" s="1"/>
  <c r="BB124"/>
  <c r="BB123"/>
  <c r="AZ125"/>
  <c r="BB125" s="1"/>
  <c r="AZ119"/>
  <c r="BA117" s="1"/>
  <c r="AI125"/>
  <c r="AG125"/>
  <c r="AH122" s="1"/>
  <c r="AI116"/>
  <c r="AI119" s="1"/>
  <c r="AH117" l="1"/>
  <c r="AH118"/>
  <c r="BA118"/>
  <c r="BA124"/>
  <c r="BA123"/>
  <c r="AH123"/>
  <c r="AH124"/>
  <c r="BA122"/>
  <c r="BB119"/>
  <c r="BA116"/>
  <c r="AZ25"/>
  <c r="BA25" s="1"/>
  <c r="AL1379" l="1"/>
  <c r="AL1378"/>
  <c r="AL1377"/>
  <c r="AL1376"/>
  <c r="AL1375"/>
  <c r="AQ1363"/>
  <c r="AQ1379" s="1"/>
  <c r="AQ1362"/>
  <c r="AQ1378" s="1"/>
  <c r="AQ1361"/>
  <c r="AQ1377" s="1"/>
  <c r="AQ1360"/>
  <c r="AQ1376" s="1"/>
  <c r="AQ1359"/>
  <c r="AQ1375" s="1"/>
  <c r="AL1363"/>
  <c r="AL1362"/>
  <c r="AL1361"/>
  <c r="AL1360"/>
  <c r="AL1359"/>
  <c r="AG1363"/>
  <c r="AG1379" s="1"/>
  <c r="AG1362"/>
  <c r="AG1378" s="1"/>
  <c r="AG1361"/>
  <c r="AG1377" s="1"/>
  <c r="AG1360"/>
  <c r="AG1376" s="1"/>
  <c r="AG1359"/>
  <c r="AG1375" s="1"/>
  <c r="AQ1347"/>
  <c r="AQ1346"/>
  <c r="AQ1345"/>
  <c r="AQ1344"/>
  <c r="AQ1343"/>
  <c r="AL1347"/>
  <c r="AL1346"/>
  <c r="AL1345"/>
  <c r="AL1344"/>
  <c r="AL1343"/>
  <c r="AG1347"/>
  <c r="AG1346"/>
  <c r="AG1345"/>
  <c r="AG1344"/>
  <c r="AG1343"/>
  <c r="AQ1331"/>
  <c r="AQ1330"/>
  <c r="AQ1329"/>
  <c r="AQ1328"/>
  <c r="AQ1327"/>
  <c r="AL1331"/>
  <c r="AL1330"/>
  <c r="AL1329"/>
  <c r="AL1328"/>
  <c r="AL1327"/>
  <c r="AG1331"/>
  <c r="AG1330"/>
  <c r="AG1329"/>
  <c r="AG1328"/>
  <c r="AG1327"/>
  <c r="AQ1315"/>
  <c r="AQ1314"/>
  <c r="AQ1313"/>
  <c r="AQ1312"/>
  <c r="AQ1311"/>
  <c r="AL1315"/>
  <c r="AL1314"/>
  <c r="AL1313"/>
  <c r="AL1312"/>
  <c r="AL1311"/>
  <c r="AG1315"/>
  <c r="AG1314"/>
  <c r="AG1313"/>
  <c r="AG1312"/>
  <c r="AG1311"/>
  <c r="AQ1299"/>
  <c r="AQ1298"/>
  <c r="AQ1297"/>
  <c r="AQ1296"/>
  <c r="AQ1295"/>
  <c r="AL1299"/>
  <c r="AL1298"/>
  <c r="AL1297"/>
  <c r="AL1296"/>
  <c r="AL1295"/>
  <c r="AG1299"/>
  <c r="AG1298"/>
  <c r="AG1297"/>
  <c r="AG1296"/>
  <c r="AG1295"/>
  <c r="AQ1283"/>
  <c r="AQ1267" s="1"/>
  <c r="AQ1282"/>
  <c r="AQ1266" s="1"/>
  <c r="AQ1281"/>
  <c r="AQ1265" s="1"/>
  <c r="AQ1280"/>
  <c r="AQ1264" s="1"/>
  <c r="AQ1279"/>
  <c r="AQ1263" s="1"/>
  <c r="AL1283"/>
  <c r="AL1282"/>
  <c r="AL1281"/>
  <c r="AL1280"/>
  <c r="AL1279"/>
  <c r="AG1283"/>
  <c r="AG1267" s="1"/>
  <c r="AG1282"/>
  <c r="AG1266" s="1"/>
  <c r="AG1281"/>
  <c r="AG1265" s="1"/>
  <c r="AG1280"/>
  <c r="AG1264" s="1"/>
  <c r="AG1279"/>
  <c r="AG1263" s="1"/>
  <c r="AW1267"/>
  <c r="AW1266"/>
  <c r="AW1265"/>
  <c r="AW1264"/>
  <c r="AW1263"/>
  <c r="AQ1231"/>
  <c r="AQ1247" s="1"/>
  <c r="AQ1230"/>
  <c r="AQ1246" s="1"/>
  <c r="AQ1229"/>
  <c r="AQ1245" s="1"/>
  <c r="AQ1228"/>
  <c r="AQ1244" s="1"/>
  <c r="AQ1227"/>
  <c r="AQ1243" s="1"/>
  <c r="AL1231"/>
  <c r="AL1230"/>
  <c r="AL1229"/>
  <c r="AL1228"/>
  <c r="AL1227"/>
  <c r="AG1231"/>
  <c r="AG1247" s="1"/>
  <c r="AG1230"/>
  <c r="AG1246" s="1"/>
  <c r="AG1229"/>
  <c r="AG1245" s="1"/>
  <c r="AG1228"/>
  <c r="AG1244" s="1"/>
  <c r="AG1227"/>
  <c r="AG1243" s="1"/>
  <c r="AQ1215"/>
  <c r="AQ1214"/>
  <c r="AQ1213"/>
  <c r="AQ1212"/>
  <c r="AQ1211"/>
  <c r="AL1215"/>
  <c r="AL1214"/>
  <c r="AL1213"/>
  <c r="AL1212"/>
  <c r="AL1211"/>
  <c r="AG1215"/>
  <c r="AG1214"/>
  <c r="AG1213"/>
  <c r="AG1212"/>
  <c r="AG1211"/>
  <c r="AQ1199"/>
  <c r="AQ1198"/>
  <c r="AQ1197"/>
  <c r="AQ1196"/>
  <c r="AQ1195"/>
  <c r="AL1199"/>
  <c r="AL1198"/>
  <c r="AL1197"/>
  <c r="AL1196"/>
  <c r="AL1195"/>
  <c r="AG1199"/>
  <c r="AG1198"/>
  <c r="AG1197"/>
  <c r="AG1196"/>
  <c r="AG1195"/>
  <c r="AQ1183"/>
  <c r="AQ1182"/>
  <c r="AQ1181"/>
  <c r="AQ1180"/>
  <c r="AQ1179"/>
  <c r="AL1183"/>
  <c r="AL1182"/>
  <c r="AL1181"/>
  <c r="AL1180"/>
  <c r="AL1179"/>
  <c r="AG1183"/>
  <c r="AG1182"/>
  <c r="AG1181"/>
  <c r="AG1180"/>
  <c r="AG1179"/>
  <c r="AQ1167"/>
  <c r="AQ1166"/>
  <c r="AQ1165"/>
  <c r="AQ1164"/>
  <c r="AQ1163"/>
  <c r="AL1167"/>
  <c r="AL1166"/>
  <c r="AL1165"/>
  <c r="AL1164"/>
  <c r="AL1163"/>
  <c r="AG1167"/>
  <c r="AG1166"/>
  <c r="AG1165"/>
  <c r="AG1164"/>
  <c r="AG1163"/>
  <c r="AQ1151"/>
  <c r="AQ1135" s="1"/>
  <c r="AQ1150"/>
  <c r="AQ1134" s="1"/>
  <c r="AQ1149"/>
  <c r="AQ1133" s="1"/>
  <c r="AQ1148"/>
  <c r="AQ1132" s="1"/>
  <c r="AQ1147"/>
  <c r="AQ1131" s="1"/>
  <c r="AL1151"/>
  <c r="AL1150"/>
  <c r="AL1149"/>
  <c r="AL1148"/>
  <c r="AL1147"/>
  <c r="AG1151"/>
  <c r="AG1135" s="1"/>
  <c r="AG1150"/>
  <c r="AG1134" s="1"/>
  <c r="AG1149"/>
  <c r="AG1133" s="1"/>
  <c r="AG1148"/>
  <c r="AG1132" s="1"/>
  <c r="AG1147"/>
  <c r="AG1131" s="1"/>
  <c r="AW1135"/>
  <c r="AW1134"/>
  <c r="AW1133"/>
  <c r="AW1132"/>
  <c r="AW1131"/>
  <c r="AL1135"/>
  <c r="AL1134"/>
  <c r="AL1133"/>
  <c r="AL1132"/>
  <c r="AL1131"/>
  <c r="AL1111"/>
  <c r="AL1110"/>
  <c r="AL1109"/>
  <c r="AL1108"/>
  <c r="AL1107"/>
  <c r="AQ1095"/>
  <c r="AQ1111" s="1"/>
  <c r="AQ1094"/>
  <c r="AQ1110" s="1"/>
  <c r="AQ1093"/>
  <c r="AQ1109" s="1"/>
  <c r="AQ1092"/>
  <c r="AQ1108" s="1"/>
  <c r="AQ1091"/>
  <c r="AQ1107" s="1"/>
  <c r="AL1095"/>
  <c r="AL1094"/>
  <c r="AL1093"/>
  <c r="AL1092"/>
  <c r="AL1091"/>
  <c r="AG1095"/>
  <c r="AG1111" s="1"/>
  <c r="AG1094"/>
  <c r="AG1110" s="1"/>
  <c r="AG1093"/>
  <c r="AG1109" s="1"/>
  <c r="AG1092"/>
  <c r="AG1108" s="1"/>
  <c r="AG1091"/>
  <c r="AG1107" s="1"/>
  <c r="AQ1079"/>
  <c r="AQ1078"/>
  <c r="AQ1077"/>
  <c r="AQ1076"/>
  <c r="AQ1075"/>
  <c r="AL1079"/>
  <c r="AL1078"/>
  <c r="AL1077"/>
  <c r="AL1076"/>
  <c r="AL1075"/>
  <c r="AG1079"/>
  <c r="AG1078"/>
  <c r="AG1077"/>
  <c r="AG1076"/>
  <c r="AG1075"/>
  <c r="AQ1063"/>
  <c r="AQ1062"/>
  <c r="AQ1061"/>
  <c r="AQ1060"/>
  <c r="AQ1059"/>
  <c r="AL1063"/>
  <c r="AL1062"/>
  <c r="AL1061"/>
  <c r="AL1060"/>
  <c r="AL1059"/>
  <c r="AG1063"/>
  <c r="AG1062"/>
  <c r="AG1061"/>
  <c r="AG1060"/>
  <c r="AG1059"/>
  <c r="AQ1047"/>
  <c r="AQ1046"/>
  <c r="AQ1045"/>
  <c r="AQ1044"/>
  <c r="AQ1043"/>
  <c r="AL1047"/>
  <c r="AL1046"/>
  <c r="AL1045"/>
  <c r="AL1044"/>
  <c r="AL1043"/>
  <c r="AG1047"/>
  <c r="AG1046"/>
  <c r="AG1045"/>
  <c r="AG1044"/>
  <c r="AG1043"/>
  <c r="AQ1031"/>
  <c r="AQ1030"/>
  <c r="AQ1029"/>
  <c r="AQ1028"/>
  <c r="AQ1027"/>
  <c r="AL1031"/>
  <c r="AL1030"/>
  <c r="AL1029"/>
  <c r="AL1028"/>
  <c r="AL1027"/>
  <c r="AG1031"/>
  <c r="AG1030"/>
  <c r="AG1029"/>
  <c r="AG1028"/>
  <c r="AG1027"/>
  <c r="AQ1015"/>
  <c r="AQ999" s="1"/>
  <c r="AQ1014"/>
  <c r="AQ998" s="1"/>
  <c r="AQ1013"/>
  <c r="AQ997" s="1"/>
  <c r="AQ1012"/>
  <c r="AQ996" s="1"/>
  <c r="AQ1011"/>
  <c r="AQ995" s="1"/>
  <c r="AL1015"/>
  <c r="AL1014"/>
  <c r="AL1013"/>
  <c r="AL1012"/>
  <c r="AL1011"/>
  <c r="AG1015"/>
  <c r="AG999" s="1"/>
  <c r="AG1014"/>
  <c r="AG998" s="1"/>
  <c r="AG1013"/>
  <c r="AG997" s="1"/>
  <c r="AG1012"/>
  <c r="AG996" s="1"/>
  <c r="AG1011"/>
  <c r="AG995" s="1"/>
  <c r="AW999"/>
  <c r="AW998"/>
  <c r="AW997"/>
  <c r="AW996"/>
  <c r="AW995"/>
  <c r="AQ963"/>
  <c r="AQ979" s="1"/>
  <c r="AQ962"/>
  <c r="AQ978" s="1"/>
  <c r="AQ961"/>
  <c r="AQ977" s="1"/>
  <c r="AQ960"/>
  <c r="AQ976" s="1"/>
  <c r="AQ959"/>
  <c r="AQ975" s="1"/>
  <c r="AL963"/>
  <c r="AL962"/>
  <c r="AL961"/>
  <c r="AL960"/>
  <c r="AL959"/>
  <c r="AG963"/>
  <c r="AG979" s="1"/>
  <c r="AG962"/>
  <c r="AG978" s="1"/>
  <c r="AG961"/>
  <c r="AG977" s="1"/>
  <c r="AG960"/>
  <c r="AG976" s="1"/>
  <c r="AG959"/>
  <c r="AG975" s="1"/>
  <c r="AQ947"/>
  <c r="AQ946"/>
  <c r="AQ945"/>
  <c r="AQ944"/>
  <c r="AQ943"/>
  <c r="AL947"/>
  <c r="AL946"/>
  <c r="AL945"/>
  <c r="AL944"/>
  <c r="AL943"/>
  <c r="AG947"/>
  <c r="AG946"/>
  <c r="AG945"/>
  <c r="AG944"/>
  <c r="AG943"/>
  <c r="AQ931"/>
  <c r="AQ930"/>
  <c r="AQ929"/>
  <c r="AQ928"/>
  <c r="AQ927"/>
  <c r="AL931"/>
  <c r="AL930"/>
  <c r="AL929"/>
  <c r="AL928"/>
  <c r="AL927"/>
  <c r="AG931"/>
  <c r="AG930"/>
  <c r="AG929"/>
  <c r="AG928"/>
  <c r="AG927"/>
  <c r="AQ915"/>
  <c r="AQ914"/>
  <c r="AQ913"/>
  <c r="AQ912"/>
  <c r="AQ911"/>
  <c r="AL915"/>
  <c r="AL914"/>
  <c r="AL913"/>
  <c r="AL912"/>
  <c r="AL911"/>
  <c r="AG915"/>
  <c r="AG914"/>
  <c r="AG913"/>
  <c r="AG912"/>
  <c r="AG911"/>
  <c r="AQ899"/>
  <c r="AQ898"/>
  <c r="AQ897"/>
  <c r="AQ896"/>
  <c r="AQ895"/>
  <c r="AL899"/>
  <c r="AL898"/>
  <c r="AL897"/>
  <c r="AL896"/>
  <c r="AL895"/>
  <c r="AG899"/>
  <c r="AG898"/>
  <c r="AG897"/>
  <c r="AG896"/>
  <c r="AG895"/>
  <c r="AQ883"/>
  <c r="AQ867" s="1"/>
  <c r="AQ882"/>
  <c r="AQ866" s="1"/>
  <c r="AQ881"/>
  <c r="AQ865" s="1"/>
  <c r="AQ880"/>
  <c r="AQ864" s="1"/>
  <c r="AQ879"/>
  <c r="AQ863" s="1"/>
  <c r="AL883"/>
  <c r="AL882"/>
  <c r="AL881"/>
  <c r="AL880"/>
  <c r="AL879"/>
  <c r="AG883"/>
  <c r="AG867" s="1"/>
  <c r="AG882"/>
  <c r="AG866" s="1"/>
  <c r="AG881"/>
  <c r="AG865" s="1"/>
  <c r="AG880"/>
  <c r="AG864" s="1"/>
  <c r="AG879"/>
  <c r="AG863" s="1"/>
  <c r="AL865"/>
  <c r="AL864"/>
  <c r="AL863"/>
  <c r="AW865"/>
  <c r="AW864"/>
  <c r="AW863"/>
  <c r="AW867"/>
  <c r="AW866"/>
  <c r="AL867"/>
  <c r="AL866"/>
  <c r="S656" i="44"/>
  <c r="S619"/>
  <c r="S652"/>
  <c r="S615"/>
  <c r="S650"/>
  <c r="S613"/>
  <c r="S648"/>
  <c r="S611"/>
  <c r="S646"/>
  <c r="S609"/>
  <c r="S642"/>
  <c r="S605"/>
  <c r="L656"/>
  <c r="L619"/>
  <c r="L654"/>
  <c r="L617"/>
  <c r="L652"/>
  <c r="L615"/>
  <c r="L650"/>
  <c r="L613"/>
  <c r="L648"/>
  <c r="L611"/>
  <c r="L646"/>
  <c r="L609"/>
  <c r="L644"/>
  <c r="L607"/>
  <c r="L642"/>
  <c r="L605"/>
  <c r="N656"/>
  <c r="N619"/>
  <c r="N654"/>
  <c r="N617"/>
  <c r="N652"/>
  <c r="N615"/>
  <c r="N650"/>
  <c r="N613"/>
  <c r="N648"/>
  <c r="N611"/>
  <c r="N646"/>
  <c r="N609"/>
  <c r="N644"/>
  <c r="N607"/>
  <c r="N642"/>
  <c r="N605"/>
  <c r="E656"/>
  <c r="E619"/>
  <c r="E652"/>
  <c r="E615"/>
  <c r="E650"/>
  <c r="E613"/>
  <c r="E648"/>
  <c r="E611"/>
  <c r="E646"/>
  <c r="E609"/>
  <c r="E642"/>
  <c r="E605"/>
  <c r="S581"/>
  <c r="S544"/>
  <c r="S577"/>
  <c r="S540"/>
  <c r="S575"/>
  <c r="S538"/>
  <c r="S573"/>
  <c r="S536"/>
  <c r="S571"/>
  <c r="S534"/>
  <c r="S567"/>
  <c r="S530"/>
  <c r="L581"/>
  <c r="L544"/>
  <c r="L579"/>
  <c r="L542"/>
  <c r="L577"/>
  <c r="L540"/>
  <c r="L575"/>
  <c r="L538"/>
  <c r="L573"/>
  <c r="L536"/>
  <c r="L571"/>
  <c r="L534"/>
  <c r="L569"/>
  <c r="L532"/>
  <c r="L567"/>
  <c r="L530"/>
  <c r="N581"/>
  <c r="N544"/>
  <c r="N579"/>
  <c r="N542"/>
  <c r="N577"/>
  <c r="N540"/>
  <c r="N575"/>
  <c r="N538"/>
  <c r="N573"/>
  <c r="N536"/>
  <c r="N571"/>
  <c r="N534"/>
  <c r="N569"/>
  <c r="N532"/>
  <c r="N567"/>
  <c r="N530"/>
  <c r="E581"/>
  <c r="E544"/>
  <c r="E577"/>
  <c r="E540"/>
  <c r="E575"/>
  <c r="E538"/>
  <c r="E573"/>
  <c r="E536"/>
  <c r="E571"/>
  <c r="E534"/>
  <c r="E567"/>
  <c r="E530"/>
  <c r="L455"/>
  <c r="L492"/>
  <c r="E455"/>
  <c r="L457"/>
  <c r="E492"/>
  <c r="L494"/>
  <c r="E459"/>
  <c r="L459"/>
  <c r="E496"/>
  <c r="L496"/>
  <c r="E461"/>
  <c r="L461"/>
  <c r="E498"/>
  <c r="L498"/>
  <c r="E463"/>
  <c r="L463"/>
  <c r="E500"/>
  <c r="L500"/>
  <c r="E465"/>
  <c r="L465"/>
  <c r="E502"/>
  <c r="L502"/>
  <c r="E469"/>
  <c r="L467"/>
  <c r="E506"/>
  <c r="L504"/>
  <c r="L469"/>
  <c r="L506"/>
  <c r="AL484" i="1"/>
  <c r="AL483"/>
  <c r="AL482"/>
  <c r="AL481"/>
  <c r="AL480"/>
  <c r="AL479"/>
  <c r="AL478"/>
  <c r="AL477"/>
  <c r="AL476"/>
  <c r="AL475"/>
  <c r="AL474"/>
  <c r="AL473"/>
  <c r="AL472"/>
  <c r="AL471"/>
  <c r="AL470"/>
  <c r="AL469"/>
  <c r="AU484"/>
  <c r="AU483"/>
  <c r="AU482"/>
  <c r="AU481"/>
  <c r="AU480"/>
  <c r="AU479"/>
  <c r="AU478"/>
  <c r="AU477"/>
  <c r="AU476"/>
  <c r="AU475"/>
  <c r="AU474"/>
  <c r="AU473"/>
  <c r="AU472"/>
  <c r="AU471"/>
  <c r="AU470"/>
  <c r="AU469"/>
  <c r="BD484"/>
  <c r="BD483"/>
  <c r="BD482"/>
  <c r="BD481"/>
  <c r="BD480"/>
  <c r="BD479"/>
  <c r="BD478"/>
  <c r="BD477"/>
  <c r="BD476"/>
  <c r="BD475"/>
  <c r="BD474"/>
  <c r="BD473"/>
  <c r="BD472"/>
  <c r="BD471"/>
  <c r="BD470"/>
  <c r="BD469"/>
  <c r="BC484"/>
  <c r="BC483"/>
  <c r="BC482"/>
  <c r="BC481"/>
  <c r="BC480"/>
  <c r="BC479"/>
  <c r="BC478"/>
  <c r="BC477"/>
  <c r="BC476"/>
  <c r="BC475"/>
  <c r="BC474"/>
  <c r="BC473"/>
  <c r="BC472"/>
  <c r="BC471"/>
  <c r="BC470"/>
  <c r="BC469"/>
  <c r="BB484"/>
  <c r="BB483"/>
  <c r="BB482"/>
  <c r="BB481"/>
  <c r="BB480"/>
  <c r="BB479"/>
  <c r="BB478"/>
  <c r="BB477"/>
  <c r="BB476"/>
  <c r="BB475"/>
  <c r="BB474"/>
  <c r="BB473"/>
  <c r="BB472"/>
  <c r="BB471"/>
  <c r="AZ484"/>
  <c r="AZ483"/>
  <c r="AZ482"/>
  <c r="AZ481"/>
  <c r="AZ480"/>
  <c r="AZ479"/>
  <c r="AZ478"/>
  <c r="AZ477"/>
  <c r="AZ476"/>
  <c r="AZ475"/>
  <c r="AZ474"/>
  <c r="AZ473"/>
  <c r="AZ472"/>
  <c r="AZ471"/>
  <c r="AZ470"/>
  <c r="AZ469"/>
  <c r="AY484"/>
  <c r="AY483"/>
  <c r="AY482"/>
  <c r="AY481"/>
  <c r="AY480"/>
  <c r="AY479"/>
  <c r="AY478"/>
  <c r="AY477"/>
  <c r="AY476"/>
  <c r="AY475"/>
  <c r="AY474"/>
  <c r="AY473"/>
  <c r="AY472"/>
  <c r="AY471"/>
  <c r="AY470"/>
  <c r="AY469"/>
  <c r="AX484"/>
  <c r="AX483"/>
  <c r="AX482"/>
  <c r="AX481"/>
  <c r="AX480"/>
  <c r="AX479"/>
  <c r="AX478"/>
  <c r="AX477"/>
  <c r="AX476"/>
  <c r="AX475"/>
  <c r="AX474"/>
  <c r="AX473"/>
  <c r="AX472"/>
  <c r="AX471"/>
  <c r="BB470"/>
  <c r="BB469"/>
  <c r="AX470"/>
  <c r="AX469"/>
  <c r="AK484"/>
  <c r="AK483"/>
  <c r="AK482"/>
  <c r="AK481"/>
  <c r="AK480"/>
  <c r="AK479"/>
  <c r="AK478"/>
  <c r="AK477"/>
  <c r="AK476"/>
  <c r="AK475"/>
  <c r="AK474"/>
  <c r="AK473"/>
  <c r="AK472"/>
  <c r="AK471"/>
  <c r="AK470"/>
  <c r="AK469"/>
  <c r="AJ484"/>
  <c r="AJ483"/>
  <c r="AJ482"/>
  <c r="AJ481"/>
  <c r="AJ480"/>
  <c r="AJ479"/>
  <c r="AJ478"/>
  <c r="AJ477"/>
  <c r="AJ476"/>
  <c r="AJ475"/>
  <c r="AJ474"/>
  <c r="AJ473"/>
  <c r="AJ472"/>
  <c r="AJ471"/>
  <c r="AJ470"/>
  <c r="AJ469"/>
  <c r="AH484"/>
  <c r="AH483"/>
  <c r="AH482"/>
  <c r="AH481"/>
  <c r="AH480"/>
  <c r="AH479"/>
  <c r="AH478"/>
  <c r="AH477"/>
  <c r="AH476"/>
  <c r="AH475"/>
  <c r="AH474"/>
  <c r="AH473"/>
  <c r="AH472"/>
  <c r="AH471"/>
  <c r="AH470"/>
  <c r="AH469"/>
  <c r="AG484"/>
  <c r="AG483"/>
  <c r="AG482"/>
  <c r="AG481"/>
  <c r="AG480"/>
  <c r="AG479"/>
  <c r="AG478"/>
  <c r="AG477"/>
  <c r="AG476"/>
  <c r="AG475"/>
  <c r="AG474"/>
  <c r="AG473"/>
  <c r="AG472"/>
  <c r="AG471"/>
  <c r="AG470"/>
  <c r="AG469"/>
  <c r="AF484"/>
  <c r="AF483"/>
  <c r="AF482"/>
  <c r="AF481"/>
  <c r="AF480"/>
  <c r="AF479"/>
  <c r="AF478"/>
  <c r="AF477"/>
  <c r="AF476"/>
  <c r="AF475"/>
  <c r="AF474"/>
  <c r="AF473"/>
  <c r="AF472"/>
  <c r="AF471"/>
  <c r="AF470"/>
  <c r="AF469"/>
  <c r="AV484"/>
  <c r="AV483"/>
  <c r="AV482"/>
  <c r="AV481"/>
  <c r="AV480"/>
  <c r="AV479"/>
  <c r="AV478"/>
  <c r="AV477"/>
  <c r="AV476"/>
  <c r="AV475"/>
  <c r="AV474"/>
  <c r="AV473"/>
  <c r="AV472"/>
  <c r="AV471"/>
  <c r="AV470"/>
  <c r="AV469"/>
  <c r="AT484"/>
  <c r="AT483"/>
  <c r="AT482"/>
  <c r="AT481"/>
  <c r="AT480"/>
  <c r="AT479"/>
  <c r="AT478"/>
  <c r="AT477"/>
  <c r="AT476"/>
  <c r="AT475"/>
  <c r="AT474"/>
  <c r="AT473"/>
  <c r="AT472"/>
  <c r="AT471"/>
  <c r="AT470"/>
  <c r="AT469"/>
  <c r="AS484"/>
  <c r="AS483"/>
  <c r="AS482"/>
  <c r="AS481"/>
  <c r="AS480"/>
  <c r="AS479"/>
  <c r="AS478"/>
  <c r="AS477"/>
  <c r="AS476"/>
  <c r="AS475"/>
  <c r="AS474"/>
  <c r="AS473"/>
  <c r="AS472"/>
  <c r="AS471"/>
  <c r="AS470"/>
  <c r="AS469"/>
  <c r="AQ484"/>
  <c r="AQ483"/>
  <c r="AQ482"/>
  <c r="AQ481"/>
  <c r="AQ480"/>
  <c r="AQ479"/>
  <c r="AQ478"/>
  <c r="AQ477"/>
  <c r="AQ476"/>
  <c r="AQ475"/>
  <c r="AQ474"/>
  <c r="AQ473"/>
  <c r="AQ472"/>
  <c r="AQ471"/>
  <c r="AQ470"/>
  <c r="AQ469"/>
  <c r="AP484"/>
  <c r="AP483"/>
  <c r="AP482"/>
  <c r="AP481"/>
  <c r="AP480"/>
  <c r="AP479"/>
  <c r="AP478"/>
  <c r="AP477"/>
  <c r="AP476"/>
  <c r="AP475"/>
  <c r="AP474"/>
  <c r="AP473"/>
  <c r="AP472"/>
  <c r="AP471"/>
  <c r="AP470"/>
  <c r="AP469"/>
  <c r="AO484"/>
  <c r="AO483"/>
  <c r="AO482"/>
  <c r="AO481"/>
  <c r="AO480"/>
  <c r="AO479"/>
  <c r="AO478"/>
  <c r="AO477"/>
  <c r="AO476"/>
  <c r="AO475"/>
  <c r="AO474"/>
  <c r="AO473"/>
  <c r="AO472"/>
  <c r="AO471"/>
  <c r="AO470"/>
  <c r="AO469"/>
  <c r="AV461"/>
  <c r="AV463" s="1"/>
  <c r="AV460"/>
  <c r="AV462" s="1"/>
  <c r="AV459"/>
  <c r="AV458"/>
  <c r="AV457"/>
  <c r="AV456"/>
  <c r="AV455"/>
  <c r="AV454"/>
  <c r="AV453"/>
  <c r="AV452"/>
  <c r="AV451"/>
  <c r="AV449" s="1"/>
  <c r="AV450"/>
  <c r="AV448" s="1"/>
  <c r="AS461"/>
  <c r="AS463" s="1"/>
  <c r="AS460"/>
  <c r="AS462" s="1"/>
  <c r="AS459"/>
  <c r="AS458"/>
  <c r="AS457"/>
  <c r="AS456"/>
  <c r="AS455"/>
  <c r="AS454"/>
  <c r="AS453"/>
  <c r="AS452"/>
  <c r="AS451"/>
  <c r="AS449" s="1"/>
  <c r="AS450"/>
  <c r="AS448" s="1"/>
  <c r="AR461"/>
  <c r="AR463" s="1"/>
  <c r="AR460"/>
  <c r="AR462" s="1"/>
  <c r="AR459"/>
  <c r="AR458"/>
  <c r="AR457"/>
  <c r="AR456"/>
  <c r="AR455"/>
  <c r="AR454"/>
  <c r="AR453"/>
  <c r="AR452"/>
  <c r="AR451"/>
  <c r="AR449" s="1"/>
  <c r="AR450"/>
  <c r="AR448" s="1"/>
  <c r="AQ461"/>
  <c r="AQ463" s="1"/>
  <c r="AQ460"/>
  <c r="AQ462" s="1"/>
  <c r="AQ459"/>
  <c r="AQ458"/>
  <c r="AQ457"/>
  <c r="AQ456"/>
  <c r="AQ455"/>
  <c r="AQ454"/>
  <c r="AQ453"/>
  <c r="AQ452"/>
  <c r="AQ451"/>
  <c r="AQ449" s="1"/>
  <c r="AQ450"/>
  <c r="AQ448" s="1"/>
  <c r="AK461"/>
  <c r="AK463" s="1"/>
  <c r="AK460"/>
  <c r="AK462" s="1"/>
  <c r="AK459"/>
  <c r="AK458"/>
  <c r="AK457"/>
  <c r="AK456"/>
  <c r="AK455"/>
  <c r="AK454"/>
  <c r="AK453"/>
  <c r="AK452"/>
  <c r="AK451"/>
  <c r="AK449" s="1"/>
  <c r="AK450"/>
  <c r="AK448" s="1"/>
  <c r="AH461"/>
  <c r="AH463" s="1"/>
  <c r="AH460"/>
  <c r="AH462" s="1"/>
  <c r="AH459"/>
  <c r="AH458"/>
  <c r="AH457"/>
  <c r="AH456"/>
  <c r="AH455"/>
  <c r="AH454"/>
  <c r="AH453"/>
  <c r="AH452"/>
  <c r="AH451"/>
  <c r="AH449" s="1"/>
  <c r="AH450"/>
  <c r="AH448" s="1"/>
  <c r="AG461"/>
  <c r="AG463" s="1"/>
  <c r="AG460"/>
  <c r="AG462" s="1"/>
  <c r="AG459"/>
  <c r="AG458"/>
  <c r="AG457"/>
  <c r="AG456"/>
  <c r="AG455"/>
  <c r="AG454"/>
  <c r="AG453"/>
  <c r="AG452"/>
  <c r="AG451"/>
  <c r="AG449" s="1"/>
  <c r="AG450"/>
  <c r="AG448" s="1"/>
  <c r="AF461"/>
  <c r="AF463" s="1"/>
  <c r="AF460"/>
  <c r="AF462" s="1"/>
  <c r="AF459"/>
  <c r="AF458"/>
  <c r="AF457"/>
  <c r="AF456"/>
  <c r="AF455"/>
  <c r="AF454"/>
  <c r="AF453"/>
  <c r="AF452"/>
  <c r="AF451"/>
  <c r="AF449" s="1"/>
  <c r="AF450"/>
  <c r="AF448" s="1"/>
  <c r="BE418"/>
  <c r="BE420" s="1"/>
  <c r="BE417"/>
  <c r="BE419" s="1"/>
  <c r="BE416"/>
  <c r="BE415"/>
  <c r="BE414"/>
  <c r="BE413"/>
  <c r="BE412"/>
  <c r="BE411"/>
  <c r="BE410"/>
  <c r="BE409"/>
  <c r="BE408"/>
  <c r="BE406" s="1"/>
  <c r="BE407"/>
  <c r="BE405" s="1"/>
  <c r="BD418"/>
  <c r="BD420" s="1"/>
  <c r="BD417"/>
  <c r="BD419" s="1"/>
  <c r="BD416"/>
  <c r="BD415"/>
  <c r="BD414"/>
  <c r="BD413"/>
  <c r="BD412"/>
  <c r="BD411"/>
  <c r="BD410"/>
  <c r="BD409"/>
  <c r="BD408"/>
  <c r="BD406" s="1"/>
  <c r="BD407"/>
  <c r="BD405" s="1"/>
  <c r="BC418"/>
  <c r="BC420" s="1"/>
  <c r="BC417"/>
  <c r="BC419" s="1"/>
  <c r="BC416"/>
  <c r="BC415"/>
  <c r="BC414"/>
  <c r="BC413"/>
  <c r="BC412"/>
  <c r="BC411"/>
  <c r="BC410"/>
  <c r="BC409"/>
  <c r="BC408"/>
  <c r="BC406" s="1"/>
  <c r="BC407"/>
  <c r="BC405" s="1"/>
  <c r="BB418"/>
  <c r="BB420" s="1"/>
  <c r="BB417"/>
  <c r="BB419" s="1"/>
  <c r="BB416"/>
  <c r="BB415"/>
  <c r="BB414"/>
  <c r="BB413"/>
  <c r="BB412"/>
  <c r="BB411"/>
  <c r="BB410"/>
  <c r="BB409"/>
  <c r="BB408"/>
  <c r="BB406" s="1"/>
  <c r="BB407"/>
  <c r="BB405" s="1"/>
  <c r="BA418"/>
  <c r="BA420" s="1"/>
  <c r="BA417"/>
  <c r="BA419" s="1"/>
  <c r="BA416"/>
  <c r="BA415"/>
  <c r="BA414"/>
  <c r="BA413"/>
  <c r="BA412"/>
  <c r="BA411"/>
  <c r="BA410"/>
  <c r="BA409"/>
  <c r="BA408"/>
  <c r="BA406" s="1"/>
  <c r="BA407"/>
  <c r="BA405" s="1"/>
  <c r="AZ418"/>
  <c r="AZ420" s="1"/>
  <c r="AZ417"/>
  <c r="AZ419" s="1"/>
  <c r="AZ416"/>
  <c r="AZ415"/>
  <c r="AZ414"/>
  <c r="AZ413"/>
  <c r="AZ412"/>
  <c r="AZ411"/>
  <c r="AZ410"/>
  <c r="AZ409"/>
  <c r="AZ408"/>
  <c r="AZ406" s="1"/>
  <c r="AZ407"/>
  <c r="AZ405" s="1"/>
  <c r="AY418"/>
  <c r="AY420" s="1"/>
  <c r="AY417"/>
  <c r="AY419" s="1"/>
  <c r="AY416"/>
  <c r="AY415"/>
  <c r="AY414"/>
  <c r="AY413"/>
  <c r="AY412"/>
  <c r="AY411"/>
  <c r="AY410"/>
  <c r="AY409"/>
  <c r="AY408"/>
  <c r="AY406" s="1"/>
  <c r="AY407"/>
  <c r="AY405" s="1"/>
  <c r="AV420"/>
  <c r="AV419"/>
  <c r="AV418"/>
  <c r="AV417"/>
  <c r="AV416"/>
  <c r="AV415"/>
  <c r="AV414"/>
  <c r="AV413"/>
  <c r="AV412"/>
  <c r="AV411"/>
  <c r="AV410"/>
  <c r="AV409"/>
  <c r="AV408"/>
  <c r="AV407"/>
  <c r="AV406"/>
  <c r="AV405"/>
  <c r="AU420"/>
  <c r="AU419"/>
  <c r="AU418"/>
  <c r="AU417"/>
  <c r="AU416"/>
  <c r="AU415"/>
  <c r="AU414"/>
  <c r="AU413"/>
  <c r="AU412"/>
  <c r="AU411"/>
  <c r="AU410"/>
  <c r="AU409"/>
  <c r="AU408"/>
  <c r="AU407"/>
  <c r="AU406"/>
  <c r="AU405"/>
  <c r="AT420"/>
  <c r="AT419"/>
  <c r="AT418"/>
  <c r="AT417"/>
  <c r="AT416"/>
  <c r="AT415"/>
  <c r="AT414"/>
  <c r="AT413"/>
  <c r="AT412"/>
  <c r="AT411"/>
  <c r="AT410"/>
  <c r="AT409"/>
  <c r="AT408"/>
  <c r="AT407"/>
  <c r="AS420"/>
  <c r="AS419"/>
  <c r="AS418"/>
  <c r="AR419"/>
  <c r="AQ419"/>
  <c r="AS417"/>
  <c r="AS416"/>
  <c r="AS415"/>
  <c r="AS414"/>
  <c r="AS413"/>
  <c r="AS412"/>
  <c r="AS411"/>
  <c r="AS410"/>
  <c r="AS409"/>
  <c r="AS408"/>
  <c r="AS407"/>
  <c r="AR420"/>
  <c r="AR418"/>
  <c r="AR417"/>
  <c r="AR416"/>
  <c r="AR415"/>
  <c r="AR414"/>
  <c r="AR413"/>
  <c r="AR412"/>
  <c r="AR411"/>
  <c r="AR410"/>
  <c r="AR409"/>
  <c r="AR408"/>
  <c r="AR407"/>
  <c r="AQ420"/>
  <c r="AQ418"/>
  <c r="AQ417"/>
  <c r="AQ416"/>
  <c r="AQ415"/>
  <c r="AQ414"/>
  <c r="AQ413"/>
  <c r="AQ412"/>
  <c r="AQ411"/>
  <c r="AQ410"/>
  <c r="AQ409"/>
  <c r="AQ408"/>
  <c r="AQ407"/>
  <c r="AP420"/>
  <c r="AP419"/>
  <c r="AP418"/>
  <c r="AP417"/>
  <c r="AP416"/>
  <c r="AP415"/>
  <c r="AP414"/>
  <c r="AP413"/>
  <c r="AP412"/>
  <c r="AP411"/>
  <c r="AP410"/>
  <c r="AP409"/>
  <c r="AP408"/>
  <c r="AP407"/>
  <c r="AM418"/>
  <c r="AM420" s="1"/>
  <c r="AM417"/>
  <c r="AM419" s="1"/>
  <c r="AM416"/>
  <c r="AM415"/>
  <c r="AM414"/>
  <c r="AM413"/>
  <c r="AM412"/>
  <c r="AM411"/>
  <c r="AM410"/>
  <c r="AM409"/>
  <c r="AM408"/>
  <c r="AM406" s="1"/>
  <c r="AM407"/>
  <c r="AM405" s="1"/>
  <c r="AL418"/>
  <c r="AL420" s="1"/>
  <c r="AL417"/>
  <c r="AL419" s="1"/>
  <c r="AL416"/>
  <c r="AL415"/>
  <c r="AL414"/>
  <c r="AL413"/>
  <c r="AL412"/>
  <c r="AL411"/>
  <c r="AL410"/>
  <c r="AL409"/>
  <c r="AL408"/>
  <c r="AL406" s="1"/>
  <c r="AL407"/>
  <c r="AL405" s="1"/>
  <c r="AK418"/>
  <c r="AK420" s="1"/>
  <c r="AK417"/>
  <c r="AK419" s="1"/>
  <c r="AK416"/>
  <c r="AK415"/>
  <c r="AK414"/>
  <c r="AK413"/>
  <c r="AK412"/>
  <c r="AK411"/>
  <c r="AK410"/>
  <c r="AK409"/>
  <c r="AK408"/>
  <c r="AK406" s="1"/>
  <c r="AK407"/>
  <c r="AK405" s="1"/>
  <c r="AJ418"/>
  <c r="AJ420" s="1"/>
  <c r="AJ417"/>
  <c r="AJ419" s="1"/>
  <c r="AJ416"/>
  <c r="AJ415"/>
  <c r="AJ414"/>
  <c r="AJ413"/>
  <c r="AJ412"/>
  <c r="AJ411"/>
  <c r="AJ410"/>
  <c r="AJ409"/>
  <c r="AJ408"/>
  <c r="AJ406" s="1"/>
  <c r="AJ407"/>
  <c r="AJ405" s="1"/>
  <c r="AI418"/>
  <c r="AI420" s="1"/>
  <c r="AI417"/>
  <c r="AI419" s="1"/>
  <c r="AI416"/>
  <c r="AI415"/>
  <c r="AI414"/>
  <c r="AI413"/>
  <c r="AI412"/>
  <c r="AI411"/>
  <c r="AI410"/>
  <c r="AI409"/>
  <c r="AI408"/>
  <c r="AG418"/>
  <c r="AG420" s="1"/>
  <c r="AG417"/>
  <c r="AG419" s="1"/>
  <c r="AG416"/>
  <c r="AG415"/>
  <c r="AG414"/>
  <c r="AG413"/>
  <c r="AG412"/>
  <c r="AG411"/>
  <c r="AG410"/>
  <c r="AG409"/>
  <c r="AG408"/>
  <c r="AG406" s="1"/>
  <c r="AG407"/>
  <c r="AG405" s="1"/>
  <c r="AH418"/>
  <c r="AH420" s="1"/>
  <c r="AH417"/>
  <c r="AH419" s="1"/>
  <c r="AH416"/>
  <c r="AH415"/>
  <c r="AH414"/>
  <c r="AH413"/>
  <c r="AH412"/>
  <c r="AH411"/>
  <c r="AH410"/>
  <c r="AH409"/>
  <c r="AH408"/>
  <c r="AH406" s="1"/>
  <c r="AH407"/>
  <c r="AH405" s="1"/>
  <c r="U534" i="44" l="1"/>
  <c r="U544"/>
  <c r="G613"/>
  <c r="U609"/>
  <c r="U619"/>
  <c r="U605"/>
  <c r="U615"/>
  <c r="G538"/>
  <c r="G567"/>
  <c r="G577"/>
  <c r="U573"/>
  <c r="G575"/>
  <c r="U571"/>
  <c r="U581"/>
  <c r="G650"/>
  <c r="U646"/>
  <c r="U656"/>
  <c r="G530"/>
  <c r="G540"/>
  <c r="U536"/>
  <c r="G605"/>
  <c r="G615"/>
  <c r="U611"/>
  <c r="G573"/>
  <c r="U567"/>
  <c r="U577"/>
  <c r="G648"/>
  <c r="U642"/>
  <c r="U652"/>
  <c r="G642"/>
  <c r="G652"/>
  <c r="U648"/>
  <c r="G534"/>
  <c r="G544"/>
  <c r="U538"/>
  <c r="G609"/>
  <c r="G619"/>
  <c r="U613"/>
  <c r="G571"/>
  <c r="G581"/>
  <c r="U575"/>
  <c r="G646"/>
  <c r="G656"/>
  <c r="U650"/>
  <c r="G536"/>
  <c r="U530"/>
  <c r="U540"/>
  <c r="G611"/>
  <c r="K305"/>
  <c r="N504"/>
  <c r="G506"/>
  <c r="N500"/>
  <c r="G500"/>
  <c r="N496"/>
  <c r="G496"/>
  <c r="K347"/>
  <c r="N502"/>
  <c r="G502"/>
  <c r="N498"/>
  <c r="G498"/>
  <c r="N494"/>
  <c r="G492"/>
  <c r="N506"/>
  <c r="N469"/>
  <c r="N465"/>
  <c r="G465"/>
  <c r="N461"/>
  <c r="G461"/>
  <c r="N457"/>
  <c r="G455"/>
  <c r="N492"/>
  <c r="N455"/>
  <c r="N467"/>
  <c r="G469"/>
  <c r="N463"/>
  <c r="G463"/>
  <c r="N459"/>
  <c r="G459"/>
  <c r="I506"/>
  <c r="J506"/>
  <c r="K506" s="1"/>
  <c r="M506"/>
  <c r="I469"/>
  <c r="J469"/>
  <c r="K469" s="1"/>
  <c r="M469"/>
  <c r="P506"/>
  <c r="Q506"/>
  <c r="J504"/>
  <c r="K504" s="1"/>
  <c r="M504"/>
  <c r="I504"/>
  <c r="B506"/>
  <c r="C506"/>
  <c r="D506" s="1"/>
  <c r="F506"/>
  <c r="P469"/>
  <c r="Q469"/>
  <c r="I467"/>
  <c r="J467"/>
  <c r="K467" s="1"/>
  <c r="M467"/>
  <c r="F469"/>
  <c r="B469"/>
  <c r="C469"/>
  <c r="D469" s="1"/>
  <c r="P502"/>
  <c r="Q502"/>
  <c r="I502"/>
  <c r="J502"/>
  <c r="K502" s="1"/>
  <c r="M502"/>
  <c r="C502"/>
  <c r="D502" s="1"/>
  <c r="F502"/>
  <c r="B502"/>
  <c r="P465"/>
  <c r="Q465"/>
  <c r="M465"/>
  <c r="J465"/>
  <c r="K465" s="1"/>
  <c r="I465"/>
  <c r="B465"/>
  <c r="C465"/>
  <c r="D465" s="1"/>
  <c r="F465"/>
  <c r="P500"/>
  <c r="Q500"/>
  <c r="I500"/>
  <c r="M500"/>
  <c r="J500"/>
  <c r="K500" s="1"/>
  <c r="C500"/>
  <c r="D500" s="1"/>
  <c r="F500"/>
  <c r="B500"/>
  <c r="P463"/>
  <c r="Q463"/>
  <c r="I463"/>
  <c r="J463"/>
  <c r="K463" s="1"/>
  <c r="M463"/>
  <c r="C463"/>
  <c r="D463" s="1"/>
  <c r="F463"/>
  <c r="B463"/>
  <c r="P498"/>
  <c r="Q498"/>
  <c r="I498"/>
  <c r="M498"/>
  <c r="J498"/>
  <c r="K498" s="1"/>
  <c r="C498"/>
  <c r="D498" s="1"/>
  <c r="F498"/>
  <c r="B498"/>
  <c r="P461"/>
  <c r="Q461"/>
  <c r="I461"/>
  <c r="M461"/>
  <c r="J461"/>
  <c r="K461" s="1"/>
  <c r="C461"/>
  <c r="D461" s="1"/>
  <c r="F461"/>
  <c r="B461"/>
  <c r="P496"/>
  <c r="Q496"/>
  <c r="I496"/>
  <c r="J496"/>
  <c r="K496" s="1"/>
  <c r="M496"/>
  <c r="C496"/>
  <c r="D496" s="1"/>
  <c r="F496"/>
  <c r="B496"/>
  <c r="P459"/>
  <c r="Q459"/>
  <c r="J459"/>
  <c r="K459" s="1"/>
  <c r="M459"/>
  <c r="I459"/>
  <c r="B459"/>
  <c r="C459"/>
  <c r="D459" s="1"/>
  <c r="F459"/>
  <c r="P492"/>
  <c r="Q492"/>
  <c r="I494"/>
  <c r="J494"/>
  <c r="K494" s="1"/>
  <c r="M494"/>
  <c r="F492"/>
  <c r="B492"/>
  <c r="C492"/>
  <c r="D492" s="1"/>
  <c r="Q455"/>
  <c r="P455"/>
  <c r="I457"/>
  <c r="J457"/>
  <c r="K457" s="1"/>
  <c r="M457"/>
  <c r="C455"/>
  <c r="D455" s="1"/>
  <c r="B455"/>
  <c r="F455"/>
  <c r="M492"/>
  <c r="I492"/>
  <c r="J492"/>
  <c r="K492" s="1"/>
  <c r="J455"/>
  <c r="K455" s="1"/>
  <c r="I455"/>
  <c r="M455"/>
  <c r="C530"/>
  <c r="D530" s="1"/>
  <c r="B530"/>
  <c r="F530"/>
  <c r="F567"/>
  <c r="C567"/>
  <c r="D567" s="1"/>
  <c r="B567"/>
  <c r="B534"/>
  <c r="C534"/>
  <c r="D534" s="1"/>
  <c r="F534"/>
  <c r="C571"/>
  <c r="D571" s="1"/>
  <c r="F571"/>
  <c r="B571"/>
  <c r="B536"/>
  <c r="C536"/>
  <c r="D536" s="1"/>
  <c r="F536"/>
  <c r="F573"/>
  <c r="C573"/>
  <c r="D573" s="1"/>
  <c r="B573"/>
  <c r="F538"/>
  <c r="B538"/>
  <c r="C538"/>
  <c r="D538" s="1"/>
  <c r="F575"/>
  <c r="C575"/>
  <c r="D575" s="1"/>
  <c r="B575"/>
  <c r="B540"/>
  <c r="C540"/>
  <c r="D540" s="1"/>
  <c r="F540"/>
  <c r="B577"/>
  <c r="F577"/>
  <c r="C577"/>
  <c r="D577" s="1"/>
  <c r="B544"/>
  <c r="F544"/>
  <c r="C544"/>
  <c r="D544" s="1"/>
  <c r="B581"/>
  <c r="C581"/>
  <c r="D581" s="1"/>
  <c r="F581"/>
  <c r="J530"/>
  <c r="K530" s="1"/>
  <c r="M530"/>
  <c r="I530"/>
  <c r="I567"/>
  <c r="M567"/>
  <c r="J567"/>
  <c r="K567" s="1"/>
  <c r="M532"/>
  <c r="J532"/>
  <c r="K532" s="1"/>
  <c r="I532"/>
  <c r="J569"/>
  <c r="K569" s="1"/>
  <c r="I569"/>
  <c r="M569"/>
  <c r="I534"/>
  <c r="M534"/>
  <c r="J534"/>
  <c r="K534" s="1"/>
  <c r="I571"/>
  <c r="J571"/>
  <c r="K571" s="1"/>
  <c r="M571"/>
  <c r="J536"/>
  <c r="K536" s="1"/>
  <c r="M536"/>
  <c r="I536"/>
  <c r="J573"/>
  <c r="K573" s="1"/>
  <c r="I573"/>
  <c r="M573"/>
  <c r="M538"/>
  <c r="I538"/>
  <c r="J538"/>
  <c r="K538" s="1"/>
  <c r="J575"/>
  <c r="K575" s="1"/>
  <c r="I575"/>
  <c r="M575"/>
  <c r="M540"/>
  <c r="I540"/>
  <c r="J540"/>
  <c r="K540" s="1"/>
  <c r="I577"/>
  <c r="J577"/>
  <c r="K577" s="1"/>
  <c r="M577"/>
  <c r="J542"/>
  <c r="K542" s="1"/>
  <c r="M542"/>
  <c r="I542"/>
  <c r="I579"/>
  <c r="J579"/>
  <c r="K579" s="1"/>
  <c r="M579"/>
  <c r="I544"/>
  <c r="M544"/>
  <c r="J544"/>
  <c r="K544" s="1"/>
  <c r="M581"/>
  <c r="J581"/>
  <c r="K581" s="1"/>
  <c r="I581"/>
  <c r="T530"/>
  <c r="Q530"/>
  <c r="R530" s="1"/>
  <c r="P530"/>
  <c r="T567"/>
  <c r="P567"/>
  <c r="Q567"/>
  <c r="R567" s="1"/>
  <c r="T534"/>
  <c r="P534"/>
  <c r="Q534"/>
  <c r="R534" s="1"/>
  <c r="P571"/>
  <c r="Q571"/>
  <c r="R571" s="1"/>
  <c r="T571"/>
  <c r="P536"/>
  <c r="Q536"/>
  <c r="R536" s="1"/>
  <c r="T536"/>
  <c r="P573"/>
  <c r="T573"/>
  <c r="Q573"/>
  <c r="R573" s="1"/>
  <c r="P538"/>
  <c r="Q538"/>
  <c r="R538" s="1"/>
  <c r="T538"/>
  <c r="Q575"/>
  <c r="R575" s="1"/>
  <c r="T575"/>
  <c r="P575"/>
  <c r="Q540"/>
  <c r="R540" s="1"/>
  <c r="P540"/>
  <c r="T540"/>
  <c r="T577"/>
  <c r="P577"/>
  <c r="Q577"/>
  <c r="R577" s="1"/>
  <c r="T544"/>
  <c r="Q544"/>
  <c r="R544" s="1"/>
  <c r="P544"/>
  <c r="P581"/>
  <c r="Q581"/>
  <c r="R581" s="1"/>
  <c r="T581"/>
  <c r="B605"/>
  <c r="C605"/>
  <c r="D605" s="1"/>
  <c r="F605"/>
  <c r="B642"/>
  <c r="F642"/>
  <c r="C642"/>
  <c r="D642" s="1"/>
  <c r="C609"/>
  <c r="D609" s="1"/>
  <c r="F609"/>
  <c r="B609"/>
  <c r="B646"/>
  <c r="F646"/>
  <c r="C646"/>
  <c r="D646" s="1"/>
  <c r="F611"/>
  <c r="B611"/>
  <c r="C611"/>
  <c r="D611" s="1"/>
  <c r="F648"/>
  <c r="C648"/>
  <c r="D648" s="1"/>
  <c r="B648"/>
  <c r="B613"/>
  <c r="C613"/>
  <c r="D613" s="1"/>
  <c r="F613"/>
  <c r="B650"/>
  <c r="F650"/>
  <c r="C650"/>
  <c r="D650" s="1"/>
  <c r="C615"/>
  <c r="D615" s="1"/>
  <c r="F615"/>
  <c r="B615"/>
  <c r="B652"/>
  <c r="C652"/>
  <c r="D652" s="1"/>
  <c r="F652"/>
  <c r="B619"/>
  <c r="C619"/>
  <c r="D619" s="1"/>
  <c r="F619"/>
  <c r="C656"/>
  <c r="D656" s="1"/>
  <c r="B656"/>
  <c r="F656"/>
  <c r="M605"/>
  <c r="I605"/>
  <c r="J605"/>
  <c r="K605" s="1"/>
  <c r="J642"/>
  <c r="K642" s="1"/>
  <c r="M642"/>
  <c r="I642"/>
  <c r="M607"/>
  <c r="I607"/>
  <c r="J607"/>
  <c r="K607" s="1"/>
  <c r="I644"/>
  <c r="J644"/>
  <c r="K644" s="1"/>
  <c r="M644"/>
  <c r="J609"/>
  <c r="K609" s="1"/>
  <c r="I609"/>
  <c r="M609"/>
  <c r="J646"/>
  <c r="K646" s="1"/>
  <c r="I646"/>
  <c r="M646"/>
  <c r="I611"/>
  <c r="M611"/>
  <c r="J611"/>
  <c r="K611" s="1"/>
  <c r="J648"/>
  <c r="K648" s="1"/>
  <c r="I648"/>
  <c r="M648"/>
  <c r="M613"/>
  <c r="J613"/>
  <c r="K613" s="1"/>
  <c r="I613"/>
  <c r="I650"/>
  <c r="J650"/>
  <c r="K650" s="1"/>
  <c r="M650"/>
  <c r="M615"/>
  <c r="I615"/>
  <c r="J615"/>
  <c r="K615" s="1"/>
  <c r="I652"/>
  <c r="J652"/>
  <c r="K652" s="1"/>
  <c r="M652"/>
  <c r="I617"/>
  <c r="M617"/>
  <c r="J617"/>
  <c r="K617" s="1"/>
  <c r="J654"/>
  <c r="K654" s="1"/>
  <c r="M654"/>
  <c r="I654"/>
  <c r="I619"/>
  <c r="J619"/>
  <c r="K619" s="1"/>
  <c r="M619"/>
  <c r="I656"/>
  <c r="M656"/>
  <c r="J656"/>
  <c r="K656" s="1"/>
  <c r="P605"/>
  <c r="Q605"/>
  <c r="R605" s="1"/>
  <c r="T605"/>
  <c r="T642"/>
  <c r="Q642"/>
  <c r="R642" s="1"/>
  <c r="P642"/>
  <c r="T609"/>
  <c r="P609"/>
  <c r="Q609"/>
  <c r="R609" s="1"/>
  <c r="P646"/>
  <c r="Q646"/>
  <c r="R646" s="1"/>
  <c r="T646"/>
  <c r="P611"/>
  <c r="T611"/>
  <c r="Q611"/>
  <c r="R611" s="1"/>
  <c r="Q648"/>
  <c r="R648" s="1"/>
  <c r="P648"/>
  <c r="T648"/>
  <c r="Q613"/>
  <c r="R613" s="1"/>
  <c r="T613"/>
  <c r="P613"/>
  <c r="T650"/>
  <c r="P650"/>
  <c r="Q650"/>
  <c r="R650" s="1"/>
  <c r="T615"/>
  <c r="P615"/>
  <c r="Q615"/>
  <c r="R615" s="1"/>
  <c r="T652"/>
  <c r="P652"/>
  <c r="Q652"/>
  <c r="R652" s="1"/>
  <c r="T619"/>
  <c r="P619"/>
  <c r="Q619"/>
  <c r="R619" s="1"/>
  <c r="P656"/>
  <c r="Q656"/>
  <c r="R656" s="1"/>
  <c r="T656"/>
  <c r="AI406" i="1"/>
  <c r="AI407"/>
  <c r="AI405" s="1"/>
  <c r="AG192"/>
  <c r="AQ1365"/>
  <c r="AQ1381" s="1"/>
  <c r="W959" i="44" s="1"/>
  <c r="AQ1364" i="1"/>
  <c r="AQ1380" s="1"/>
  <c r="AQ1356"/>
  <c r="AQ1372" s="1"/>
  <c r="AQ1355"/>
  <c r="AQ1371" s="1"/>
  <c r="AQ1353"/>
  <c r="AQ1369" s="1"/>
  <c r="AQ1352"/>
  <c r="AQ1349"/>
  <c r="W955" i="44" s="1"/>
  <c r="AQ1348" i="1"/>
  <c r="AQ1340"/>
  <c r="AQ1339"/>
  <c r="AQ1337"/>
  <c r="AQ1336"/>
  <c r="R955" i="44" s="1"/>
  <c r="AQ1333" i="1"/>
  <c r="W953" i="44" s="1"/>
  <c r="AQ1332" i="1"/>
  <c r="AQ1324"/>
  <c r="AQ1323"/>
  <c r="AQ1321"/>
  <c r="AQ1320"/>
  <c r="R953" i="44" s="1"/>
  <c r="AQ1317" i="1"/>
  <c r="W951" i="44" s="1"/>
  <c r="AQ1316" i="1"/>
  <c r="AQ1308"/>
  <c r="AQ1307"/>
  <c r="AQ1305"/>
  <c r="AQ1304"/>
  <c r="AQ1301"/>
  <c r="W949" i="44" s="1"/>
  <c r="AQ1300" i="1"/>
  <c r="AQ1292"/>
  <c r="AQ1291"/>
  <c r="AQ1289"/>
  <c r="AQ1288"/>
  <c r="R949" i="44" s="1"/>
  <c r="AQ1285" i="1"/>
  <c r="AQ1269" s="1"/>
  <c r="W945" i="44" s="1"/>
  <c r="AQ1284" i="1"/>
  <c r="AQ1268" s="1"/>
  <c r="AQ1276"/>
  <c r="AQ1260" s="1"/>
  <c r="AQ1275"/>
  <c r="AQ1259" s="1"/>
  <c r="AQ1273"/>
  <c r="AQ1257" s="1"/>
  <c r="AQ1272"/>
  <c r="AL1381"/>
  <c r="O959" i="44" s="1"/>
  <c r="AL1380" i="1"/>
  <c r="AL1372"/>
  <c r="AL1371"/>
  <c r="AL1369"/>
  <c r="AL1368"/>
  <c r="J959" i="44" s="1"/>
  <c r="AL1365" i="1"/>
  <c r="O957" i="44" s="1"/>
  <c r="AL1364" i="1"/>
  <c r="AL1356"/>
  <c r="AL1355"/>
  <c r="AL1353"/>
  <c r="AL1352"/>
  <c r="J957" i="44" s="1"/>
  <c r="AL1349" i="1"/>
  <c r="O955" i="44" s="1"/>
  <c r="AL1348" i="1"/>
  <c r="AL1340"/>
  <c r="AL1339"/>
  <c r="AL1337"/>
  <c r="AL1336"/>
  <c r="J955" i="44" s="1"/>
  <c r="AL1333" i="1"/>
  <c r="O953" i="44" s="1"/>
  <c r="AL1332" i="1"/>
  <c r="AL1324"/>
  <c r="AL1323"/>
  <c r="AL1321"/>
  <c r="AL1320"/>
  <c r="J953" i="44" s="1"/>
  <c r="AL1317" i="1"/>
  <c r="O951" i="44" s="1"/>
  <c r="AL1316" i="1"/>
  <c r="AL1308"/>
  <c r="AL1307"/>
  <c r="AL1305"/>
  <c r="AL1304"/>
  <c r="J951" i="44" s="1"/>
  <c r="AL1301" i="1"/>
  <c r="O949" i="44" s="1"/>
  <c r="AL1300" i="1"/>
  <c r="AL1292"/>
  <c r="AL1291"/>
  <c r="AL1289"/>
  <c r="AL1288"/>
  <c r="AL1285"/>
  <c r="O947" i="44" s="1"/>
  <c r="AL1284" i="1"/>
  <c r="AL1276"/>
  <c r="AL1275"/>
  <c r="AL1273"/>
  <c r="AL1272"/>
  <c r="J947" i="44" s="1"/>
  <c r="AG1365" i="1"/>
  <c r="AG1381" s="1"/>
  <c r="G959" i="44" s="1"/>
  <c r="AG1364" i="1"/>
  <c r="AG1380" s="1"/>
  <c r="AG1356"/>
  <c r="AG1372" s="1"/>
  <c r="AG1355"/>
  <c r="AG1371" s="1"/>
  <c r="AG1353"/>
  <c r="AG1369" s="1"/>
  <c r="AG1352"/>
  <c r="AG1349"/>
  <c r="G955" i="44" s="1"/>
  <c r="AG1348" i="1"/>
  <c r="AG1340"/>
  <c r="AG1339"/>
  <c r="AG1337"/>
  <c r="AG1336"/>
  <c r="B955" i="44" s="1"/>
  <c r="AG1333" i="1"/>
  <c r="G953" i="44" s="1"/>
  <c r="AG1332" i="1"/>
  <c r="AG1324"/>
  <c r="AG1323"/>
  <c r="AG1321"/>
  <c r="AG1320"/>
  <c r="B953" i="44" s="1"/>
  <c r="AG1317" i="1"/>
  <c r="G951" i="44" s="1"/>
  <c r="AG1316" i="1"/>
  <c r="AG1308"/>
  <c r="AG1307"/>
  <c r="AG1305"/>
  <c r="AG1304"/>
  <c r="B951" i="44" s="1"/>
  <c r="AG1301" i="1"/>
  <c r="G949" i="44" s="1"/>
  <c r="AG1300" i="1"/>
  <c r="AG1292"/>
  <c r="AG1291"/>
  <c r="AG1289"/>
  <c r="AG1288"/>
  <c r="B949" i="44" s="1"/>
  <c r="AG1285" i="1"/>
  <c r="AG1269" s="1"/>
  <c r="G945" i="44" s="1"/>
  <c r="AG1284" i="1"/>
  <c r="AG1268" s="1"/>
  <c r="AG1276"/>
  <c r="AG1260" s="1"/>
  <c r="AG1275"/>
  <c r="AG1259" s="1"/>
  <c r="AG1273"/>
  <c r="AG1257" s="1"/>
  <c r="AG1272"/>
  <c r="AW1269"/>
  <c r="AW1268"/>
  <c r="AW1260"/>
  <c r="AW1259"/>
  <c r="AW1257"/>
  <c r="AW1256"/>
  <c r="AQ1233"/>
  <c r="AQ1249" s="1"/>
  <c r="W919" i="44" s="1"/>
  <c r="AQ1232" i="1"/>
  <c r="AQ1248" s="1"/>
  <c r="AQ1224"/>
  <c r="AQ1240" s="1"/>
  <c r="AQ1223"/>
  <c r="AQ1239" s="1"/>
  <c r="AQ1221"/>
  <c r="AQ1237" s="1"/>
  <c r="AQ1238" s="1"/>
  <c r="S919" i="44" s="1"/>
  <c r="AQ1217" i="1"/>
  <c r="W915" i="44" s="1"/>
  <c r="AQ1216" i="1"/>
  <c r="AQ1208"/>
  <c r="AQ1207"/>
  <c r="AQ1205"/>
  <c r="AQ1204"/>
  <c r="R915" i="44" s="1"/>
  <c r="AQ1201" i="1"/>
  <c r="W913" i="44" s="1"/>
  <c r="AQ1200" i="1"/>
  <c r="AQ1192"/>
  <c r="AQ1191"/>
  <c r="AQ1189"/>
  <c r="AQ1188"/>
  <c r="R913" i="44" s="1"/>
  <c r="AQ1185" i="1"/>
  <c r="W911" i="44" s="1"/>
  <c r="AQ1184" i="1"/>
  <c r="AQ1176"/>
  <c r="AQ1175"/>
  <c r="AQ1173"/>
  <c r="AQ1172"/>
  <c r="R911" i="44" s="1"/>
  <c r="AQ1169" i="1"/>
  <c r="W909" i="44" s="1"/>
  <c r="AQ1168" i="1"/>
  <c r="AQ1160"/>
  <c r="AQ1159"/>
  <c r="AQ1157"/>
  <c r="AQ1156"/>
  <c r="R909" i="44" s="1"/>
  <c r="AQ1153" i="1"/>
  <c r="AQ1137" s="1"/>
  <c r="W905" i="44" s="1"/>
  <c r="AQ1152" i="1"/>
  <c r="AQ1136" s="1"/>
  <c r="AQ1144"/>
  <c r="AQ1128" s="1"/>
  <c r="AQ1143"/>
  <c r="AQ1127" s="1"/>
  <c r="AQ1141"/>
  <c r="AQ1125" s="1"/>
  <c r="AQ1140"/>
  <c r="AL1233"/>
  <c r="O917" i="44" s="1"/>
  <c r="AL1232" i="1"/>
  <c r="AL1224"/>
  <c r="AL1223"/>
  <c r="AL1221"/>
  <c r="AL1220"/>
  <c r="AL1217"/>
  <c r="O915" i="44" s="1"/>
  <c r="AL1216" i="1"/>
  <c r="AL1208"/>
  <c r="AL1207"/>
  <c r="AL1205"/>
  <c r="AL1204"/>
  <c r="J915" i="44" s="1"/>
  <c r="AL1201" i="1"/>
  <c r="O913" i="44" s="1"/>
  <c r="AL1200" i="1"/>
  <c r="AL1192"/>
  <c r="AL1191"/>
  <c r="AL1189"/>
  <c r="AL1188"/>
  <c r="J913" i="44" s="1"/>
  <c r="AL1185" i="1"/>
  <c r="O911" i="44" s="1"/>
  <c r="AL1184" i="1"/>
  <c r="AL1176"/>
  <c r="AL1175"/>
  <c r="AL1173"/>
  <c r="AL1172"/>
  <c r="J911" i="44" s="1"/>
  <c r="AL1169" i="1"/>
  <c r="O909" i="44" s="1"/>
  <c r="AL1168" i="1"/>
  <c r="AL1160"/>
  <c r="AL1159"/>
  <c r="AL1157"/>
  <c r="AL1156"/>
  <c r="J909" i="44" s="1"/>
  <c r="AL1153" i="1"/>
  <c r="O907" i="44" s="1"/>
  <c r="AL1152" i="1"/>
  <c r="AL1144"/>
  <c r="AL1143"/>
  <c r="AL1141"/>
  <c r="AL1140"/>
  <c r="J907" i="44" s="1"/>
  <c r="AG1233" i="1"/>
  <c r="AG1249" s="1"/>
  <c r="G919" i="44" s="1"/>
  <c r="AG1232" i="1"/>
  <c r="AG1248" s="1"/>
  <c r="AG1224"/>
  <c r="AG1240" s="1"/>
  <c r="AG1223"/>
  <c r="AG1239" s="1"/>
  <c r="AG1221"/>
  <c r="AG1237" s="1"/>
  <c r="AG1220"/>
  <c r="AG1217"/>
  <c r="G915" i="44" s="1"/>
  <c r="AG1216" i="1"/>
  <c r="AG1208"/>
  <c r="AG1207"/>
  <c r="AG1205"/>
  <c r="AG1204"/>
  <c r="B915" i="44" s="1"/>
  <c r="AG1201" i="1"/>
  <c r="G913" i="44" s="1"/>
  <c r="AG1200" i="1"/>
  <c r="AG1192"/>
  <c r="AG1191"/>
  <c r="AG1189"/>
  <c r="AG1188"/>
  <c r="AG1185"/>
  <c r="G911" i="44" s="1"/>
  <c r="AG1184" i="1"/>
  <c r="AG1176"/>
  <c r="AG1175"/>
  <c r="AG1173"/>
  <c r="AG1172"/>
  <c r="B911" i="44" s="1"/>
  <c r="AG1169" i="1"/>
  <c r="G909" i="44" s="1"/>
  <c r="AG1168" i="1"/>
  <c r="AG1160"/>
  <c r="AG1159"/>
  <c r="AG1157"/>
  <c r="AG1156"/>
  <c r="B909" i="44" s="1"/>
  <c r="AG1153" i="1"/>
  <c r="AG1137" s="1"/>
  <c r="G905" i="44" s="1"/>
  <c r="AG1152" i="1"/>
  <c r="AG1136" s="1"/>
  <c r="AG1141"/>
  <c r="AG1125" s="1"/>
  <c r="AG1140"/>
  <c r="AW1137"/>
  <c r="AW1136"/>
  <c r="AW1128"/>
  <c r="AW1127"/>
  <c r="AW1125"/>
  <c r="AW1124"/>
  <c r="AL1137"/>
  <c r="O905" i="44" s="1"/>
  <c r="AL1136" i="1"/>
  <c r="AL1128"/>
  <c r="AL1127"/>
  <c r="AL1125"/>
  <c r="AL1124"/>
  <c r="J905" i="44" s="1"/>
  <c r="AH1122" i="1"/>
  <c r="AX190" l="1"/>
  <c r="AU184"/>
  <c r="AI184"/>
  <c r="AW1270"/>
  <c r="AG1202"/>
  <c r="B913" i="44"/>
  <c r="AL1234" i="1"/>
  <c r="J917" i="44"/>
  <c r="AL1302" i="1"/>
  <c r="J949" i="44"/>
  <c r="AQ1318" i="1"/>
  <c r="R951" i="44"/>
  <c r="N905"/>
  <c r="M905"/>
  <c r="P905"/>
  <c r="F905"/>
  <c r="E905"/>
  <c r="H909"/>
  <c r="F909"/>
  <c r="E909"/>
  <c r="E911"/>
  <c r="H911"/>
  <c r="F911"/>
  <c r="F913"/>
  <c r="E913"/>
  <c r="H913"/>
  <c r="F915"/>
  <c r="E915"/>
  <c r="H915"/>
  <c r="F919"/>
  <c r="E919"/>
  <c r="M907"/>
  <c r="P907"/>
  <c r="N907"/>
  <c r="P909"/>
  <c r="N909"/>
  <c r="M909"/>
  <c r="M911"/>
  <c r="P911"/>
  <c r="N911"/>
  <c r="N913"/>
  <c r="M913"/>
  <c r="P913"/>
  <c r="N915"/>
  <c r="M915"/>
  <c r="P915"/>
  <c r="N917"/>
  <c r="M917"/>
  <c r="P917"/>
  <c r="V905"/>
  <c r="U905"/>
  <c r="U909"/>
  <c r="X909"/>
  <c r="V909"/>
  <c r="V911"/>
  <c r="U911"/>
  <c r="X911"/>
  <c r="V913"/>
  <c r="U913"/>
  <c r="X913"/>
  <c r="X915"/>
  <c r="V915"/>
  <c r="U915"/>
  <c r="F945"/>
  <c r="E945"/>
  <c r="F949"/>
  <c r="E949"/>
  <c r="H949"/>
  <c r="H951"/>
  <c r="F951"/>
  <c r="E951"/>
  <c r="E953"/>
  <c r="H953"/>
  <c r="F953"/>
  <c r="F955"/>
  <c r="E955"/>
  <c r="H955"/>
  <c r="F959"/>
  <c r="E959"/>
  <c r="P947"/>
  <c r="N947"/>
  <c r="M947"/>
  <c r="N949"/>
  <c r="M949"/>
  <c r="P949"/>
  <c r="N951"/>
  <c r="M951"/>
  <c r="P951"/>
  <c r="P953"/>
  <c r="N953"/>
  <c r="M953"/>
  <c r="M955"/>
  <c r="P955"/>
  <c r="N955"/>
  <c r="M957"/>
  <c r="P957"/>
  <c r="N957"/>
  <c r="N959"/>
  <c r="M959"/>
  <c r="P959"/>
  <c r="V945"/>
  <c r="U945"/>
  <c r="X949"/>
  <c r="V949"/>
  <c r="U949"/>
  <c r="U951"/>
  <c r="X951"/>
  <c r="V951"/>
  <c r="V953"/>
  <c r="U953"/>
  <c r="X953"/>
  <c r="V955"/>
  <c r="U955"/>
  <c r="X955"/>
  <c r="V959"/>
  <c r="U959"/>
  <c r="AL1218" i="1"/>
  <c r="AL1286"/>
  <c r="AQ1302"/>
  <c r="AF192"/>
  <c r="AG184"/>
  <c r="AG1186"/>
  <c r="AL1186"/>
  <c r="AQ1218"/>
  <c r="AG1350"/>
  <c r="AL1382"/>
  <c r="AL1138"/>
  <c r="AL1202"/>
  <c r="AT234"/>
  <c r="AG1170"/>
  <c r="AL1170"/>
  <c r="AQ1202"/>
  <c r="AG1334"/>
  <c r="AL1366"/>
  <c r="AL1154"/>
  <c r="AQ1186"/>
  <c r="AG1318"/>
  <c r="AL1350"/>
  <c r="AW1138"/>
  <c r="AQ1170"/>
  <c r="AG1302"/>
  <c r="AL1334"/>
  <c r="AQ1350"/>
  <c r="AV184"/>
  <c r="AG1218"/>
  <c r="AL1318"/>
  <c r="AQ1334"/>
  <c r="AG1124"/>
  <c r="H905" i="44" s="1"/>
  <c r="AG1154" i="1"/>
  <c r="AG1236"/>
  <c r="H919" i="44" s="1"/>
  <c r="AG1234" i="1"/>
  <c r="AQ1124"/>
  <c r="X905" i="44" s="1"/>
  <c r="AQ1154" i="1"/>
  <c r="AQ1234"/>
  <c r="AG1256"/>
  <c r="H945" i="44" s="1"/>
  <c r="AG1286" i="1"/>
  <c r="AG1368"/>
  <c r="H959" i="44" s="1"/>
  <c r="AG1366" i="1"/>
  <c r="AQ1256"/>
  <c r="X945" i="44" s="1"/>
  <c r="AQ1286" i="1"/>
  <c r="AQ1368"/>
  <c r="X959" i="44" s="1"/>
  <c r="AQ1366" i="1"/>
  <c r="AH184"/>
  <c r="AY182"/>
  <c r="AX185" s="1"/>
  <c r="AW192"/>
  <c r="AF184"/>
  <c r="AU192"/>
  <c r="AW184"/>
  <c r="AT192"/>
  <c r="AT184"/>
  <c r="AX184"/>
  <c r="AV192"/>
  <c r="AI190"/>
  <c r="AE193" s="1"/>
  <c r="AE192"/>
  <c r="AJ182"/>
  <c r="AH185" s="1"/>
  <c r="AT193"/>
  <c r="AE184"/>
  <c r="AH192"/>
  <c r="AW234"/>
  <c r="AG234"/>
  <c r="AF234"/>
  <c r="AX240"/>
  <c r="AV243" s="1"/>
  <c r="AX234"/>
  <c r="AY232"/>
  <c r="AW235" s="1"/>
  <c r="AE242"/>
  <c r="AI240"/>
  <c r="AE243" s="1"/>
  <c r="AF242"/>
  <c r="AJ232"/>
  <c r="AH235" s="1"/>
  <c r="AU234"/>
  <c r="AE234"/>
  <c r="AG242"/>
  <c r="AH242"/>
  <c r="AV234"/>
  <c r="AU242"/>
  <c r="AH234"/>
  <c r="AT242"/>
  <c r="AI234"/>
  <c r="AV242"/>
  <c r="AW242"/>
  <c r="AQ1373"/>
  <c r="T959" i="44" s="1"/>
  <c r="AQ1357" i="1"/>
  <c r="AQ1354"/>
  <c r="AQ1341"/>
  <c r="T955" i="44" s="1"/>
  <c r="AQ1338" i="1"/>
  <c r="S955" i="44" s="1"/>
  <c r="AQ1325" i="1"/>
  <c r="T953" i="44" s="1"/>
  <c r="AQ1322" i="1"/>
  <c r="S953" i="44" s="1"/>
  <c r="AQ1309" i="1"/>
  <c r="T951" i="44" s="1"/>
  <c r="AQ1306" i="1"/>
  <c r="S951" i="44" s="1"/>
  <c r="AQ1293" i="1"/>
  <c r="T949" i="44" s="1"/>
  <c r="AQ1290" i="1"/>
  <c r="S949" i="44" s="1"/>
  <c r="AQ1277" i="1"/>
  <c r="AQ1274"/>
  <c r="AL1373"/>
  <c r="L959" i="44" s="1"/>
  <c r="AL1370" i="1"/>
  <c r="K959" i="44" s="1"/>
  <c r="AL1357" i="1"/>
  <c r="L957" i="44" s="1"/>
  <c r="AL1354" i="1"/>
  <c r="K957" i="44" s="1"/>
  <c r="AL1341" i="1"/>
  <c r="L955" i="44" s="1"/>
  <c r="AL1338" i="1"/>
  <c r="K955" i="44" s="1"/>
  <c r="AL1325" i="1"/>
  <c r="L953" i="44" s="1"/>
  <c r="AL1322" i="1"/>
  <c r="K953" i="44" s="1"/>
  <c r="AL1309" i="1"/>
  <c r="L951" i="44" s="1"/>
  <c r="AL1306" i="1"/>
  <c r="K951" i="44" s="1"/>
  <c r="AL1293" i="1"/>
  <c r="L949" i="44" s="1"/>
  <c r="AL1290" i="1"/>
  <c r="K949" i="44" s="1"/>
  <c r="AL1277" i="1"/>
  <c r="L947" i="44" s="1"/>
  <c r="AL1274" i="1"/>
  <c r="K947" i="44" s="1"/>
  <c r="AG1373" i="1"/>
  <c r="D959" i="44" s="1"/>
  <c r="AG1357" i="1"/>
  <c r="AG1354"/>
  <c r="AG1341"/>
  <c r="D955" i="44" s="1"/>
  <c r="AG1338" i="1"/>
  <c r="C955" i="44" s="1"/>
  <c r="AG1325" i="1"/>
  <c r="D953" i="44" s="1"/>
  <c r="AG1322" i="1"/>
  <c r="C953" i="44" s="1"/>
  <c r="AG1309" i="1"/>
  <c r="D951" i="44" s="1"/>
  <c r="AG1306" i="1"/>
  <c r="C951" i="44" s="1"/>
  <c r="AG1293" i="1"/>
  <c r="D949" i="44" s="1"/>
  <c r="AG1290" i="1"/>
  <c r="C949" i="44" s="1"/>
  <c r="AG1277" i="1"/>
  <c r="AG1274"/>
  <c r="AW1261"/>
  <c r="AW1258"/>
  <c r="AQ1261"/>
  <c r="T945" i="44" s="1"/>
  <c r="AG1261" i="1"/>
  <c r="D945" i="44" s="1"/>
  <c r="AQ1241" i="1"/>
  <c r="T919" i="44" s="1"/>
  <c r="AQ1225" i="1"/>
  <c r="AQ1222"/>
  <c r="AQ1209"/>
  <c r="T915" i="44" s="1"/>
  <c r="AQ1206" i="1"/>
  <c r="S915" i="44" s="1"/>
  <c r="AQ1193" i="1"/>
  <c r="T913" i="44" s="1"/>
  <c r="AQ1190" i="1"/>
  <c r="S913" i="44" s="1"/>
  <c r="AQ1177" i="1"/>
  <c r="T911" i="44" s="1"/>
  <c r="AQ1174" i="1"/>
  <c r="S911" i="44" s="1"/>
  <c r="AQ1161" i="1"/>
  <c r="T909" i="44" s="1"/>
  <c r="AQ1158" i="1"/>
  <c r="S909" i="44" s="1"/>
  <c r="AQ1145" i="1"/>
  <c r="AQ1142"/>
  <c r="AL1225"/>
  <c r="L917" i="44" s="1"/>
  <c r="AL1222" i="1"/>
  <c r="K917" i="44" s="1"/>
  <c r="AL1209" i="1"/>
  <c r="L915" i="44" s="1"/>
  <c r="AL1206" i="1"/>
  <c r="K915" i="44" s="1"/>
  <c r="AL1193" i="1"/>
  <c r="L913" i="44" s="1"/>
  <c r="AL1177" i="1"/>
  <c r="L911" i="44" s="1"/>
  <c r="AL1161" i="1"/>
  <c r="L909" i="44" s="1"/>
  <c r="AL1145" i="1"/>
  <c r="L907" i="44" s="1"/>
  <c r="AG1241" i="1"/>
  <c r="D919" i="44" s="1"/>
  <c r="AG1225" i="1"/>
  <c r="AG1222"/>
  <c r="AG1209"/>
  <c r="D915" i="44" s="1"/>
  <c r="AG1206" i="1"/>
  <c r="C915" i="44" s="1"/>
  <c r="AG1193" i="1"/>
  <c r="D913" i="44" s="1"/>
  <c r="AG1190" i="1"/>
  <c r="C913" i="44" s="1"/>
  <c r="AG1177" i="1"/>
  <c r="D911" i="44" s="1"/>
  <c r="AG1174" i="1"/>
  <c r="C911" i="44" s="1"/>
  <c r="AG1161" i="1"/>
  <c r="D909" i="44" s="1"/>
  <c r="AG1158" i="1"/>
  <c r="C909" i="44" s="1"/>
  <c r="AG1145" i="1"/>
  <c r="AG1142"/>
  <c r="AW1129"/>
  <c r="AW1126"/>
  <c r="AQ1129"/>
  <c r="T905" i="44" s="1"/>
  <c r="AL1129" i="1"/>
  <c r="L905" i="44" s="1"/>
  <c r="AL1126" i="1"/>
  <c r="K905" i="44" s="1"/>
  <c r="AG1129" i="1"/>
  <c r="D905" i="44" s="1"/>
  <c r="AL1142" i="1"/>
  <c r="K907" i="44" s="1"/>
  <c r="AL1174" i="1"/>
  <c r="K911" i="44" s="1"/>
  <c r="AL1158" i="1"/>
  <c r="K909" i="44" s="1"/>
  <c r="AL1190" i="1"/>
  <c r="K913" i="44" s="1"/>
  <c r="AV157" i="1"/>
  <c r="AV206" s="1"/>
  <c r="AU157"/>
  <c r="AU206" s="1"/>
  <c r="AT157"/>
  <c r="AT206" s="1"/>
  <c r="AT156"/>
  <c r="AG157"/>
  <c r="AG206" s="1"/>
  <c r="AF157"/>
  <c r="AF206" s="1"/>
  <c r="AE157"/>
  <c r="AE206" s="1"/>
  <c r="AE156"/>
  <c r="AQ1382" l="1"/>
  <c r="R959" i="44"/>
  <c r="AQ1270" i="1"/>
  <c r="R945" i="44"/>
  <c r="AG1382" i="1"/>
  <c r="B959" i="44"/>
  <c r="AG1270" i="1"/>
  <c r="B945" i="44"/>
  <c r="AQ1126" i="1"/>
  <c r="S905" i="44" s="1"/>
  <c r="R905"/>
  <c r="AG1250" i="1"/>
  <c r="B919" i="44"/>
  <c r="AG1138" i="1"/>
  <c r="B905" i="44"/>
  <c r="AQ1250" i="1"/>
  <c r="U919" i="44"/>
  <c r="X919"/>
  <c r="V919"/>
  <c r="AV193" i="1"/>
  <c r="AW193"/>
  <c r="AG193"/>
  <c r="AQ1370"/>
  <c r="S959" i="44" s="1"/>
  <c r="AQ1258" i="1"/>
  <c r="S945" i="44" s="1"/>
  <c r="AG1370" i="1"/>
  <c r="C959" i="44" s="1"/>
  <c r="AF193" i="1"/>
  <c r="AG1126"/>
  <c r="C905" i="44" s="1"/>
  <c r="AQ1138" i="1"/>
  <c r="AV185"/>
  <c r="AG1258"/>
  <c r="C945" i="44" s="1"/>
  <c r="AT185" i="1"/>
  <c r="AW185"/>
  <c r="AG1238"/>
  <c r="C919" i="44" s="1"/>
  <c r="AH193" i="1"/>
  <c r="AU185"/>
  <c r="AU193"/>
  <c r="AG185"/>
  <c r="AF185"/>
  <c r="AI185"/>
  <c r="AE185"/>
  <c r="AT158"/>
  <c r="AH243"/>
  <c r="AW243"/>
  <c r="AU243"/>
  <c r="AT243"/>
  <c r="AV235"/>
  <c r="AU235"/>
  <c r="AX235"/>
  <c r="AT235"/>
  <c r="AF243"/>
  <c r="AG243"/>
  <c r="AE235"/>
  <c r="AF235"/>
  <c r="AI235"/>
  <c r="AG235"/>
  <c r="AT207"/>
  <c r="AE207"/>
  <c r="AU207"/>
  <c r="AG158"/>
  <c r="AE158"/>
  <c r="AL1113" l="1"/>
  <c r="O879" i="44" s="1"/>
  <c r="AL1112" i="1"/>
  <c r="AL1104"/>
  <c r="AL1103"/>
  <c r="AL1101"/>
  <c r="AL1100"/>
  <c r="J879" i="44" s="1"/>
  <c r="AQ1097" i="1"/>
  <c r="AQ1113" s="1"/>
  <c r="W879" i="44" s="1"/>
  <c r="AQ1096" i="1"/>
  <c r="AQ1112" s="1"/>
  <c r="AQ1088"/>
  <c r="AQ1104" s="1"/>
  <c r="AQ1087"/>
  <c r="AQ1103" s="1"/>
  <c r="AQ1085"/>
  <c r="AQ1101" s="1"/>
  <c r="AQ1084"/>
  <c r="AL1097"/>
  <c r="O877" i="44" s="1"/>
  <c r="AL1096" i="1"/>
  <c r="AL1088"/>
  <c r="AL1087"/>
  <c r="AL1085"/>
  <c r="AL1084"/>
  <c r="J877" i="44" s="1"/>
  <c r="AG1097" i="1"/>
  <c r="AG1113" s="1"/>
  <c r="G879" i="44" s="1"/>
  <c r="AG1096" i="1"/>
  <c r="AG1112" s="1"/>
  <c r="AG1087"/>
  <c r="AG1103" s="1"/>
  <c r="AG1088"/>
  <c r="AG1104" s="1"/>
  <c r="AG1085"/>
  <c r="AG1101" s="1"/>
  <c r="AG1084"/>
  <c r="AQ1081"/>
  <c r="W875" i="44" s="1"/>
  <c r="AQ1080" i="1"/>
  <c r="AQ1072"/>
  <c r="AQ1071"/>
  <c r="AQ1069"/>
  <c r="AQ1068"/>
  <c r="R875" i="44" s="1"/>
  <c r="AL1081" i="1"/>
  <c r="O875" i="44" s="1"/>
  <c r="AL1080" i="1"/>
  <c r="AL1072"/>
  <c r="AL1071"/>
  <c r="AL1069"/>
  <c r="AL1068"/>
  <c r="J875" i="44" s="1"/>
  <c r="AG1081" i="1"/>
  <c r="G875" i="44" s="1"/>
  <c r="AG1080" i="1"/>
  <c r="AG1071"/>
  <c r="AG1072"/>
  <c r="AG1069"/>
  <c r="AG1068"/>
  <c r="B875" i="44" s="1"/>
  <c r="AQ1065" i="1"/>
  <c r="W873" i="44" s="1"/>
  <c r="AQ1064" i="1"/>
  <c r="AQ1056"/>
  <c r="AQ1055"/>
  <c r="AQ1053"/>
  <c r="AQ1052"/>
  <c r="R873" i="44" s="1"/>
  <c r="AL1065" i="1"/>
  <c r="O873" i="44" s="1"/>
  <c r="AL1064" i="1"/>
  <c r="AL1056"/>
  <c r="AL1055"/>
  <c r="AL1053"/>
  <c r="AL1052"/>
  <c r="J873" i="44" s="1"/>
  <c r="AG1065" i="1"/>
  <c r="G873" i="44" s="1"/>
  <c r="AG1064" i="1"/>
  <c r="AG1056"/>
  <c r="AG1055"/>
  <c r="AG1053"/>
  <c r="AG1052"/>
  <c r="B873" i="44" s="1"/>
  <c r="AQ1049" i="1"/>
  <c r="W871" i="44" s="1"/>
  <c r="AQ1048" i="1"/>
  <c r="AQ1040"/>
  <c r="AQ1039"/>
  <c r="AQ1037"/>
  <c r="AQ1036"/>
  <c r="R871" i="44" s="1"/>
  <c r="AL1049" i="1"/>
  <c r="O871" i="44" s="1"/>
  <c r="AL1048" i="1"/>
  <c r="AL1040"/>
  <c r="AL1039"/>
  <c r="AL1037"/>
  <c r="AL1036"/>
  <c r="J871" i="44" s="1"/>
  <c r="AG1049" i="1"/>
  <c r="G871" i="44" s="1"/>
  <c r="AG1048" i="1"/>
  <c r="AG1040"/>
  <c r="AG1039"/>
  <c r="AG1037"/>
  <c r="AG1036"/>
  <c r="B871" i="44" s="1"/>
  <c r="AQ1033" i="1"/>
  <c r="W869" i="44" s="1"/>
  <c r="AQ1032" i="1"/>
  <c r="AQ1024"/>
  <c r="AQ1023"/>
  <c r="AQ1021"/>
  <c r="AQ1020"/>
  <c r="R869" i="44" s="1"/>
  <c r="AL1033" i="1"/>
  <c r="O869" i="44" s="1"/>
  <c r="AL1032" i="1"/>
  <c r="AL1024"/>
  <c r="AL1023"/>
  <c r="AL1021"/>
  <c r="AL1020"/>
  <c r="J869" i="44" s="1"/>
  <c r="AG1033" i="1"/>
  <c r="G869" i="44" s="1"/>
  <c r="AG1032" i="1"/>
  <c r="AG1024"/>
  <c r="AG1023"/>
  <c r="AG1021"/>
  <c r="AG1020"/>
  <c r="B869" i="44" s="1"/>
  <c r="AQ1017" i="1"/>
  <c r="AQ1001" s="1"/>
  <c r="W865" i="44" s="1"/>
  <c r="AQ1016" i="1"/>
  <c r="AQ1000" s="1"/>
  <c r="AQ1008"/>
  <c r="AQ992" s="1"/>
  <c r="AQ1007"/>
  <c r="AQ991" s="1"/>
  <c r="AQ1005"/>
  <c r="AQ989" s="1"/>
  <c r="AQ1004"/>
  <c r="AL1017"/>
  <c r="O867" i="44" s="1"/>
  <c r="AL1016" i="1"/>
  <c r="AL1008"/>
  <c r="AL1007"/>
  <c r="AL1005"/>
  <c r="AL1004"/>
  <c r="J867" i="44" s="1"/>
  <c r="AG1017" i="1"/>
  <c r="AG1001" s="1"/>
  <c r="G865" i="44" s="1"/>
  <c r="AG1016" i="1"/>
  <c r="AG1000" s="1"/>
  <c r="AG1008"/>
  <c r="AG992" s="1"/>
  <c r="AG1007"/>
  <c r="AG991" s="1"/>
  <c r="AG1005"/>
  <c r="AG989" s="1"/>
  <c r="AG1004"/>
  <c r="AW1001"/>
  <c r="AW1000"/>
  <c r="AW992"/>
  <c r="AW991"/>
  <c r="AW989"/>
  <c r="AW988"/>
  <c r="AW859"/>
  <c r="AQ965"/>
  <c r="AQ981" s="1"/>
  <c r="W839" i="44" s="1"/>
  <c r="AQ964" i="1"/>
  <c r="AQ980" s="1"/>
  <c r="AQ956"/>
  <c r="AQ972" s="1"/>
  <c r="AQ955"/>
  <c r="AQ971" s="1"/>
  <c r="AQ953"/>
  <c r="AQ969" s="1"/>
  <c r="AQ952"/>
  <c r="AL965"/>
  <c r="O837" i="44" s="1"/>
  <c r="AL964" i="1"/>
  <c r="AL956"/>
  <c r="AL955"/>
  <c r="AL953"/>
  <c r="AL952"/>
  <c r="AG965"/>
  <c r="AG981" s="1"/>
  <c r="G839" i="44" s="1"/>
  <c r="AG964" i="1"/>
  <c r="AG980" s="1"/>
  <c r="AG956"/>
  <c r="AG955"/>
  <c r="AG971" s="1"/>
  <c r="AG953"/>
  <c r="AG952"/>
  <c r="AQ949"/>
  <c r="W835" i="44" s="1"/>
  <c r="AQ948" i="1"/>
  <c r="AQ940"/>
  <c r="AQ939"/>
  <c r="AQ937"/>
  <c r="AQ936"/>
  <c r="AL949"/>
  <c r="O835" i="44" s="1"/>
  <c r="AL948" i="1"/>
  <c r="AL940"/>
  <c r="AL939"/>
  <c r="AL937"/>
  <c r="AL936"/>
  <c r="AG949"/>
  <c r="G835" i="44" s="1"/>
  <c r="AG948" i="1"/>
  <c r="AG940"/>
  <c r="AG939"/>
  <c r="AG937"/>
  <c r="AG936"/>
  <c r="B835" i="44" s="1"/>
  <c r="AQ933" i="1"/>
  <c r="W833" i="44" s="1"/>
  <c r="AQ932" i="1"/>
  <c r="AQ924"/>
  <c r="AQ921"/>
  <c r="AQ920"/>
  <c r="R833" i="44" s="1"/>
  <c r="AL933" i="1"/>
  <c r="O833" i="44" s="1"/>
  <c r="AL932" i="1"/>
  <c r="AL924"/>
  <c r="AL923"/>
  <c r="AL921"/>
  <c r="AG933"/>
  <c r="G833" i="44" s="1"/>
  <c r="AG932" i="1"/>
  <c r="AG924"/>
  <c r="AG921"/>
  <c r="AG920"/>
  <c r="B833" i="44" s="1"/>
  <c r="AL920" i="1"/>
  <c r="AQ923"/>
  <c r="AG923"/>
  <c r="AQ907"/>
  <c r="AL907"/>
  <c r="AG907"/>
  <c r="AQ875"/>
  <c r="AQ859" s="1"/>
  <c r="AQ891"/>
  <c r="AL891"/>
  <c r="AG891"/>
  <c r="AG875"/>
  <c r="AG859" s="1"/>
  <c r="AL875"/>
  <c r="AL859"/>
  <c r="H835" i="44" l="1"/>
  <c r="H833"/>
  <c r="P833"/>
  <c r="P835"/>
  <c r="AG1034" i="1"/>
  <c r="AQ1066"/>
  <c r="X833" i="44"/>
  <c r="X835"/>
  <c r="F865"/>
  <c r="E865"/>
  <c r="N867"/>
  <c r="M867"/>
  <c r="P867"/>
  <c r="V865"/>
  <c r="U865"/>
  <c r="H869"/>
  <c r="F869"/>
  <c r="E869"/>
  <c r="N869"/>
  <c r="M869"/>
  <c r="P869"/>
  <c r="X869"/>
  <c r="V869"/>
  <c r="U869"/>
  <c r="H871"/>
  <c r="F871"/>
  <c r="E871"/>
  <c r="N871"/>
  <c r="M871"/>
  <c r="P871"/>
  <c r="U871"/>
  <c r="X871"/>
  <c r="V871"/>
  <c r="F873"/>
  <c r="H873"/>
  <c r="E873"/>
  <c r="P873"/>
  <c r="N873"/>
  <c r="M873"/>
  <c r="V873"/>
  <c r="U873"/>
  <c r="X873"/>
  <c r="F875"/>
  <c r="E875"/>
  <c r="H875"/>
  <c r="M875"/>
  <c r="P875"/>
  <c r="N875"/>
  <c r="V875"/>
  <c r="U875"/>
  <c r="X875"/>
  <c r="F879"/>
  <c r="E879"/>
  <c r="N877"/>
  <c r="M877"/>
  <c r="P877"/>
  <c r="V879"/>
  <c r="U879"/>
  <c r="N879"/>
  <c r="M879"/>
  <c r="P879"/>
  <c r="AG1050" i="1"/>
  <c r="AQ1082"/>
  <c r="AL1034"/>
  <c r="AG1082"/>
  <c r="AL934"/>
  <c r="J833" i="44"/>
  <c r="E833"/>
  <c r="F833"/>
  <c r="N833"/>
  <c r="M833"/>
  <c r="U833"/>
  <c r="V833"/>
  <c r="F835"/>
  <c r="E835"/>
  <c r="AL950" i="1"/>
  <c r="J835" i="44"/>
  <c r="N835"/>
  <c r="M835"/>
  <c r="AQ950" i="1"/>
  <c r="R835" i="44"/>
  <c r="V835"/>
  <c r="U835"/>
  <c r="F839"/>
  <c r="E839"/>
  <c r="AL966" i="1"/>
  <c r="J837" i="44"/>
  <c r="M837"/>
  <c r="N837"/>
  <c r="V839"/>
  <c r="U839"/>
  <c r="AL1114" i="1"/>
  <c r="AL1098"/>
  <c r="AQ1034"/>
  <c r="AL1082"/>
  <c r="AG950"/>
  <c r="AL1066"/>
  <c r="AL1018"/>
  <c r="AG1066"/>
  <c r="AQ934"/>
  <c r="AQ1050"/>
  <c r="AW1002"/>
  <c r="AL1050"/>
  <c r="AG934"/>
  <c r="AG968"/>
  <c r="H839" i="44" s="1"/>
  <c r="AG966" i="1"/>
  <c r="AQ968"/>
  <c r="X839" i="44" s="1"/>
  <c r="AQ966" i="1"/>
  <c r="AG988"/>
  <c r="H865" i="44" s="1"/>
  <c r="AG1018" i="1"/>
  <c r="AQ988"/>
  <c r="X865" i="44" s="1"/>
  <c r="AQ1018" i="1"/>
  <c r="AG1100"/>
  <c r="H879" i="44" s="1"/>
  <c r="AG1098" i="1"/>
  <c r="AQ1100"/>
  <c r="X879" i="44" s="1"/>
  <c r="AQ1098" i="1"/>
  <c r="AG972"/>
  <c r="AG973" s="1"/>
  <c r="D839" i="44" s="1"/>
  <c r="AG969" i="1"/>
  <c r="AQ1105"/>
  <c r="T879" i="44" s="1"/>
  <c r="AL1105" i="1"/>
  <c r="L879" i="44" s="1"/>
  <c r="AL1102" i="1"/>
  <c r="K879" i="44" s="1"/>
  <c r="AG1105" i="1"/>
  <c r="D879" i="44" s="1"/>
  <c r="AQ1089" i="1"/>
  <c r="AQ1086"/>
  <c r="AL1089"/>
  <c r="L877" i="44" s="1"/>
  <c r="AL1086" i="1"/>
  <c r="K877" i="44" s="1"/>
  <c r="AG1089" i="1"/>
  <c r="AQ1073"/>
  <c r="T875" i="44" s="1"/>
  <c r="AQ1070" i="1"/>
  <c r="S875" i="44" s="1"/>
  <c r="AL1073" i="1"/>
  <c r="L875" i="44" s="1"/>
  <c r="AL1070" i="1"/>
  <c r="K875" i="44" s="1"/>
  <c r="AG1073" i="1"/>
  <c r="D875" i="44" s="1"/>
  <c r="AG1070" i="1"/>
  <c r="C875" i="44" s="1"/>
  <c r="AQ1057" i="1"/>
  <c r="T873" i="44" s="1"/>
  <c r="AQ1054" i="1"/>
  <c r="S873" i="44" s="1"/>
  <c r="AL1057" i="1"/>
  <c r="L873" i="44" s="1"/>
  <c r="AG1057" i="1"/>
  <c r="D873" i="44" s="1"/>
  <c r="AG1054" i="1"/>
  <c r="C873" i="44" s="1"/>
  <c r="AQ1041" i="1"/>
  <c r="T871" i="44" s="1"/>
  <c r="AQ1038" i="1"/>
  <c r="S871" i="44" s="1"/>
  <c r="AL1041" i="1"/>
  <c r="L871" i="44" s="1"/>
  <c r="AL1038" i="1"/>
  <c r="K871" i="44" s="1"/>
  <c r="AG1041" i="1"/>
  <c r="D871" i="44" s="1"/>
  <c r="AG1038" i="1"/>
  <c r="C871" i="44" s="1"/>
  <c r="AQ1025" i="1"/>
  <c r="T869" i="44" s="1"/>
  <c r="AQ1022" i="1"/>
  <c r="S869" i="44" s="1"/>
  <c r="AL1025" i="1"/>
  <c r="L869" i="44" s="1"/>
  <c r="AL1022" i="1"/>
  <c r="K869" i="44" s="1"/>
  <c r="AG1025" i="1"/>
  <c r="D869" i="44" s="1"/>
  <c r="AG1022" i="1"/>
  <c r="C869" i="44" s="1"/>
  <c r="AG1086" i="1"/>
  <c r="AL1054"/>
  <c r="K873" i="44" s="1"/>
  <c r="AQ1009" i="1"/>
  <c r="AQ1006"/>
  <c r="AL1009"/>
  <c r="L867" i="44" s="1"/>
  <c r="AL1006" i="1"/>
  <c r="K867" i="44" s="1"/>
  <c r="AG1009" i="1"/>
  <c r="AG1006"/>
  <c r="AW993"/>
  <c r="AW990"/>
  <c r="AQ993"/>
  <c r="T865" i="44" s="1"/>
  <c r="AG993" i="1"/>
  <c r="D865" i="44" s="1"/>
  <c r="AQ973" i="1"/>
  <c r="T839" i="44" s="1"/>
  <c r="AQ925" i="1"/>
  <c r="T833" i="44" s="1"/>
  <c r="AG925" i="1"/>
  <c r="D833" i="44" s="1"/>
  <c r="AQ957" i="1"/>
  <c r="AQ954"/>
  <c r="AL957"/>
  <c r="L837" i="44" s="1"/>
  <c r="AL954" i="1"/>
  <c r="K837" i="44" s="1"/>
  <c r="AG957" i="1"/>
  <c r="AG954"/>
  <c r="AQ941"/>
  <c r="T835" i="44" s="1"/>
  <c r="AQ938" i="1"/>
  <c r="S835" i="44" s="1"/>
  <c r="AL941" i="1"/>
  <c r="L835" i="44" s="1"/>
  <c r="AG941" i="1"/>
  <c r="D835" i="44" s="1"/>
  <c r="AG938" i="1"/>
  <c r="C835" i="44" s="1"/>
  <c r="AL938" i="1"/>
  <c r="K835" i="44" s="1"/>
  <c r="AL925" i="1"/>
  <c r="L833" i="44" s="1"/>
  <c r="AL922" i="1"/>
  <c r="K833" i="44" s="1"/>
  <c r="AG922" i="1"/>
  <c r="C833" i="44" s="1"/>
  <c r="AQ922" i="1"/>
  <c r="S833" i="44" s="1"/>
  <c r="AQ917" i="1"/>
  <c r="W831" i="44" s="1"/>
  <c r="AQ916" i="1"/>
  <c r="AQ908"/>
  <c r="AQ909" s="1"/>
  <c r="T831" i="44" s="1"/>
  <c r="AQ905" i="1"/>
  <c r="AQ904"/>
  <c r="R831" i="44" s="1"/>
  <c r="AL917" i="1"/>
  <c r="O831" i="44" s="1"/>
  <c r="AL916" i="1"/>
  <c r="AL908"/>
  <c r="AL909" s="1"/>
  <c r="L831" i="44" s="1"/>
  <c r="AL905" i="1"/>
  <c r="AL904"/>
  <c r="J831" i="44" s="1"/>
  <c r="AG917" i="1"/>
  <c r="G831" i="44" s="1"/>
  <c r="AG916" i="1"/>
  <c r="AG908"/>
  <c r="AG909" s="1"/>
  <c r="D831" i="44" s="1"/>
  <c r="AG905" i="1"/>
  <c r="AG904"/>
  <c r="B831" i="44" s="1"/>
  <c r="AQ901" i="1"/>
  <c r="W829" i="44" s="1"/>
  <c r="AQ900" i="1"/>
  <c r="AQ892"/>
  <c r="AQ893" s="1"/>
  <c r="T829" i="44" s="1"/>
  <c r="AQ889" i="1"/>
  <c r="AQ888"/>
  <c r="R829" i="44" s="1"/>
  <c r="AL901" i="1"/>
  <c r="O829" i="44" s="1"/>
  <c r="AL900" i="1"/>
  <c r="AL892"/>
  <c r="AL893" s="1"/>
  <c r="L829" i="44" s="1"/>
  <c r="AL889" i="1"/>
  <c r="AL888"/>
  <c r="J829" i="44" s="1"/>
  <c r="AG901" i="1"/>
  <c r="G829" i="44" s="1"/>
  <c r="AG900" i="1"/>
  <c r="AG892"/>
  <c r="AG893" s="1"/>
  <c r="D829" i="44" s="1"/>
  <c r="AG889" i="1"/>
  <c r="B829" i="44"/>
  <c r="AW869" i="1"/>
  <c r="AW868"/>
  <c r="AW860"/>
  <c r="AW857"/>
  <c r="AW856"/>
  <c r="AQ885"/>
  <c r="AQ869" s="1"/>
  <c r="W825" i="44" s="1"/>
  <c r="AQ884" i="1"/>
  <c r="AQ868" s="1"/>
  <c r="AQ876"/>
  <c r="AQ873"/>
  <c r="AQ857" s="1"/>
  <c r="AQ872"/>
  <c r="AQ856" s="1"/>
  <c r="R825" i="44" s="1"/>
  <c r="AL885" i="1"/>
  <c r="O827" i="44" s="1"/>
  <c r="AL884" i="1"/>
  <c r="AL876"/>
  <c r="AL877" s="1"/>
  <c r="L827" i="44" s="1"/>
  <c r="AL873" i="1"/>
  <c r="AL872"/>
  <c r="J827" i="44" s="1"/>
  <c r="AG885" i="1"/>
  <c r="AG869" s="1"/>
  <c r="G825" i="44" s="1"/>
  <c r="AG884" i="1"/>
  <c r="AG868" s="1"/>
  <c r="AG876"/>
  <c r="AG873"/>
  <c r="AG857" s="1"/>
  <c r="AG872"/>
  <c r="AG856" s="1"/>
  <c r="AL869"/>
  <c r="O825" i="44" s="1"/>
  <c r="AL868" i="1"/>
  <c r="AL860"/>
  <c r="AL861" s="1"/>
  <c r="L825" i="44" s="1"/>
  <c r="AL857" i="1"/>
  <c r="AL856"/>
  <c r="J825" i="44" s="1"/>
  <c r="S506"/>
  <c r="S469"/>
  <c r="M432"/>
  <c r="M397"/>
  <c r="M428"/>
  <c r="M393"/>
  <c r="M426"/>
  <c r="M391"/>
  <c r="M424"/>
  <c r="M389"/>
  <c r="M422"/>
  <c r="M387"/>
  <c r="M418"/>
  <c r="M383"/>
  <c r="I432"/>
  <c r="I397"/>
  <c r="I430"/>
  <c r="I395"/>
  <c r="I428"/>
  <c r="I393"/>
  <c r="I426"/>
  <c r="I391"/>
  <c r="I424"/>
  <c r="I389"/>
  <c r="I422"/>
  <c r="I387"/>
  <c r="I420"/>
  <c r="I385"/>
  <c r="I418"/>
  <c r="I383"/>
  <c r="E432"/>
  <c r="E428"/>
  <c r="E393"/>
  <c r="E426"/>
  <c r="E391"/>
  <c r="E424"/>
  <c r="E389"/>
  <c r="E422"/>
  <c r="E387"/>
  <c r="E418"/>
  <c r="E383"/>
  <c r="L432"/>
  <c r="L397"/>
  <c r="H432"/>
  <c r="H397"/>
  <c r="H430"/>
  <c r="H395"/>
  <c r="M361"/>
  <c r="M319"/>
  <c r="AG827" i="1"/>
  <c r="AG826"/>
  <c r="AG820"/>
  <c r="AG819"/>
  <c r="AG810"/>
  <c r="AG809"/>
  <c r="AG803"/>
  <c r="AG802"/>
  <c r="AG791"/>
  <c r="AG790"/>
  <c r="AG784"/>
  <c r="AG783"/>
  <c r="AG774"/>
  <c r="AG773"/>
  <c r="AG767"/>
  <c r="AG766"/>
  <c r="AG755"/>
  <c r="AG754"/>
  <c r="B1068" i="44" s="1"/>
  <c r="AG748" i="1"/>
  <c r="AG747"/>
  <c r="B1066" i="44" s="1"/>
  <c r="AG738" i="1"/>
  <c r="AG737"/>
  <c r="B1041" i="44" s="1"/>
  <c r="AG731" i="1"/>
  <c r="AG730"/>
  <c r="B1039" i="44" s="1"/>
  <c r="AG719" i="1"/>
  <c r="AG718"/>
  <c r="AG712"/>
  <c r="AG711"/>
  <c r="AG702"/>
  <c r="AG701"/>
  <c r="AG695"/>
  <c r="AG694"/>
  <c r="AG684"/>
  <c r="AG683"/>
  <c r="AG677"/>
  <c r="AG676"/>
  <c r="AG667"/>
  <c r="AG666"/>
  <c r="AG660"/>
  <c r="AG659"/>
  <c r="AG650"/>
  <c r="AG649"/>
  <c r="B1015" i="44" s="1"/>
  <c r="AG643" i="1"/>
  <c r="AG642"/>
  <c r="B1013" i="44" s="1"/>
  <c r="AG633" i="1"/>
  <c r="AG632"/>
  <c r="B988" i="44" s="1"/>
  <c r="AG626" i="1"/>
  <c r="AG625"/>
  <c r="B986" i="44" s="1"/>
  <c r="BA484" i="1"/>
  <c r="BA483"/>
  <c r="BA482"/>
  <c r="BA481"/>
  <c r="BA480"/>
  <c r="BA479"/>
  <c r="BA478"/>
  <c r="BA477"/>
  <c r="BA476"/>
  <c r="BA475"/>
  <c r="BA474"/>
  <c r="BA473"/>
  <c r="BA472"/>
  <c r="BA471"/>
  <c r="BA470"/>
  <c r="BA469"/>
  <c r="AR484"/>
  <c r="AR483"/>
  <c r="AR482"/>
  <c r="AR481"/>
  <c r="AR480"/>
  <c r="AR479"/>
  <c r="AR478"/>
  <c r="AR477"/>
  <c r="AR476"/>
  <c r="AR475"/>
  <c r="AR474"/>
  <c r="AR473"/>
  <c r="AR472"/>
  <c r="AR471"/>
  <c r="AR469"/>
  <c r="AR470"/>
  <c r="AI484"/>
  <c r="AI483"/>
  <c r="AI482"/>
  <c r="AI481"/>
  <c r="AI480"/>
  <c r="AI479"/>
  <c r="AI478"/>
  <c r="AI477"/>
  <c r="AI476"/>
  <c r="AI475"/>
  <c r="AI474"/>
  <c r="AI473"/>
  <c r="AI472"/>
  <c r="AI471"/>
  <c r="AI470"/>
  <c r="AI469"/>
  <c r="AW461"/>
  <c r="AW463" s="1"/>
  <c r="K802" i="44" s="1"/>
  <c r="AW460" i="1"/>
  <c r="AW462" s="1"/>
  <c r="K770" i="44" s="1"/>
  <c r="AW459" i="1"/>
  <c r="K800" i="44" s="1"/>
  <c r="AW458" i="1"/>
  <c r="K768" i="44" s="1"/>
  <c r="AW457" i="1"/>
  <c r="K798" i="44" s="1"/>
  <c r="AW456" i="1"/>
  <c r="K766" i="44" s="1"/>
  <c r="AW455" i="1"/>
  <c r="K796" i="44" s="1"/>
  <c r="AW454" i="1"/>
  <c r="K764" i="44" s="1"/>
  <c r="AW453" i="1"/>
  <c r="K794" i="44" s="1"/>
  <c r="AW452" i="1"/>
  <c r="K762" i="44" s="1"/>
  <c r="AW451" i="1"/>
  <c r="AW449" s="1"/>
  <c r="K792" i="44" s="1"/>
  <c r="AW450" i="1"/>
  <c r="AW448" s="1"/>
  <c r="K760" i="44" s="1"/>
  <c r="AL461" i="1"/>
  <c r="AL463" s="1"/>
  <c r="D802" i="44" s="1"/>
  <c r="AL460" i="1"/>
  <c r="AL462" s="1"/>
  <c r="D770" i="44" s="1"/>
  <c r="AL459" i="1"/>
  <c r="D800" i="44" s="1"/>
  <c r="AL458" i="1"/>
  <c r="D768" i="44" s="1"/>
  <c r="AL457" i="1"/>
  <c r="D798" i="44" s="1"/>
  <c r="AL456" i="1"/>
  <c r="D766" i="44" s="1"/>
  <c r="AL455" i="1"/>
  <c r="D796" i="44" s="1"/>
  <c r="AL454" i="1"/>
  <c r="D764" i="44" s="1"/>
  <c r="AL453" i="1"/>
  <c r="D794" i="44" s="1"/>
  <c r="AL452" i="1"/>
  <c r="D762" i="44" s="1"/>
  <c r="AL451" i="1"/>
  <c r="AL449" s="1"/>
  <c r="D792" i="44" s="1"/>
  <c r="AL450" i="1"/>
  <c r="AL448" s="1"/>
  <c r="D760" i="44" s="1"/>
  <c r="AT461" i="1"/>
  <c r="AT463" s="1"/>
  <c r="AT460"/>
  <c r="AT462" s="1"/>
  <c r="AT459"/>
  <c r="AT458"/>
  <c r="AT457"/>
  <c r="AT456"/>
  <c r="AT455"/>
  <c r="AT454"/>
  <c r="AT453"/>
  <c r="AT452"/>
  <c r="AT451"/>
  <c r="AT449" s="1"/>
  <c r="AT450"/>
  <c r="AT448" s="1"/>
  <c r="AI461"/>
  <c r="AI463" s="1"/>
  <c r="AI460"/>
  <c r="AI462" s="1"/>
  <c r="AI459"/>
  <c r="AI458"/>
  <c r="AI457"/>
  <c r="AI456"/>
  <c r="AI455"/>
  <c r="AI454"/>
  <c r="AI453"/>
  <c r="AI452"/>
  <c r="AI451"/>
  <c r="AI449" s="1"/>
  <c r="AI450"/>
  <c r="AI448" s="1"/>
  <c r="BE484"/>
  <c r="BE483"/>
  <c r="BE482"/>
  <c r="BE481"/>
  <c r="AM484"/>
  <c r="AM483"/>
  <c r="AM482"/>
  <c r="AM481"/>
  <c r="BE480"/>
  <c r="BE479"/>
  <c r="BE478"/>
  <c r="BE477"/>
  <c r="BE472"/>
  <c r="BE471"/>
  <c r="BE470"/>
  <c r="BE469"/>
  <c r="AM480"/>
  <c r="AM479"/>
  <c r="AM478"/>
  <c r="AM477"/>
  <c r="AM472"/>
  <c r="AM471"/>
  <c r="AM470"/>
  <c r="AM469"/>
  <c r="AW418"/>
  <c r="AW420" s="1"/>
  <c r="AW417"/>
  <c r="AW419" s="1"/>
  <c r="AN418"/>
  <c r="AN417"/>
  <c r="AW416"/>
  <c r="AW415"/>
  <c r="AW414"/>
  <c r="AW413"/>
  <c r="AW412"/>
  <c r="AW411"/>
  <c r="AW410"/>
  <c r="AW409"/>
  <c r="AW408"/>
  <c r="AW406" s="1"/>
  <c r="AW407"/>
  <c r="AW405" s="1"/>
  <c r="AN416"/>
  <c r="AN415"/>
  <c r="AN414"/>
  <c r="AN413"/>
  <c r="AN412"/>
  <c r="AN411"/>
  <c r="AN410"/>
  <c r="AN409"/>
  <c r="AN408"/>
  <c r="AN407"/>
  <c r="AN406"/>
  <c r="N347" i="44" s="1"/>
  <c r="AN405" i="1"/>
  <c r="N305" i="44" s="1"/>
  <c r="AE418" i="1"/>
  <c r="AE420" s="1"/>
  <c r="AE417"/>
  <c r="AE419" s="1"/>
  <c r="AE416"/>
  <c r="AE415"/>
  <c r="AE414"/>
  <c r="AE413"/>
  <c r="AE412"/>
  <c r="AE411"/>
  <c r="AE410"/>
  <c r="AE409"/>
  <c r="AE408"/>
  <c r="AE406" s="1"/>
  <c r="AE407"/>
  <c r="AE405" s="1"/>
  <c r="AX461"/>
  <c r="AX463" s="1"/>
  <c r="L802" i="44" s="1"/>
  <c r="AX460" i="1"/>
  <c r="AX462" s="1"/>
  <c r="L770" i="44" s="1"/>
  <c r="AM461" i="1"/>
  <c r="AM463" s="1"/>
  <c r="E802" i="44" s="1"/>
  <c r="AM460" i="1"/>
  <c r="AM462" s="1"/>
  <c r="E770" i="44" s="1"/>
  <c r="AX459" i="1"/>
  <c r="L800" i="44" s="1"/>
  <c r="AX458" i="1"/>
  <c r="L768" i="44" s="1"/>
  <c r="AX457" i="1"/>
  <c r="L798" i="44" s="1"/>
  <c r="AX456" i="1"/>
  <c r="L766" i="44" s="1"/>
  <c r="L796"/>
  <c r="AX454" i="1"/>
  <c r="L764" i="44" s="1"/>
  <c r="AX453" i="1"/>
  <c r="L794" i="44" s="1"/>
  <c r="AX452" i="1"/>
  <c r="L762" i="44" s="1"/>
  <c r="AX451" i="1"/>
  <c r="AX449" s="1"/>
  <c r="L792" i="44" s="1"/>
  <c r="AX450" i="1"/>
  <c r="AX448" s="1"/>
  <c r="L760" i="44" s="1"/>
  <c r="AM459" i="1"/>
  <c r="E800" i="44" s="1"/>
  <c r="AM458" i="1"/>
  <c r="E768" i="44" s="1"/>
  <c r="AM457" i="1"/>
  <c r="E798" i="44" s="1"/>
  <c r="AM456" i="1"/>
  <c r="E766" i="44" s="1"/>
  <c r="E796"/>
  <c r="AM454" i="1"/>
  <c r="E764" i="44" s="1"/>
  <c r="AM453" i="1"/>
  <c r="E794" i="44" s="1"/>
  <c r="AM452" i="1"/>
  <c r="E762" i="44" s="1"/>
  <c r="AM451" i="1"/>
  <c r="AM449" s="1"/>
  <c r="E792" i="44" s="1"/>
  <c r="AM450" i="1"/>
  <c r="AM448" s="1"/>
  <c r="E760" i="44" s="1"/>
  <c r="BC146" i="1"/>
  <c r="BC145"/>
  <c r="BC144"/>
  <c r="BC138"/>
  <c r="BC137"/>
  <c r="BC136"/>
  <c r="BC131"/>
  <c r="BC130"/>
  <c r="BC129"/>
  <c r="AN146"/>
  <c r="AN145"/>
  <c r="AN144"/>
  <c r="AN138"/>
  <c r="AN137"/>
  <c r="AN136"/>
  <c r="AN131"/>
  <c r="AN130"/>
  <c r="AN129"/>
  <c r="BL124"/>
  <c r="BL123"/>
  <c r="BL122"/>
  <c r="BL118"/>
  <c r="BL117"/>
  <c r="BL116"/>
  <c r="AS124"/>
  <c r="AS123"/>
  <c r="AS122"/>
  <c r="AS118"/>
  <c r="AS117"/>
  <c r="AS116"/>
  <c r="BB86"/>
  <c r="BB82"/>
  <c r="BB78"/>
  <c r="BB74"/>
  <c r="BB70"/>
  <c r="AM86"/>
  <c r="AM82"/>
  <c r="AM78"/>
  <c r="AM74"/>
  <c r="AM70"/>
  <c r="G792" i="44" l="1"/>
  <c r="E797"/>
  <c r="L797"/>
  <c r="K797"/>
  <c r="D797"/>
  <c r="E765"/>
  <c r="L765"/>
  <c r="K765"/>
  <c r="D765"/>
  <c r="J397"/>
  <c r="J395"/>
  <c r="N397"/>
  <c r="AG990" i="1"/>
  <c r="C865" i="44" s="1"/>
  <c r="U469"/>
  <c r="F305"/>
  <c r="E305"/>
  <c r="F347"/>
  <c r="E347"/>
  <c r="F309"/>
  <c r="E309"/>
  <c r="F351"/>
  <c r="E351"/>
  <c r="F311"/>
  <c r="E311"/>
  <c r="E353"/>
  <c r="F353"/>
  <c r="F313"/>
  <c r="E313"/>
  <c r="F355"/>
  <c r="E355"/>
  <c r="F315"/>
  <c r="E315"/>
  <c r="E357"/>
  <c r="F357"/>
  <c r="E319"/>
  <c r="F319"/>
  <c r="E361"/>
  <c r="F361"/>
  <c r="L305"/>
  <c r="M305"/>
  <c r="M347"/>
  <c r="L347"/>
  <c r="L307"/>
  <c r="M307"/>
  <c r="M349"/>
  <c r="L349"/>
  <c r="L309"/>
  <c r="M309"/>
  <c r="L351"/>
  <c r="M351"/>
  <c r="M311"/>
  <c r="L311"/>
  <c r="M353"/>
  <c r="L353"/>
  <c r="M313"/>
  <c r="L313"/>
  <c r="M355"/>
  <c r="L355"/>
  <c r="M315"/>
  <c r="L315"/>
  <c r="M357"/>
  <c r="L357"/>
  <c r="T305"/>
  <c r="S305"/>
  <c r="T347"/>
  <c r="S347"/>
  <c r="T309"/>
  <c r="S309"/>
  <c r="T351"/>
  <c r="S351"/>
  <c r="S311"/>
  <c r="T311"/>
  <c r="T353"/>
  <c r="S353"/>
  <c r="T313"/>
  <c r="S313"/>
  <c r="T355"/>
  <c r="S355"/>
  <c r="T315"/>
  <c r="S315"/>
  <c r="S357"/>
  <c r="T357"/>
  <c r="M317"/>
  <c r="L317"/>
  <c r="M359"/>
  <c r="L359"/>
  <c r="S319"/>
  <c r="T319"/>
  <c r="T361"/>
  <c r="S361"/>
  <c r="B305"/>
  <c r="G305"/>
  <c r="C305"/>
  <c r="D305" s="1"/>
  <c r="B347"/>
  <c r="C347"/>
  <c r="D347" s="1"/>
  <c r="G347"/>
  <c r="B309"/>
  <c r="C309"/>
  <c r="D309" s="1"/>
  <c r="G309"/>
  <c r="B351"/>
  <c r="G351"/>
  <c r="C351"/>
  <c r="D351" s="1"/>
  <c r="B311"/>
  <c r="G311"/>
  <c r="C311"/>
  <c r="D311" s="1"/>
  <c r="C353"/>
  <c r="D353" s="1"/>
  <c r="G353"/>
  <c r="B353"/>
  <c r="B313"/>
  <c r="G313"/>
  <c r="C313"/>
  <c r="D313" s="1"/>
  <c r="B355"/>
  <c r="G355"/>
  <c r="C355"/>
  <c r="D355" s="1"/>
  <c r="B315"/>
  <c r="G315"/>
  <c r="C315"/>
  <c r="D315" s="1"/>
  <c r="C357"/>
  <c r="D357" s="1"/>
  <c r="B357"/>
  <c r="G357"/>
  <c r="C319"/>
  <c r="D319" s="1"/>
  <c r="B319"/>
  <c r="G319"/>
  <c r="B361"/>
  <c r="G361"/>
  <c r="C361"/>
  <c r="D361" s="1"/>
  <c r="P305"/>
  <c r="U305"/>
  <c r="Q305"/>
  <c r="R305" s="1"/>
  <c r="P347"/>
  <c r="U347"/>
  <c r="Q347"/>
  <c r="R347" s="1"/>
  <c r="P309"/>
  <c r="U309"/>
  <c r="Q309"/>
  <c r="R309" s="1"/>
  <c r="P351"/>
  <c r="Q351"/>
  <c r="R351" s="1"/>
  <c r="U351"/>
  <c r="U311"/>
  <c r="P311"/>
  <c r="Q311"/>
  <c r="R311" s="1"/>
  <c r="P353"/>
  <c r="U353"/>
  <c r="Q353"/>
  <c r="R353" s="1"/>
  <c r="P313"/>
  <c r="Q313"/>
  <c r="R313" s="1"/>
  <c r="U313"/>
  <c r="P355"/>
  <c r="U355"/>
  <c r="Q355"/>
  <c r="R355" s="1"/>
  <c r="P315"/>
  <c r="U315"/>
  <c r="Q315"/>
  <c r="R315" s="1"/>
  <c r="Q357"/>
  <c r="R357" s="1"/>
  <c r="P357"/>
  <c r="U357"/>
  <c r="Q319"/>
  <c r="R319" s="1"/>
  <c r="P319"/>
  <c r="U319"/>
  <c r="P361"/>
  <c r="U361"/>
  <c r="Q361"/>
  <c r="R361" s="1"/>
  <c r="J307"/>
  <c r="K307" s="1"/>
  <c r="I307"/>
  <c r="N307"/>
  <c r="I349"/>
  <c r="N349"/>
  <c r="J349"/>
  <c r="K349" s="1"/>
  <c r="I309"/>
  <c r="N309"/>
  <c r="J309"/>
  <c r="K309" s="1"/>
  <c r="J351"/>
  <c r="K351" s="1"/>
  <c r="N351"/>
  <c r="I351"/>
  <c r="I311"/>
  <c r="J311"/>
  <c r="K311" s="1"/>
  <c r="N311"/>
  <c r="I353"/>
  <c r="J353"/>
  <c r="K353" s="1"/>
  <c r="N353"/>
  <c r="J313"/>
  <c r="K313" s="1"/>
  <c r="N313"/>
  <c r="I313"/>
  <c r="I355"/>
  <c r="N355"/>
  <c r="J355"/>
  <c r="K355" s="1"/>
  <c r="I315"/>
  <c r="N315"/>
  <c r="J315"/>
  <c r="K315" s="1"/>
  <c r="I357"/>
  <c r="N357"/>
  <c r="J357"/>
  <c r="K357" s="1"/>
  <c r="I317"/>
  <c r="N317"/>
  <c r="J317"/>
  <c r="K317" s="1"/>
  <c r="I359"/>
  <c r="J359"/>
  <c r="K359" s="1"/>
  <c r="N359"/>
  <c r="I319"/>
  <c r="J319"/>
  <c r="K319" s="1"/>
  <c r="N319"/>
  <c r="I361"/>
  <c r="N361"/>
  <c r="J361"/>
  <c r="K361" s="1"/>
  <c r="U506"/>
  <c r="P827"/>
  <c r="P829"/>
  <c r="H831"/>
  <c r="X831"/>
  <c r="AG970" i="1"/>
  <c r="C839" i="44" s="1"/>
  <c r="H825"/>
  <c r="X825"/>
  <c r="H829"/>
  <c r="X829"/>
  <c r="P831"/>
  <c r="AQ870" i="1"/>
  <c r="AQ1102"/>
  <c r="S879" i="44" s="1"/>
  <c r="R879"/>
  <c r="AG1114" i="1"/>
  <c r="B879" i="44"/>
  <c r="AQ1002" i="1"/>
  <c r="R865" i="44"/>
  <c r="AG1002" i="1"/>
  <c r="B865" i="44"/>
  <c r="D986"/>
  <c r="E986" s="1"/>
  <c r="D988"/>
  <c r="E988" s="1"/>
  <c r="D1013"/>
  <c r="E1013" s="1"/>
  <c r="D1015"/>
  <c r="E1015" s="1"/>
  <c r="D1039"/>
  <c r="E1039" s="1"/>
  <c r="D1041"/>
  <c r="E1041" s="1"/>
  <c r="D1066"/>
  <c r="E1066" s="1"/>
  <c r="D1068"/>
  <c r="E1068" s="1"/>
  <c r="P837"/>
  <c r="P825"/>
  <c r="AW870" i="1"/>
  <c r="M825" i="44"/>
  <c r="N825"/>
  <c r="B825"/>
  <c r="N827"/>
  <c r="M827"/>
  <c r="V825"/>
  <c r="U825"/>
  <c r="F829"/>
  <c r="E829"/>
  <c r="M829"/>
  <c r="N829"/>
  <c r="V829"/>
  <c r="U829"/>
  <c r="E831"/>
  <c r="F831"/>
  <c r="N831"/>
  <c r="M831"/>
  <c r="U831"/>
  <c r="V831"/>
  <c r="AQ970" i="1"/>
  <c r="S839" i="44" s="1"/>
  <c r="R839"/>
  <c r="AG982" i="1"/>
  <c r="B839" i="44"/>
  <c r="J432"/>
  <c r="N432"/>
  <c r="AQ1114" i="1"/>
  <c r="AQ902"/>
  <c r="AQ990"/>
  <c r="S865" i="44" s="1"/>
  <c r="AG1102" i="1"/>
  <c r="C879" i="44" s="1"/>
  <c r="AL902" i="1"/>
  <c r="AQ918"/>
  <c r="AQ982"/>
  <c r="AG902"/>
  <c r="AL918"/>
  <c r="AG918"/>
  <c r="J430" i="44"/>
  <c r="R455"/>
  <c r="R492"/>
  <c r="R459"/>
  <c r="R496"/>
  <c r="R461"/>
  <c r="R498"/>
  <c r="R463"/>
  <c r="R500"/>
  <c r="R465"/>
  <c r="R502"/>
  <c r="T469"/>
  <c r="R469"/>
  <c r="R506"/>
  <c r="T506"/>
  <c r="F770"/>
  <c r="C770"/>
  <c r="B770"/>
  <c r="F802"/>
  <c r="C802"/>
  <c r="B802"/>
  <c r="I770"/>
  <c r="J770"/>
  <c r="M770"/>
  <c r="I802"/>
  <c r="J802"/>
  <c r="M802"/>
  <c r="F825"/>
  <c r="E825"/>
  <c r="AG877" i="1"/>
  <c r="AG860"/>
  <c r="AG861" s="1"/>
  <c r="D825" i="44" s="1"/>
  <c r="AQ877" i="1"/>
  <c r="AQ860"/>
  <c r="AQ861" s="1"/>
  <c r="T825" i="44" s="1"/>
  <c r="BL119" i="1"/>
  <c r="AS125"/>
  <c r="AS119"/>
  <c r="BL125"/>
  <c r="AL886"/>
  <c r="AG886"/>
  <c r="AL870"/>
  <c r="AQ886"/>
  <c r="AW858"/>
  <c r="AW861"/>
  <c r="AQ906"/>
  <c r="S831" i="44" s="1"/>
  <c r="AL906" i="1"/>
  <c r="K831" i="44" s="1"/>
  <c r="AG906" i="1"/>
  <c r="C831" i="44" s="1"/>
  <c r="AQ890" i="1"/>
  <c r="S829" i="44" s="1"/>
  <c r="AL890" i="1"/>
  <c r="K829" i="44" s="1"/>
  <c r="AG890" i="1"/>
  <c r="C829" i="44" s="1"/>
  <c r="AQ874" i="1"/>
  <c r="AL874"/>
  <c r="K827" i="44" s="1"/>
  <c r="AG874" i="1"/>
  <c r="AQ858"/>
  <c r="S825" i="44" s="1"/>
  <c r="AL858" i="1"/>
  <c r="K825" i="44" s="1"/>
  <c r="BE58" i="1"/>
  <c r="BD58"/>
  <c r="BB58"/>
  <c r="BA58"/>
  <c r="AZ58"/>
  <c r="AY58"/>
  <c r="AX58"/>
  <c r="AW58"/>
  <c r="AV58"/>
  <c r="AU58"/>
  <c r="BE57"/>
  <c r="BD57"/>
  <c r="BB57"/>
  <c r="BA57"/>
  <c r="AZ57"/>
  <c r="AY57"/>
  <c r="AX57"/>
  <c r="AW57"/>
  <c r="AV57"/>
  <c r="AU57"/>
  <c r="AO58"/>
  <c r="AN58"/>
  <c r="AL58"/>
  <c r="AK58"/>
  <c r="AJ58"/>
  <c r="AI58"/>
  <c r="AH58"/>
  <c r="AG58"/>
  <c r="AO57"/>
  <c r="AN57"/>
  <c r="AL57"/>
  <c r="AK57"/>
  <c r="AJ57"/>
  <c r="AI57"/>
  <c r="AH57"/>
  <c r="AG57"/>
  <c r="AF58"/>
  <c r="AF57"/>
  <c r="BL21" l="1"/>
  <c r="BL25"/>
  <c r="BE46"/>
  <c r="BE40"/>
  <c r="BE34"/>
  <c r="BD46"/>
  <c r="BD40"/>
  <c r="BD34"/>
  <c r="AP46"/>
  <c r="AP40"/>
  <c r="AP34"/>
  <c r="BC6"/>
  <c r="AN6"/>
  <c r="BI23" l="1"/>
  <c r="BB6"/>
  <c r="AM6"/>
  <c r="AS21" l="1"/>
  <c r="BI21"/>
  <c r="AS25"/>
  <c r="BI25"/>
  <c r="AO40"/>
  <c r="AO34"/>
  <c r="AO46"/>
  <c r="BC364" l="1"/>
  <c r="BB364"/>
  <c r="BA364"/>
  <c r="AN364"/>
  <c r="AM364"/>
  <c r="AL364"/>
  <c r="BB398"/>
  <c r="BA398"/>
  <c r="AZ398"/>
  <c r="AY398"/>
  <c r="AW398"/>
  <c r="AV398"/>
  <c r="AU398"/>
  <c r="AT398"/>
  <c r="BD393"/>
  <c r="BC393"/>
  <c r="BB393"/>
  <c r="BA393"/>
  <c r="AZ393"/>
  <c r="AX393"/>
  <c r="AW393"/>
  <c r="AV393"/>
  <c r="AU393"/>
  <c r="AT393"/>
  <c r="AU387"/>
  <c r="AU381"/>
  <c r="BB375"/>
  <c r="BA375"/>
  <c r="AZ375"/>
  <c r="AY375"/>
  <c r="AW375"/>
  <c r="AV375"/>
  <c r="AU375"/>
  <c r="AT375"/>
  <c r="AZ369"/>
  <c r="AY369"/>
  <c r="AV369"/>
  <c r="AU369"/>
  <c r="AX364"/>
  <c r="AW364"/>
  <c r="AX369" s="1"/>
  <c r="AU364"/>
  <c r="AT364"/>
  <c r="AT369" s="1"/>
  <c r="AM398"/>
  <c r="AL398"/>
  <c r="AK398"/>
  <c r="AJ398"/>
  <c r="AH398"/>
  <c r="AG398"/>
  <c r="AF398"/>
  <c r="AE398"/>
  <c r="AO393"/>
  <c r="AN393"/>
  <c r="AM393"/>
  <c r="AL393"/>
  <c r="AK393"/>
  <c r="AI393"/>
  <c r="AH393"/>
  <c r="AG393"/>
  <c r="AF393"/>
  <c r="AE393"/>
  <c r="AF387"/>
  <c r="AF381"/>
  <c r="AL375"/>
  <c r="AK375"/>
  <c r="AJ375"/>
  <c r="AH375"/>
  <c r="AG375"/>
  <c r="AF375"/>
  <c r="AE375"/>
  <c r="AK369"/>
  <c r="AJ369"/>
  <c r="AM375" s="1"/>
  <c r="AG369"/>
  <c r="AF369"/>
  <c r="AI364"/>
  <c r="AH364"/>
  <c r="AI369" s="1"/>
  <c r="AF364"/>
  <c r="AE364"/>
  <c r="AE369" s="1"/>
  <c r="BB358"/>
  <c r="BA358"/>
  <c r="AZ358"/>
  <c r="AY358"/>
  <c r="AW358"/>
  <c r="AV358"/>
  <c r="AU358"/>
  <c r="AT358"/>
  <c r="BD353"/>
  <c r="BC353"/>
  <c r="BB353"/>
  <c r="BA353"/>
  <c r="AZ353"/>
  <c r="AX353"/>
  <c r="AW353"/>
  <c r="AV353"/>
  <c r="AU353"/>
  <c r="AT353"/>
  <c r="AY335"/>
  <c r="AZ335"/>
  <c r="BA335"/>
  <c r="BB335"/>
  <c r="AW335"/>
  <c r="AV335"/>
  <c r="AU335"/>
  <c r="AT335"/>
  <c r="AZ329"/>
  <c r="AY329"/>
  <c r="AX324"/>
  <c r="AW324"/>
  <c r="AX329" s="1"/>
  <c r="AV329"/>
  <c r="AU329"/>
  <c r="AU324"/>
  <c r="AT324"/>
  <c r="AM358"/>
  <c r="AL358"/>
  <c r="AK358"/>
  <c r="AJ358"/>
  <c r="AO353"/>
  <c r="AN353"/>
  <c r="AM353"/>
  <c r="AL353"/>
  <c r="AK353"/>
  <c r="AH358"/>
  <c r="AG358"/>
  <c r="AF358"/>
  <c r="AE358"/>
  <c r="AI353"/>
  <c r="AH353"/>
  <c r="AG353"/>
  <c r="AF353"/>
  <c r="AE353"/>
  <c r="AL335"/>
  <c r="AK335"/>
  <c r="AJ335"/>
  <c r="AK329"/>
  <c r="AJ329"/>
  <c r="AM335" s="1"/>
  <c r="AL6"/>
  <c r="AI324"/>
  <c r="AH324"/>
  <c r="AI329" s="1"/>
  <c r="AE324" l="1"/>
  <c r="AE329" s="1"/>
  <c r="AF324"/>
  <c r="AH335"/>
  <c r="AG335"/>
  <c r="AF335"/>
  <c r="AE335"/>
  <c r="AG329"/>
  <c r="AF329"/>
  <c r="AT329"/>
  <c r="AW318"/>
  <c r="AV318"/>
  <c r="AU318"/>
  <c r="AT318"/>
  <c r="AX313"/>
  <c r="AW313"/>
  <c r="AV313"/>
  <c r="AU313"/>
  <c r="AT313"/>
  <c r="AW295"/>
  <c r="AV295"/>
  <c r="AU295"/>
  <c r="AT295"/>
  <c r="AV289"/>
  <c r="AU289"/>
  <c r="AU284"/>
  <c r="AT284"/>
  <c r="AT289" s="1"/>
  <c r="AH318" l="1"/>
  <c r="AG318"/>
  <c r="AF318"/>
  <c r="AE318"/>
  <c r="AI313"/>
  <c r="AH313"/>
  <c r="AG313"/>
  <c r="AF313"/>
  <c r="AE313"/>
  <c r="AH295"/>
  <c r="AG295"/>
  <c r="AF295"/>
  <c r="AE295"/>
  <c r="AG289"/>
  <c r="AF289"/>
  <c r="AF284"/>
  <c r="AE284" l="1"/>
  <c r="AE289" s="1"/>
  <c r="AQ827"/>
  <c r="AQ826"/>
  <c r="AQ820"/>
  <c r="AQ819"/>
  <c r="AL827"/>
  <c r="AL826"/>
  <c r="AL820"/>
  <c r="AL819"/>
  <c r="AQ810"/>
  <c r="AQ809"/>
  <c r="AL810"/>
  <c r="AL809"/>
  <c r="AQ803"/>
  <c r="AQ802"/>
  <c r="AL803"/>
  <c r="AL802"/>
  <c r="AG800"/>
  <c r="AQ791"/>
  <c r="AQ790"/>
  <c r="AQ784"/>
  <c r="AQ783"/>
  <c r="AL791"/>
  <c r="AL790"/>
  <c r="AL784"/>
  <c r="AL783"/>
  <c r="AQ774"/>
  <c r="AQ773"/>
  <c r="AL774"/>
  <c r="AL773"/>
  <c r="AQ767"/>
  <c r="AQ766"/>
  <c r="AL767"/>
  <c r="AL766"/>
  <c r="AG764"/>
  <c r="AG817"/>
  <c r="AG781"/>
  <c r="AQ719"/>
  <c r="AQ718"/>
  <c r="AQ712"/>
  <c r="AQ711"/>
  <c r="AL719"/>
  <c r="AL718"/>
  <c r="AL712"/>
  <c r="AL711"/>
  <c r="AG709"/>
  <c r="AQ702"/>
  <c r="AQ701"/>
  <c r="AQ695"/>
  <c r="AQ694"/>
  <c r="AL702"/>
  <c r="AL701"/>
  <c r="AL695"/>
  <c r="AL694"/>
  <c r="AG692"/>
  <c r="AQ684"/>
  <c r="AQ683"/>
  <c r="AL684"/>
  <c r="AL683"/>
  <c r="AL677"/>
  <c r="AL676"/>
  <c r="AG674"/>
  <c r="AL667"/>
  <c r="AL666"/>
  <c r="AG657"/>
  <c r="AQ677"/>
  <c r="AQ676"/>
  <c r="AQ667"/>
  <c r="AQ666"/>
  <c r="AQ660"/>
  <c r="AL660"/>
  <c r="AQ659"/>
  <c r="AL659"/>
  <c r="BE146"/>
  <c r="BE145"/>
  <c r="BE144"/>
  <c r="AP146"/>
  <c r="AP145"/>
  <c r="AP144"/>
  <c r="BE138"/>
  <c r="BE137"/>
  <c r="BE136"/>
  <c r="AP138"/>
  <c r="AP137"/>
  <c r="AP136"/>
  <c r="BE131"/>
  <c r="BE130"/>
  <c r="BE129"/>
  <c r="AP131"/>
  <c r="AP130"/>
  <c r="AP129"/>
  <c r="BK118"/>
  <c r="BK117"/>
  <c r="BK116"/>
  <c r="BM118"/>
  <c r="BM117"/>
  <c r="BM116"/>
  <c r="BN118"/>
  <c r="BN117"/>
  <c r="BN116"/>
  <c r="AR118"/>
  <c r="AR117"/>
  <c r="AR116"/>
  <c r="AT118"/>
  <c r="AT117"/>
  <c r="AT116"/>
  <c r="BD86"/>
  <c r="BD82"/>
  <c r="BD78"/>
  <c r="BD74"/>
  <c r="BD70"/>
  <c r="AO86"/>
  <c r="AO82"/>
  <c r="AO78"/>
  <c r="AO74"/>
  <c r="AO70"/>
  <c r="BE60"/>
  <c r="BD60"/>
  <c r="BB60"/>
  <c r="BA60"/>
  <c r="AZ60"/>
  <c r="AY60"/>
  <c r="AX60"/>
  <c r="AW60"/>
  <c r="AV60"/>
  <c r="AU60"/>
  <c r="AO60"/>
  <c r="AN60"/>
  <c r="AL60"/>
  <c r="BN119" l="1"/>
  <c r="AT119"/>
  <c r="AR119"/>
  <c r="BK119"/>
  <c r="BM119"/>
  <c r="AL661"/>
  <c r="AQ828"/>
  <c r="AQ821"/>
  <c r="AL828"/>
  <c r="AL821"/>
  <c r="AG828"/>
  <c r="AG821"/>
  <c r="AQ811"/>
  <c r="AL811"/>
  <c r="AG811"/>
  <c r="AQ804"/>
  <c r="AL804"/>
  <c r="AG804"/>
  <c r="AQ792"/>
  <c r="AQ785"/>
  <c r="AL792"/>
  <c r="AL785"/>
  <c r="AG792"/>
  <c r="AG785"/>
  <c r="AQ775"/>
  <c r="AL775"/>
  <c r="AG775"/>
  <c r="AQ768"/>
  <c r="AL768"/>
  <c r="AG768"/>
  <c r="AQ668"/>
  <c r="AQ678"/>
  <c r="AQ661"/>
  <c r="AQ720"/>
  <c r="AQ713"/>
  <c r="AL720"/>
  <c r="AL713"/>
  <c r="AG720"/>
  <c r="AG713"/>
  <c r="AQ703"/>
  <c r="AQ696"/>
  <c r="AL703"/>
  <c r="AL696"/>
  <c r="AG703"/>
  <c r="AG696"/>
  <c r="AQ685"/>
  <c r="AL685"/>
  <c r="AL678"/>
  <c r="AG685"/>
  <c r="AG678"/>
  <c r="AL668"/>
  <c r="AG668"/>
  <c r="AG661"/>
  <c r="AK60"/>
  <c r="AJ60"/>
  <c r="AI60"/>
  <c r="AH60"/>
  <c r="AG60"/>
  <c r="AF60"/>
  <c r="AO6"/>
  <c r="BD6"/>
  <c r="BN124"/>
  <c r="BN123"/>
  <c r="BN122"/>
  <c r="AU124"/>
  <c r="AU123"/>
  <c r="AU122"/>
  <c r="AU118"/>
  <c r="AU117"/>
  <c r="AU116"/>
  <c r="AR124"/>
  <c r="AR123"/>
  <c r="AR122"/>
  <c r="BK124"/>
  <c r="BK123"/>
  <c r="BK122"/>
  <c r="BJ124"/>
  <c r="BJ123"/>
  <c r="BJ122"/>
  <c r="BM124"/>
  <c r="BM123"/>
  <c r="BM122"/>
  <c r="BG124"/>
  <c r="BG123"/>
  <c r="BG122"/>
  <c r="BF124"/>
  <c r="BF123"/>
  <c r="BF122"/>
  <c r="BE124"/>
  <c r="BE123"/>
  <c r="BE122"/>
  <c r="AQ124"/>
  <c r="AQ123"/>
  <c r="AQ122"/>
  <c r="AT124"/>
  <c r="AT123"/>
  <c r="AT122"/>
  <c r="AN124"/>
  <c r="AN123"/>
  <c r="AN122"/>
  <c r="AM124"/>
  <c r="AM123"/>
  <c r="AM122"/>
  <c r="AL124"/>
  <c r="AL123"/>
  <c r="AL122"/>
  <c r="K351" i="2" l="1"/>
  <c r="AU21" i="1"/>
  <c r="AR21"/>
  <c r="BK21"/>
  <c r="BN21"/>
  <c r="K350" i="2"/>
  <c r="AN125" i="1"/>
  <c r="BJ125"/>
  <c r="AU119"/>
  <c r="AT125"/>
  <c r="BN25"/>
  <c r="BF27" s="1"/>
  <c r="K349" i="2"/>
  <c r="AQ125" i="1"/>
  <c r="AR125"/>
  <c r="AR25"/>
  <c r="BK25"/>
  <c r="BF125"/>
  <c r="BN125"/>
  <c r="AO123"/>
  <c r="AP123" s="1"/>
  <c r="AK123"/>
  <c r="BC125"/>
  <c r="BD125" s="1"/>
  <c r="BD122"/>
  <c r="BH122"/>
  <c r="BI122" s="1"/>
  <c r="AL125"/>
  <c r="BH123"/>
  <c r="BI123" s="1"/>
  <c r="BD123"/>
  <c r="BG125"/>
  <c r="BD124"/>
  <c r="BH124"/>
  <c r="BI124" s="1"/>
  <c r="BK125"/>
  <c r="AK122"/>
  <c r="AJ125"/>
  <c r="AO122"/>
  <c r="AP122" s="1"/>
  <c r="BE125"/>
  <c r="AU25"/>
  <c r="AN27" s="1"/>
  <c r="AU125"/>
  <c r="AK124"/>
  <c r="AO124"/>
  <c r="AP124" s="1"/>
  <c r="AM125"/>
  <c r="BM125"/>
  <c r="AQ40"/>
  <c r="AQ46"/>
  <c r="BF34"/>
  <c r="BC46"/>
  <c r="AN40"/>
  <c r="BF40"/>
  <c r="BC34"/>
  <c r="AN46"/>
  <c r="AQ34"/>
  <c r="BF46"/>
  <c r="BC40"/>
  <c r="AN34"/>
  <c r="W349" i="2"/>
  <c r="W350"/>
  <c r="W351"/>
  <c r="BH125" i="1" l="1"/>
  <c r="BI125" s="1"/>
  <c r="AK125"/>
  <c r="AO125"/>
  <c r="AP125" s="1"/>
  <c r="AE415" i="2"/>
  <c r="U400" l="1"/>
  <c r="AG870" i="1" l="1"/>
  <c r="AG858"/>
  <c r="C825" i="44" s="1"/>
  <c r="AS733" i="1" l="1"/>
  <c r="AS732"/>
  <c r="AS731"/>
  <c r="AS730"/>
  <c r="AQ118" l="1"/>
  <c r="AN118"/>
  <c r="AM118"/>
  <c r="AL118"/>
  <c r="AQ117"/>
  <c r="AN117"/>
  <c r="AM117"/>
  <c r="AL117"/>
  <c r="AQ116"/>
  <c r="AN116"/>
  <c r="AM116"/>
  <c r="AL116"/>
  <c r="AQ119" l="1"/>
  <c r="AM119"/>
  <c r="AN119"/>
  <c r="AL119"/>
  <c r="AO118"/>
  <c r="AP118" s="1"/>
  <c r="AK118"/>
  <c r="AO116"/>
  <c r="AP116" s="1"/>
  <c r="AJ119"/>
  <c r="AK116"/>
  <c r="AK117"/>
  <c r="AO117"/>
  <c r="AP117" s="1"/>
  <c r="AO119" l="1"/>
  <c r="AP119" s="1"/>
  <c r="AK119"/>
  <c r="L428" i="44" l="1"/>
  <c r="N428" s="1"/>
  <c r="L393"/>
  <c r="N393" s="1"/>
  <c r="L426"/>
  <c r="N426" s="1"/>
  <c r="L391"/>
  <c r="N391" s="1"/>
  <c r="L424"/>
  <c r="N424" s="1"/>
  <c r="L389"/>
  <c r="N389" s="1"/>
  <c r="L422"/>
  <c r="N422" s="1"/>
  <c r="L387"/>
  <c r="N387" s="1"/>
  <c r="L418"/>
  <c r="N418" s="1"/>
  <c r="L383"/>
  <c r="N383" s="1"/>
  <c r="H428"/>
  <c r="J428" s="1"/>
  <c r="H393"/>
  <c r="J393" s="1"/>
  <c r="H426"/>
  <c r="J426" s="1"/>
  <c r="H391"/>
  <c r="J391" s="1"/>
  <c r="H424"/>
  <c r="J424" s="1"/>
  <c r="H389"/>
  <c r="J389" s="1"/>
  <c r="H422"/>
  <c r="J422" s="1"/>
  <c r="H387"/>
  <c r="J387" s="1"/>
  <c r="H420"/>
  <c r="J420" s="1"/>
  <c r="H385"/>
  <c r="J385" s="1"/>
  <c r="H418"/>
  <c r="J418" s="1"/>
  <c r="H383"/>
  <c r="J383" s="1"/>
  <c r="D428"/>
  <c r="F428" s="1"/>
  <c r="D393"/>
  <c r="F393" s="1"/>
  <c r="D426"/>
  <c r="F426" s="1"/>
  <c r="D391"/>
  <c r="F391" s="1"/>
  <c r="D424"/>
  <c r="F424" s="1"/>
  <c r="D389"/>
  <c r="F389" s="1"/>
  <c r="D422"/>
  <c r="F422" s="1"/>
  <c r="D387"/>
  <c r="F387" s="1"/>
  <c r="D418"/>
  <c r="D383"/>
  <c r="F383" s="1"/>
  <c r="D379" l="1"/>
  <c r="F418"/>
  <c r="AH6" i="1"/>
  <c r="V7" i="2" l="1"/>
  <c r="V6"/>
  <c r="AZ563" i="1"/>
  <c r="AY563"/>
  <c r="AX563"/>
  <c r="AW563"/>
  <c r="AV563"/>
  <c r="AI563"/>
  <c r="AH563"/>
  <c r="AG563"/>
  <c r="AF563"/>
  <c r="AE563"/>
  <c r="F48" i="44" l="1"/>
  <c r="T48"/>
  <c r="O48"/>
  <c r="J48"/>
  <c r="E48"/>
  <c r="G48"/>
  <c r="N48"/>
  <c r="I48"/>
  <c r="R48"/>
  <c r="M48"/>
  <c r="D48"/>
  <c r="Q48"/>
  <c r="H48"/>
  <c r="U48"/>
  <c r="L48"/>
  <c r="S48"/>
  <c r="P48"/>
  <c r="K48"/>
  <c r="D47"/>
  <c r="H47"/>
  <c r="L47"/>
  <c r="P47"/>
  <c r="T47"/>
  <c r="F47"/>
  <c r="J47"/>
  <c r="N47"/>
  <c r="R47"/>
  <c r="G47"/>
  <c r="K47"/>
  <c r="O47"/>
  <c r="S47"/>
  <c r="E47"/>
  <c r="U47"/>
  <c r="M47"/>
  <c r="Q47"/>
  <c r="I47"/>
  <c r="BA563" i="1"/>
  <c r="AJ563"/>
  <c r="U496" i="44" l="1"/>
  <c r="AQ754" i="1"/>
  <c r="N1068" i="44" s="1"/>
  <c r="AG728" i="1"/>
  <c r="AH583"/>
  <c r="AQ747"/>
  <c r="N1066" i="44" s="1"/>
  <c r="AX604" i="1"/>
  <c r="BA6"/>
  <c r="AM474"/>
  <c r="AH604"/>
  <c r="AQ642"/>
  <c r="N1013" i="44" s="1"/>
  <c r="AQ730" i="1"/>
  <c r="N1039" i="44" s="1"/>
  <c r="U459"/>
  <c r="BE475" i="1"/>
  <c r="BE473"/>
  <c r="U465" i="44"/>
  <c r="AQ625" i="1"/>
  <c r="N986" i="44" s="1"/>
  <c r="AF604" i="1"/>
  <c r="AG583"/>
  <c r="U502" i="44"/>
  <c r="AG640" i="1"/>
  <c r="AV604"/>
  <c r="BE474"/>
  <c r="AM475"/>
  <c r="U455" i="44"/>
  <c r="AL737" i="1"/>
  <c r="H1041" i="44" s="1"/>
  <c r="AQ632" i="1"/>
  <c r="N988" i="44" s="1"/>
  <c r="AY53" i="1"/>
  <c r="AG604"/>
  <c r="AY604"/>
  <c r="AQ649"/>
  <c r="N1015" i="44" s="1"/>
  <c r="AL747" i="1"/>
  <c r="H1066" i="44" s="1"/>
  <c r="AL649" i="1"/>
  <c r="H1015" i="44" s="1"/>
  <c r="AW583" i="1"/>
  <c r="AG623"/>
  <c r="AV583"/>
  <c r="AL730"/>
  <c r="H1039" i="44" s="1"/>
  <c r="AG745" i="1"/>
  <c r="U492" i="44"/>
  <c r="AX583" i="1"/>
  <c r="BE476"/>
  <c r="AW604"/>
  <c r="U498" i="44"/>
  <c r="AL754" i="1"/>
  <c r="H1068" i="44" s="1"/>
  <c r="AU583" i="1"/>
  <c r="AQ737"/>
  <c r="N1041" i="44" s="1"/>
  <c r="AL625" i="1"/>
  <c r="H986" i="44" s="1"/>
  <c r="AM473" i="1"/>
  <c r="AI583"/>
  <c r="AK279" s="1"/>
  <c r="K1456" i="2" s="1"/>
  <c r="AF583" i="1"/>
  <c r="AF279" s="1"/>
  <c r="E1456" i="2" s="1"/>
  <c r="U463" i="44"/>
  <c r="U461"/>
  <c r="AL632" i="1"/>
  <c r="H988" i="44" s="1"/>
  <c r="AY56" i="1"/>
  <c r="AY55"/>
  <c r="AM476"/>
  <c r="U500" i="44"/>
  <c r="AE604" i="1"/>
  <c r="AT21"/>
  <c r="BE59"/>
  <c r="AY54"/>
  <c r="M765" i="44"/>
  <c r="AL642" i="1"/>
  <c r="H1013" i="44" s="1"/>
  <c r="AJ53" i="1"/>
  <c r="F396" i="2" s="1"/>
  <c r="AU53" i="1"/>
  <c r="N396" i="2" s="1"/>
  <c r="AW56" i="1"/>
  <c r="P399" i="2" s="1"/>
  <c r="AO55" i="1"/>
  <c r="K398" i="2" s="1"/>
  <c r="AY59" i="1"/>
  <c r="R400" i="2" s="1"/>
  <c r="AK55" i="1"/>
  <c r="G398" i="2" s="1"/>
  <c r="I399"/>
  <c r="BA55" i="1"/>
  <c r="S398" i="2" s="1"/>
  <c r="AV618" i="1"/>
  <c r="AL53"/>
  <c r="H396" i="2" s="1"/>
  <c r="AF112" i="1"/>
  <c r="K7" i="2" s="1"/>
  <c r="BB54" i="1"/>
  <c r="T397" i="2" s="1"/>
  <c r="AM144" i="1"/>
  <c r="K890" i="2" s="1"/>
  <c r="AM55" i="1"/>
  <c r="I398" i="2" s="1"/>
  <c r="V446"/>
  <c r="AN53" i="1"/>
  <c r="J396" i="2" s="1"/>
  <c r="AO59" i="1"/>
  <c r="K400" i="2" s="1"/>
  <c r="BE55" i="1"/>
  <c r="W398" i="2" s="1"/>
  <c r="AX59" i="1"/>
  <c r="Q400" i="2" s="1"/>
  <c r="BE56" i="1"/>
  <c r="W399" i="2" s="1"/>
  <c r="AV55" i="1"/>
  <c r="O398" i="2" s="1"/>
  <c r="AI54" i="1"/>
  <c r="E397" i="2" s="1"/>
  <c r="AQ731" i="1"/>
  <c r="AQ732" s="1"/>
  <c r="O1039" i="44" s="1"/>
  <c r="AG56" i="1"/>
  <c r="C399" i="2" s="1"/>
  <c r="AL650" i="1"/>
  <c r="AL651" s="1"/>
  <c r="I1015" i="44" s="1"/>
  <c r="AW54" i="1"/>
  <c r="P397" i="2" s="1"/>
  <c r="AM54" i="1"/>
  <c r="I397" i="2" s="1"/>
  <c r="AI53" i="1"/>
  <c r="E396" i="2" s="1"/>
  <c r="AK59" i="1"/>
  <c r="G400" i="2" s="1"/>
  <c r="AN55" i="1"/>
  <c r="J398" i="2" s="1"/>
  <c r="AQ738" i="1"/>
  <c r="AF12"/>
  <c r="E26" i="2" s="1"/>
  <c r="AH53" i="1"/>
  <c r="D396" i="2" s="1"/>
  <c r="AN78" i="1"/>
  <c r="J639" i="2" s="1"/>
  <c r="AO56" i="1"/>
  <c r="K399" i="2" s="1"/>
  <c r="AX145" i="1"/>
  <c r="R891" i="2" s="1"/>
  <c r="AO53" i="1"/>
  <c r="K396" i="2" s="1"/>
  <c r="AN56" i="1"/>
  <c r="J399" i="2" s="1"/>
  <c r="AF13" i="1"/>
  <c r="E27" i="2" s="1"/>
  <c r="AK56" i="1"/>
  <c r="G399" i="2" s="1"/>
  <c r="BB145" i="1"/>
  <c r="H1436" i="2"/>
  <c r="AX577" i="1"/>
  <c r="K252" i="2"/>
  <c r="F991"/>
  <c r="S692"/>
  <c r="AG53" i="1"/>
  <c r="C396" i="2" s="1"/>
  <c r="R445"/>
  <c r="AV12" i="1"/>
  <c r="R26" i="2" s="1"/>
  <c r="W993"/>
  <c r="AQ755" i="1"/>
  <c r="AQ756" s="1"/>
  <c r="O1068" i="44" s="1"/>
  <c r="AQ643" i="1"/>
  <c r="AQ644" s="1"/>
  <c r="O1013" i="44" s="1"/>
  <c r="J304" i="2"/>
  <c r="AK54" i="1"/>
  <c r="G397" i="2" s="1"/>
  <c r="AH54" i="1"/>
  <c r="D397" i="2" s="1"/>
  <c r="K445"/>
  <c r="AU56" i="1"/>
  <c r="N399" i="2" s="1"/>
  <c r="AO54" i="1"/>
  <c r="K397" i="2" s="1"/>
  <c r="H253"/>
  <c r="AU13" i="1"/>
  <c r="Q27" i="2" s="1"/>
  <c r="AJ59" i="1"/>
  <c r="F400" i="2" s="1"/>
  <c r="AZ54" i="1"/>
  <c r="R397" i="2" s="1"/>
  <c r="U252"/>
  <c r="AJ54" i="1"/>
  <c r="F397" i="2" s="1"/>
  <c r="AZ70" i="1"/>
  <c r="U492" i="2" s="1"/>
  <c r="BB56" i="1"/>
  <c r="T399" i="2" s="1"/>
  <c r="AX6" i="1"/>
  <c r="R6" i="2" s="1"/>
  <c r="K691"/>
  <c r="AW55" i="1"/>
  <c r="P398" i="2" s="1"/>
  <c r="J993"/>
  <c r="BA56" i="1"/>
  <c r="S399" i="2" s="1"/>
  <c r="AF111" i="1"/>
  <c r="K6" i="2" s="1"/>
  <c r="BD53" i="1"/>
  <c r="V396" i="2" s="1"/>
  <c r="AJ56" i="1"/>
  <c r="F399" i="2" s="1"/>
  <c r="D304"/>
  <c r="I304"/>
  <c r="V53"/>
  <c r="AF59" i="1"/>
  <c r="B400" i="2" s="1"/>
  <c r="Q1090"/>
  <c r="AL56" i="1"/>
  <c r="H399" i="2" s="1"/>
  <c r="AM136" i="1"/>
  <c r="K590" i="2" s="1"/>
  <c r="T444"/>
  <c r="S302"/>
  <c r="Q592"/>
  <c r="I252"/>
  <c r="AV54" i="1"/>
  <c r="O397" i="2" s="1"/>
  <c r="H1406"/>
  <c r="AI6" i="1"/>
  <c r="F6" i="2" s="1"/>
  <c r="AF53" i="1"/>
  <c r="B396" i="2" s="1"/>
  <c r="P303"/>
  <c r="AU54" i="1"/>
  <c r="N397" i="2" s="1"/>
  <c r="T693"/>
  <c r="J692"/>
  <c r="BF117" i="1"/>
  <c r="S53" i="2" s="1"/>
  <c r="Q1288"/>
  <c r="AH59" i="1"/>
  <c r="D400" i="2" s="1"/>
  <c r="H1308"/>
  <c r="U991"/>
  <c r="AI138" i="1"/>
  <c r="F592" i="2" s="1"/>
  <c r="AZ53" i="1"/>
  <c r="R396" i="2" s="1"/>
  <c r="AX55" i="1"/>
  <c r="Q398" i="2" s="1"/>
  <c r="I154"/>
  <c r="AK6" i="1"/>
  <c r="H6" i="2" s="1"/>
  <c r="I543"/>
  <c r="AQ748" i="1"/>
  <c r="AQ749" s="1"/>
  <c r="O1066" i="44" s="1"/>
  <c r="J443" i="2"/>
  <c r="AM138" i="1"/>
  <c r="K592" i="2" s="1"/>
  <c r="T1162"/>
  <c r="BE53" i="1"/>
  <c r="W396" i="2" s="1"/>
  <c r="AG13" i="1"/>
  <c r="F27" i="2" s="1"/>
  <c r="BD55" i="1"/>
  <c r="V398" i="2" s="1"/>
  <c r="W992"/>
  <c r="AG739" i="1"/>
  <c r="AV59"/>
  <c r="O400" i="2" s="1"/>
  <c r="AW86" i="1"/>
  <c r="R939" i="2" s="1"/>
  <c r="L992"/>
  <c r="I444"/>
  <c r="G203"/>
  <c r="K303"/>
  <c r="U6"/>
  <c r="AX138" i="1"/>
  <c r="R592" i="2" s="1"/>
  <c r="AX53" i="1"/>
  <c r="Q396" i="2" s="1"/>
  <c r="L639"/>
  <c r="T253"/>
  <c r="J104"/>
  <c r="AL738" i="1"/>
  <c r="R542" i="2"/>
  <c r="U399"/>
  <c r="T690"/>
  <c r="BD137" i="1"/>
  <c r="V591" i="2" s="1"/>
  <c r="L844"/>
  <c r="W542"/>
  <c r="BC82" i="1"/>
  <c r="V791" i="2" s="1"/>
  <c r="BA70" i="1"/>
  <c r="W492" i="2" s="1"/>
  <c r="S992"/>
  <c r="BC54" i="1"/>
  <c r="U397" i="2" s="1"/>
  <c r="G541"/>
  <c r="AN54" i="1"/>
  <c r="J397" i="2" s="1"/>
  <c r="BC53" i="1"/>
  <c r="U396" i="2" s="1"/>
  <c r="AW577" i="1"/>
  <c r="AZ145"/>
  <c r="T891" i="2" s="1"/>
  <c r="K205"/>
  <c r="J446"/>
  <c r="AI78" i="1"/>
  <c r="G639" i="2" s="1"/>
  <c r="AX54" i="1"/>
  <c r="Q397" i="2" s="1"/>
  <c r="AW13" i="1"/>
  <c r="S27" i="2" s="1"/>
  <c r="L890"/>
  <c r="AL54" i="1"/>
  <c r="H397" i="2" s="1"/>
  <c r="AN59" i="1"/>
  <c r="J400" i="2" s="1"/>
  <c r="AG59" i="1"/>
  <c r="C400" i="2" s="1"/>
  <c r="S103"/>
  <c r="BD56" i="1"/>
  <c r="V399" i="2" s="1"/>
  <c r="T542"/>
  <c r="V103"/>
  <c r="BE118" i="1"/>
  <c r="R54" i="2" s="1"/>
  <c r="T1436"/>
  <c r="AF56" i="1"/>
  <c r="B399" i="2" s="1"/>
  <c r="K992"/>
  <c r="AG54" i="1"/>
  <c r="C397" i="2" s="1"/>
  <c r="AI59" i="1"/>
  <c r="E400" i="2" s="1"/>
  <c r="AG627" i="1"/>
  <c r="AJ6"/>
  <c r="G6" i="2" s="1"/>
  <c r="U690"/>
  <c r="AX130" i="1"/>
  <c r="R741" i="2" s="1"/>
  <c r="Q541"/>
  <c r="AX56" i="1"/>
  <c r="Q399" i="2" s="1"/>
  <c r="W254"/>
  <c r="U444"/>
  <c r="BE54" i="1"/>
  <c r="W397" i="2" s="1"/>
  <c r="AW78" i="1"/>
  <c r="R639" i="2" s="1"/>
  <c r="R155"/>
  <c r="K253"/>
  <c r="K843"/>
  <c r="AH261" i="1"/>
  <c r="H1386" i="2" s="1"/>
  <c r="BB136" i="1"/>
  <c r="W590" i="2" s="1"/>
  <c r="I993"/>
  <c r="R842"/>
  <c r="AL82" i="1"/>
  <c r="K791" i="2" s="1"/>
  <c r="BG117" i="1"/>
  <c r="T53" i="2" s="1"/>
  <c r="AK53" i="1"/>
  <c r="G396" i="2" s="1"/>
  <c r="X543"/>
  <c r="AM53" i="1"/>
  <c r="I396" i="2" s="1"/>
  <c r="H992"/>
  <c r="W844"/>
  <c r="AI56" i="1"/>
  <c r="E399" i="2" s="1"/>
  <c r="AL78" i="1"/>
  <c r="K639" i="2" s="1"/>
  <c r="I103"/>
  <c r="V204"/>
  <c r="BA82" i="1"/>
  <c r="W791" i="2" s="1"/>
  <c r="I991"/>
  <c r="G351"/>
  <c r="E1162"/>
  <c r="S104"/>
  <c r="F445"/>
  <c r="AW59" i="1"/>
  <c r="P400" i="2" s="1"/>
  <c r="L842"/>
  <c r="L740"/>
  <c r="AO145" i="1"/>
  <c r="J891" i="2" s="1"/>
  <c r="T104"/>
  <c r="H444"/>
  <c r="I204"/>
  <c r="I693"/>
  <c r="AH78" i="1"/>
  <c r="F639" i="2" s="1"/>
  <c r="AV279" i="1"/>
  <c r="S1456" i="2" s="1"/>
  <c r="AH56" i="1"/>
  <c r="D399" i="2" s="1"/>
  <c r="AX70" i="1"/>
  <c r="S492" i="2" s="1"/>
  <c r="X592"/>
  <c r="AF54" i="1"/>
  <c r="B397" i="2" s="1"/>
  <c r="J303"/>
  <c r="J349"/>
  <c r="S693"/>
  <c r="AM137" i="1"/>
  <c r="K591" i="2" s="1"/>
  <c r="H204"/>
  <c r="H203"/>
  <c r="I205"/>
  <c r="G446"/>
  <c r="S1140"/>
  <c r="X304"/>
  <c r="W691"/>
  <c r="BD54" i="1"/>
  <c r="V397" i="2" s="1"/>
  <c r="J991"/>
  <c r="S205"/>
  <c r="U445"/>
  <c r="AL626" i="1"/>
  <c r="AL627" s="1"/>
  <c r="I986" i="44" s="1"/>
  <c r="R446" i="2"/>
  <c r="AI70" i="1"/>
  <c r="G492" i="2" s="1"/>
  <c r="BB59" i="1"/>
  <c r="AH12"/>
  <c r="G26" i="2" s="1"/>
  <c r="D302"/>
  <c r="U153"/>
  <c r="AI131" i="1"/>
  <c r="F742" i="2" s="1"/>
  <c r="S252"/>
  <c r="V154"/>
  <c r="T1258"/>
  <c r="BD130" i="1"/>
  <c r="V741" i="2" s="1"/>
  <c r="V351"/>
  <c r="BB53" i="1"/>
  <c r="T396" i="2" s="1"/>
  <c r="AX129" i="1"/>
  <c r="R740" i="2" s="1"/>
  <c r="AL138" i="1"/>
  <c r="I592" i="2" s="1"/>
  <c r="L591"/>
  <c r="AG279" i="1"/>
  <c r="G1456" i="2" s="1"/>
  <c r="AV56" i="1"/>
  <c r="O399" i="2" s="1"/>
  <c r="Q844"/>
  <c r="AL748" i="1"/>
  <c r="AL749" s="1"/>
  <c r="I1066" i="44" s="1"/>
  <c r="S401" i="2"/>
  <c r="S404" s="1"/>
  <c r="BA74" i="1"/>
  <c r="W516" i="2" s="1"/>
  <c r="H53"/>
  <c r="BA59" i="1"/>
  <c r="T400" i="2" s="1"/>
  <c r="AJ137" i="1"/>
  <c r="G591" i="2" s="1"/>
  <c r="AW53" i="1"/>
  <c r="P396" i="2" s="1"/>
  <c r="J691"/>
  <c r="AZ59" i="1"/>
  <c r="S400" i="2" s="1"/>
  <c r="BA145" i="1"/>
  <c r="U891" i="2" s="1"/>
  <c r="F693"/>
  <c r="AH55" i="1"/>
  <c r="D398" i="2" s="1"/>
  <c r="U154"/>
  <c r="AZ131" i="1"/>
  <c r="T742" i="2" s="1"/>
  <c r="L693"/>
  <c r="BB129" i="1"/>
  <c r="U691" i="2"/>
  <c r="AK70" i="1"/>
  <c r="I492" i="2" s="1"/>
  <c r="AE583" i="1"/>
  <c r="AE279" s="1"/>
  <c r="D1456" i="2" s="1"/>
  <c r="I541"/>
  <c r="AG749" i="1"/>
  <c r="F992" i="2"/>
  <c r="S444"/>
  <c r="H1112"/>
  <c r="AJ145" i="1"/>
  <c r="G891" i="2" s="1"/>
  <c r="AY6" i="1"/>
  <c r="S6" i="2" s="1"/>
  <c r="BC55" i="1"/>
  <c r="U398" i="2" s="1"/>
  <c r="F446"/>
  <c r="J254"/>
  <c r="AZ137" i="1"/>
  <c r="T591" i="2" s="1"/>
  <c r="BA54" i="1"/>
  <c r="S397" i="2" s="1"/>
  <c r="E1140"/>
  <c r="BC74" i="1"/>
  <c r="V516" i="2" s="1"/>
  <c r="U543"/>
  <c r="AI145" i="1"/>
  <c r="F891" i="2" s="1"/>
  <c r="I302"/>
  <c r="AI279" i="1"/>
  <c r="I1456" i="2" s="1"/>
  <c r="AZ6" i="1"/>
  <c r="T6" i="2" s="1"/>
  <c r="V304"/>
  <c r="U844"/>
  <c r="W543"/>
  <c r="J842"/>
  <c r="AG756" i="1"/>
  <c r="K844" i="2"/>
  <c r="J844"/>
  <c r="L543"/>
  <c r="D1308"/>
  <c r="X591"/>
  <c r="AY129" i="1"/>
  <c r="S740" i="2" s="1"/>
  <c r="AM129" i="1"/>
  <c r="K740" i="2" s="1"/>
  <c r="BB138" i="1"/>
  <c r="W592" i="2" s="1"/>
  <c r="AT111" i="1"/>
  <c r="W6" i="2" s="1"/>
  <c r="AF55" i="1"/>
  <c r="B398" i="2" s="1"/>
  <c r="V153"/>
  <c r="AV53" i="1"/>
  <c r="O396" i="2" s="1"/>
  <c r="U103"/>
  <c r="I254"/>
  <c r="K302"/>
  <c r="AU59" i="1"/>
  <c r="N400" i="2" s="1"/>
  <c r="R302"/>
  <c r="S1112"/>
  <c r="X541"/>
  <c r="U203"/>
  <c r="J542"/>
  <c r="J992"/>
  <c r="AO144" i="1"/>
  <c r="J890" i="2" s="1"/>
  <c r="AO146" i="1"/>
  <c r="J892" i="2" s="1"/>
  <c r="G254"/>
  <c r="AW82" i="1"/>
  <c r="R791" i="2" s="1"/>
  <c r="K842"/>
  <c r="AY130" i="1"/>
  <c r="S741" i="2" s="1"/>
  <c r="T203"/>
  <c r="U303"/>
  <c r="R992"/>
  <c r="AJ74" i="1"/>
  <c r="H516" i="2" s="1"/>
  <c r="E104"/>
  <c r="S691"/>
  <c r="V252"/>
  <c r="AW6" i="1"/>
  <c r="AL755"/>
  <c r="AL756" s="1"/>
  <c r="I1068" i="44" s="1"/>
  <c r="G1406" i="2"/>
  <c r="AJ144" i="1"/>
  <c r="G890" i="2" s="1"/>
  <c r="V253"/>
  <c r="BA136" i="1"/>
  <c r="U590" i="2" s="1"/>
  <c r="AK86" i="1"/>
  <c r="I939" i="2" s="1"/>
  <c r="H446"/>
  <c r="AZ55" i="1"/>
  <c r="R398" i="2" s="1"/>
  <c r="S543"/>
  <c r="BA138" i="1"/>
  <c r="U592" i="2" s="1"/>
  <c r="BD59" i="1"/>
  <c r="W400" i="2" s="1"/>
  <c r="AY144" i="1"/>
  <c r="S890" i="2" s="1"/>
  <c r="AZ129" i="1"/>
  <c r="T740" i="2" s="1"/>
  <c r="V993"/>
  <c r="K541"/>
  <c r="AG12" i="1"/>
  <c r="F26" i="2" s="1"/>
  <c r="H1090"/>
  <c r="H54"/>
  <c r="Q1406"/>
  <c r="V992"/>
  <c r="AG732" i="1"/>
  <c r="H302" i="2"/>
  <c r="AK136" i="1"/>
  <c r="H590" i="2" s="1"/>
  <c r="I153"/>
  <c r="H541"/>
  <c r="I155"/>
  <c r="W843"/>
  <c r="E401"/>
  <c r="E404" s="1"/>
  <c r="L691"/>
  <c r="AK129" i="1"/>
  <c r="H740" i="2" s="1"/>
  <c r="S254"/>
  <c r="AI55" i="1"/>
  <c r="E398" i="2" s="1"/>
  <c r="V400"/>
  <c r="G401"/>
  <c r="G404" s="1"/>
  <c r="V445"/>
  <c r="U993"/>
  <c r="H843"/>
  <c r="BF118" i="1"/>
  <c r="S54" i="2" s="1"/>
  <c r="T205"/>
  <c r="R395"/>
  <c r="AZ146" i="1"/>
  <c r="T892" i="2" s="1"/>
  <c r="AK82" i="1"/>
  <c r="I791" i="2" s="1"/>
  <c r="AX86" i="1"/>
  <c r="S939" i="2" s="1"/>
  <c r="W205"/>
  <c r="AY146" i="1"/>
  <c r="S892" i="2" s="1"/>
  <c r="W203"/>
  <c r="AL146" i="1"/>
  <c r="I892" i="2" s="1"/>
  <c r="AW12" i="1"/>
  <c r="S26" i="2" s="1"/>
  <c r="X693"/>
  <c r="AL137" i="1"/>
  <c r="I591" i="2" s="1"/>
  <c r="J445"/>
  <c r="U254"/>
  <c r="G1238"/>
  <c r="D303"/>
  <c r="E842"/>
  <c r="J102"/>
  <c r="AL144" i="1"/>
  <c r="I890" i="2" s="1"/>
  <c r="T842"/>
  <c r="W304"/>
  <c r="AL643" i="1"/>
  <c r="J205" i="2"/>
  <c r="L304"/>
  <c r="K203"/>
  <c r="BJ117" i="1"/>
  <c r="U53" i="2" s="1"/>
  <c r="AJ136" i="1"/>
  <c r="G590" i="2" s="1"/>
  <c r="AL70" i="1"/>
  <c r="K492" i="2" s="1"/>
  <c r="H350"/>
  <c r="S1258"/>
  <c r="J253"/>
  <c r="I1162"/>
  <c r="AZ130" i="1"/>
  <c r="T741" i="2" s="1"/>
  <c r="T540"/>
  <c r="J693"/>
  <c r="AY82" i="1"/>
  <c r="T791" i="2" s="1"/>
  <c r="L302"/>
  <c r="I843"/>
  <c r="J154"/>
  <c r="AL130" i="1"/>
  <c r="I741" i="2" s="1"/>
  <c r="AU255" i="1"/>
  <c r="R1358" i="2" s="1"/>
  <c r="AT112" i="1"/>
  <c r="W7" i="2" s="1"/>
  <c r="G543"/>
  <c r="AK74" i="1"/>
  <c r="I516" i="2" s="1"/>
  <c r="AY78" i="1"/>
  <c r="T639" i="2" s="1"/>
  <c r="W540"/>
  <c r="S541"/>
  <c r="AF255" i="1"/>
  <c r="F1358" i="2" s="1"/>
  <c r="S351"/>
  <c r="V254"/>
  <c r="AO130" i="1"/>
  <c r="J741" i="2" s="1"/>
  <c r="G302"/>
  <c r="AX74" i="1"/>
  <c r="S516" i="2" s="1"/>
  <c r="H844"/>
  <c r="AJ279" i="1"/>
  <c r="J1456" i="2" s="1"/>
  <c r="I6"/>
  <c r="AL731" i="1"/>
  <c r="AL732" s="1"/>
  <c r="I1039" i="44" s="1"/>
  <c r="S445" i="2"/>
  <c r="T843"/>
  <c r="I253"/>
  <c r="H542"/>
  <c r="AL55" i="1"/>
  <c r="H398" i="2" s="1"/>
  <c r="V692"/>
  <c r="V444"/>
  <c r="AU12" i="1"/>
  <c r="Q26" i="2" s="1"/>
  <c r="W991"/>
  <c r="H1238"/>
  <c r="AI130" i="1"/>
  <c r="I844" i="2"/>
  <c r="E103"/>
  <c r="E1112"/>
  <c r="P301"/>
  <c r="H155"/>
  <c r="E105"/>
  <c r="H104"/>
  <c r="E890"/>
  <c r="X590"/>
  <c r="AH279" i="1"/>
  <c r="H1456" i="2" s="1"/>
  <c r="AQ633" i="1"/>
  <c r="AQ634" s="1"/>
  <c r="O988" i="44" s="1"/>
  <c r="T252" i="2"/>
  <c r="W444"/>
  <c r="T153"/>
  <c r="F155"/>
  <c r="T1308"/>
  <c r="R252"/>
  <c r="AY279" i="1"/>
  <c r="V1456" i="2" s="1"/>
  <c r="AW618" i="1"/>
  <c r="BA53"/>
  <c r="S396" i="2" s="1"/>
  <c r="AX82" i="1"/>
  <c r="S791" i="2" s="1"/>
  <c r="G154"/>
  <c r="T692"/>
  <c r="J152"/>
  <c r="E1090"/>
  <c r="R205"/>
  <c r="G1140"/>
  <c r="AZ577" i="1"/>
  <c r="AG618"/>
  <c r="U446" i="2"/>
  <c r="P1308"/>
  <c r="K993"/>
  <c r="W446"/>
  <c r="AF250" i="1"/>
  <c r="F1339" i="2" s="1"/>
  <c r="H103"/>
  <c r="AY137" i="1"/>
  <c r="S591" i="2" s="1"/>
  <c r="K304"/>
  <c r="AZ56" i="1"/>
  <c r="R399" i="2" s="1"/>
  <c r="I54"/>
  <c r="G54"/>
  <c r="S993"/>
  <c r="S350"/>
  <c r="I446"/>
  <c r="E1436"/>
  <c r="G1162"/>
  <c r="U990"/>
  <c r="AU250" i="1"/>
  <c r="R1339" i="2" s="1"/>
  <c r="AW261" i="1"/>
  <c r="T1386" i="2" s="1"/>
  <c r="R444"/>
  <c r="W401"/>
  <c r="W404" s="1"/>
  <c r="U1308"/>
  <c r="Q1140"/>
  <c r="J252"/>
  <c r="P304"/>
  <c r="AJ138" i="1"/>
  <c r="G592" i="2" s="1"/>
  <c r="AY145" i="1"/>
  <c r="S891" i="2" s="1"/>
  <c r="BA130" i="1"/>
  <c r="U741" i="2" s="1"/>
  <c r="J153"/>
  <c r="K693"/>
  <c r="S204"/>
  <c r="BA137" i="1"/>
  <c r="U591" i="2" s="1"/>
  <c r="Q516"/>
  <c r="AK144" i="1"/>
  <c r="H890" i="2" s="1"/>
  <c r="BA144" i="1"/>
  <c r="U890" i="2" s="1"/>
  <c r="J444"/>
  <c r="U843"/>
  <c r="G53"/>
  <c r="I992"/>
  <c r="Q842"/>
  <c r="AZ82" i="1"/>
  <c r="U791" i="2" s="1"/>
  <c r="I842"/>
  <c r="Q446"/>
  <c r="K251"/>
  <c r="J1308"/>
  <c r="L541"/>
  <c r="V205"/>
  <c r="T204"/>
  <c r="W252"/>
  <c r="BD131" i="1"/>
  <c r="V742" i="2" s="1"/>
  <c r="BB146" i="1"/>
  <c r="W892" i="2" s="1"/>
  <c r="C401"/>
  <c r="C404" s="1"/>
  <c r="H1258"/>
  <c r="T350"/>
  <c r="F253"/>
  <c r="AH70" i="1"/>
  <c r="F492" i="2" s="1"/>
  <c r="F842"/>
  <c r="X892"/>
  <c r="BA86" i="1"/>
  <c r="W939" i="2" s="1"/>
  <c r="J1162"/>
  <c r="P395"/>
  <c r="G444"/>
  <c r="W204"/>
  <c r="AY74" i="1"/>
  <c r="T516" i="2" s="1"/>
  <c r="AI86" i="1"/>
  <c r="G939" i="2" s="1"/>
  <c r="AL59" i="1"/>
  <c r="H400" i="2" s="1"/>
  <c r="R543"/>
  <c r="X350"/>
  <c r="E516"/>
  <c r="Q445"/>
  <c r="F444"/>
  <c r="S153"/>
  <c r="AL136" i="1"/>
  <c r="I590" i="2" s="1"/>
  <c r="E445"/>
  <c r="L741"/>
  <c r="J54"/>
  <c r="U350"/>
  <c r="R692"/>
  <c r="C302"/>
  <c r="AH605" i="1"/>
  <c r="BC78"/>
  <c r="V639" i="2" s="1"/>
  <c r="K540"/>
  <c r="H1140"/>
  <c r="G350"/>
  <c r="BC86" i="1"/>
  <c r="V939" i="2" s="1"/>
  <c r="T543"/>
  <c r="X692"/>
  <c r="V443"/>
  <c r="G1112"/>
  <c r="X791"/>
  <c r="E6"/>
  <c r="I542"/>
  <c r="H303"/>
  <c r="G155"/>
  <c r="AV13" i="1"/>
  <c r="R27" i="2" s="1"/>
  <c r="J843"/>
  <c r="G1288"/>
  <c r="S844"/>
  <c r="AK138" i="1"/>
  <c r="H592" i="2" s="1"/>
  <c r="W445"/>
  <c r="AI82" i="1"/>
  <c r="G791" i="2" s="1"/>
  <c r="T992"/>
  <c r="K446"/>
  <c r="H252"/>
  <c r="Q1258"/>
  <c r="AJ131" i="1"/>
  <c r="G742" i="2" s="1"/>
  <c r="AQ650" i="1"/>
  <c r="BB144"/>
  <c r="S304" i="2"/>
  <c r="AI129" i="1"/>
  <c r="E1258" i="2"/>
  <c r="E541"/>
  <c r="R991"/>
  <c r="BE117" i="1"/>
  <c r="R53" i="2" s="1"/>
  <c r="Q401"/>
  <c r="Q404" s="1"/>
  <c r="T993"/>
  <c r="AH82" i="1"/>
  <c r="F791" i="2" s="1"/>
  <c r="G843"/>
  <c r="I104"/>
  <c r="H1288"/>
  <c r="BB55" i="1"/>
  <c r="T398" i="2" s="1"/>
  <c r="V303"/>
  <c r="S303"/>
  <c r="G1090"/>
  <c r="I691"/>
  <c r="V104"/>
  <c r="F52"/>
  <c r="AG55" i="1"/>
  <c r="C398" i="2" s="1"/>
  <c r="AI136" i="1"/>
  <c r="F590" i="2" s="1"/>
  <c r="X843"/>
  <c r="U351"/>
  <c r="AY70" i="1"/>
  <c r="T492" i="2" s="1"/>
  <c r="F103"/>
  <c r="V842"/>
  <c r="V541"/>
  <c r="AX131" i="1"/>
  <c r="I53" i="2"/>
  <c r="T445"/>
  <c r="AX279" i="1"/>
  <c r="U1456" i="2" s="1"/>
  <c r="J302"/>
  <c r="S1090"/>
  <c r="BB131" i="1"/>
  <c r="U541" i="2"/>
  <c r="S1406"/>
  <c r="L692"/>
  <c r="Q939"/>
  <c r="AZ78" i="1"/>
  <c r="U639" i="2" s="1"/>
  <c r="AW279" i="1"/>
  <c r="T1456" i="2" s="1"/>
  <c r="R1043"/>
  <c r="U302"/>
  <c r="G252"/>
  <c r="AZ138" i="1"/>
  <c r="T592" i="2" s="1"/>
  <c r="S690"/>
  <c r="R690"/>
  <c r="AW70" i="1"/>
  <c r="R492" i="2" s="1"/>
  <c r="H691"/>
  <c r="H842"/>
  <c r="AO136" i="1"/>
  <c r="J590" i="2" s="1"/>
  <c r="T254"/>
  <c r="R844"/>
  <c r="H304"/>
  <c r="I350"/>
  <c r="AY86" i="1"/>
  <c r="T939" i="2" s="1"/>
  <c r="W302"/>
  <c r="Q841"/>
  <c r="AX618" i="1"/>
  <c r="AU261"/>
  <c r="Q1386" i="2" s="1"/>
  <c r="U693"/>
  <c r="AW564" i="1"/>
  <c r="U155" i="2"/>
  <c r="T1090"/>
  <c r="BA146" i="1"/>
  <c r="U892" i="2" s="1"/>
  <c r="S446"/>
  <c r="AV577" i="1"/>
  <c r="X993" i="2"/>
  <c r="U204"/>
  <c r="AO131" i="1"/>
  <c r="J742" i="2" s="1"/>
  <c r="T304"/>
  <c r="W303"/>
  <c r="I1308"/>
  <c r="H1162"/>
  <c r="U692"/>
  <c r="BD136" i="1"/>
  <c r="V590" i="2" s="1"/>
  <c r="AZ144" i="1"/>
  <c r="T890" i="2" s="1"/>
  <c r="AF261" i="1"/>
  <c r="E1386" i="2" s="1"/>
  <c r="V843"/>
  <c r="B401"/>
  <c r="B404" s="1"/>
  <c r="L492"/>
  <c r="AJ70" i="1"/>
  <c r="H492" i="2" s="1"/>
  <c r="T154"/>
  <c r="AK78" i="1"/>
  <c r="I639" i="2" s="1"/>
  <c r="G103"/>
  <c r="L891"/>
  <c r="X991"/>
  <c r="E154"/>
  <c r="I349"/>
  <c r="AI137" i="1"/>
  <c r="F591" i="2" s="1"/>
  <c r="G991"/>
  <c r="F443"/>
  <c r="H990"/>
  <c r="D1162"/>
  <c r="V52"/>
  <c r="AY618" i="1"/>
  <c r="T1238" i="2"/>
  <c r="W251"/>
  <c r="F1191"/>
  <c r="T1406"/>
  <c r="AG255" i="1"/>
  <c r="H1358" i="2" s="1"/>
  <c r="W443"/>
  <c r="X540"/>
  <c r="S842"/>
  <c r="AY138" i="1"/>
  <c r="S592" i="2" s="1"/>
  <c r="BA131" i="1"/>
  <c r="U742" i="2" s="1"/>
  <c r="V542"/>
  <c r="AX137" i="1"/>
  <c r="R591" i="2" s="1"/>
  <c r="J103"/>
  <c r="AX78" i="1"/>
  <c r="S639" i="2" s="1"/>
  <c r="W253"/>
  <c r="U1162"/>
  <c r="H205"/>
  <c r="AX144" i="1"/>
  <c r="J401" i="2"/>
  <c r="J404" s="1"/>
  <c r="G844"/>
  <c r="G542"/>
  <c r="I400"/>
  <c r="AM131" i="1"/>
  <c r="AO129"/>
  <c r="J740" i="2" s="1"/>
  <c r="H445"/>
  <c r="T844"/>
  <c r="L590"/>
  <c r="L990"/>
  <c r="F844"/>
  <c r="W693"/>
  <c r="J990"/>
  <c r="J690"/>
  <c r="P1112"/>
  <c r="X349"/>
  <c r="P1258"/>
  <c r="X690"/>
  <c r="X303"/>
  <c r="J350"/>
  <c r="AJ82" i="1"/>
  <c r="H791" i="2" s="1"/>
  <c r="R693"/>
  <c r="L791"/>
  <c r="F54"/>
  <c r="L742"/>
  <c r="J53"/>
  <c r="B395"/>
  <c r="AM145" i="1"/>
  <c r="F349" i="2"/>
  <c r="AK130" i="1"/>
  <c r="H741" i="2" s="1"/>
  <c r="W202"/>
  <c r="G540"/>
  <c r="U253"/>
  <c r="Q791"/>
  <c r="K204"/>
  <c r="AK131" i="1"/>
  <c r="H742" i="2" s="1"/>
  <c r="AH577" i="1"/>
  <c r="AF577"/>
  <c r="AV261"/>
  <c r="S1386" i="2" s="1"/>
  <c r="F203"/>
  <c r="X990"/>
  <c r="F53"/>
  <c r="AY136" i="1"/>
  <c r="S590" i="2" s="1"/>
  <c r="I303"/>
  <c r="V401"/>
  <c r="V404" s="1"/>
  <c r="F993"/>
  <c r="Q154"/>
  <c r="G349"/>
  <c r="AX564" i="1"/>
  <c r="S443" i="2"/>
  <c r="AG605" i="1"/>
  <c r="Q443" i="2"/>
  <c r="I540"/>
  <c r="F691"/>
  <c r="E1288"/>
  <c r="T1140"/>
  <c r="C303"/>
  <c r="J540"/>
  <c r="N401"/>
  <c r="N404" s="1"/>
  <c r="J541"/>
  <c r="AN70" i="1"/>
  <c r="J492" i="2" s="1"/>
  <c r="I690"/>
  <c r="BB130" i="1"/>
  <c r="Q540" i="2"/>
  <c r="U349"/>
  <c r="L516"/>
  <c r="U842"/>
  <c r="AG261" i="1"/>
  <c r="G1386" i="2" s="1"/>
  <c r="K1162"/>
  <c r="T691"/>
  <c r="J395"/>
  <c r="AZ136" i="1"/>
  <c r="T590" i="2" s="1"/>
  <c r="I445"/>
  <c r="S542"/>
  <c r="I105"/>
  <c r="S1436"/>
  <c r="X542"/>
  <c r="S1238"/>
  <c r="J204"/>
  <c r="U304"/>
  <c r="AX146" i="1"/>
  <c r="AH618"/>
  <c r="BD129"/>
  <c r="V740" i="2" s="1"/>
  <c r="W842"/>
  <c r="P1140"/>
  <c r="U841"/>
  <c r="L843"/>
  <c r="G105"/>
  <c r="R841"/>
  <c r="Q591"/>
  <c r="H105"/>
  <c r="H690"/>
  <c r="K202"/>
  <c r="K443"/>
  <c r="AJ78" i="1"/>
  <c r="H639" i="2" s="1"/>
  <c r="J351"/>
  <c r="H351"/>
  <c r="K401"/>
  <c r="K404" s="1"/>
  <c r="BF116" i="1"/>
  <c r="T105" i="2"/>
  <c r="X639"/>
  <c r="L592"/>
  <c r="E1238"/>
  <c r="V349"/>
  <c r="T351"/>
  <c r="C304"/>
  <c r="E446"/>
  <c r="X842"/>
  <c r="AI146" i="1"/>
  <c r="AO138"/>
  <c r="J592" i="2" s="1"/>
  <c r="L303"/>
  <c r="AL129" i="1"/>
  <c r="I740" i="2" s="1"/>
  <c r="E990"/>
  <c r="P1288"/>
  <c r="Q693"/>
  <c r="AO137" i="1"/>
  <c r="J591" i="2" s="1"/>
  <c r="G1258"/>
  <c r="AL86" i="1"/>
  <c r="K939" i="2" s="1"/>
  <c r="H693"/>
  <c r="AJ55" i="1"/>
  <c r="F398" i="2" s="1"/>
  <c r="H153"/>
  <c r="E692"/>
  <c r="AN86" i="1"/>
  <c r="J939" i="2" s="1"/>
  <c r="AH13" i="1"/>
  <c r="G27" i="2" s="1"/>
  <c r="S105"/>
  <c r="X516"/>
  <c r="AZ279" i="1"/>
  <c r="W1456" i="2" s="1"/>
  <c r="R691"/>
  <c r="H991"/>
  <c r="V155"/>
  <c r="V691"/>
  <c r="F543"/>
  <c r="H692"/>
  <c r="L892"/>
  <c r="AJ130" i="1"/>
  <c r="G741" i="2" s="1"/>
  <c r="F690"/>
  <c r="R443"/>
  <c r="D1112"/>
  <c r="AL74" i="1"/>
  <c r="K516" i="2" s="1"/>
  <c r="Q1238"/>
  <c r="G693"/>
  <c r="H395"/>
  <c r="X844"/>
  <c r="T303"/>
  <c r="R401"/>
  <c r="R404" s="1"/>
  <c r="D1090"/>
  <c r="G443"/>
  <c r="L991"/>
  <c r="AH86" i="1"/>
  <c r="F939" i="2" s="1"/>
  <c r="T446"/>
  <c r="V844"/>
  <c r="K543"/>
  <c r="K444"/>
  <c r="G205"/>
  <c r="P1406"/>
  <c r="R351"/>
  <c r="G990"/>
  <c r="V990"/>
  <c r="AE261" i="1"/>
  <c r="D1386" i="2" s="1"/>
  <c r="E939"/>
  <c r="T103"/>
  <c r="H540"/>
  <c r="H993"/>
  <c r="AI144" i="1"/>
  <c r="T155" i="2"/>
  <c r="X891"/>
  <c r="H401"/>
  <c r="H404" s="1"/>
  <c r="H543"/>
  <c r="L350"/>
  <c r="AU55" i="1"/>
  <c r="N398" i="2" s="1"/>
  <c r="V302"/>
  <c r="F843"/>
  <c r="L993"/>
  <c r="F540"/>
  <c r="E443"/>
  <c r="D1140"/>
  <c r="T1112"/>
  <c r="E53"/>
  <c r="I443"/>
  <c r="G993"/>
  <c r="K542"/>
  <c r="AX136" i="1"/>
  <c r="R590" i="2" s="1"/>
  <c r="S991"/>
  <c r="V395"/>
  <c r="X992"/>
  <c r="J52"/>
  <c r="L841"/>
  <c r="D1191"/>
  <c r="P302"/>
  <c r="U205"/>
  <c r="X741"/>
  <c r="Q690"/>
  <c r="AM146" i="1"/>
  <c r="L351" i="2"/>
  <c r="E690"/>
  <c r="F395"/>
  <c r="Q153"/>
  <c r="BD145" i="1"/>
  <c r="V891" i="2" s="1"/>
  <c r="K1308"/>
  <c r="AF605" i="1"/>
  <c r="W841" i="2"/>
  <c r="V841"/>
  <c r="Q155"/>
  <c r="O302"/>
  <c r="G690"/>
  <c r="H154"/>
  <c r="T302"/>
  <c r="P1436"/>
  <c r="V350"/>
  <c r="V690"/>
  <c r="C301"/>
  <c r="I351"/>
  <c r="G692"/>
  <c r="X890"/>
  <c r="AJ146" i="1"/>
  <c r="G892" i="2" s="1"/>
  <c r="L301"/>
  <c r="S203"/>
  <c r="X351"/>
  <c r="P351" s="1"/>
  <c r="V1308"/>
  <c r="S841"/>
  <c r="J155"/>
  <c r="AG577" i="1"/>
  <c r="E592" i="2"/>
  <c r="P1238"/>
  <c r="V991"/>
  <c r="D1436"/>
  <c r="L939"/>
  <c r="O395"/>
  <c r="D1210"/>
  <c r="Q1436"/>
  <c r="Q444"/>
  <c r="K395"/>
  <c r="V693"/>
  <c r="K991"/>
  <c r="H1062"/>
  <c r="G842"/>
  <c r="R993"/>
  <c r="G992"/>
  <c r="AT583" i="1"/>
  <c r="AV589" s="1"/>
  <c r="AT250" s="1"/>
  <c r="P1339" i="2" s="1"/>
  <c r="F542"/>
  <c r="O301"/>
  <c r="BD146" i="1"/>
  <c r="V892" i="2" s="1"/>
  <c r="U443"/>
  <c r="T401"/>
  <c r="T404" s="1"/>
  <c r="L690"/>
  <c r="Q395"/>
  <c r="R843"/>
  <c r="E844"/>
  <c r="G1436"/>
  <c r="K841"/>
  <c r="E991"/>
  <c r="AQ626" i="1"/>
  <c r="AQ627" s="1"/>
  <c r="O986" i="44" s="1"/>
  <c r="K690" i="2"/>
  <c r="X742"/>
  <c r="U542"/>
  <c r="G204"/>
  <c r="R1210"/>
  <c r="X302"/>
  <c r="V105"/>
  <c r="F351"/>
  <c r="T541"/>
  <c r="Q1112"/>
  <c r="V152"/>
  <c r="J841"/>
  <c r="U540"/>
  <c r="H349"/>
  <c r="S843"/>
  <c r="AI74" i="1"/>
  <c r="G516" i="2" s="1"/>
  <c r="G841"/>
  <c r="T1288"/>
  <c r="T991"/>
  <c r="D1406"/>
  <c r="W692"/>
  <c r="N395"/>
  <c r="R253"/>
  <c r="S540"/>
  <c r="E843"/>
  <c r="D401"/>
  <c r="D404" s="1"/>
  <c r="AL633" i="1"/>
  <c r="AL634" s="1"/>
  <c r="I988" i="44" s="1"/>
  <c r="BA78" i="1"/>
  <c r="W639" i="2" s="1"/>
  <c r="T395"/>
  <c r="L349"/>
  <c r="BA129" i="1"/>
  <c r="U740" i="2" s="1"/>
  <c r="R541"/>
  <c r="AY131" i="1"/>
  <c r="S742" i="2" s="1"/>
  <c r="E691"/>
  <c r="P401"/>
  <c r="P404" s="1"/>
  <c r="H254"/>
  <c r="O401"/>
  <c r="O404" s="1"/>
  <c r="U104"/>
  <c r="AW74" i="1"/>
  <c r="R516" i="2" s="1"/>
  <c r="X740"/>
  <c r="AK146" i="1"/>
  <c r="H892" i="2" s="1"/>
  <c r="F692"/>
  <c r="Q692"/>
  <c r="AN74" i="1"/>
  <c r="J516" i="2" s="1"/>
  <c r="X691"/>
  <c r="AZ74" i="1"/>
  <c r="U516" i="2" s="1"/>
  <c r="U105"/>
  <c r="AN82" i="1"/>
  <c r="J791" i="2" s="1"/>
  <c r="R154"/>
  <c r="S1288"/>
  <c r="C395"/>
  <c r="K990"/>
  <c r="S990"/>
  <c r="R204"/>
  <c r="F401"/>
  <c r="F404" s="1"/>
  <c r="R254"/>
  <c r="R1191"/>
  <c r="AT261" i="1"/>
  <c r="P1386" i="2" s="1"/>
  <c r="E542"/>
  <c r="AH74" i="1"/>
  <c r="F516" i="2" s="1"/>
  <c r="S253"/>
  <c r="AF618" i="1"/>
  <c r="I52" i="2"/>
  <c r="E791"/>
  <c r="X301"/>
  <c r="E395"/>
  <c r="AU279" i="1"/>
  <c r="Q1456" i="2" s="1"/>
  <c r="E693"/>
  <c r="W690"/>
  <c r="V203"/>
  <c r="AK145" i="1"/>
  <c r="H891" i="2" s="1"/>
  <c r="S395"/>
  <c r="R540"/>
  <c r="G691"/>
  <c r="BG118" i="1"/>
  <c r="T54" i="2" s="1"/>
  <c r="L540"/>
  <c r="X492"/>
  <c r="BB137" i="1"/>
  <c r="W591" i="2" s="1"/>
  <c r="E992"/>
  <c r="F841"/>
  <c r="T990"/>
  <c r="I990"/>
  <c r="T841"/>
  <c r="F154"/>
  <c r="W990"/>
  <c r="F990"/>
  <c r="T443"/>
  <c r="W1308"/>
  <c r="R990"/>
  <c r="T349"/>
  <c r="G445"/>
  <c r="Q991"/>
  <c r="V543"/>
  <c r="E543"/>
  <c r="R105"/>
  <c r="V102"/>
  <c r="I692"/>
  <c r="Q843"/>
  <c r="BE116" i="1"/>
  <c r="AM130"/>
  <c r="F541" i="2"/>
  <c r="W395"/>
  <c r="S154"/>
  <c r="V54"/>
  <c r="J105"/>
  <c r="E993"/>
  <c r="R103"/>
  <c r="H52"/>
  <c r="X939"/>
  <c r="O304"/>
  <c r="Q990"/>
  <c r="BJ116" i="1"/>
  <c r="F1043" i="2"/>
  <c r="Q992"/>
  <c r="V540"/>
  <c r="H841"/>
  <c r="I841"/>
  <c r="BJ118" i="1"/>
  <c r="U54" i="2" s="1"/>
  <c r="E52"/>
  <c r="Q639"/>
  <c r="X841"/>
  <c r="S155"/>
  <c r="AK137" i="1"/>
  <c r="H591" i="2" s="1"/>
  <c r="G253"/>
  <c r="BD144" i="1"/>
  <c r="V890" i="2" s="1"/>
  <c r="AJ129" i="1"/>
  <c r="G740" i="2" s="1"/>
  <c r="H443"/>
  <c r="S349"/>
  <c r="L542"/>
  <c r="BD138" i="1"/>
  <c r="V592" i="2" s="1"/>
  <c r="BC70" i="1"/>
  <c r="V492" i="2" s="1"/>
  <c r="AL145" i="1"/>
  <c r="I891" i="2" s="1"/>
  <c r="D301"/>
  <c r="G395"/>
  <c r="E540"/>
  <c r="E1406"/>
  <c r="E841"/>
  <c r="D395"/>
  <c r="K692"/>
  <c r="E444"/>
  <c r="G52"/>
  <c r="Q543"/>
  <c r="Q542"/>
  <c r="AL131" i="1"/>
  <c r="I742" i="2" s="1"/>
  <c r="AJ86" i="1"/>
  <c r="H939" i="2" s="1"/>
  <c r="BG116" i="1"/>
  <c r="P1090" i="2"/>
  <c r="U992"/>
  <c r="AL25" i="1"/>
  <c r="AV255"/>
  <c r="T1358" i="2" s="1"/>
  <c r="R104"/>
  <c r="AZ86" i="1"/>
  <c r="U939" i="2" s="1"/>
  <c r="W541"/>
  <c r="Q691"/>
  <c r="D1288"/>
  <c r="Q103"/>
  <c r="F153"/>
  <c r="D1238"/>
  <c r="R153"/>
  <c r="Q993"/>
  <c r="J543"/>
  <c r="R203"/>
  <c r="D1258"/>
  <c r="O303"/>
  <c r="AM25" i="1" l="1"/>
  <c r="AJ21"/>
  <c r="AK21" s="1"/>
  <c r="BB21"/>
  <c r="BC21" s="1"/>
  <c r="AL21"/>
  <c r="BM21"/>
  <c r="T102" i="2"/>
  <c r="T106" s="1"/>
  <c r="BF21" i="1"/>
  <c r="I102" i="2"/>
  <c r="I106" s="1"/>
  <c r="AQ21" i="1"/>
  <c r="G102" i="2"/>
  <c r="AM21" i="1"/>
  <c r="H102" i="2"/>
  <c r="H106" s="1"/>
  <c r="AN21" i="1"/>
  <c r="U102" i="2"/>
  <c r="U106" s="1"/>
  <c r="BJ21" i="1"/>
  <c r="R102" i="2"/>
  <c r="R106" s="1"/>
  <c r="BD21" i="1"/>
  <c r="S102" i="2"/>
  <c r="S106" s="1"/>
  <c r="BE21" i="1"/>
  <c r="AV8"/>
  <c r="F797" i="44"/>
  <c r="M797"/>
  <c r="C760"/>
  <c r="B760"/>
  <c r="F765"/>
  <c r="AG8" i="1"/>
  <c r="AM7"/>
  <c r="U395" i="2"/>
  <c r="U403" s="1"/>
  <c r="BC60" i="1"/>
  <c r="U401" i="2" s="1"/>
  <c r="U404" s="1"/>
  <c r="AH8" i="1"/>
  <c r="AI8" s="1"/>
  <c r="AW8"/>
  <c r="AY8" s="1"/>
  <c r="I395" i="2"/>
  <c r="I403" s="1"/>
  <c r="AM60" i="1"/>
  <c r="I401" i="2" s="1"/>
  <c r="I404" s="1"/>
  <c r="Q6"/>
  <c r="BB7" i="1"/>
  <c r="Q492" i="2"/>
  <c r="O492" s="1"/>
  <c r="Q496" s="1"/>
  <c r="AU70" i="1"/>
  <c r="AF6"/>
  <c r="C1039" i="44"/>
  <c r="F1039"/>
  <c r="C1068"/>
  <c r="F1068"/>
  <c r="C1066"/>
  <c r="F1066"/>
  <c r="C986"/>
  <c r="F986"/>
  <c r="C1041"/>
  <c r="F1041"/>
  <c r="P988"/>
  <c r="Q988" s="1"/>
  <c r="R988"/>
  <c r="P1041"/>
  <c r="Q1041" s="1"/>
  <c r="J1041"/>
  <c r="K1041" s="1"/>
  <c r="J1066"/>
  <c r="K1066" s="1"/>
  <c r="L1066"/>
  <c r="P986"/>
  <c r="Q986" s="1"/>
  <c r="R986"/>
  <c r="J988"/>
  <c r="K988" s="1"/>
  <c r="L988"/>
  <c r="J1015"/>
  <c r="K1015" s="1"/>
  <c r="L1015"/>
  <c r="J986"/>
  <c r="K986" s="1"/>
  <c r="L986"/>
  <c r="P1068"/>
  <c r="R1068"/>
  <c r="P1039"/>
  <c r="Q1039" s="1"/>
  <c r="R1039"/>
  <c r="J1039"/>
  <c r="K1039" s="1"/>
  <c r="L1039"/>
  <c r="J1013"/>
  <c r="K1013" s="1"/>
  <c r="P1015"/>
  <c r="Q1015" s="1"/>
  <c r="P1013"/>
  <c r="Q1013" s="1"/>
  <c r="R1013"/>
  <c r="P1066"/>
  <c r="Q1066" s="1"/>
  <c r="R1066"/>
  <c r="J1068"/>
  <c r="K1068" s="1"/>
  <c r="L1068"/>
  <c r="S500"/>
  <c r="T500"/>
  <c r="S461"/>
  <c r="T461"/>
  <c r="S463"/>
  <c r="T463"/>
  <c r="S498"/>
  <c r="T498"/>
  <c r="S492"/>
  <c r="T492"/>
  <c r="S455"/>
  <c r="T455"/>
  <c r="S502"/>
  <c r="T502"/>
  <c r="S465"/>
  <c r="T465"/>
  <c r="S459"/>
  <c r="T459"/>
  <c r="S496"/>
  <c r="T496"/>
  <c r="F301" i="2"/>
  <c r="AJ25" i="1"/>
  <c r="AJ27" s="1"/>
  <c r="M760" i="44"/>
  <c r="J760"/>
  <c r="I760"/>
  <c r="F760"/>
  <c r="J792"/>
  <c r="I792"/>
  <c r="B792"/>
  <c r="C792"/>
  <c r="M800"/>
  <c r="F794"/>
  <c r="M796"/>
  <c r="F798"/>
  <c r="F800"/>
  <c r="M798"/>
  <c r="M792"/>
  <c r="F792"/>
  <c r="M794"/>
  <c r="F796"/>
  <c r="I762"/>
  <c r="J762"/>
  <c r="M762"/>
  <c r="J800"/>
  <c r="I800"/>
  <c r="B794"/>
  <c r="C794"/>
  <c r="I796"/>
  <c r="J796"/>
  <c r="C798"/>
  <c r="B798"/>
  <c r="F768"/>
  <c r="C768"/>
  <c r="B768"/>
  <c r="C800"/>
  <c r="B800"/>
  <c r="B766"/>
  <c r="F766"/>
  <c r="C766"/>
  <c r="C762"/>
  <c r="B762"/>
  <c r="F762"/>
  <c r="J798"/>
  <c r="I798"/>
  <c r="J794"/>
  <c r="I794"/>
  <c r="M768"/>
  <c r="I768"/>
  <c r="J768"/>
  <c r="M766"/>
  <c r="I766"/>
  <c r="J766"/>
  <c r="B796"/>
  <c r="C796"/>
  <c r="I764"/>
  <c r="J764"/>
  <c r="M764"/>
  <c r="F764"/>
  <c r="B764"/>
  <c r="C764"/>
  <c r="G301" i="2"/>
  <c r="AO22" i="1"/>
  <c r="AP22" s="1"/>
  <c r="T52" i="2"/>
  <c r="T55" s="1"/>
  <c r="BG119" i="1"/>
  <c r="U301" i="2"/>
  <c r="U305" s="1"/>
  <c r="BF25" i="1"/>
  <c r="V301" i="2"/>
  <c r="V305" s="1"/>
  <c r="BJ25" i="1"/>
  <c r="BD27" s="1"/>
  <c r="U52" i="2"/>
  <c r="U55" s="1"/>
  <c r="BJ119" i="1"/>
  <c r="T301" i="2"/>
  <c r="T305" s="1"/>
  <c r="BE25" i="1"/>
  <c r="R52" i="2"/>
  <c r="R55" s="1"/>
  <c r="BE119" i="1"/>
  <c r="R301" i="2"/>
  <c r="BB25" i="1"/>
  <c r="BB27" s="1"/>
  <c r="BC22"/>
  <c r="BG22"/>
  <c r="BH22" s="1"/>
  <c r="S301" i="2"/>
  <c r="S305" s="1"/>
  <c r="BD25" i="1"/>
  <c r="I301" i="2"/>
  <c r="I305" s="1"/>
  <c r="AN25" i="1"/>
  <c r="AK27" s="1"/>
  <c r="F105" i="2"/>
  <c r="C105" s="1"/>
  <c r="AO20" i="1"/>
  <c r="AP20" s="1"/>
  <c r="J301" i="2"/>
  <c r="J305" s="1"/>
  <c r="AQ25" i="1"/>
  <c r="AL27" s="1"/>
  <c r="Q52" i="2"/>
  <c r="BC119" i="1"/>
  <c r="BD116"/>
  <c r="BH116"/>
  <c r="BI116" s="1"/>
  <c r="H301" i="2"/>
  <c r="H305" s="1"/>
  <c r="Q105"/>
  <c r="P105" s="1"/>
  <c r="BG20" i="1"/>
  <c r="BH20" s="1"/>
  <c r="BC20"/>
  <c r="R303" i="2"/>
  <c r="Q303" s="1"/>
  <c r="BG23" i="1"/>
  <c r="BH23" s="1"/>
  <c r="BC23"/>
  <c r="R304" i="2"/>
  <c r="Q304" s="1"/>
  <c r="BC24" i="1"/>
  <c r="BG24"/>
  <c r="BH24" s="1"/>
  <c r="S52" i="2"/>
  <c r="BF119" i="1"/>
  <c r="Q54" i="2"/>
  <c r="P54" s="1"/>
  <c r="BD118" i="1"/>
  <c r="BH118"/>
  <c r="BI118" s="1"/>
  <c r="W301" i="2"/>
  <c r="W305" s="1"/>
  <c r="BM25" i="1"/>
  <c r="BE27" s="1"/>
  <c r="G304" i="2"/>
  <c r="AO24" i="1"/>
  <c r="AP24" s="1"/>
  <c r="Q104" i="2"/>
  <c r="P104" s="1"/>
  <c r="BC19" i="1"/>
  <c r="BG19"/>
  <c r="BH19" s="1"/>
  <c r="Q53" i="2"/>
  <c r="O53" s="1"/>
  <c r="BD117" i="1"/>
  <c r="BH117"/>
  <c r="BI117" s="1"/>
  <c r="Q102" i="2"/>
  <c r="BC18" i="1"/>
  <c r="BG18"/>
  <c r="K301" i="2"/>
  <c r="K305" s="1"/>
  <c r="AT25" i="1"/>
  <c r="AM27" s="1"/>
  <c r="F104" i="2"/>
  <c r="AO19" i="1"/>
  <c r="AP19" s="1"/>
  <c r="F102" i="2"/>
  <c r="AO18" i="1"/>
  <c r="G303" i="2"/>
  <c r="AO23" i="1"/>
  <c r="AP23" s="1"/>
  <c r="AI604"/>
  <c r="H1210" i="2"/>
  <c r="AG207" i="1"/>
  <c r="T1210" i="2"/>
  <c r="AV207" i="1"/>
  <c r="AW205"/>
  <c r="AV208" s="1"/>
  <c r="F1210" i="2"/>
  <c r="AF207" i="1"/>
  <c r="AH205"/>
  <c r="AE208" s="1"/>
  <c r="AW156"/>
  <c r="AT159" s="1"/>
  <c r="AH156"/>
  <c r="AF159" s="1"/>
  <c r="R1062" i="2"/>
  <c r="AU158" i="1"/>
  <c r="T1062" i="2"/>
  <c r="AV158" i="1"/>
  <c r="F1062" i="2"/>
  <c r="AF158" i="1"/>
  <c r="AL46"/>
  <c r="I255" i="2" s="1"/>
  <c r="E740"/>
  <c r="AG129" i="1"/>
  <c r="Q740" i="2"/>
  <c r="P740" s="1"/>
  <c r="AV129" i="1"/>
  <c r="E742" i="2"/>
  <c r="D742" s="1"/>
  <c r="AG131" i="1"/>
  <c r="Q741" i="2"/>
  <c r="P741" s="1"/>
  <c r="AV130" i="1"/>
  <c r="E741" i="2"/>
  <c r="AG130" i="1"/>
  <c r="Q742" i="2"/>
  <c r="AV131" i="1"/>
  <c r="P6" i="2"/>
  <c r="AU6" i="1"/>
  <c r="N6" i="2" s="1"/>
  <c r="AM34" i="1"/>
  <c r="I156" i="2" s="1"/>
  <c r="AI40" i="1"/>
  <c r="F206" i="2" s="1"/>
  <c r="AI46" i="1"/>
  <c r="F255" i="2" s="1"/>
  <c r="U152"/>
  <c r="U156" s="1"/>
  <c r="BB34" i="1"/>
  <c r="G202" i="2"/>
  <c r="AJ40" i="1"/>
  <c r="G206" i="2" s="1"/>
  <c r="S202"/>
  <c r="S206" s="1"/>
  <c r="AY40" i="1"/>
  <c r="G251" i="2"/>
  <c r="AJ46" i="1"/>
  <c r="G255" i="2" s="1"/>
  <c r="H251"/>
  <c r="AK46" i="1"/>
  <c r="H255" i="2" s="1"/>
  <c r="U202"/>
  <c r="U206" s="1"/>
  <c r="BA40" i="1"/>
  <c r="R202" i="2"/>
  <c r="R206" s="1"/>
  <c r="AX40" i="1"/>
  <c r="J202" i="2"/>
  <c r="AM40" i="1"/>
  <c r="J206" i="2" s="1"/>
  <c r="U251"/>
  <c r="U255" s="1"/>
  <c r="BA46" i="1"/>
  <c r="T202" i="2"/>
  <c r="T206" s="1"/>
  <c r="AZ40" i="1"/>
  <c r="V202" i="2"/>
  <c r="V206" s="1"/>
  <c r="BB40" i="1"/>
  <c r="T251" i="2"/>
  <c r="T255" s="1"/>
  <c r="AZ46" i="1"/>
  <c r="R152" i="2"/>
  <c r="R156" s="1"/>
  <c r="AY34" i="1"/>
  <c r="H202" i="2"/>
  <c r="AK40" i="1"/>
  <c r="H206" i="2" s="1"/>
  <c r="V251"/>
  <c r="V255" s="1"/>
  <c r="BB46" i="1"/>
  <c r="S152" i="2"/>
  <c r="S156" s="1"/>
  <c r="AZ34" i="1"/>
  <c r="J251" i="2"/>
  <c r="AM46" i="1"/>
  <c r="J255" i="2" s="1"/>
  <c r="I202"/>
  <c r="AL40" i="1"/>
  <c r="I206" i="2" s="1"/>
  <c r="Q152"/>
  <c r="AX34" i="1"/>
  <c r="S251" i="2"/>
  <c r="S255" s="1"/>
  <c r="AY46" i="1"/>
  <c r="T152" i="2"/>
  <c r="T156" s="1"/>
  <c r="BA34" i="1"/>
  <c r="H152" i="2"/>
  <c r="AL34" i="1"/>
  <c r="H156" i="2" s="1"/>
  <c r="F152"/>
  <c r="AJ34" i="1"/>
  <c r="F156" i="2" s="1"/>
  <c r="G152"/>
  <c r="AK34" i="1"/>
  <c r="G156" i="2" s="1"/>
  <c r="E152"/>
  <c r="AI34" i="1"/>
  <c r="E156" i="2" s="1"/>
  <c r="R251"/>
  <c r="R255" s="1"/>
  <c r="AX46" i="1"/>
  <c r="AZ604"/>
  <c r="B302" i="2"/>
  <c r="C310" s="1"/>
  <c r="B301"/>
  <c r="AW605" i="1"/>
  <c r="AX605"/>
  <c r="AV605"/>
  <c r="AY605"/>
  <c r="AE618"/>
  <c r="AG651"/>
  <c r="Q1162" i="2"/>
  <c r="AE588" i="1"/>
  <c r="AE250" s="1"/>
  <c r="D1339" i="2" s="1"/>
  <c r="C1339" s="1"/>
  <c r="F1342" s="1"/>
  <c r="G30"/>
  <c r="F29"/>
  <c r="C1191"/>
  <c r="F1194" s="1"/>
  <c r="W1162"/>
  <c r="K255"/>
  <c r="K741"/>
  <c r="C54"/>
  <c r="H62" s="1"/>
  <c r="Q1308"/>
  <c r="S1162"/>
  <c r="I55"/>
  <c r="AH39" i="1"/>
  <c r="R30" i="2"/>
  <c r="AG644" i="1"/>
  <c r="AQ651"/>
  <c r="O1015" i="44" s="1"/>
  <c r="AQ739" i="1"/>
  <c r="O1041" i="44" s="1"/>
  <c r="AG634" i="1"/>
  <c r="AL739"/>
  <c r="I1041" i="44" s="1"/>
  <c r="AV564" i="1"/>
  <c r="D543" i="2"/>
  <c r="AF78" i="1"/>
  <c r="AG136"/>
  <c r="G352" i="2"/>
  <c r="AL644" i="1"/>
  <c r="I1013" i="44" s="1"/>
  <c r="F303" i="2"/>
  <c r="AH564" i="1"/>
  <c r="S30" i="2"/>
  <c r="E403"/>
  <c r="E405" s="1"/>
  <c r="G29"/>
  <c r="V403"/>
  <c r="V405" s="1"/>
  <c r="V409" s="1"/>
  <c r="Q403"/>
  <c r="Q405" s="1"/>
  <c r="O403"/>
  <c r="O405" s="1"/>
  <c r="O410" s="1"/>
  <c r="F403"/>
  <c r="F405" s="1"/>
  <c r="Q254"/>
  <c r="P691"/>
  <c r="AV145" i="1"/>
  <c r="D403" i="2"/>
  <c r="D405" s="1"/>
  <c r="C53"/>
  <c r="Q351"/>
  <c r="P1162"/>
  <c r="J403"/>
  <c r="J405" s="1"/>
  <c r="J410" s="1"/>
  <c r="X845"/>
  <c r="S1308"/>
  <c r="AF70" i="1"/>
  <c r="N403" i="2"/>
  <c r="N405" s="1"/>
  <c r="N409" s="1"/>
  <c r="N304"/>
  <c r="V447"/>
  <c r="Q203"/>
  <c r="D592"/>
  <c r="AT279" i="1"/>
  <c r="P1456" i="2" s="1"/>
  <c r="O1456" s="1"/>
  <c r="T994"/>
  <c r="D542"/>
  <c r="Q891"/>
  <c r="P891" s="1"/>
  <c r="G104"/>
  <c r="T403"/>
  <c r="T405" s="1"/>
  <c r="T410" s="1"/>
  <c r="AG138" i="1"/>
  <c r="H403" i="2"/>
  <c r="H405" s="1"/>
  <c r="S403"/>
  <c r="S405" s="1"/>
  <c r="S410" s="1"/>
  <c r="J694"/>
  <c r="G403"/>
  <c r="G405" s="1"/>
  <c r="G410" s="1"/>
  <c r="C403"/>
  <c r="C405" s="1"/>
  <c r="C410" s="1"/>
  <c r="K403"/>
  <c r="K405" s="1"/>
  <c r="H447"/>
  <c r="F994"/>
  <c r="D444"/>
  <c r="W994"/>
  <c r="C52"/>
  <c r="E60" s="1"/>
  <c r="E102"/>
  <c r="AH33" i="1"/>
  <c r="J203" i="2"/>
  <c r="E590"/>
  <c r="C590" s="1"/>
  <c r="J596" s="1"/>
  <c r="AV137" i="1"/>
  <c r="B403" i="2"/>
  <c r="B405" s="1"/>
  <c r="B410" s="1"/>
  <c r="I152"/>
  <c r="AG144" i="1"/>
  <c r="I203" i="2"/>
  <c r="E203" s="1"/>
  <c r="E492"/>
  <c r="D492" s="1"/>
  <c r="AV138" i="1"/>
  <c r="K206" i="2"/>
  <c r="W741"/>
  <c r="P403"/>
  <c r="P405" s="1"/>
  <c r="P409" s="1"/>
  <c r="U845"/>
  <c r="W403"/>
  <c r="W405" s="1"/>
  <c r="W410" s="1"/>
  <c r="AH32" i="1"/>
  <c r="K254" i="2"/>
  <c r="F30"/>
  <c r="J447"/>
  <c r="Q892"/>
  <c r="AV146" i="1"/>
  <c r="E891" i="2"/>
  <c r="D891" s="1"/>
  <c r="AG145" i="1"/>
  <c r="K892" i="2"/>
  <c r="Q590"/>
  <c r="AV136" i="1"/>
  <c r="F890" i="2"/>
  <c r="D890" s="1"/>
  <c r="F892"/>
  <c r="R892"/>
  <c r="K891"/>
  <c r="K742"/>
  <c r="R890"/>
  <c r="E591"/>
  <c r="D591" s="1"/>
  <c r="AG137" i="1"/>
  <c r="W742" i="2"/>
  <c r="R742"/>
  <c r="F740"/>
  <c r="W890"/>
  <c r="Q890"/>
  <c r="AV144" i="1"/>
  <c r="F741" i="2"/>
  <c r="E892"/>
  <c r="AG146" i="1"/>
  <c r="W740" i="2"/>
  <c r="W891"/>
  <c r="O843"/>
  <c r="P843"/>
  <c r="O692"/>
  <c r="V700" s="1"/>
  <c r="P692"/>
  <c r="H352"/>
  <c r="O153"/>
  <c r="V161" s="1"/>
  <c r="I845"/>
  <c r="C305"/>
  <c r="E253"/>
  <c r="O444"/>
  <c r="Q452" s="1"/>
  <c r="P444"/>
  <c r="O1238"/>
  <c r="Q1241" s="1"/>
  <c r="L845"/>
  <c r="O542"/>
  <c r="S550" s="1"/>
  <c r="P542"/>
  <c r="T447"/>
  <c r="I994"/>
  <c r="R544"/>
  <c r="C693"/>
  <c r="J701" s="1"/>
  <c r="D693"/>
  <c r="C791"/>
  <c r="E795" s="1"/>
  <c r="D791"/>
  <c r="P204"/>
  <c r="Q204"/>
  <c r="C1456"/>
  <c r="K694"/>
  <c r="C1436"/>
  <c r="D1439" s="1"/>
  <c r="J55"/>
  <c r="D939"/>
  <c r="K845"/>
  <c r="O305"/>
  <c r="N301"/>
  <c r="T845"/>
  <c r="H845"/>
  <c r="O990"/>
  <c r="S998" s="1"/>
  <c r="Q994"/>
  <c r="P990"/>
  <c r="O991"/>
  <c r="P991"/>
  <c r="P154"/>
  <c r="V156"/>
  <c r="U447"/>
  <c r="V845"/>
  <c r="U544"/>
  <c r="C1162"/>
  <c r="E351"/>
  <c r="N302"/>
  <c r="C844"/>
  <c r="E852" s="1"/>
  <c r="D844"/>
  <c r="O1436"/>
  <c r="T1439" s="1"/>
  <c r="D993"/>
  <c r="P103"/>
  <c r="R994"/>
  <c r="L352"/>
  <c r="D349"/>
  <c r="L694"/>
  <c r="G55"/>
  <c r="C841"/>
  <c r="F849" s="1"/>
  <c r="E845"/>
  <c r="D841"/>
  <c r="V106"/>
  <c r="E694"/>
  <c r="C690"/>
  <c r="D690"/>
  <c r="N303"/>
  <c r="C1258"/>
  <c r="D1261" s="1"/>
  <c r="F845"/>
  <c r="D52"/>
  <c r="O543"/>
  <c r="R551" s="1"/>
  <c r="O992"/>
  <c r="X1000" s="1"/>
  <c r="S352"/>
  <c r="C993"/>
  <c r="K1001" s="1"/>
  <c r="C542"/>
  <c r="E550" s="1"/>
  <c r="P254"/>
  <c r="R262" s="1"/>
  <c r="S994"/>
  <c r="P541"/>
  <c r="C939"/>
  <c r="K943" s="1"/>
  <c r="AH37" i="1"/>
  <c r="F202" i="2"/>
  <c r="H55"/>
  <c r="E447"/>
  <c r="C443"/>
  <c r="D443"/>
  <c r="AF86" i="1"/>
  <c r="E994" i="2"/>
  <c r="C990"/>
  <c r="I998" s="1"/>
  <c r="D990"/>
  <c r="I694"/>
  <c r="C1238"/>
  <c r="D1241" s="1"/>
  <c r="D154"/>
  <c r="O1090"/>
  <c r="T1093" s="1"/>
  <c r="F302"/>
  <c r="AF82" i="1"/>
  <c r="E155" i="2"/>
  <c r="D155" s="1"/>
  <c r="F205"/>
  <c r="C1386"/>
  <c r="G1389" s="1"/>
  <c r="C446"/>
  <c r="I454" s="1"/>
  <c r="D446"/>
  <c r="O1140"/>
  <c r="Q1143" s="1"/>
  <c r="S447"/>
  <c r="X994"/>
  <c r="O1258"/>
  <c r="T1261" s="1"/>
  <c r="T352"/>
  <c r="D6"/>
  <c r="E153"/>
  <c r="E54"/>
  <c r="E55" s="1"/>
  <c r="AT255" i="1"/>
  <c r="P1358" i="2" s="1"/>
  <c r="L544"/>
  <c r="F544"/>
  <c r="H544"/>
  <c r="V994"/>
  <c r="G447"/>
  <c r="B304"/>
  <c r="J312" s="1"/>
  <c r="U352"/>
  <c r="P791"/>
  <c r="O791"/>
  <c r="U795" s="1"/>
  <c r="J106"/>
  <c r="O103"/>
  <c r="V111" s="1"/>
  <c r="C1288"/>
  <c r="E1291" s="1"/>
  <c r="E544"/>
  <c r="C540"/>
  <c r="L548" s="1"/>
  <c r="V544"/>
  <c r="D992"/>
  <c r="C992"/>
  <c r="E1000" s="1"/>
  <c r="V694"/>
  <c r="O155"/>
  <c r="D351"/>
  <c r="G994"/>
  <c r="O1406"/>
  <c r="P1409" s="1"/>
  <c r="C692"/>
  <c r="E700" s="1"/>
  <c r="D692"/>
  <c r="O540"/>
  <c r="Q544"/>
  <c r="P540"/>
  <c r="I544"/>
  <c r="O639"/>
  <c r="V643" s="1"/>
  <c r="K994"/>
  <c r="S544"/>
  <c r="C1406"/>
  <c r="G1409" s="1"/>
  <c r="G845"/>
  <c r="R349"/>
  <c r="F350"/>
  <c r="O1386"/>
  <c r="T1389" s="1"/>
  <c r="I251"/>
  <c r="D540"/>
  <c r="AY564" i="1"/>
  <c r="D305" i="2"/>
  <c r="W694"/>
  <c r="AI564" i="1"/>
  <c r="P993" i="2"/>
  <c r="C1090"/>
  <c r="G1093" s="1"/>
  <c r="R447"/>
  <c r="K447"/>
  <c r="C691"/>
  <c r="F699" s="1"/>
  <c r="D691"/>
  <c r="J845"/>
  <c r="D991"/>
  <c r="C991"/>
  <c r="H999" s="1"/>
  <c r="O1339"/>
  <c r="P1342" s="1"/>
  <c r="C592"/>
  <c r="L598" s="1"/>
  <c r="E639"/>
  <c r="W845"/>
  <c r="O993"/>
  <c r="S1001" s="1"/>
  <c r="P305"/>
  <c r="D350"/>
  <c r="F694"/>
  <c r="O693"/>
  <c r="P693"/>
  <c r="V352"/>
  <c r="O1112"/>
  <c r="T1115" s="1"/>
  <c r="P203"/>
  <c r="C444"/>
  <c r="I452" s="1"/>
  <c r="Q253"/>
  <c r="P253"/>
  <c r="U261" s="1"/>
  <c r="P992"/>
  <c r="AZ564" i="1"/>
  <c r="P639" i="2"/>
  <c r="G694"/>
  <c r="O690"/>
  <c r="Q694"/>
  <c r="P690"/>
  <c r="I447"/>
  <c r="C1140"/>
  <c r="G1143" s="1"/>
  <c r="O1288"/>
  <c r="T1291" s="1"/>
  <c r="B303"/>
  <c r="P153"/>
  <c r="O691"/>
  <c r="W699" s="1"/>
  <c r="C543"/>
  <c r="X305"/>
  <c r="C843"/>
  <c r="F851" s="1"/>
  <c r="D843"/>
  <c r="S845"/>
  <c r="P543"/>
  <c r="L305"/>
  <c r="H694"/>
  <c r="Q447"/>
  <c r="P443"/>
  <c r="O443"/>
  <c r="T451" s="1"/>
  <c r="W206"/>
  <c r="J994"/>
  <c r="G544"/>
  <c r="I352"/>
  <c r="R694"/>
  <c r="X694"/>
  <c r="AE569" i="1"/>
  <c r="AJ575"/>
  <c r="AE577"/>
  <c r="K352" i="2"/>
  <c r="D53"/>
  <c r="X352"/>
  <c r="P349"/>
  <c r="P592"/>
  <c r="X544"/>
  <c r="H994"/>
  <c r="S694"/>
  <c r="D103"/>
  <c r="R845"/>
  <c r="J544"/>
  <c r="O154"/>
  <c r="S162" s="1"/>
  <c r="W447"/>
  <c r="P445"/>
  <c r="O591"/>
  <c r="P591"/>
  <c r="L994"/>
  <c r="C1112"/>
  <c r="H1115" s="1"/>
  <c r="E1308"/>
  <c r="AF564" i="1"/>
  <c r="V55" i="2"/>
  <c r="F55"/>
  <c r="C541"/>
  <c r="L549" s="1"/>
  <c r="D541"/>
  <c r="V1162"/>
  <c r="AV570" i="1"/>
  <c r="AY577"/>
  <c r="BA575"/>
  <c r="AY576" s="1"/>
  <c r="O939" i="2"/>
  <c r="V943" s="1"/>
  <c r="P939"/>
  <c r="E349"/>
  <c r="F447"/>
  <c r="P841"/>
  <c r="Q845"/>
  <c r="O841"/>
  <c r="V849" s="1"/>
  <c r="F252"/>
  <c r="W255"/>
  <c r="AF74" i="1"/>
  <c r="AI616"/>
  <c r="AE617" s="1"/>
  <c r="W352" i="2"/>
  <c r="AV556" i="1"/>
  <c r="F251" i="2"/>
  <c r="AH43" i="1"/>
  <c r="O446" i="2"/>
  <c r="R454" s="1"/>
  <c r="P446"/>
  <c r="AH31" i="1"/>
  <c r="AI577"/>
  <c r="Q205" i="2"/>
  <c r="P205"/>
  <c r="W213" s="1"/>
  <c r="W544"/>
  <c r="AH38" i="1"/>
  <c r="D204" i="2" s="1"/>
  <c r="H212" s="1"/>
  <c r="O842"/>
  <c r="R850" s="1"/>
  <c r="P842"/>
  <c r="BA561" i="1"/>
  <c r="AV562" s="1"/>
  <c r="C154" i="2"/>
  <c r="E162" s="1"/>
  <c r="D445"/>
  <c r="C445"/>
  <c r="J453" s="1"/>
  <c r="D516"/>
  <c r="C516"/>
  <c r="L520" s="1"/>
  <c r="D253"/>
  <c r="F261" s="1"/>
  <c r="O516"/>
  <c r="Q520" s="1"/>
  <c r="P516"/>
  <c r="O445"/>
  <c r="K544"/>
  <c r="G153"/>
  <c r="AZ616" i="1"/>
  <c r="AV611" s="1"/>
  <c r="R403" i="2"/>
  <c r="AE605" i="1"/>
  <c r="AZ602"/>
  <c r="AV597" s="1"/>
  <c r="C103" i="2"/>
  <c r="F204"/>
  <c r="AH44" i="1"/>
  <c r="U994" i="2"/>
  <c r="P252"/>
  <c r="Q252"/>
  <c r="T544"/>
  <c r="P350"/>
  <c r="AI602" i="1"/>
  <c r="J156" i="2"/>
  <c r="AE564" i="1"/>
  <c r="AJ561"/>
  <c r="O844" i="2"/>
  <c r="W852" s="1"/>
  <c r="P844"/>
  <c r="S29"/>
  <c r="R350"/>
  <c r="C842"/>
  <c r="D842"/>
  <c r="F304"/>
  <c r="Q302"/>
  <c r="J352"/>
  <c r="P155"/>
  <c r="AH45" i="1"/>
  <c r="F254" i="2"/>
  <c r="T694"/>
  <c r="O592"/>
  <c r="U598" s="1"/>
  <c r="U694"/>
  <c r="G1308"/>
  <c r="AG564" i="1"/>
  <c r="O541" i="2"/>
  <c r="R29"/>
  <c r="X48" i="1"/>
  <c r="X20"/>
  <c r="X66"/>
  <c r="X73"/>
  <c r="X21"/>
  <c r="X24"/>
  <c r="X106"/>
  <c r="X111"/>
  <c r="X86"/>
  <c r="X92"/>
  <c r="X49"/>
  <c r="X54"/>
  <c r="X29"/>
  <c r="X63"/>
  <c r="X10"/>
  <c r="X88"/>
  <c r="X108"/>
  <c r="X99"/>
  <c r="X109"/>
  <c r="X114"/>
  <c r="X32"/>
  <c r="X107"/>
  <c r="X5"/>
  <c r="X15"/>
  <c r="X83"/>
  <c r="X84"/>
  <c r="X117"/>
  <c r="X98"/>
  <c r="X70"/>
  <c r="X58"/>
  <c r="X74"/>
  <c r="X65"/>
  <c r="X55"/>
  <c r="X115"/>
  <c r="X116"/>
  <c r="X104"/>
  <c r="X194"/>
  <c r="X87"/>
  <c r="X40"/>
  <c r="X18"/>
  <c r="X17"/>
  <c r="X7"/>
  <c r="X71"/>
  <c r="X91"/>
  <c r="X89"/>
  <c r="X95"/>
  <c r="X103"/>
  <c r="X44"/>
  <c r="X51"/>
  <c r="X31"/>
  <c r="X11"/>
  <c r="X85"/>
  <c r="X100"/>
  <c r="X101"/>
  <c r="X94"/>
  <c r="X112"/>
  <c r="X64"/>
  <c r="X50"/>
  <c r="X72"/>
  <c r="X59"/>
  <c r="X46"/>
  <c r="X102"/>
  <c r="X97"/>
  <c r="X113"/>
  <c r="X90"/>
  <c r="X33"/>
  <c r="X57"/>
  <c r="X12"/>
  <c r="X22"/>
  <c r="X34"/>
  <c r="X96"/>
  <c r="X110"/>
  <c r="X93"/>
  <c r="Y194" l="1"/>
  <c r="Y195"/>
  <c r="Y99"/>
  <c r="Y95"/>
  <c r="Y96"/>
  <c r="Y94"/>
  <c r="Y100"/>
  <c r="Y105"/>
  <c r="Y118"/>
  <c r="Y110"/>
  <c r="Y102"/>
  <c r="Y111"/>
  <c r="Y98"/>
  <c r="Y109"/>
  <c r="Y117"/>
  <c r="Y85"/>
  <c r="Y101"/>
  <c r="Y97"/>
  <c r="Y89"/>
  <c r="Y106"/>
  <c r="Y116"/>
  <c r="Y84"/>
  <c r="Y83"/>
  <c r="Y86"/>
  <c r="Y35"/>
  <c r="Y46"/>
  <c r="Y47"/>
  <c r="Y11"/>
  <c r="Y10"/>
  <c r="Y24"/>
  <c r="Y25"/>
  <c r="Y56"/>
  <c r="Y15"/>
  <c r="Y16"/>
  <c r="Y12"/>
  <c r="Y8"/>
  <c r="Y7"/>
  <c r="Y23"/>
  <c r="Y60"/>
  <c r="Y63"/>
  <c r="Y22"/>
  <c r="Y5"/>
  <c r="Y6"/>
  <c r="Y31"/>
  <c r="Y17"/>
  <c r="Y13"/>
  <c r="Y74"/>
  <c r="Y75"/>
  <c r="Y52"/>
  <c r="Y51"/>
  <c r="Y59"/>
  <c r="Y34"/>
  <c r="Y50"/>
  <c r="Y73"/>
  <c r="Y72"/>
  <c r="Y30"/>
  <c r="Y29"/>
  <c r="Y108"/>
  <c r="Y107"/>
  <c r="Y19"/>
  <c r="Y18"/>
  <c r="Y58"/>
  <c r="Y57"/>
  <c r="Y55"/>
  <c r="Y54"/>
  <c r="Y67"/>
  <c r="Y66"/>
  <c r="Y33"/>
  <c r="Y32"/>
  <c r="Y44"/>
  <c r="Y45"/>
  <c r="Y40"/>
  <c r="Y41"/>
  <c r="Y64"/>
  <c r="Y65"/>
  <c r="Y21"/>
  <c r="Y20"/>
  <c r="Y71"/>
  <c r="Y70"/>
  <c r="Y114"/>
  <c r="Y115"/>
  <c r="Y103"/>
  <c r="Y104"/>
  <c r="Y88"/>
  <c r="Y87"/>
  <c r="Y90"/>
  <c r="Y91"/>
  <c r="Y112"/>
  <c r="Y113"/>
  <c r="Y92"/>
  <c r="Y93"/>
  <c r="Y48"/>
  <c r="Y49"/>
  <c r="O102" i="2"/>
  <c r="T110" s="1"/>
  <c r="BC27" i="1"/>
  <c r="AP18"/>
  <c r="AO21"/>
  <c r="AP21" s="1"/>
  <c r="BH18"/>
  <c r="BG21"/>
  <c r="BH21" s="1"/>
  <c r="B797" i="44"/>
  <c r="C797"/>
  <c r="P492" i="2"/>
  <c r="P496" s="1"/>
  <c r="I797" i="44"/>
  <c r="J797"/>
  <c r="C765"/>
  <c r="J765"/>
  <c r="I765"/>
  <c r="B765"/>
  <c r="U405" i="2"/>
  <c r="U409" s="1"/>
  <c r="I405"/>
  <c r="I410" s="1"/>
  <c r="O6"/>
  <c r="AX8" i="1"/>
  <c r="AJ8"/>
  <c r="P102" i="2"/>
  <c r="P110" s="1"/>
  <c r="D102"/>
  <c r="O104"/>
  <c r="T112" s="1"/>
  <c r="J309"/>
  <c r="O105"/>
  <c r="R113" s="1"/>
  <c r="O52"/>
  <c r="T60" s="1"/>
  <c r="S55"/>
  <c r="Q106"/>
  <c r="P106" s="1"/>
  <c r="Y2" i="1"/>
  <c r="G305" i="2"/>
  <c r="L1013" i="44"/>
  <c r="R1041"/>
  <c r="R1015"/>
  <c r="L1041"/>
  <c r="C988"/>
  <c r="F988"/>
  <c r="C1013"/>
  <c r="F1013"/>
  <c r="C1015"/>
  <c r="F1015"/>
  <c r="Q1068"/>
  <c r="E303" i="2"/>
  <c r="E311" s="1"/>
  <c r="Q301"/>
  <c r="Q305" s="1"/>
  <c r="D740"/>
  <c r="C1210"/>
  <c r="H1213" s="1"/>
  <c r="V309"/>
  <c r="O54"/>
  <c r="S62" s="1"/>
  <c r="Q55"/>
  <c r="E301"/>
  <c r="E309" s="1"/>
  <c r="P52"/>
  <c r="R305"/>
  <c r="P53"/>
  <c r="P61" s="1"/>
  <c r="AO25" i="1"/>
  <c r="F106" i="2"/>
  <c r="D104"/>
  <c r="D105"/>
  <c r="D113" s="1"/>
  <c r="BH119" i="1"/>
  <c r="BI119" s="1"/>
  <c r="BD119"/>
  <c r="BG25"/>
  <c r="BH25" s="1"/>
  <c r="BC25"/>
  <c r="AG208"/>
  <c r="AF208"/>
  <c r="AU208"/>
  <c r="AT208"/>
  <c r="AU159"/>
  <c r="AV159"/>
  <c r="AE159"/>
  <c r="AG159"/>
  <c r="D741" i="2"/>
  <c r="C742"/>
  <c r="F748" s="1"/>
  <c r="D892"/>
  <c r="O152"/>
  <c r="S160" s="1"/>
  <c r="AH40" i="1"/>
  <c r="D206" i="2" s="1"/>
  <c r="P251"/>
  <c r="S259" s="1"/>
  <c r="Q156"/>
  <c r="Q251"/>
  <c r="Q255" s="1"/>
  <c r="P152"/>
  <c r="P202"/>
  <c r="T210" s="1"/>
  <c r="Q202"/>
  <c r="Q206" s="1"/>
  <c r="D152"/>
  <c r="AH46" i="1"/>
  <c r="C152" i="2"/>
  <c r="I160" s="1"/>
  <c r="AH34" i="1"/>
  <c r="C156" i="2" s="1"/>
  <c r="AF603" i="1"/>
  <c r="F352" i="2"/>
  <c r="O351"/>
  <c r="N351" s="1"/>
  <c r="D1194"/>
  <c r="AY603" i="1"/>
  <c r="AV603"/>
  <c r="AX603"/>
  <c r="AW603"/>
  <c r="D1165" i="2"/>
  <c r="D1062"/>
  <c r="G62"/>
  <c r="J62"/>
  <c r="AE255" i="1"/>
  <c r="D1358" i="2" s="1"/>
  <c r="C1358" s="1"/>
  <c r="F1361" s="1"/>
  <c r="I62"/>
  <c r="F62"/>
  <c r="C740"/>
  <c r="I746" s="1"/>
  <c r="T700"/>
  <c r="D551"/>
  <c r="U700"/>
  <c r="U551"/>
  <c r="O1308"/>
  <c r="P1311" s="1"/>
  <c r="F454"/>
  <c r="S1115"/>
  <c r="J61"/>
  <c r="S1143"/>
  <c r="H61"/>
  <c r="W1000"/>
  <c r="F61"/>
  <c r="G61"/>
  <c r="E61"/>
  <c r="I61"/>
  <c r="S310"/>
  <c r="X551"/>
  <c r="T551"/>
  <c r="W551"/>
  <c r="G1115"/>
  <c r="D1115"/>
  <c r="C591"/>
  <c r="F597" s="1"/>
  <c r="G795"/>
  <c r="C890"/>
  <c r="I896" s="1"/>
  <c r="L795"/>
  <c r="H454"/>
  <c r="T1000"/>
  <c r="J454"/>
  <c r="K1165"/>
  <c r="I851"/>
  <c r="C741"/>
  <c r="F747" s="1"/>
  <c r="K852"/>
  <c r="I701"/>
  <c r="Q1291"/>
  <c r="J852"/>
  <c r="G1165"/>
  <c r="I852"/>
  <c r="P1291"/>
  <c r="Q1115"/>
  <c r="H1439"/>
  <c r="S1000"/>
  <c r="H701"/>
  <c r="P551"/>
  <c r="J998"/>
  <c r="K261"/>
  <c r="V1001"/>
  <c r="U262"/>
  <c r="W310"/>
  <c r="O741"/>
  <c r="Q747" s="1"/>
  <c r="W262"/>
  <c r="J261"/>
  <c r="T1001"/>
  <c r="R310"/>
  <c r="K998"/>
  <c r="I261"/>
  <c r="K701"/>
  <c r="H261"/>
  <c r="F701"/>
  <c r="G598"/>
  <c r="U310"/>
  <c r="V310"/>
  <c r="H998"/>
  <c r="G852"/>
  <c r="G701"/>
  <c r="H409"/>
  <c r="H410"/>
  <c r="E1115"/>
  <c r="Q1389"/>
  <c r="V451"/>
  <c r="T452"/>
  <c r="S795"/>
  <c r="E1143"/>
  <c r="G943"/>
  <c r="J1001"/>
  <c r="I943"/>
  <c r="O892"/>
  <c r="R898" s="1"/>
  <c r="D409"/>
  <c r="D410"/>
  <c r="P892"/>
  <c r="J700"/>
  <c r="G549"/>
  <c r="I598"/>
  <c r="R452"/>
  <c r="G1291"/>
  <c r="G1439"/>
  <c r="T310"/>
  <c r="L309"/>
  <c r="S262"/>
  <c r="T262"/>
  <c r="T550"/>
  <c r="R550"/>
  <c r="S452"/>
  <c r="V550"/>
  <c r="K598"/>
  <c r="V795"/>
  <c r="D153"/>
  <c r="V262"/>
  <c r="C492"/>
  <c r="E496" s="1"/>
  <c r="T1143"/>
  <c r="J943"/>
  <c r="W550"/>
  <c r="K851"/>
  <c r="L701"/>
  <c r="E1439"/>
  <c r="L700"/>
  <c r="L596"/>
  <c r="X309"/>
  <c r="O891"/>
  <c r="U897" s="1"/>
  <c r="C891"/>
  <c r="F897" s="1"/>
  <c r="F453"/>
  <c r="P850"/>
  <c r="D203"/>
  <c r="K211" s="1"/>
  <c r="C892"/>
  <c r="J898" s="1"/>
  <c r="D851"/>
  <c r="X1001"/>
  <c r="W1001"/>
  <c r="U1001"/>
  <c r="P1261"/>
  <c r="Q1261"/>
  <c r="D1459"/>
  <c r="E1459"/>
  <c r="J1459"/>
  <c r="K1459"/>
  <c r="I1459"/>
  <c r="H1459"/>
  <c r="O890"/>
  <c r="W896" s="1"/>
  <c r="P890"/>
  <c r="O590"/>
  <c r="Q596" s="1"/>
  <c r="P590"/>
  <c r="W312"/>
  <c r="T312"/>
  <c r="U312"/>
  <c r="O312"/>
  <c r="R312"/>
  <c r="X597"/>
  <c r="R597"/>
  <c r="R211"/>
  <c r="U211"/>
  <c r="T211"/>
  <c r="T643"/>
  <c r="R643"/>
  <c r="T311"/>
  <c r="X311"/>
  <c r="R311"/>
  <c r="U311"/>
  <c r="P312"/>
  <c r="F309"/>
  <c r="K309"/>
  <c r="D309"/>
  <c r="H309"/>
  <c r="G309"/>
  <c r="AI562" i="1"/>
  <c r="AH562"/>
  <c r="V311" i="2"/>
  <c r="D311"/>
  <c r="Q409"/>
  <c r="Q410"/>
  <c r="V212"/>
  <c r="W212"/>
  <c r="S212"/>
  <c r="T212"/>
  <c r="S943"/>
  <c r="S312"/>
  <c r="X312"/>
  <c r="H111"/>
  <c r="I111"/>
  <c r="C312"/>
  <c r="G312"/>
  <c r="L312"/>
  <c r="I312"/>
  <c r="H312"/>
  <c r="Q999"/>
  <c r="W999"/>
  <c r="U999"/>
  <c r="R999"/>
  <c r="V999"/>
  <c r="U212"/>
  <c r="S643"/>
  <c r="I309"/>
  <c r="T453"/>
  <c r="R453"/>
  <c r="AE562" i="1"/>
  <c r="S1261" i="2"/>
  <c r="E454"/>
  <c r="G454"/>
  <c r="E451"/>
  <c r="G451"/>
  <c r="F451"/>
  <c r="Q161"/>
  <c r="R161"/>
  <c r="S161"/>
  <c r="T161"/>
  <c r="U161"/>
  <c r="Q851"/>
  <c r="X851"/>
  <c r="R851"/>
  <c r="S851"/>
  <c r="O742"/>
  <c r="V748" s="1"/>
  <c r="P742"/>
  <c r="G106"/>
  <c r="C104"/>
  <c r="I112" s="1"/>
  <c r="E849"/>
  <c r="G849"/>
  <c r="V312"/>
  <c r="P1459"/>
  <c r="U1459"/>
  <c r="Q1459"/>
  <c r="S1459"/>
  <c r="W1459"/>
  <c r="T1459"/>
  <c r="P311"/>
  <c r="V850"/>
  <c r="T850"/>
  <c r="J849"/>
  <c r="S311"/>
  <c r="T1241"/>
  <c r="G311"/>
  <c r="L310"/>
  <c r="G596"/>
  <c r="V1459"/>
  <c r="W311"/>
  <c r="Q701"/>
  <c r="T701"/>
  <c r="P1093"/>
  <c r="S1093"/>
  <c r="Q1093"/>
  <c r="F60"/>
  <c r="I60"/>
  <c r="C55"/>
  <c r="J60"/>
  <c r="H60"/>
  <c r="G60"/>
  <c r="U699"/>
  <c r="V452"/>
  <c r="F852"/>
  <c r="D590"/>
  <c r="D596" s="1"/>
  <c r="W998"/>
  <c r="F598"/>
  <c r="K795"/>
  <c r="W795"/>
  <c r="L852"/>
  <c r="S699"/>
  <c r="H852"/>
  <c r="R1000"/>
  <c r="L998"/>
  <c r="J851"/>
  <c r="J795"/>
  <c r="O740"/>
  <c r="S746" s="1"/>
  <c r="T261"/>
  <c r="U452"/>
  <c r="I795"/>
  <c r="V261"/>
  <c r="P309"/>
  <c r="F795"/>
  <c r="H795"/>
  <c r="S1291"/>
  <c r="P161"/>
  <c r="P643"/>
  <c r="P310"/>
  <c r="H851"/>
  <c r="S551"/>
  <c r="U998"/>
  <c r="V1000"/>
  <c r="E1093"/>
  <c r="W261"/>
  <c r="G851"/>
  <c r="D452"/>
  <c r="P851"/>
  <c r="S213"/>
  <c r="H310"/>
  <c r="D310"/>
  <c r="Q453"/>
  <c r="S453"/>
  <c r="Q849"/>
  <c r="F452"/>
  <c r="K310"/>
  <c r="I310"/>
  <c r="H1000"/>
  <c r="F1000"/>
  <c r="H550"/>
  <c r="C102"/>
  <c r="I1000"/>
  <c r="H1261"/>
  <c r="Q162"/>
  <c r="R701"/>
  <c r="V162"/>
  <c r="W496"/>
  <c r="G1241"/>
  <c r="H1241"/>
  <c r="L1000"/>
  <c r="U162"/>
  <c r="L551"/>
  <c r="S1409"/>
  <c r="F551"/>
  <c r="G551"/>
  <c r="T496"/>
  <c r="G1000"/>
  <c r="K1000"/>
  <c r="J1000"/>
  <c r="S496"/>
  <c r="Q1409"/>
  <c r="E255"/>
  <c r="R496"/>
  <c r="T1409"/>
  <c r="W520"/>
  <c r="E106"/>
  <c r="I520"/>
  <c r="K548"/>
  <c r="R1342"/>
  <c r="G548"/>
  <c r="G162"/>
  <c r="AE603" i="1"/>
  <c r="J598" i="2"/>
  <c r="AF617" i="1"/>
  <c r="I311" i="2"/>
  <c r="E1241"/>
  <c r="P1000"/>
  <c r="P597"/>
  <c r="I548"/>
  <c r="AH617" i="1"/>
  <c r="R998" i="2"/>
  <c r="AG617" i="1"/>
  <c r="H1143" i="2"/>
  <c r="H598"/>
  <c r="F943"/>
  <c r="V998"/>
  <c r="H451"/>
  <c r="Q943"/>
  <c r="P700"/>
  <c r="D1000"/>
  <c r="E453"/>
  <c r="Q1000"/>
  <c r="R598"/>
  <c r="D453"/>
  <c r="Q261"/>
  <c r="J409"/>
  <c r="U454"/>
  <c r="P943"/>
  <c r="U849"/>
  <c r="E551"/>
  <c r="S1389"/>
  <c r="D454"/>
  <c r="V699"/>
  <c r="P162"/>
  <c r="T598"/>
  <c r="F111"/>
  <c r="W849"/>
  <c r="O994"/>
  <c r="Q212"/>
  <c r="E701"/>
  <c r="G261"/>
  <c r="U110"/>
  <c r="E111"/>
  <c r="S454"/>
  <c r="L851"/>
  <c r="D156"/>
  <c r="D1342"/>
  <c r="J452"/>
  <c r="F162"/>
  <c r="E261"/>
  <c r="I849"/>
  <c r="H453"/>
  <c r="I453"/>
  <c r="X943"/>
  <c r="F548"/>
  <c r="J111"/>
  <c r="X643"/>
  <c r="O311"/>
  <c r="D598"/>
  <c r="R212"/>
  <c r="V496"/>
  <c r="Q451"/>
  <c r="P1001"/>
  <c r="V551"/>
  <c r="P999"/>
  <c r="H943"/>
  <c r="S261"/>
  <c r="D850"/>
  <c r="C1308"/>
  <c r="I1311" s="1"/>
  <c r="G111"/>
  <c r="T162"/>
  <c r="R261"/>
  <c r="P410"/>
  <c r="K551"/>
  <c r="P1143"/>
  <c r="L943"/>
  <c r="Q551"/>
  <c r="R1001"/>
  <c r="Q262"/>
  <c r="D795"/>
  <c r="S451"/>
  <c r="G453"/>
  <c r="K849"/>
  <c r="U1000"/>
  <c r="Q110"/>
  <c r="P701"/>
  <c r="R451"/>
  <c r="T999"/>
  <c r="Q998"/>
  <c r="W643"/>
  <c r="D701"/>
  <c r="S549"/>
  <c r="R549"/>
  <c r="U549"/>
  <c r="X549"/>
  <c r="W549"/>
  <c r="S260"/>
  <c r="W260"/>
  <c r="R260"/>
  <c r="F212"/>
  <c r="E204"/>
  <c r="E212" s="1"/>
  <c r="F113"/>
  <c r="J113"/>
  <c r="D252"/>
  <c r="F260" s="1"/>
  <c r="E252"/>
  <c r="AF576" i="1"/>
  <c r="AE576"/>
  <c r="AI576"/>
  <c r="AH576"/>
  <c r="O694" i="2"/>
  <c r="S698"/>
  <c r="W698"/>
  <c r="Q698"/>
  <c r="V698"/>
  <c r="O544"/>
  <c r="Q548"/>
  <c r="W548"/>
  <c r="U548"/>
  <c r="V548"/>
  <c r="R163"/>
  <c r="U163"/>
  <c r="D254"/>
  <c r="F262" s="1"/>
  <c r="E254"/>
  <c r="U260"/>
  <c r="V260"/>
  <c r="U520"/>
  <c r="X520"/>
  <c r="R520"/>
  <c r="P1191"/>
  <c r="P1210"/>
  <c r="P849"/>
  <c r="P845"/>
  <c r="T698"/>
  <c r="U698"/>
  <c r="X852"/>
  <c r="Q852"/>
  <c r="S852"/>
  <c r="V852"/>
  <c r="U852"/>
  <c r="S61"/>
  <c r="U61"/>
  <c r="Q61"/>
  <c r="V549"/>
  <c r="I113"/>
  <c r="X548"/>
  <c r="G113"/>
  <c r="G699"/>
  <c r="H699"/>
  <c r="E699"/>
  <c r="D1409"/>
  <c r="E1409"/>
  <c r="I1001"/>
  <c r="L1001"/>
  <c r="F1001"/>
  <c r="E1001"/>
  <c r="K410"/>
  <c r="P163"/>
  <c r="V520"/>
  <c r="K850"/>
  <c r="J850"/>
  <c r="L850"/>
  <c r="F850"/>
  <c r="G850"/>
  <c r="H850"/>
  <c r="I162"/>
  <c r="H162"/>
  <c r="J162"/>
  <c r="X850"/>
  <c r="W850"/>
  <c r="S850"/>
  <c r="Q850"/>
  <c r="E549"/>
  <c r="K549"/>
  <c r="F549"/>
  <c r="H549"/>
  <c r="I549"/>
  <c r="J549"/>
  <c r="E1389"/>
  <c r="D61"/>
  <c r="K596"/>
  <c r="H596"/>
  <c r="G999"/>
  <c r="E999"/>
  <c r="L999"/>
  <c r="K999"/>
  <c r="S548"/>
  <c r="D1389"/>
  <c r="Q1439"/>
  <c r="S1439"/>
  <c r="E410"/>
  <c r="E409"/>
  <c r="P998"/>
  <c r="P994"/>
  <c r="K409"/>
  <c r="W598"/>
  <c r="S598"/>
  <c r="X598"/>
  <c r="V598"/>
  <c r="I999"/>
  <c r="T61"/>
  <c r="H1389"/>
  <c r="K699"/>
  <c r="H1093"/>
  <c r="L699"/>
  <c r="R405"/>
  <c r="H520"/>
  <c r="K520"/>
  <c r="G520"/>
  <c r="J520"/>
  <c r="AW562" i="1"/>
  <c r="AY562"/>
  <c r="AZ562"/>
  <c r="AX562"/>
  <c r="V213" i="2"/>
  <c r="U213"/>
  <c r="I850"/>
  <c r="T520"/>
  <c r="R852"/>
  <c r="W597"/>
  <c r="U597"/>
  <c r="S597"/>
  <c r="F596"/>
  <c r="R61"/>
  <c r="E596"/>
  <c r="V211"/>
  <c r="Q211"/>
  <c r="D1291"/>
  <c r="V410"/>
  <c r="H113"/>
  <c r="J550"/>
  <c r="K550"/>
  <c r="F550"/>
  <c r="G550"/>
  <c r="L550"/>
  <c r="D550"/>
  <c r="P1439"/>
  <c r="R548"/>
  <c r="Q598"/>
  <c r="Q549"/>
  <c r="V61"/>
  <c r="Q310"/>
  <c r="S520"/>
  <c r="D520"/>
  <c r="Q213"/>
  <c r="I550"/>
  <c r="D251"/>
  <c r="I259" s="1"/>
  <c r="E251"/>
  <c r="Q597"/>
  <c r="H1291"/>
  <c r="P352"/>
  <c r="T852"/>
  <c r="U850"/>
  <c r="P698"/>
  <c r="P694"/>
  <c r="C639"/>
  <c r="E643" s="1"/>
  <c r="D639"/>
  <c r="R352"/>
  <c r="Q349"/>
  <c r="T111"/>
  <c r="U111"/>
  <c r="S111"/>
  <c r="R111"/>
  <c r="Q111"/>
  <c r="P549"/>
  <c r="C694"/>
  <c r="I698"/>
  <c r="F698"/>
  <c r="H698"/>
  <c r="G698"/>
  <c r="F410"/>
  <c r="P111"/>
  <c r="G1001"/>
  <c r="AG576" i="1"/>
  <c r="F520" i="2"/>
  <c r="S1241"/>
  <c r="P1241"/>
  <c r="R700"/>
  <c r="X700"/>
  <c r="S700"/>
  <c r="W700"/>
  <c r="H1409"/>
  <c r="F999"/>
  <c r="F312"/>
  <c r="E304"/>
  <c r="T597"/>
  <c r="W211"/>
  <c r="T213"/>
  <c r="E113"/>
  <c r="I596"/>
  <c r="P520"/>
  <c r="E520"/>
  <c r="R213"/>
  <c r="Q454"/>
  <c r="J698"/>
  <c r="R698"/>
  <c r="H551"/>
  <c r="J551"/>
  <c r="I551"/>
  <c r="C409"/>
  <c r="D1093"/>
  <c r="F700"/>
  <c r="G700"/>
  <c r="K700"/>
  <c r="I700"/>
  <c r="H700"/>
  <c r="E698"/>
  <c r="F409"/>
  <c r="D1001"/>
  <c r="E1165"/>
  <c r="H1165"/>
  <c r="J1165"/>
  <c r="I1165"/>
  <c r="K698"/>
  <c r="P550"/>
  <c r="Q700"/>
  <c r="O1358"/>
  <c r="P1361" s="1"/>
  <c r="S211"/>
  <c r="D849"/>
  <c r="D845"/>
  <c r="L698"/>
  <c r="H1001"/>
  <c r="X550"/>
  <c r="U550"/>
  <c r="T549"/>
  <c r="P447"/>
  <c r="P451"/>
  <c r="V701"/>
  <c r="S701"/>
  <c r="U701"/>
  <c r="X701"/>
  <c r="W701"/>
  <c r="T454"/>
  <c r="Q163"/>
  <c r="C351"/>
  <c r="N305"/>
  <c r="P313" s="1"/>
  <c r="U309"/>
  <c r="S309"/>
  <c r="W309"/>
  <c r="T309"/>
  <c r="O309"/>
  <c r="Q550"/>
  <c r="R309"/>
  <c r="V597"/>
  <c r="E850"/>
  <c r="J999"/>
  <c r="T548"/>
  <c r="J699"/>
  <c r="V454"/>
  <c r="T260"/>
  <c r="I699"/>
  <c r="T943"/>
  <c r="W943"/>
  <c r="R943"/>
  <c r="U943"/>
  <c r="V163"/>
  <c r="X698"/>
  <c r="E851"/>
  <c r="T163"/>
  <c r="D699"/>
  <c r="S163"/>
  <c r="D312"/>
  <c r="K312"/>
  <c r="E62"/>
  <c r="D54"/>
  <c r="F310"/>
  <c r="E302"/>
  <c r="F305"/>
  <c r="D162"/>
  <c r="C447"/>
  <c r="J451"/>
  <c r="I451"/>
  <c r="G1261"/>
  <c r="E1261"/>
  <c r="O1162"/>
  <c r="P1062" s="1"/>
  <c r="N410"/>
  <c r="D999"/>
  <c r="D548"/>
  <c r="D544"/>
  <c r="C153"/>
  <c r="U453"/>
  <c r="K311"/>
  <c r="H452"/>
  <c r="AG562" i="1"/>
  <c r="AJ564"/>
  <c r="AF562"/>
  <c r="G1459" i="2"/>
  <c r="G310"/>
  <c r="I212"/>
  <c r="J212"/>
  <c r="K212"/>
  <c r="G452"/>
  <c r="J310"/>
  <c r="H311"/>
  <c r="O845"/>
  <c r="AX576" i="1"/>
  <c r="AW576"/>
  <c r="AZ576"/>
  <c r="AV576"/>
  <c r="V453" i="2"/>
  <c r="U643"/>
  <c r="Q312"/>
  <c r="R849"/>
  <c r="D111"/>
  <c r="D1043"/>
  <c r="X999"/>
  <c r="E943"/>
  <c r="S849"/>
  <c r="D1143"/>
  <c r="P1115"/>
  <c r="J548"/>
  <c r="R699"/>
  <c r="B409"/>
  <c r="Q311"/>
  <c r="C6"/>
  <c r="B6"/>
  <c r="D205"/>
  <c r="F213" s="1"/>
  <c r="E205"/>
  <c r="D998"/>
  <c r="D994"/>
  <c r="U496"/>
  <c r="X496"/>
  <c r="X849"/>
  <c r="G409"/>
  <c r="C845"/>
  <c r="D352"/>
  <c r="D852"/>
  <c r="W409"/>
  <c r="H849"/>
  <c r="P452"/>
  <c r="P1389"/>
  <c r="W851"/>
  <c r="U851"/>
  <c r="T851"/>
  <c r="V851"/>
  <c r="P852"/>
  <c r="Q260"/>
  <c r="AV617" i="1"/>
  <c r="AW617"/>
  <c r="AX617"/>
  <c r="AY617"/>
  <c r="P598" i="2"/>
  <c r="E452"/>
  <c r="E598"/>
  <c r="X699"/>
  <c r="C544"/>
  <c r="R795"/>
  <c r="T795"/>
  <c r="X795"/>
  <c r="H548"/>
  <c r="C155"/>
  <c r="D163" s="1"/>
  <c r="C994"/>
  <c r="F998"/>
  <c r="E206"/>
  <c r="D60"/>
  <c r="G212"/>
  <c r="Q350"/>
  <c r="AH603" i="1"/>
  <c r="AG603"/>
  <c r="P454" i="2"/>
  <c r="C349"/>
  <c r="P1043"/>
  <c r="D549"/>
  <c r="P453"/>
  <c r="AE610" i="1"/>
  <c r="J311" i="2"/>
  <c r="E350"/>
  <c r="F311"/>
  <c r="P548"/>
  <c r="P544"/>
  <c r="L311"/>
  <c r="E548"/>
  <c r="P795"/>
  <c r="T699"/>
  <c r="E998"/>
  <c r="D202"/>
  <c r="F210" s="1"/>
  <c r="E202"/>
  <c r="S409"/>
  <c r="T409"/>
  <c r="R162"/>
  <c r="T849"/>
  <c r="D943"/>
  <c r="B305"/>
  <c r="C313" s="1"/>
  <c r="O447"/>
  <c r="Q699"/>
  <c r="C311"/>
  <c r="Q643"/>
  <c r="D700"/>
  <c r="G998"/>
  <c r="Q795"/>
  <c r="X998"/>
  <c r="D451"/>
  <c r="D447"/>
  <c r="T998"/>
  <c r="D694"/>
  <c r="D698"/>
  <c r="S999"/>
  <c r="X310"/>
  <c r="Q1001"/>
  <c r="O310"/>
  <c r="U451"/>
  <c r="L849"/>
  <c r="C309"/>
  <c r="O409"/>
  <c r="P699"/>
  <c r="S110" l="1"/>
  <c r="R110"/>
  <c r="V110"/>
  <c r="U410"/>
  <c r="O411"/>
  <c r="F411"/>
  <c r="B411"/>
  <c r="H411"/>
  <c r="R112"/>
  <c r="P112"/>
  <c r="AB396"/>
  <c r="P60"/>
  <c r="P113"/>
  <c r="D110"/>
  <c r="D411"/>
  <c r="K411"/>
  <c r="I411"/>
  <c r="G411"/>
  <c r="I409"/>
  <c r="J411"/>
  <c r="C411"/>
  <c r="E411"/>
  <c r="V112"/>
  <c r="U112"/>
  <c r="Q112"/>
  <c r="U113"/>
  <c r="D1213"/>
  <c r="Q113"/>
  <c r="S113"/>
  <c r="O106"/>
  <c r="T113"/>
  <c r="V113"/>
  <c r="S112"/>
  <c r="Q309"/>
  <c r="S60"/>
  <c r="V60"/>
  <c r="Q60"/>
  <c r="U60"/>
  <c r="R60"/>
  <c r="U62"/>
  <c r="Q62"/>
  <c r="V62"/>
  <c r="T62"/>
  <c r="O55"/>
  <c r="P62"/>
  <c r="R62"/>
  <c r="F1213"/>
  <c r="P55"/>
  <c r="O156"/>
  <c r="Q160"/>
  <c r="D748"/>
  <c r="K748"/>
  <c r="J748"/>
  <c r="E748"/>
  <c r="L748"/>
  <c r="I748"/>
  <c r="H748"/>
  <c r="G748"/>
  <c r="G160"/>
  <c r="V160"/>
  <c r="U160"/>
  <c r="R160"/>
  <c r="U259"/>
  <c r="P255"/>
  <c r="E160"/>
  <c r="W259"/>
  <c r="R259"/>
  <c r="V259"/>
  <c r="T259"/>
  <c r="P160"/>
  <c r="P156"/>
  <c r="Q259"/>
  <c r="Q210"/>
  <c r="W210"/>
  <c r="T160"/>
  <c r="S210"/>
  <c r="R210"/>
  <c r="U210"/>
  <c r="V210"/>
  <c r="P206"/>
  <c r="D160"/>
  <c r="H160"/>
  <c r="F160"/>
  <c r="J160"/>
  <c r="AZ603" i="1"/>
  <c r="E352" i="2"/>
  <c r="O358"/>
  <c r="K746"/>
  <c r="H1361"/>
  <c r="D1361"/>
  <c r="H597"/>
  <c r="F746"/>
  <c r="T896"/>
  <c r="D746"/>
  <c r="I747"/>
  <c r="J747"/>
  <c r="H746"/>
  <c r="E746"/>
  <c r="G746"/>
  <c r="L746"/>
  <c r="J746"/>
  <c r="D896"/>
  <c r="F896"/>
  <c r="U748"/>
  <c r="R748"/>
  <c r="Q748"/>
  <c r="T748"/>
  <c r="U898"/>
  <c r="D747"/>
  <c r="J597"/>
  <c r="D597"/>
  <c r="K597"/>
  <c r="S748"/>
  <c r="W748"/>
  <c r="I897"/>
  <c r="X748"/>
  <c r="E896"/>
  <c r="H896"/>
  <c r="G896"/>
  <c r="H747"/>
  <c r="E747"/>
  <c r="K896"/>
  <c r="V897"/>
  <c r="L747"/>
  <c r="G747"/>
  <c r="J896"/>
  <c r="K747"/>
  <c r="L896"/>
  <c r="Q1311"/>
  <c r="G898"/>
  <c r="U1311"/>
  <c r="S1311"/>
  <c r="V1311"/>
  <c r="T1311"/>
  <c r="V747"/>
  <c r="W1311"/>
  <c r="Z396"/>
  <c r="Z397" s="1"/>
  <c r="Z399" s="1"/>
  <c r="Q898"/>
  <c r="X898"/>
  <c r="S898"/>
  <c r="W898"/>
  <c r="T898"/>
  <c r="D897"/>
  <c r="E597"/>
  <c r="K897"/>
  <c r="L597"/>
  <c r="I597"/>
  <c r="G897"/>
  <c r="G597"/>
  <c r="P748"/>
  <c r="F898"/>
  <c r="D898"/>
  <c r="H898"/>
  <c r="T747"/>
  <c r="H496"/>
  <c r="D161"/>
  <c r="X747"/>
  <c r="S411"/>
  <c r="G1311"/>
  <c r="Q746"/>
  <c r="J112"/>
  <c r="X746"/>
  <c r="L496"/>
  <c r="S747"/>
  <c r="J496"/>
  <c r="P747"/>
  <c r="G496"/>
  <c r="P897"/>
  <c r="U896"/>
  <c r="R896"/>
  <c r="X896"/>
  <c r="T897"/>
  <c r="S897"/>
  <c r="X897"/>
  <c r="R897"/>
  <c r="E112"/>
  <c r="Q897"/>
  <c r="U747"/>
  <c r="D106"/>
  <c r="P896"/>
  <c r="P898"/>
  <c r="R747"/>
  <c r="W747"/>
  <c r="H897"/>
  <c r="P746"/>
  <c r="L898"/>
  <c r="E898"/>
  <c r="K898"/>
  <c r="G211"/>
  <c r="W897"/>
  <c r="F211"/>
  <c r="V898"/>
  <c r="H112"/>
  <c r="G112"/>
  <c r="D496"/>
  <c r="K496"/>
  <c r="E897"/>
  <c r="P596"/>
  <c r="L897"/>
  <c r="J897"/>
  <c r="F496"/>
  <c r="I496"/>
  <c r="F112"/>
  <c r="I898"/>
  <c r="J211"/>
  <c r="D112"/>
  <c r="E211"/>
  <c r="H211"/>
  <c r="I211"/>
  <c r="U746"/>
  <c r="T746"/>
  <c r="R596"/>
  <c r="V596"/>
  <c r="U596"/>
  <c r="W596"/>
  <c r="X596"/>
  <c r="T596"/>
  <c r="S596"/>
  <c r="R746"/>
  <c r="W746"/>
  <c r="G161"/>
  <c r="V896"/>
  <c r="V746"/>
  <c r="Q896"/>
  <c r="S896"/>
  <c r="J110"/>
  <c r="I110"/>
  <c r="G110"/>
  <c r="C106"/>
  <c r="E110"/>
  <c r="H110"/>
  <c r="F110"/>
  <c r="E161"/>
  <c r="K1311"/>
  <c r="O313"/>
  <c r="E1311"/>
  <c r="E210"/>
  <c r="J1311"/>
  <c r="D1311"/>
  <c r="H1311"/>
  <c r="E213"/>
  <c r="E163"/>
  <c r="E262"/>
  <c r="O1210"/>
  <c r="P1213" s="1"/>
  <c r="O1043"/>
  <c r="R1046" s="1"/>
  <c r="J163"/>
  <c r="H163"/>
  <c r="F163"/>
  <c r="I163"/>
  <c r="G163"/>
  <c r="N411"/>
  <c r="T1361"/>
  <c r="R1361"/>
  <c r="Q352"/>
  <c r="O349"/>
  <c r="E259"/>
  <c r="I262"/>
  <c r="J262"/>
  <c r="H262"/>
  <c r="G262"/>
  <c r="K262"/>
  <c r="O1191"/>
  <c r="R1194" s="1"/>
  <c r="C350"/>
  <c r="C352" s="1"/>
  <c r="C1043"/>
  <c r="F1046" s="1"/>
  <c r="T1165"/>
  <c r="P1165"/>
  <c r="S1165"/>
  <c r="Q1165"/>
  <c r="U1165"/>
  <c r="W1165"/>
  <c r="D255"/>
  <c r="J259"/>
  <c r="G259"/>
  <c r="K259"/>
  <c r="H259"/>
  <c r="E310"/>
  <c r="R411"/>
  <c r="R410"/>
  <c r="B351"/>
  <c r="I643"/>
  <c r="K643"/>
  <c r="G643"/>
  <c r="H643"/>
  <c r="L643"/>
  <c r="J643"/>
  <c r="F643"/>
  <c r="R409"/>
  <c r="T411"/>
  <c r="Q411"/>
  <c r="F161"/>
  <c r="H161"/>
  <c r="J161"/>
  <c r="I161"/>
  <c r="D313"/>
  <c r="K210"/>
  <c r="I210"/>
  <c r="G210"/>
  <c r="H210"/>
  <c r="J210"/>
  <c r="D62"/>
  <c r="C1062"/>
  <c r="D1065" s="1"/>
  <c r="W411"/>
  <c r="E312"/>
  <c r="F259"/>
  <c r="V411"/>
  <c r="V1165"/>
  <c r="U411"/>
  <c r="E260"/>
  <c r="O1062"/>
  <c r="P411"/>
  <c r="O350"/>
  <c r="D55"/>
  <c r="B349"/>
  <c r="H213"/>
  <c r="K213"/>
  <c r="G213"/>
  <c r="J213"/>
  <c r="I213"/>
  <c r="W358"/>
  <c r="R358"/>
  <c r="Q358"/>
  <c r="P358"/>
  <c r="T358"/>
  <c r="X358"/>
  <c r="V358"/>
  <c r="U358"/>
  <c r="S358"/>
  <c r="E305"/>
  <c r="D643"/>
  <c r="H260"/>
  <c r="G260"/>
  <c r="J260"/>
  <c r="I260"/>
  <c r="K260"/>
  <c r="C358" l="1"/>
  <c r="H356"/>
  <c r="G356"/>
  <c r="L356"/>
  <c r="I356"/>
  <c r="K356"/>
  <c r="F356"/>
  <c r="J356"/>
  <c r="E356"/>
  <c r="D356"/>
  <c r="I358"/>
  <c r="L358"/>
  <c r="K358"/>
  <c r="H358"/>
  <c r="F358"/>
  <c r="J358"/>
  <c r="G358"/>
  <c r="D358"/>
  <c r="E358"/>
  <c r="D1046"/>
  <c r="T1065"/>
  <c r="R1065"/>
  <c r="P1046"/>
  <c r="O352"/>
  <c r="N349"/>
  <c r="C356"/>
  <c r="P1065"/>
  <c r="B350"/>
  <c r="P1194"/>
  <c r="N350"/>
  <c r="H1065"/>
  <c r="F1065"/>
  <c r="T1213"/>
  <c r="R1213"/>
  <c r="O357" l="1"/>
  <c r="B352"/>
  <c r="C359" s="1"/>
  <c r="C357"/>
  <c r="N352"/>
  <c r="V356"/>
  <c r="S356"/>
  <c r="U356"/>
  <c r="W356"/>
  <c r="T356"/>
  <c r="X356"/>
  <c r="P356"/>
  <c r="R356"/>
  <c r="Q356"/>
  <c r="G357"/>
  <c r="J357"/>
  <c r="I357"/>
  <c r="L357"/>
  <c r="H357"/>
  <c r="K357"/>
  <c r="D357"/>
  <c r="F357"/>
  <c r="E357"/>
  <c r="U357"/>
  <c r="X357"/>
  <c r="V357"/>
  <c r="S357"/>
  <c r="T357"/>
  <c r="W357"/>
  <c r="R357"/>
  <c r="P357"/>
  <c r="Q357"/>
  <c r="O356"/>
  <c r="P359" l="1"/>
  <c r="D359"/>
  <c r="O359"/>
  <c r="AK18" i="1"/>
  <c r="AH25"/>
  <c r="AI25" s="1"/>
  <c r="AK22"/>
  <c r="AK20"/>
  <c r="AK23"/>
  <c r="AK19"/>
  <c r="AK24"/>
  <c r="AP25" l="1"/>
  <c r="AK25"/>
  <c r="D432" i="44"/>
  <c r="F432" l="1"/>
  <c r="D414" s="1"/>
</calcChain>
</file>

<file path=xl/sharedStrings.xml><?xml version="1.0" encoding="utf-8"?>
<sst xmlns="http://schemas.openxmlformats.org/spreadsheetml/2006/main" count="9670" uniqueCount="735">
  <si>
    <t>Standard</t>
  </si>
  <si>
    <t>DD</t>
  </si>
  <si>
    <t>POS</t>
  </si>
  <si>
    <t>-</t>
  </si>
  <si>
    <t>STANCO</t>
  </si>
  <si>
    <t>AA</t>
  </si>
  <si>
    <t>NEG</t>
  </si>
  <si>
    <t>WINSTAN</t>
  </si>
  <si>
    <t>ATOF</t>
  </si>
  <si>
    <t>ATON</t>
  </si>
  <si>
    <t>STANFK</t>
  </si>
  <si>
    <t>SHORT</t>
  </si>
  <si>
    <t>SWITCH</t>
  </si>
  <si>
    <t>CROSS</t>
  </si>
  <si>
    <t>DA</t>
  </si>
  <si>
    <t>LOPRESS</t>
  </si>
  <si>
    <t>SIDES</t>
  </si>
  <si>
    <t>AD</t>
  </si>
  <si>
    <t>LONG</t>
  </si>
  <si>
    <t>ATBK</t>
  </si>
  <si>
    <t>ATOFF</t>
  </si>
  <si>
    <t>GOAL</t>
  </si>
  <si>
    <t>DIAGO</t>
  </si>
  <si>
    <t>SHORTLONG</t>
  </si>
  <si>
    <t xml:space="preserve">DA </t>
  </si>
  <si>
    <t>STANGK</t>
  </si>
  <si>
    <t>SHOT</t>
  </si>
  <si>
    <t>STANGS</t>
  </si>
  <si>
    <t>DUEL</t>
  </si>
  <si>
    <t>STANTI</t>
  </si>
  <si>
    <t>SAFE</t>
  </si>
  <si>
    <t>DEEP</t>
  </si>
  <si>
    <t>PASS</t>
  </si>
  <si>
    <t>CONTRA</t>
  </si>
  <si>
    <t>2NDBALL</t>
  </si>
  <si>
    <t>DA, AA</t>
  </si>
  <si>
    <t>AA,DA</t>
  </si>
  <si>
    <t xml:space="preserve">AA </t>
  </si>
  <si>
    <t>DD,AD</t>
  </si>
  <si>
    <t>DD, AD</t>
  </si>
  <si>
    <t>NEGWINSTAN</t>
  </si>
  <si>
    <t>TOTAL</t>
  </si>
  <si>
    <t>LÖÖK MÖÖDA</t>
  </si>
  <si>
    <t>LÖÖK VÄRAVALE</t>
  </si>
  <si>
    <t>VÄRAV</t>
  </si>
  <si>
    <t>KOKKU</t>
  </si>
  <si>
    <t>LÖÖKE KOKKU</t>
  </si>
  <si>
    <t>VÕIDAME STANDARDI</t>
  </si>
  <si>
    <t>KAOTAME PALLI</t>
  </si>
  <si>
    <t>LÖÖK BLOKEERITUD</t>
  </si>
  <si>
    <t>Vmadalpress</t>
  </si>
  <si>
    <t>Vastane võidab standardi</t>
  </si>
  <si>
    <t>Lühike</t>
  </si>
  <si>
    <t>Lühike/pikk</t>
  </si>
  <si>
    <t>Pikk</t>
  </si>
  <si>
    <t>Madalpress</t>
  </si>
  <si>
    <t>Keskpress</t>
  </si>
  <si>
    <t>Kõrgpress</t>
  </si>
  <si>
    <t>ÄÄRED</t>
  </si>
  <si>
    <t>VASTU RÜNNAK</t>
  </si>
  <si>
    <t>INDIVIDUAAL NE</t>
  </si>
  <si>
    <t>SÖÖDU KOMB.</t>
  </si>
  <si>
    <t>TEINE PALL</t>
  </si>
  <si>
    <t>KAUGLÖÖK</t>
  </si>
  <si>
    <t>TERAV SÖÖT</t>
  </si>
  <si>
    <t>ÄÄRE VAHETUS</t>
  </si>
  <si>
    <t>VÕIDAME PALLI</t>
  </si>
  <si>
    <t>ANNAME STANDARDI</t>
  </si>
  <si>
    <t>AA, DA</t>
  </si>
  <si>
    <t>AUDIVISE</t>
  </si>
  <si>
    <t>VÄRAVALÖÖK</t>
  </si>
  <si>
    <t>VÄRAVAVAHI LÖÖK</t>
  </si>
  <si>
    <t>NURGALÖÖK</t>
  </si>
  <si>
    <t>KARISTUSLÖÖK</t>
  </si>
  <si>
    <r>
      <rPr>
        <b/>
        <sz val="8"/>
        <color theme="1"/>
        <rFont val="Calibri"/>
        <family val="2"/>
        <charset val="186"/>
        <scheme val="minor"/>
      </rPr>
      <t>AA</t>
    </r>
    <r>
      <rPr>
        <sz val="8"/>
        <color theme="1"/>
        <rFont val="Calibri"/>
        <family val="2"/>
        <charset val="186"/>
        <scheme val="minor"/>
      </rPr>
      <t xml:space="preserve"> Lühike</t>
    </r>
  </si>
  <si>
    <r>
      <rPr>
        <b/>
        <sz val="8"/>
        <color theme="1"/>
        <rFont val="Calibri"/>
        <family val="2"/>
        <charset val="186"/>
        <scheme val="minor"/>
      </rPr>
      <t>AA</t>
    </r>
    <r>
      <rPr>
        <sz val="8"/>
        <color theme="1"/>
        <rFont val="Calibri"/>
        <family val="2"/>
        <charset val="186"/>
        <scheme val="minor"/>
      </rPr>
      <t xml:space="preserve"> Lühike/pikk</t>
    </r>
  </si>
  <si>
    <r>
      <rPr>
        <b/>
        <sz val="8"/>
        <rFont val="Calibri"/>
        <family val="2"/>
        <charset val="186"/>
        <scheme val="minor"/>
      </rPr>
      <t>AA</t>
    </r>
    <r>
      <rPr>
        <sz val="8"/>
        <rFont val="Calibri"/>
        <family val="2"/>
        <charset val="186"/>
        <scheme val="minor"/>
      </rPr>
      <t xml:space="preserve"> Pikk</t>
    </r>
  </si>
  <si>
    <r>
      <rPr>
        <b/>
        <sz val="8"/>
        <color theme="1"/>
        <rFont val="Calibri"/>
        <family val="2"/>
        <charset val="186"/>
        <scheme val="minor"/>
      </rPr>
      <t>AA</t>
    </r>
    <r>
      <rPr>
        <sz val="8"/>
        <color theme="1"/>
        <rFont val="Calibri"/>
        <family val="2"/>
        <charset val="186"/>
        <scheme val="minor"/>
      </rPr>
      <t xml:space="preserve"> Pikk</t>
    </r>
  </si>
  <si>
    <t>TSENDER DUS</t>
  </si>
  <si>
    <t>INDIVI DUAALNE</t>
  </si>
  <si>
    <t>KARISTUS LÖÖK</t>
  </si>
  <si>
    <t>LÖÖK BLOK.</t>
  </si>
  <si>
    <t>ANNAME STANDARD</t>
  </si>
  <si>
    <t>Meie võidame standardi</t>
  </si>
  <si>
    <t>MÄNGU ÜLESEHITUSE STIILID JA NENDE TULEMUSED</t>
  </si>
  <si>
    <t>KAITSEST RÜNNAKULE ERINEVATE PRESSINGUTE KORRAL</t>
  </si>
  <si>
    <t>RÜNNAKULT KAITSESSE ERINEVATE PRESSINGUTE KORRAL</t>
  </si>
  <si>
    <t>TEHNILISED OSKUSED JA NENDE EDUKUS</t>
  </si>
  <si>
    <t>Ründemomendid jagatuna positiivsete ja negatiivsete lõppudena</t>
  </si>
  <si>
    <t>Kaitsemomendid jagatuna positiivsete ja negatiivsete lõppudena</t>
  </si>
  <si>
    <r>
      <rPr>
        <b/>
        <sz val="8"/>
        <color theme="1"/>
        <rFont val="Calibri"/>
        <family val="2"/>
        <charset val="186"/>
        <scheme val="minor"/>
      </rPr>
      <t>DD</t>
    </r>
    <r>
      <rPr>
        <sz val="8"/>
        <color theme="1"/>
        <rFont val="Calibri"/>
        <family val="2"/>
        <charset val="186"/>
        <scheme val="minor"/>
      </rPr>
      <t xml:space="preserve"> Lühike</t>
    </r>
  </si>
  <si>
    <t>TSENDERDUS</t>
  </si>
  <si>
    <t>LÖÖK VÄRAV.</t>
  </si>
  <si>
    <t>ANNAME STAND.</t>
  </si>
  <si>
    <t>VÕIDAME STAND.</t>
  </si>
  <si>
    <t>MEIE RÜNDETEGEVUS</t>
  </si>
  <si>
    <t>MEIE KAITSETEGEVUS</t>
  </si>
  <si>
    <t xml:space="preserve">AA, DA </t>
  </si>
  <si>
    <t xml:space="preserve">STAN VS </t>
  </si>
  <si>
    <t>NONSTAN</t>
  </si>
  <si>
    <t>STAN</t>
  </si>
  <si>
    <t>NONSTAN BUILDUP</t>
  </si>
  <si>
    <t>LÖÖGID KOKKU</t>
  </si>
  <si>
    <t>NONSTAN PRESSING</t>
  </si>
  <si>
    <t>STANDARDID</t>
  </si>
  <si>
    <t>VÄRAVAD JA PÕHIMOMENDID</t>
  </si>
  <si>
    <t>Värav standardist või mängust</t>
  </si>
  <si>
    <t>Mitte-standard</t>
  </si>
  <si>
    <t>Üleminek</t>
  </si>
  <si>
    <t>Ülesehitus</t>
  </si>
  <si>
    <t>Lühike-pikk</t>
  </si>
  <si>
    <t>Kaitsest ründesse</t>
  </si>
  <si>
    <t>Mitte-standard ülesehitus</t>
  </si>
  <si>
    <t>Vmadal</t>
  </si>
  <si>
    <t>Madal</t>
  </si>
  <si>
    <t>Kesk</t>
  </si>
  <si>
    <t>Kõrge</t>
  </si>
  <si>
    <t>Standardid</t>
  </si>
  <si>
    <t>LÖÖGID JA PÕHIMOMENDID</t>
  </si>
  <si>
    <t>Ründest kaitsesse</t>
  </si>
  <si>
    <t>Mitte-standard pressing (ÜLESEHITTUS)</t>
  </si>
  <si>
    <t>Mitte-standard pressing (ÜLESEHITUS)</t>
  </si>
  <si>
    <t>Mitte-standard pressing (KAITSEST RÜNDESSE)</t>
  </si>
  <si>
    <t>Mitte-standard pressing (RÜNDEST KAITSESSE)</t>
  </si>
  <si>
    <t>POSITIIVSED OLUKORRAD JA PÕHIMOMENDID</t>
  </si>
  <si>
    <t>POSITIIVSED OLUKORRAD</t>
  </si>
  <si>
    <t>NEGATIIVSED OLUKORRAD</t>
  </si>
  <si>
    <t>STANPEN</t>
  </si>
  <si>
    <t>KÕIK RÜNNAKUVÕIMALUSED (AA, DA)</t>
  </si>
  <si>
    <t>KÕIK KAITSEOLUKORRAD (DD, AD)</t>
  </si>
  <si>
    <t>meie AA vs VASTASE PRESSINGU STIILID</t>
  </si>
  <si>
    <t>meie PRESSINGU STIILID (DD)</t>
  </si>
  <si>
    <t>meie LÜHIKE vs VASTASE PRESSINGU STIILID</t>
  </si>
  <si>
    <t>vastase LÜHIKE vs meie PRESSINGU STIILID (DD)</t>
  </si>
  <si>
    <t>vastase LÜHIKE-PIKK vs meie PRESSINGU STIILID (DD)</t>
  </si>
  <si>
    <t>meie LÜHIKE-PIKK vs VASTASE PRESSINGU STIILID</t>
  </si>
  <si>
    <t>vastase PIKK vs meie PRESSINGU STIILID (DD)</t>
  </si>
  <si>
    <t>meie PIKK vs VASTASE PRESSINGU STIILID</t>
  </si>
  <si>
    <t xml:space="preserve">meie VASTURÜNNAKUD meie PRESSINGUMOMENTIDEST </t>
  </si>
  <si>
    <t>vastase VASTURÜNNAKUD nende PRESSINGUMOMENTIDEST</t>
  </si>
  <si>
    <t>meie NURGALÖÖGID</t>
  </si>
  <si>
    <t xml:space="preserve"> </t>
  </si>
  <si>
    <t>vastase NURGALÖÖGID</t>
  </si>
  <si>
    <t>meie KARISTUSLÖÖGID</t>
  </si>
  <si>
    <t>vastase KARISTUSLÖÖGID</t>
  </si>
  <si>
    <t>(kõik) meie KARISTUSLÖÖGID ja kuidas mängitud</t>
  </si>
  <si>
    <t>(kõik) vastase KARISTUSLÖÖGID ja kuidas mängitud</t>
  </si>
  <si>
    <t>(kõik) meie VÄRAVALÖÖGID</t>
  </si>
  <si>
    <t>(kõik) vastase VÄRAVALÖÖGID</t>
  </si>
  <si>
    <t>(kõik) meie VÄRAVALÖÖGID ja kuidas mängitud</t>
  </si>
  <si>
    <t xml:space="preserve">(kõik) meie VÄRAVAVAHI ALUSTAMISED </t>
  </si>
  <si>
    <t>(kõik) vastase VÄRAVAVAHI ALUSTAMISED</t>
  </si>
  <si>
    <t>LOLL VIGA :)</t>
  </si>
  <si>
    <t>(kõik) vastase VÄRAVALÖÖGID ja kuidas mängitud</t>
  </si>
  <si>
    <t>(kõik) meie VÄRAVAHI ALUSTAMISED ja kuidas mängitud</t>
  </si>
  <si>
    <t>(kõik) vastase VÄRAVAHI ALUSTAMISED ja kuidas mängitud</t>
  </si>
  <si>
    <t>KEEPOS</t>
  </si>
  <si>
    <t>HOIAME PALLI</t>
  </si>
  <si>
    <t>HOIAVAD PALLI</t>
  </si>
  <si>
    <t>KUI TIHTI SEDA TEHAKSE</t>
  </si>
  <si>
    <t>EI OLE 100% TÕDE</t>
  </si>
  <si>
    <t>(kõik) meie AUDIVSIKED</t>
  </si>
  <si>
    <t>(kõik) vastase AUDIVSIKED</t>
  </si>
  <si>
    <t>WINSTANTI</t>
  </si>
  <si>
    <t>STANFK DIRECT</t>
  </si>
  <si>
    <t>vastase AUDIVISKED, meie PRESSING</t>
  </si>
  <si>
    <t>meie AUDIVISKED, vastase PRESSING</t>
  </si>
  <si>
    <t>meie VÄRAVAVAHI ALUSTAMISED, vastase PRESSING</t>
  </si>
  <si>
    <t>vastase VÄRAVAHI ALUSTAMISED, meie PRESSING</t>
  </si>
  <si>
    <t>meie VÄRAVALÖÖGID, vastase PRESSING</t>
  </si>
  <si>
    <t xml:space="preserve">vastase VÄRAVALÖÖGID, meie PRESSING </t>
  </si>
  <si>
    <t>meie KARISTUSLÖÖGID, vastase PRESSING</t>
  </si>
  <si>
    <t>vastase KARISTUSLÖÖGID, meie PRESSING</t>
  </si>
  <si>
    <t>Audivise</t>
  </si>
  <si>
    <t>Nurga- löök</t>
  </si>
  <si>
    <t>Värava- löök</t>
  </si>
  <si>
    <t>Karistus- löök</t>
  </si>
  <si>
    <t>Väravavahi alustamine</t>
  </si>
  <si>
    <t>Penalt</t>
  </si>
  <si>
    <r>
      <t>Karistus- löök</t>
    </r>
    <r>
      <rPr>
        <sz val="8"/>
        <color theme="1"/>
        <rFont val="Calibri"/>
        <family val="2"/>
        <charset val="186"/>
        <scheme val="minor"/>
      </rPr>
      <t xml:space="preserve"> (otse)</t>
    </r>
  </si>
  <si>
    <t>VÕIDAME AUDI</t>
  </si>
  <si>
    <t>VÕIDAVAD AUDI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</si>
  <si>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d</t>
  </si>
  <si>
    <t>(AA SHORT, SHORTLONG, LONG)</t>
  </si>
  <si>
    <t>(DD SHORT, SHORTLONG, LONG)</t>
  </si>
  <si>
    <t>(AA VLOPRESS, LOPRESS, MIDPRESS, HIPRESS)</t>
  </si>
  <si>
    <t>(DD VLOPRESS, LOPRESS, MIDPRESS, HIPRESS)</t>
  </si>
  <si>
    <t>(AA SHORT VLOPRESS, LOPRESS, MIDPRESS, HIPRESS)</t>
  </si>
  <si>
    <t>(DD SHORT VLOPRESS, LOPRESS, MIDPRESS, HIPRESS)</t>
  </si>
  <si>
    <t>(AA SHORTLONG VLOPRESS, LOPRESS, MIDPRESS, HIPRESS)</t>
  </si>
  <si>
    <t>(DD SHORTLONG VLOPRESS, LOPRESS, MIDPRESS, HIPRESS)</t>
  </si>
  <si>
    <t>(AA LONG VLOPRESS, LOLPRESS, MIDPRESS, HIPRESS)</t>
  </si>
  <si>
    <t>(DD LONG VLOPRESS, LOLPRESS, MIDPRESS, HIPRESS)</t>
  </si>
  <si>
    <t>(DA VLOPRESS, LOPRESS, MIDPRESS, HIPRESS)</t>
  </si>
  <si>
    <t>(AD VLOPRESS, LOPRESS, MIDPRESS, HIPRESS)</t>
  </si>
  <si>
    <t>(AA, DA</t>
  </si>
  <si>
    <t>DIAGO)</t>
  </si>
  <si>
    <t>(DD, AD</t>
  </si>
  <si>
    <t>(DA CONTRA, VLOPRESS, LOPRESS, MIDPRESS, HIPRESS)</t>
  </si>
  <si>
    <t>(AD CONTRA, VLOPRESS, LOPRESS, MIDPRESS, HIPRESS)</t>
  </si>
  <si>
    <t>(AA STANCO)</t>
  </si>
  <si>
    <t>(DD STANCO)</t>
  </si>
  <si>
    <t>(AA STANFK)</t>
  </si>
  <si>
    <t>(DD STANFK)</t>
  </si>
  <si>
    <t>(AA STANFK VLOPRESS, LOPRESS, MIDPRESS, HIPRESS)</t>
  </si>
  <si>
    <t>(DD STANFK VLOPRESS, LOPRESS, MIDPRESS, HIPRESS)</t>
  </si>
  <si>
    <t>(AA STANFK SHORT, SHORTLONG, LONG)</t>
  </si>
  <si>
    <t>(DD STANFK SHORT, SHORTLONG, LONG)</t>
  </si>
  <si>
    <t>(AA STANGK)</t>
  </si>
  <si>
    <t>(DD STANGK)</t>
  </si>
  <si>
    <t>(AA STANGK SHORT, SHORTLONG, LONG)</t>
  </si>
  <si>
    <t>(DD STANGK SHORT, SHORTLONG, LONG)</t>
  </si>
  <si>
    <t>(AA STANGS)</t>
  </si>
  <si>
    <t>(DD STANGS)</t>
  </si>
  <si>
    <t>(AA STANGS SHORT, SHORTLONG, LONG)</t>
  </si>
  <si>
    <t>(DD STANGS SHORT, SHORTLONG, LONG)</t>
  </si>
  <si>
    <t>(AA STANTI)</t>
  </si>
  <si>
    <t>(DD STANTI)</t>
  </si>
  <si>
    <t>(AA STANTI VLOPRESS, LOPRESS, MIDPRESS, HIPRESS)</t>
  </si>
  <si>
    <t>(DD STANTI VLOPRESS, LOPRESS, MIDPRESS, HIPRESS)</t>
  </si>
  <si>
    <t>Vastase värav</t>
  </si>
  <si>
    <t>Meie värav</t>
  </si>
  <si>
    <t>Karistuslöökide kaart</t>
  </si>
  <si>
    <t>Name</t>
  </si>
  <si>
    <t>Position</t>
  </si>
  <si>
    <t>Põhimoment</t>
  </si>
  <si>
    <t>Outcome</t>
  </si>
  <si>
    <t>Result</t>
  </si>
  <si>
    <t>Build up style</t>
  </si>
  <si>
    <t>Pressing zone</t>
  </si>
  <si>
    <t>Tech-tact</t>
  </si>
  <si>
    <t>Tech-tactII</t>
  </si>
  <si>
    <t>Build-up</t>
  </si>
  <si>
    <t>Transition</t>
  </si>
  <si>
    <t>Esimese värava lööja ja tulemus</t>
  </si>
  <si>
    <t>Värava löömise aeg</t>
  </si>
  <si>
    <t>Kõik mängud</t>
  </si>
  <si>
    <t>1-5</t>
  </si>
  <si>
    <t>6-10</t>
  </si>
  <si>
    <t>11-15</t>
  </si>
  <si>
    <t>16-20</t>
  </si>
  <si>
    <t>21-25</t>
  </si>
  <si>
    <t>26-30</t>
  </si>
  <si>
    <t>31-35</t>
  </si>
  <si>
    <t>36-40</t>
  </si>
  <si>
    <t>41-45</t>
  </si>
  <si>
    <t>46-50</t>
  </si>
  <si>
    <t>51-55</t>
  </si>
  <si>
    <t>56-60</t>
  </si>
  <si>
    <t>61-65</t>
  </si>
  <si>
    <t>66-70</t>
  </si>
  <si>
    <t>71-75</t>
  </si>
  <si>
    <t>76-80</t>
  </si>
  <si>
    <t>81-85</t>
  </si>
  <si>
    <t>86-90</t>
  </si>
  <si>
    <t>Momentum</t>
  </si>
  <si>
    <t>Vastane</t>
  </si>
  <si>
    <t>Field Position</t>
  </si>
  <si>
    <t>Standard last/3</t>
  </si>
  <si>
    <t>Viimases kolmandikus standardid</t>
  </si>
  <si>
    <t xml:space="preserve">DD, AD </t>
  </si>
  <si>
    <t>VÄRAVAD</t>
  </si>
  <si>
    <t>Meie kauglöökide %</t>
  </si>
  <si>
    <t>Vastase kauglöökide %</t>
  </si>
  <si>
    <t>Väljaspool viimast kolmandikku</t>
  </si>
  <si>
    <t>EFEKTIIVSUS</t>
  </si>
  <si>
    <t>Audivisked</t>
  </si>
  <si>
    <t>Ründenurgalöögid</t>
  </si>
  <si>
    <t>Kaitsenurgalöögid</t>
  </si>
  <si>
    <t>Parem</t>
  </si>
  <si>
    <t>Number of balls played</t>
  </si>
  <si>
    <t>Number of 1st balls won</t>
  </si>
  <si>
    <t>Percentage of 1st balls won</t>
  </si>
  <si>
    <t>Vasak</t>
  </si>
  <si>
    <t>Extra</t>
  </si>
  <si>
    <t>Score</t>
  </si>
  <si>
    <t>Esimene pall</t>
  </si>
  <si>
    <t>Nurgalöögid</t>
  </si>
  <si>
    <t>Pool</t>
  </si>
  <si>
    <t>Stiil</t>
  </si>
  <si>
    <t>Duration</t>
  </si>
  <si>
    <t>Võimalus</t>
  </si>
  <si>
    <t>Vastaste võimalused</t>
  </si>
  <si>
    <t>Kestvus</t>
  </si>
  <si>
    <t>WIN</t>
  </si>
  <si>
    <t>DRAW</t>
  </si>
  <si>
    <t>LOSE</t>
  </si>
  <si>
    <t>SCORED</t>
  </si>
  <si>
    <t>CONCEDED</t>
  </si>
  <si>
    <t>Poolaeg</t>
  </si>
  <si>
    <t>Meie</t>
  </si>
  <si>
    <t>Number of 2nd balls won</t>
  </si>
  <si>
    <t>Percentage of 2nd balls won</t>
  </si>
  <si>
    <t>Number of keepos</t>
  </si>
  <si>
    <t>Parem Sissekeriv</t>
  </si>
  <si>
    <t>Parem Väljakeriv</t>
  </si>
  <si>
    <t>Vasak Sissekeriv</t>
  </si>
  <si>
    <t>Vasak Väljakeriv</t>
  </si>
  <si>
    <t>Väljakeriv</t>
  </si>
  <si>
    <t>Sissekeriv</t>
  </si>
  <si>
    <t>Löök standardist või mängust</t>
  </si>
  <si>
    <t>POS olukord standardist või mängust</t>
  </si>
  <si>
    <t>NEG olukord standardist või mängust</t>
  </si>
  <si>
    <t>KAITSEST RÜNNAKULE ERINEVAD STIILID KORRAL</t>
  </si>
  <si>
    <t>WINPEN</t>
  </si>
  <si>
    <t>STANDARDID VIIMANE KOLMANDIK</t>
  </si>
  <si>
    <t>STANDARDID VÄLJASPOOL VIIMAST KOLMANDIKKU</t>
  </si>
  <si>
    <t>Opponent</t>
  </si>
  <si>
    <t>Teine pall</t>
  </si>
  <si>
    <t>Eesti</t>
  </si>
  <si>
    <t>ENTRY</t>
  </si>
  <si>
    <t>Värav</t>
  </si>
  <si>
    <t>Palli võitmine</t>
  </si>
  <si>
    <t>Number of shots</t>
  </si>
  <si>
    <t xml:space="preserve">Number of shots </t>
  </si>
  <si>
    <t>Numbers of winstan</t>
  </si>
  <si>
    <t>Numbers of entry</t>
  </si>
  <si>
    <t>Percentage of POS</t>
  </si>
  <si>
    <t xml:space="preserve">Number of 2nd balls  </t>
  </si>
  <si>
    <t>Percentage of NEG</t>
  </si>
  <si>
    <t>LK 5</t>
  </si>
  <si>
    <t>LK 6</t>
  </si>
  <si>
    <t>SHOT EFFICIENCY</t>
  </si>
  <si>
    <t xml:space="preserve">Kast, kus kõige rohekm AA väravaid </t>
  </si>
  <si>
    <t xml:space="preserve">Kast, kus kõige rohekm DD väravaid </t>
  </si>
  <si>
    <t>Pie chart, kolme erineva suurusega. Suurus tähistab väravate või löökide koguarvu.</t>
  </si>
  <si>
    <t>Suurim väravate koguarv on 100%, kui AA või DD väravate arv erineb, siis arvutataks kui suur on koguarvu erinevus</t>
  </si>
  <si>
    <t>Ehk kui väiksem number on ainult 70% suuremast, siis oleks keskmise suurusega PIE CHART</t>
  </si>
  <si>
    <t>1. suurus</t>
  </si>
  <si>
    <t>2. suurus</t>
  </si>
  <si>
    <t>3. suurus</t>
  </si>
  <si>
    <t>OSAKAAL</t>
  </si>
  <si>
    <t>Kasti sisu on värv, kuid number peab alati mustana näha jääma</t>
  </si>
  <si>
    <t>70% ja alla poole 2/3 näitest</t>
  </si>
  <si>
    <t>50% ja alla poole 1/2 näitest</t>
  </si>
  <si>
    <t>LÖÖGID</t>
  </si>
  <si>
    <t>Number of ATON</t>
  </si>
  <si>
    <t>Number of ATOF</t>
  </si>
  <si>
    <t>Number of ATBK</t>
  </si>
  <si>
    <t>Numbers of winstanti</t>
  </si>
  <si>
    <t>LK 7</t>
  </si>
  <si>
    <t>Kui kõik on 0 siis PIE Chart asemel:</t>
  </si>
  <si>
    <t>LK 8</t>
  </si>
  <si>
    <t>Väärtusi mille järgi värve jagatakse peab saama vabalt muuta igal ajal</t>
  </si>
  <si>
    <t>LK 9</t>
  </si>
  <si>
    <t>LK 10</t>
  </si>
  <si>
    <t>Soov saada selline graafik andmetes, mis tulevad F:F columnist. X:X columnis on näide eelnevast valemist ja kuidas tehtud. Soov tekitada eelmiste lehekülgedega sarnane väärtuste tabel siia lehele näiteks kus saab pidevalt muuta F:F tulbast tuleva andme väärtust.</t>
  </si>
  <si>
    <t>Väärtused</t>
  </si>
  <si>
    <t>LK 11</t>
  </si>
  <si>
    <t>Väljak</t>
  </si>
  <si>
    <t>Löök</t>
  </si>
  <si>
    <t>Entry</t>
  </si>
  <si>
    <t>Kokku</t>
  </si>
  <si>
    <t>Pos%</t>
  </si>
  <si>
    <t>Väljakud Esitlus lehel on jagatud textboxidega tsoonideks</t>
  </si>
  <si>
    <t>Siit lehelt tulevad andmed kuidas tsoonid välja näevad</t>
  </si>
  <si>
    <t>Erinev väärtus tekitab tsooni erineva värvi(valgusfoori süsteem, punane väga halb, kokku 3 tooni punast ja sinine väga hea, kokku 3 tooni sinist.</t>
  </si>
  <si>
    <t>Siin on info milline väärtus mingis tsoonis, millise värvi annab.</t>
  </si>
  <si>
    <t>30 ja rohkem</t>
  </si>
  <si>
    <t>miinus 30 ja rohkem</t>
  </si>
  <si>
    <t>miinus 20 kuni 29,9</t>
  </si>
  <si>
    <t>miinus 10 kuni 19,9</t>
  </si>
  <si>
    <t>10-19,9</t>
  </si>
  <si>
    <t>20-29,9</t>
  </si>
  <si>
    <t>WE WIN THE BALL</t>
  </si>
  <si>
    <t>VÄÄRTUS</t>
  </si>
  <si>
    <t>LK 12</t>
  </si>
  <si>
    <t>Neg%</t>
  </si>
  <si>
    <t>LK 13</t>
  </si>
  <si>
    <t>Viimane sööt enne väravat või lööki</t>
  </si>
  <si>
    <t>WE LOSE THE BALL</t>
  </si>
  <si>
    <t>Sellel leheküljel kehtivad teised väärtused kuna arvutatakse ainult väravaid ja lööke.</t>
  </si>
  <si>
    <t xml:space="preserve">NEG </t>
  </si>
  <si>
    <t>Suuruselt järgmise numbri puhul on vaja arvutada mitu protsenti kõige suuremast see moodustab</t>
  </si>
  <si>
    <t>Siin on jaotus kuidas erinevate protsentide puhul värvid jagunevad.</t>
  </si>
  <si>
    <t>Lisaks värvile peab kastis näha olema ka numbrid mustana, mille leiab siit allolevast tabelist.</t>
  </si>
  <si>
    <t>Kõige suurem väärtuse number tähistab 100% ja annab alati maksimum tugeva tooni</t>
  </si>
  <si>
    <t>Väärtus</t>
  </si>
  <si>
    <t xml:space="preserve">Värav </t>
  </si>
  <si>
    <t xml:space="preserve">Löök </t>
  </si>
  <si>
    <t>Siin lehel ainult POS väravad, seega ainult sinised värvid</t>
  </si>
  <si>
    <t>Siin lehel ainult NEG väravad, seega ainult punased värvid</t>
  </si>
  <si>
    <t>Suuruselt järgmise numbri puhul on vaja arvutada mitu protsenti kõige suuremast see moodustab, kui on väärtus on 0 või alla 40% siis jääb kast täiesti tühjaks.</t>
  </si>
  <si>
    <t>LK 14</t>
  </si>
  <si>
    <t>HIPRESS palli võitmine</t>
  </si>
  <si>
    <t>HIPRESS palli kaotus</t>
  </si>
  <si>
    <t>MIDPRESS palli võitmine</t>
  </si>
  <si>
    <t>MIDPRESS palli kaotus</t>
  </si>
  <si>
    <t>VLOPRESS palli võitmine</t>
  </si>
  <si>
    <t>VLOPRESS palli kaotus</t>
  </si>
  <si>
    <t>LK 15</t>
  </si>
  <si>
    <t>LK 16</t>
  </si>
  <si>
    <t>LK 17</t>
  </si>
  <si>
    <t>LK 18</t>
  </si>
  <si>
    <t>LK 19</t>
  </si>
  <si>
    <t>LK 20</t>
  </si>
  <si>
    <t>LK 21</t>
  </si>
  <si>
    <t>≥</t>
  </si>
  <si>
    <t>≤</t>
  </si>
  <si>
    <t>Siin lehel PIE chart ei muutu, ei ole vaja mingit koodi</t>
  </si>
  <si>
    <t>TOTAL PRESS</t>
  </si>
  <si>
    <t>AVG. PER GAME</t>
  </si>
  <si>
    <t>SHOT TOTAL</t>
  </si>
  <si>
    <t>% SHOT</t>
  </si>
  <si>
    <t>SHOTS TOTAL</t>
  </si>
  <si>
    <t>STIIL</t>
  </si>
  <si>
    <t>LK 22</t>
  </si>
  <si>
    <t>LK 23</t>
  </si>
  <si>
    <t>LK 24</t>
  </si>
  <si>
    <t>LK 25</t>
  </si>
  <si>
    <t>Ei ole vaja midagi teha, jäävad puutumata</t>
  </si>
  <si>
    <t>LK 26</t>
  </si>
  <si>
    <t>LK 27</t>
  </si>
  <si>
    <t>Keepos</t>
  </si>
  <si>
    <t>AA STANTI</t>
  </si>
  <si>
    <t>DD STANTI</t>
  </si>
  <si>
    <t>LK 28</t>
  </si>
  <si>
    <t>1 palli %</t>
  </si>
  <si>
    <t>2 palli %</t>
  </si>
  <si>
    <t>Väärtus:</t>
  </si>
  <si>
    <t>Näiteks U309 cell väärtus on 85,7, see tähendaks, et lk 11 estilus lehel ülevalt teine textbox paremal äärel näeks välja järgmine:</t>
  </si>
  <si>
    <t>Teksti värv oleks alati ühe tooni võrra heledam, täpselt samad värvid nagu on vasakul kasti värvideks märgitud.</t>
  </si>
  <si>
    <t>Kõige heledama kasti sisu puhul oleks teksti värv alati valge.</t>
  </si>
  <si>
    <t>Näiteks hetkel U305 cell väärtusega -0,7 jääks estilus lehel märkamatuks.</t>
  </si>
  <si>
    <t>Tegelikkuses ei taha esitlus lehel praeguseid kasti välisjooni üldse näha, täiesti algupärane väljak on ilma kastide joonteta ning kui ilmub vastava väärtusega kast, siis tekiks ta lehel vastavasse kohta.</t>
  </si>
  <si>
    <t>Numbrid kasti sees on värav/löögid kokku/entry/Kokku</t>
  </si>
  <si>
    <t>Ignoreerida POS% tulpa</t>
  </si>
  <si>
    <t>AA GS</t>
  </si>
  <si>
    <t>DD GS</t>
  </si>
  <si>
    <t>LK 29</t>
  </si>
  <si>
    <t>LK 30</t>
  </si>
  <si>
    <t>LK 31</t>
  </si>
  <si>
    <t>1st ball %</t>
  </si>
  <si>
    <t>DD STANCO (parem)</t>
  </si>
  <si>
    <t>AA STANCO (parem)</t>
  </si>
  <si>
    <t>AA STANCO (vasak)</t>
  </si>
  <si>
    <t>DD STANCO (vasak)</t>
  </si>
  <si>
    <t>sd</t>
  </si>
  <si>
    <t>min</t>
  </si>
  <si>
    <t>max</t>
  </si>
  <si>
    <t>asd</t>
  </si>
  <si>
    <t>sad</t>
  </si>
  <si>
    <t>asdadssad</t>
  </si>
  <si>
    <t>adfadf</t>
  </si>
  <si>
    <t>xc</t>
  </si>
  <si>
    <t>sdf</t>
  </si>
  <si>
    <t>ASD</t>
  </si>
  <si>
    <t>sfdg</t>
  </si>
  <si>
    <t>xd</t>
  </si>
  <si>
    <t>sfd</t>
  </si>
  <si>
    <t>asdf</t>
  </si>
  <si>
    <t>fdg</t>
  </si>
  <si>
    <t>gfh</t>
  </si>
  <si>
    <t>dfg</t>
  </si>
  <si>
    <t>g</t>
  </si>
  <si>
    <t>ghj</t>
  </si>
  <si>
    <t>Graafikud</t>
  </si>
  <si>
    <t>aa</t>
  </si>
  <si>
    <t>DIV/0 asemel võiks jääda tühjaks</t>
  </si>
  <si>
    <t>MIN</t>
  </si>
  <si>
    <t>MAX</t>
  </si>
  <si>
    <t>bb</t>
  </si>
  <si>
    <t>vv</t>
  </si>
  <si>
    <t>Aeg</t>
  </si>
  <si>
    <t>dd</t>
  </si>
  <si>
    <t>cc</t>
  </si>
  <si>
    <t xml:space="preserve">AT </t>
  </si>
  <si>
    <t>AT</t>
  </si>
  <si>
    <t>AT / ATON</t>
  </si>
  <si>
    <t>BIG</t>
  </si>
  <si>
    <t>%</t>
  </si>
  <si>
    <t>MIDDLE</t>
  </si>
  <si>
    <t>SMALL</t>
  </si>
  <si>
    <t>MEIE</t>
  </si>
  <si>
    <t>VASTANE</t>
  </si>
  <si>
    <t>Oodatav</t>
  </si>
  <si>
    <t>Reaalne</t>
  </si>
  <si>
    <t>ATTEMPT</t>
  </si>
  <si>
    <t>BIGZONE5</t>
  </si>
  <si>
    <t>SMLZONE16</t>
  </si>
  <si>
    <t>Intensity index</t>
  </si>
  <si>
    <t>Tabasalu</t>
  </si>
  <si>
    <t>Valgevene</t>
  </si>
  <si>
    <t>Rootsi</t>
  </si>
  <si>
    <t>Leedu</t>
  </si>
  <si>
    <t>U18</t>
  </si>
  <si>
    <t>Soome</t>
  </si>
  <si>
    <t xml:space="preserve">Leedu </t>
  </si>
  <si>
    <t>Läti</t>
  </si>
  <si>
    <t>Sillamäe</t>
  </si>
  <si>
    <t>Zeniit</t>
  </si>
  <si>
    <t>Bosnia</t>
  </si>
  <si>
    <t xml:space="preserve">Ukraina </t>
  </si>
  <si>
    <t>Moldova</t>
  </si>
  <si>
    <t>Keskmine</t>
  </si>
  <si>
    <t>AT+GOAL</t>
  </si>
  <si>
    <t>DUELS</t>
  </si>
  <si>
    <t>Minutid</t>
  </si>
  <si>
    <t>MIDZONE2</t>
  </si>
  <si>
    <t>AD, DA</t>
  </si>
  <si>
    <t>SMLZONE2</t>
  </si>
  <si>
    <t>SMLZONE12</t>
  </si>
  <si>
    <t>SMLZONE17</t>
  </si>
  <si>
    <t>MIDZONE8</t>
  </si>
  <si>
    <t>BIGZONE3</t>
  </si>
  <si>
    <t>BIGZONE2</t>
  </si>
  <si>
    <t>BIGZONE8</t>
  </si>
  <si>
    <t>BIGZONE6</t>
  </si>
  <si>
    <t>SMLZONE14</t>
  </si>
  <si>
    <t>MIDZONE5</t>
  </si>
  <si>
    <t>BIGZONE7</t>
  </si>
  <si>
    <t>SMLZONE8</t>
  </si>
  <si>
    <t>MIDZONE3</t>
  </si>
  <si>
    <t>BIGZONE1</t>
  </si>
  <si>
    <t>SMLZONE6</t>
  </si>
  <si>
    <t>MIDZONE6</t>
  </si>
  <si>
    <t>SMLZONE7</t>
  </si>
  <si>
    <t>SMLZONE5</t>
  </si>
  <si>
    <t>MIDZONE15</t>
  </si>
  <si>
    <t>SMLZONE3</t>
  </si>
  <si>
    <t>SMLZONE11</t>
  </si>
  <si>
    <t>MIDZONE16</t>
  </si>
  <si>
    <t>MIDZONE13</t>
  </si>
  <si>
    <t>MIDZONE4</t>
  </si>
  <si>
    <t>MIDZONE12</t>
  </si>
  <si>
    <t>SMLZONE15</t>
  </si>
  <si>
    <t>MIDZONE14</t>
  </si>
  <si>
    <t>MIDZONE7</t>
  </si>
  <si>
    <t>MIDZONE9</t>
  </si>
  <si>
    <t>DFK</t>
  </si>
  <si>
    <t xml:space="preserve">Penalt </t>
  </si>
  <si>
    <t>SMLZONE10</t>
  </si>
  <si>
    <t>MIDZONE1</t>
  </si>
  <si>
    <t>SMLZONE4</t>
  </si>
  <si>
    <t>b</t>
  </si>
  <si>
    <t>SMLZONE9</t>
  </si>
  <si>
    <t>v NIR</t>
  </si>
  <si>
    <t>BIGZONE9</t>
  </si>
  <si>
    <t>v LAT</t>
  </si>
  <si>
    <t>v Lat BT</t>
  </si>
  <si>
    <t>v FIN</t>
  </si>
  <si>
    <t>v LIT BT</t>
  </si>
  <si>
    <t>v Lat BT U19</t>
  </si>
  <si>
    <t>v FIN BT U19</t>
  </si>
  <si>
    <t>SMLZONE1</t>
  </si>
  <si>
    <t>v LIT BT U19</t>
  </si>
  <si>
    <t>v Läti</t>
  </si>
  <si>
    <t>v Soome</t>
  </si>
  <si>
    <t>v Leedu</t>
  </si>
  <si>
    <t>j</t>
  </si>
  <si>
    <t>Üleminekud</t>
  </si>
  <si>
    <t>Palli kaotus</t>
  </si>
  <si>
    <t>III tsoon</t>
  </si>
  <si>
    <t>II tsoon</t>
  </si>
  <si>
    <t>I tsoon</t>
  </si>
  <si>
    <t>vasak</t>
  </si>
  <si>
    <t>kesk</t>
  </si>
  <si>
    <t>parem</t>
  </si>
  <si>
    <t>R3</t>
  </si>
  <si>
    <t>M3</t>
  </si>
  <si>
    <t>L3</t>
  </si>
  <si>
    <t>S2</t>
  </si>
  <si>
    <t>R2/1</t>
  </si>
  <si>
    <t>S1</t>
  </si>
  <si>
    <t>M1</t>
  </si>
  <si>
    <t>S3</t>
  </si>
  <si>
    <t>L2/1</t>
  </si>
  <si>
    <t>M2/2</t>
  </si>
  <si>
    <t>L1</t>
  </si>
  <si>
    <t>R1</t>
  </si>
  <si>
    <t>R2/2</t>
  </si>
  <si>
    <t>M2/1</t>
  </si>
  <si>
    <t>L</t>
  </si>
  <si>
    <t>M</t>
  </si>
  <si>
    <t>R</t>
  </si>
  <si>
    <t>2/2</t>
  </si>
  <si>
    <t>2/1</t>
  </si>
  <si>
    <t>L2/2</t>
  </si>
  <si>
    <t>1. POOLAEG</t>
  </si>
  <si>
    <t>2. POOLAEG</t>
  </si>
  <si>
    <t>PALLI VÕITMINE</t>
  </si>
  <si>
    <t>III TSOON</t>
  </si>
  <si>
    <t>I TSOON</t>
  </si>
  <si>
    <t>VASAK</t>
  </si>
  <si>
    <t>KESK</t>
  </si>
  <si>
    <t>PAREM</t>
  </si>
  <si>
    <t>ÜLEMINEKUD</t>
  </si>
  <si>
    <t>PALLI KAOTUS</t>
  </si>
  <si>
    <t>II TSOON</t>
  </si>
  <si>
    <t xml:space="preserve">II TSOON </t>
  </si>
  <si>
    <t>1.</t>
  </si>
  <si>
    <t>2.</t>
  </si>
  <si>
    <t>1. poolaeg</t>
  </si>
  <si>
    <t>2. poolaeg</t>
  </si>
  <si>
    <t>AA (1)</t>
  </si>
  <si>
    <t>BUILDUP</t>
  </si>
  <si>
    <t>AD (1)</t>
  </si>
  <si>
    <t>DD (1)</t>
  </si>
  <si>
    <t>DA (1)</t>
  </si>
  <si>
    <t>AD (2)</t>
  </si>
  <si>
    <t>DD (2)</t>
  </si>
  <si>
    <t>DA (2)</t>
  </si>
  <si>
    <t>AD (3)</t>
  </si>
  <si>
    <t>DA (3)</t>
  </si>
  <si>
    <t>AD (4)</t>
  </si>
  <si>
    <t>DD (3)</t>
  </si>
  <si>
    <t>DA (4)</t>
  </si>
  <si>
    <t>AD (5)</t>
  </si>
  <si>
    <t>DD (4)</t>
  </si>
  <si>
    <t>DA (5)</t>
  </si>
  <si>
    <t>AD (6)</t>
  </si>
  <si>
    <t>AA (2)</t>
  </si>
  <si>
    <t>AA (3)</t>
  </si>
  <si>
    <t>DD (5)</t>
  </si>
  <si>
    <t>DD (6)</t>
  </si>
  <si>
    <t>DA (6)</t>
  </si>
  <si>
    <t>DD (7)</t>
  </si>
  <si>
    <t>AA (4)</t>
  </si>
  <si>
    <t>AD (7)</t>
  </si>
  <si>
    <t>DA (7)</t>
  </si>
  <si>
    <t>AD (8)</t>
  </si>
  <si>
    <t>DD (8)</t>
  </si>
  <si>
    <t>AA (5)</t>
  </si>
  <si>
    <t>DD (9)</t>
  </si>
  <si>
    <t>AA (6)</t>
  </si>
  <si>
    <t>DD (10)</t>
  </si>
  <si>
    <t>AA (7)</t>
  </si>
  <si>
    <t>AA (8)</t>
  </si>
  <si>
    <t>DD (11)</t>
  </si>
  <si>
    <t>DA (8)</t>
  </si>
  <si>
    <t>AA (9)</t>
  </si>
  <si>
    <t>DD (12)</t>
  </si>
  <si>
    <t>DA (9)</t>
  </si>
  <si>
    <t>DD (13)</t>
  </si>
  <si>
    <t>DD (14)</t>
  </si>
  <si>
    <t>DD (15)</t>
  </si>
  <si>
    <t>DD (16)</t>
  </si>
  <si>
    <t>DD (17)</t>
  </si>
  <si>
    <t>DD (18)</t>
  </si>
  <si>
    <t>DA (10)</t>
  </si>
  <si>
    <t>DD (19)</t>
  </si>
  <si>
    <t>DA (11)</t>
  </si>
  <si>
    <t>DD (20)</t>
  </si>
  <si>
    <t>AA (10)</t>
  </si>
  <si>
    <t>AA (11)</t>
  </si>
  <si>
    <t>DA (12)</t>
  </si>
  <si>
    <t>AD (10)</t>
  </si>
  <si>
    <t>AA (12)</t>
  </si>
  <si>
    <t>AA (13)</t>
  </si>
  <si>
    <t>AD (9)</t>
  </si>
  <si>
    <t>AA (14)</t>
  </si>
  <si>
    <t>AA (15)</t>
  </si>
  <si>
    <t>AD (11)</t>
  </si>
  <si>
    <t>DD (21)</t>
  </si>
  <si>
    <t>AA (16)</t>
  </si>
  <si>
    <t>AD (12)</t>
  </si>
  <si>
    <t>DA (13)</t>
  </si>
  <si>
    <t>DD (22)</t>
  </si>
  <si>
    <t>DD (23)</t>
  </si>
  <si>
    <t>AA (17)</t>
  </si>
  <si>
    <t>AD (13)</t>
  </si>
  <si>
    <t>DA (14)</t>
  </si>
  <si>
    <t>AA (18)</t>
  </si>
  <si>
    <t>DD (24)</t>
  </si>
  <si>
    <t>DA (15)</t>
  </si>
  <si>
    <t>DD (25)</t>
  </si>
  <si>
    <t>AA (19)</t>
  </si>
  <si>
    <t>AA (20)</t>
  </si>
  <si>
    <t>AA (21)</t>
  </si>
  <si>
    <t>DD (26)</t>
  </si>
  <si>
    <t>DA (16)</t>
  </si>
  <si>
    <t>DD (27)</t>
  </si>
  <si>
    <t>AA (22)</t>
  </si>
  <si>
    <t>AD (14)</t>
  </si>
  <si>
    <t>DA (17)</t>
  </si>
  <si>
    <t>AA (23)</t>
  </si>
  <si>
    <t>AD (15)</t>
  </si>
  <si>
    <t>DA (18)</t>
  </si>
  <si>
    <t>AD (16)</t>
  </si>
  <si>
    <t>DD (28)</t>
  </si>
  <si>
    <t>DD (29)</t>
  </si>
  <si>
    <t>DD (30)</t>
  </si>
  <si>
    <t>DD (31)</t>
  </si>
  <si>
    <t>DD (32)</t>
  </si>
  <si>
    <t>DA (19)</t>
  </si>
  <si>
    <t>DD (33)</t>
  </si>
  <si>
    <t>DD (34)</t>
  </si>
  <si>
    <t>DA (20)</t>
  </si>
  <si>
    <t>AD (17)</t>
  </si>
  <si>
    <t>DD (35)</t>
  </si>
  <si>
    <t>DA (21)</t>
  </si>
  <si>
    <t>AA (24)</t>
  </si>
  <si>
    <t>AD (18)</t>
  </si>
  <si>
    <t>DD (36)</t>
  </si>
  <si>
    <t>DD (37)</t>
  </si>
  <si>
    <t>AA (25)</t>
  </si>
  <si>
    <t>DD (38)</t>
  </si>
  <si>
    <t>DA (22)</t>
  </si>
  <si>
    <t>AA (26)</t>
  </si>
  <si>
    <t>AD (19)</t>
  </si>
  <si>
    <t>DD (39)</t>
  </si>
  <si>
    <t>DD (40)</t>
  </si>
  <si>
    <t>DD (41)</t>
  </si>
  <si>
    <t>ATONGOAL</t>
  </si>
  <si>
    <t>AA (27)</t>
  </si>
  <si>
    <t>AD (20)</t>
  </si>
  <si>
    <t>AA (28)</t>
  </si>
  <si>
    <t>AD (21)</t>
  </si>
  <si>
    <t>AA (29)</t>
  </si>
  <si>
    <t>AD (22)</t>
  </si>
  <si>
    <t>DD (42)</t>
  </si>
  <si>
    <t>AA (30)</t>
  </si>
  <si>
    <t>*</t>
  </si>
  <si>
    <t>AD (23)</t>
  </si>
  <si>
    <t>AA (31)</t>
  </si>
  <si>
    <t>AD (24)</t>
  </si>
  <si>
    <t>AA (32)</t>
  </si>
  <si>
    <t>AD (25)</t>
  </si>
  <si>
    <t>S1 üleminek</t>
  </si>
  <si>
    <t>S2 üleminek</t>
  </si>
  <si>
    <t>S3üleminek</t>
  </si>
  <si>
    <t>ATON / ATONGOAL</t>
  </si>
  <si>
    <t>AT / ATONGOAL</t>
  </si>
  <si>
    <t>% ATONGOAL</t>
  </si>
  <si>
    <t>Numbers of ATONGOALs</t>
  </si>
  <si>
    <t xml:space="preserve">Mänge kokku </t>
  </si>
  <si>
    <t>LOSS</t>
  </si>
  <si>
    <t>AVG GOALS</t>
  </si>
  <si>
    <t>BIGZONE10</t>
  </si>
  <si>
    <t>BIGZONE11</t>
  </si>
  <si>
    <t>First ATONGOAL</t>
  </si>
  <si>
    <t>ATONGOAL EFFICIENCY</t>
  </si>
  <si>
    <t>Chart ja värvid täpselt samad, nagu LK7, ainukesed asjad mis muutuvad on ATONGOAL ja SHOT EFFICIENCY numbrid mille järgi värvid jagunevad</t>
  </si>
  <si>
    <t>AA ATONGOAL KICK</t>
  </si>
  <si>
    <t>DD ATONGOAL KICK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</si>
</sst>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0.0"/>
  </numFmts>
  <fonts count="56">
    <font>
      <sz val="11"/>
      <color theme="1"/>
      <name val="Calibri"/>
      <family val="2"/>
      <charset val="186"/>
      <scheme val="minor"/>
    </font>
    <font>
      <sz val="11"/>
      <color theme="1"/>
      <name val="Calibri"/>
      <family val="2"/>
      <charset val="186"/>
      <scheme val="minor"/>
    </font>
    <font>
      <sz val="18"/>
      <color theme="3"/>
      <name val="Cambria"/>
      <family val="2"/>
      <charset val="186"/>
      <scheme val="major"/>
    </font>
    <font>
      <b/>
      <sz val="15"/>
      <color theme="3"/>
      <name val="Calibri"/>
      <family val="2"/>
      <charset val="186"/>
      <scheme val="minor"/>
    </font>
    <font>
      <b/>
      <sz val="13"/>
      <color theme="3"/>
      <name val="Calibri"/>
      <family val="2"/>
      <charset val="186"/>
      <scheme val="minor"/>
    </font>
    <font>
      <b/>
      <sz val="11"/>
      <color theme="3"/>
      <name val="Calibri"/>
      <family val="2"/>
      <charset val="186"/>
      <scheme val="minor"/>
    </font>
    <font>
      <sz val="11"/>
      <color rgb="FF006100"/>
      <name val="Calibri"/>
      <family val="2"/>
      <charset val="186"/>
      <scheme val="minor"/>
    </font>
    <font>
      <sz val="11"/>
      <color rgb="FF9C0006"/>
      <name val="Calibri"/>
      <family val="2"/>
      <charset val="186"/>
      <scheme val="minor"/>
    </font>
    <font>
      <sz val="11"/>
      <color rgb="FF9C6500"/>
      <name val="Calibri"/>
      <family val="2"/>
      <charset val="186"/>
      <scheme val="minor"/>
    </font>
    <font>
      <sz val="11"/>
      <color rgb="FF3F3F76"/>
      <name val="Calibri"/>
      <family val="2"/>
      <charset val="186"/>
      <scheme val="minor"/>
    </font>
    <font>
      <b/>
      <sz val="11"/>
      <color rgb="FF3F3F3F"/>
      <name val="Calibri"/>
      <family val="2"/>
      <charset val="186"/>
      <scheme val="minor"/>
    </font>
    <font>
      <b/>
      <sz val="11"/>
      <color rgb="FFFA7D00"/>
      <name val="Calibri"/>
      <family val="2"/>
      <charset val="186"/>
      <scheme val="minor"/>
    </font>
    <font>
      <sz val="11"/>
      <color rgb="FFFA7D00"/>
      <name val="Calibri"/>
      <family val="2"/>
      <charset val="186"/>
      <scheme val="minor"/>
    </font>
    <font>
      <b/>
      <sz val="11"/>
      <color theme="0"/>
      <name val="Calibri"/>
      <family val="2"/>
      <charset val="186"/>
      <scheme val="minor"/>
    </font>
    <font>
      <sz val="11"/>
      <color rgb="FFFF0000"/>
      <name val="Calibri"/>
      <family val="2"/>
      <charset val="186"/>
      <scheme val="minor"/>
    </font>
    <font>
      <i/>
      <sz val="11"/>
      <color rgb="FF7F7F7F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sz val="11"/>
      <color theme="0"/>
      <name val="Calibri"/>
      <family val="2"/>
      <charset val="186"/>
      <scheme val="minor"/>
    </font>
    <font>
      <sz val="22"/>
      <color rgb="FFFF0000"/>
      <name val="Calibri"/>
      <family val="2"/>
      <charset val="186"/>
      <scheme val="minor"/>
    </font>
    <font>
      <sz val="20"/>
      <color theme="1"/>
      <name val="Calibri"/>
      <family val="2"/>
      <charset val="186"/>
      <scheme val="minor"/>
    </font>
    <font>
      <sz val="8"/>
      <color theme="1"/>
      <name val="Calibri"/>
      <family val="2"/>
      <charset val="186"/>
      <scheme val="minor"/>
    </font>
    <font>
      <sz val="8"/>
      <name val="Calibri"/>
      <family val="2"/>
      <charset val="186"/>
      <scheme val="minor"/>
    </font>
    <font>
      <b/>
      <sz val="18"/>
      <color theme="3"/>
      <name val="Cambria"/>
      <family val="2"/>
      <charset val="186"/>
      <scheme val="major"/>
    </font>
    <font>
      <b/>
      <sz val="11"/>
      <name val="Calibri"/>
      <family val="2"/>
      <charset val="186"/>
      <scheme val="minor"/>
    </font>
    <font>
      <sz val="11"/>
      <name val="Calibri"/>
      <family val="2"/>
      <charset val="186"/>
      <scheme val="minor"/>
    </font>
    <font>
      <b/>
      <sz val="8"/>
      <color theme="1"/>
      <name val="Calibri"/>
      <family val="2"/>
      <charset val="186"/>
      <scheme val="minor"/>
    </font>
    <font>
      <b/>
      <sz val="8"/>
      <name val="Calibri"/>
      <family val="2"/>
      <charset val="186"/>
      <scheme val="minor"/>
    </font>
    <font>
      <sz val="9"/>
      <color theme="1"/>
      <name val="Calibri"/>
      <family val="2"/>
      <charset val="186"/>
      <scheme val="minor"/>
    </font>
    <font>
      <b/>
      <sz val="14"/>
      <color theme="1"/>
      <name val="Calibri"/>
      <family val="2"/>
      <charset val="186"/>
      <scheme val="minor"/>
    </font>
    <font>
      <b/>
      <sz val="16"/>
      <color theme="1"/>
      <name val="Calibri"/>
      <family val="2"/>
      <charset val="186"/>
      <scheme val="minor"/>
    </font>
    <font>
      <b/>
      <sz val="18"/>
      <color theme="1"/>
      <name val="Calibri"/>
      <family val="2"/>
      <charset val="186"/>
      <scheme val="minor"/>
    </font>
    <font>
      <b/>
      <sz val="20"/>
      <color theme="1"/>
      <name val="Calibri"/>
      <family val="2"/>
      <charset val="186"/>
      <scheme val="minor"/>
    </font>
    <font>
      <b/>
      <sz val="7"/>
      <color theme="1"/>
      <name val="Calibri"/>
      <family val="2"/>
      <charset val="186"/>
      <scheme val="minor"/>
    </font>
    <font>
      <b/>
      <sz val="7"/>
      <name val="Calibri"/>
      <family val="2"/>
      <charset val="186"/>
      <scheme val="minor"/>
    </font>
    <font>
      <sz val="18"/>
      <color theme="1"/>
      <name val="Calibri"/>
      <family val="2"/>
      <charset val="186"/>
      <scheme val="minor"/>
    </font>
    <font>
      <b/>
      <sz val="12"/>
      <color theme="1"/>
      <name val="Calibri"/>
      <family val="2"/>
      <charset val="186"/>
      <scheme val="minor"/>
    </font>
    <font>
      <sz val="12"/>
      <color rgb="FFFF0000"/>
      <name val="Calibri"/>
      <family val="2"/>
      <charset val="186"/>
      <scheme val="minor"/>
    </font>
    <font>
      <b/>
      <sz val="11"/>
      <color rgb="FFFF0000"/>
      <name val="Calibri"/>
      <family val="2"/>
      <charset val="186"/>
      <scheme val="minor"/>
    </font>
    <font>
      <b/>
      <sz val="24"/>
      <color theme="1"/>
      <name val="Calibri"/>
      <family val="2"/>
      <charset val="186"/>
      <scheme val="minor"/>
    </font>
    <font>
      <sz val="10"/>
      <name val="Arial"/>
      <family val="2"/>
      <charset val="186"/>
    </font>
    <font>
      <sz val="10"/>
      <color indexed="8"/>
      <name val="Arial"/>
      <family val="2"/>
      <charset val="186"/>
    </font>
    <font>
      <sz val="12"/>
      <color theme="1"/>
      <name val="Arial"/>
      <family val="2"/>
      <charset val="186"/>
    </font>
    <font>
      <b/>
      <sz val="12"/>
      <color theme="1"/>
      <name val="Arial"/>
      <family val="2"/>
      <charset val="186"/>
    </font>
    <font>
      <sz val="11"/>
      <color rgb="FF333333"/>
      <name val="Calibri"/>
      <family val="2"/>
      <charset val="186"/>
      <scheme val="minor"/>
    </font>
    <font>
      <b/>
      <sz val="36"/>
      <color theme="1"/>
      <name val="Calibri"/>
      <family val="2"/>
      <charset val="186"/>
      <scheme val="minor"/>
    </font>
    <font>
      <b/>
      <sz val="28"/>
      <color theme="1"/>
      <name val="Calibri"/>
      <family val="2"/>
      <charset val="186"/>
      <scheme val="minor"/>
    </font>
    <font>
      <sz val="11"/>
      <color theme="1"/>
      <name val="Calibri"/>
      <family val="2"/>
      <charset val="186"/>
    </font>
    <font>
      <b/>
      <sz val="22"/>
      <color theme="1"/>
      <name val="Calibri"/>
      <family val="2"/>
      <charset val="186"/>
      <scheme val="minor"/>
    </font>
    <font>
      <sz val="11"/>
      <color theme="0" tint="-0.499984740745262"/>
      <name val="Calibri"/>
      <family val="2"/>
      <charset val="186"/>
      <scheme val="minor"/>
    </font>
    <font>
      <sz val="10"/>
      <name val="Verdana"/>
      <family val="2"/>
    </font>
    <font>
      <b/>
      <sz val="18"/>
      <color rgb="FF002060"/>
      <name val="Verdana"/>
      <family val="2"/>
    </font>
    <font>
      <b/>
      <sz val="26"/>
      <name val="Verdana"/>
      <family val="2"/>
    </font>
    <font>
      <b/>
      <sz val="14"/>
      <color rgb="FF002060"/>
      <name val="Verdana"/>
      <family val="2"/>
    </font>
    <font>
      <b/>
      <sz val="14"/>
      <name val="Verdana"/>
      <family val="2"/>
    </font>
    <font>
      <b/>
      <sz val="36"/>
      <color rgb="FF002060"/>
      <name val="Verdana"/>
      <family val="2"/>
      <charset val="186"/>
    </font>
    <font>
      <sz val="11"/>
      <color rgb="FF000000"/>
      <name val="Calibri"/>
      <family val="2"/>
      <charset val="186"/>
      <scheme val="minor"/>
    </font>
  </fonts>
  <fills count="5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2" fillId="0" borderId="0" applyNumberFormat="0" applyFill="0" applyBorder="0" applyAlignment="0" applyProtection="0"/>
    <xf numFmtId="0" fontId="39" fillId="0" borderId="0"/>
    <xf numFmtId="0" fontId="49" fillId="0" borderId="0"/>
  </cellStyleXfs>
  <cellXfs count="43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3" borderId="0" xfId="0" applyFill="1"/>
    <xf numFmtId="0" fontId="0" fillId="3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35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37" borderId="0" xfId="0" applyFill="1"/>
    <xf numFmtId="0" fontId="0" fillId="37" borderId="0" xfId="0" applyFill="1" applyAlignment="1">
      <alignment horizontal="center"/>
    </xf>
    <xf numFmtId="0" fontId="0" fillId="36" borderId="0" xfId="0" applyFill="1" applyAlignment="1">
      <alignment horizontal="center"/>
    </xf>
    <xf numFmtId="0" fontId="20" fillId="37" borderId="0" xfId="0" applyFont="1" applyFill="1" applyAlignment="1">
      <alignment horizontal="center" wrapText="1"/>
    </xf>
    <xf numFmtId="0" fontId="20" fillId="37" borderId="0" xfId="0" applyFont="1" applyFill="1" applyAlignment="1">
      <alignment wrapText="1"/>
    </xf>
    <xf numFmtId="9" fontId="0" fillId="0" borderId="0" xfId="0" applyNumberFormat="1" applyFill="1" applyAlignment="1">
      <alignment horizontal="center"/>
    </xf>
    <xf numFmtId="9" fontId="0" fillId="37" borderId="0" xfId="0" applyNumberFormat="1" applyFill="1" applyAlignment="1">
      <alignment horizontal="center"/>
    </xf>
    <xf numFmtId="9" fontId="0" fillId="36" borderId="0" xfId="0" applyNumberFormat="1" applyFill="1" applyAlignment="1">
      <alignment horizontal="center"/>
    </xf>
    <xf numFmtId="0" fontId="0" fillId="0" borderId="0" xfId="0" applyFill="1" applyAlignment="1">
      <alignment horizontal="left"/>
    </xf>
    <xf numFmtId="0" fontId="0" fillId="36" borderId="0" xfId="0" applyFill="1"/>
    <xf numFmtId="0" fontId="20" fillId="37" borderId="0" xfId="0" applyFont="1" applyFill="1"/>
    <xf numFmtId="0" fontId="21" fillId="37" borderId="0" xfId="0" applyFont="1" applyFill="1"/>
    <xf numFmtId="0" fontId="0" fillId="0" borderId="0" xfId="0" applyFill="1"/>
    <xf numFmtId="0" fontId="20" fillId="37" borderId="0" xfId="0" applyFont="1" applyFill="1" applyAlignment="1">
      <alignment horizontal="left" wrapText="1"/>
    </xf>
    <xf numFmtId="0" fontId="16" fillId="37" borderId="0" xfId="0" applyFont="1" applyFill="1" applyAlignment="1">
      <alignment wrapText="1"/>
    </xf>
    <xf numFmtId="0" fontId="16" fillId="0" borderId="0" xfId="0" applyFont="1" applyFill="1" applyAlignment="1">
      <alignment horizontal="center"/>
    </xf>
    <xf numFmtId="0" fontId="16" fillId="0" borderId="0" xfId="0" applyFont="1"/>
    <xf numFmtId="0" fontId="23" fillId="37" borderId="0" xfId="0" applyFont="1" applyFill="1" applyAlignment="1">
      <alignment horizontal="left"/>
    </xf>
    <xf numFmtId="0" fontId="16" fillId="37" borderId="0" xfId="0" applyFont="1" applyFill="1"/>
    <xf numFmtId="0" fontId="16" fillId="0" borderId="0" xfId="0" applyFont="1" applyAlignment="1">
      <alignment horizontal="center"/>
    </xf>
    <xf numFmtId="0" fontId="16" fillId="37" borderId="0" xfId="0" applyFont="1" applyFill="1" applyAlignment="1">
      <alignment horizontal="center"/>
    </xf>
    <xf numFmtId="0" fontId="0" fillId="0" borderId="0" xfId="0"/>
    <xf numFmtId="0" fontId="24" fillId="37" borderId="0" xfId="0" applyFont="1" applyFill="1"/>
    <xf numFmtId="0" fontId="0" fillId="0" borderId="0" xfId="0" applyFont="1" applyAlignment="1">
      <alignment horizontal="center"/>
    </xf>
    <xf numFmtId="0" fontId="0" fillId="37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 applyAlignment="1"/>
    <xf numFmtId="0" fontId="16" fillId="0" borderId="0" xfId="0" applyFont="1" applyFill="1" applyAlignment="1">
      <alignment horizontal="left"/>
    </xf>
    <xf numFmtId="0" fontId="20" fillId="0" borderId="0" xfId="0" applyFont="1" applyFill="1"/>
    <xf numFmtId="0" fontId="0" fillId="38" borderId="0" xfId="0" applyFill="1" applyAlignment="1">
      <alignment horizontal="center"/>
    </xf>
    <xf numFmtId="9" fontId="0" fillId="38" borderId="0" xfId="0" applyNumberFormat="1" applyFill="1" applyAlignment="1">
      <alignment horizontal="center"/>
    </xf>
    <xf numFmtId="0" fontId="0" fillId="38" borderId="0" xfId="0" applyFill="1"/>
    <xf numFmtId="0" fontId="16" fillId="38" borderId="0" xfId="0" applyFont="1" applyFill="1" applyAlignment="1">
      <alignment horizontal="center"/>
    </xf>
    <xf numFmtId="0" fontId="20" fillId="39" borderId="0" xfId="0" applyFont="1" applyFill="1"/>
    <xf numFmtId="0" fontId="0" fillId="38" borderId="0" xfId="0" applyFill="1" applyAlignment="1">
      <alignment horizontal="left"/>
    </xf>
    <xf numFmtId="0" fontId="20" fillId="40" borderId="0" xfId="0" applyFont="1" applyFill="1"/>
    <xf numFmtId="0" fontId="20" fillId="37" borderId="0" xfId="0" applyFont="1" applyFill="1" applyAlignment="1">
      <alignment horizontal="center"/>
    </xf>
    <xf numFmtId="0" fontId="0" fillId="0" borderId="0" xfId="0" applyAlignment="1">
      <alignment horizontal="center"/>
    </xf>
    <xf numFmtId="9" fontId="0" fillId="37" borderId="0" xfId="0" applyNumberFormat="1" applyFont="1" applyFill="1" applyAlignment="1">
      <alignment horizontal="center"/>
    </xf>
    <xf numFmtId="0" fontId="20" fillId="0" borderId="0" xfId="0" applyFont="1" applyFill="1" applyAlignment="1">
      <alignment wrapText="1"/>
    </xf>
    <xf numFmtId="0" fontId="21" fillId="0" borderId="0" xfId="0" applyFont="1" applyFill="1"/>
    <xf numFmtId="0" fontId="21" fillId="0" borderId="0" xfId="0" applyFont="1" applyFill="1" applyAlignment="1">
      <alignment wrapText="1"/>
    </xf>
    <xf numFmtId="9" fontId="0" fillId="0" borderId="0" xfId="0" applyNumberFormat="1" applyFont="1" applyAlignment="1">
      <alignment horizontal="center"/>
    </xf>
    <xf numFmtId="0" fontId="0" fillId="0" borderId="0" xfId="0"/>
    <xf numFmtId="0" fontId="20" fillId="37" borderId="0" xfId="0" applyFont="1" applyFill="1" applyAlignment="1">
      <alignment horizontal="left"/>
    </xf>
    <xf numFmtId="0" fontId="0" fillId="37" borderId="0" xfId="0" applyFill="1" applyAlignment="1">
      <alignment horizontal="left"/>
    </xf>
    <xf numFmtId="0" fontId="16" fillId="37" borderId="0" xfId="0" applyFont="1" applyFill="1" applyAlignment="1">
      <alignment horizontal="left"/>
    </xf>
    <xf numFmtId="0" fontId="24" fillId="37" borderId="0" xfId="0" applyFont="1" applyFill="1" applyAlignment="1">
      <alignment horizontal="left"/>
    </xf>
    <xf numFmtId="0" fontId="0" fillId="0" borderId="0" xfId="0" applyAlignment="1">
      <alignment horizontal="center"/>
    </xf>
    <xf numFmtId="0" fontId="0" fillId="41" borderId="0" xfId="0" applyFill="1"/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41" borderId="10" xfId="0" applyFill="1" applyBorder="1" applyAlignment="1">
      <alignment horizontal="center"/>
    </xf>
    <xf numFmtId="0" fontId="16" fillId="41" borderId="10" xfId="0" applyFont="1" applyFill="1" applyBorder="1" applyAlignment="1">
      <alignment horizontal="center"/>
    </xf>
    <xf numFmtId="0" fontId="0" fillId="41" borderId="10" xfId="0" applyFill="1" applyBorder="1" applyAlignment="1">
      <alignment horizontal="center"/>
    </xf>
    <xf numFmtId="0" fontId="0" fillId="41" borderId="13" xfId="0" applyFill="1" applyBorder="1" applyAlignment="1"/>
    <xf numFmtId="0" fontId="20" fillId="41" borderId="13" xfId="0" applyFont="1" applyFill="1" applyBorder="1" applyAlignment="1"/>
    <xf numFmtId="0" fontId="0" fillId="41" borderId="10" xfId="0" applyFill="1" applyBorder="1"/>
    <xf numFmtId="9" fontId="0" fillId="0" borderId="10" xfId="0" applyNumberForma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16" fillId="0" borderId="0" xfId="0" applyFont="1" applyAlignment="1">
      <alignment horizontal="center"/>
    </xf>
    <xf numFmtId="0" fontId="0" fillId="41" borderId="11" xfId="0" applyFill="1" applyBorder="1" applyAlignment="1">
      <alignment horizontal="center"/>
    </xf>
    <xf numFmtId="0" fontId="0" fillId="41" borderId="12" xfId="0" applyFill="1" applyBorder="1" applyAlignment="1">
      <alignment horizontal="center"/>
    </xf>
    <xf numFmtId="9" fontId="0" fillId="0" borderId="12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9" fillId="0" borderId="0" xfId="0" applyFont="1" applyAlignment="1">
      <alignment horizontal="center"/>
    </xf>
    <xf numFmtId="0" fontId="0" fillId="0" borderId="0" xfId="0" applyAlignment="1">
      <alignment horizontal="center"/>
    </xf>
    <xf numFmtId="9" fontId="0" fillId="0" borderId="11" xfId="0" applyNumberFormat="1" applyBorder="1" applyAlignment="1">
      <alignment horizontal="center"/>
    </xf>
    <xf numFmtId="0" fontId="19" fillId="0" borderId="0" xfId="0" applyFont="1" applyAlignment="1">
      <alignment horizontal="center"/>
    </xf>
    <xf numFmtId="0" fontId="16" fillId="0" borderId="17" xfId="0" applyFont="1" applyFill="1" applyBorder="1" applyAlignment="1">
      <alignment horizontal="center"/>
    </xf>
    <xf numFmtId="0" fontId="16" fillId="0" borderId="16" xfId="0" applyFont="1" applyFill="1" applyBorder="1" applyAlignment="1">
      <alignment horizontal="center"/>
    </xf>
    <xf numFmtId="0" fontId="16" fillId="0" borderId="15" xfId="0" applyFont="1" applyFill="1" applyBorder="1" applyAlignment="1">
      <alignment horizontal="center"/>
    </xf>
    <xf numFmtId="0" fontId="16" fillId="0" borderId="18" xfId="0" applyFont="1" applyFill="1" applyBorder="1" applyAlignment="1">
      <alignment horizontal="center"/>
    </xf>
    <xf numFmtId="0" fontId="23" fillId="0" borderId="19" xfId="0" applyFont="1" applyFill="1" applyBorder="1" applyAlignment="1">
      <alignment horizontal="center"/>
    </xf>
    <xf numFmtId="0" fontId="16" fillId="0" borderId="20" xfId="0" applyFont="1" applyFill="1" applyBorder="1" applyAlignment="1">
      <alignment horizontal="center"/>
    </xf>
    <xf numFmtId="0" fontId="23" fillId="0" borderId="20" xfId="0" applyFont="1" applyFill="1" applyBorder="1" applyAlignment="1">
      <alignment horizontal="center"/>
    </xf>
    <xf numFmtId="0" fontId="16" fillId="0" borderId="19" xfId="0" applyFont="1" applyFill="1" applyBorder="1" applyAlignment="1">
      <alignment horizontal="center"/>
    </xf>
    <xf numFmtId="0" fontId="16" fillId="0" borderId="21" xfId="0" applyFont="1" applyFill="1" applyBorder="1" applyAlignment="1">
      <alignment horizontal="center"/>
    </xf>
    <xf numFmtId="0" fontId="23" fillId="0" borderId="21" xfId="0" applyFont="1" applyFill="1" applyBorder="1" applyAlignment="1">
      <alignment horizontal="center"/>
    </xf>
    <xf numFmtId="0" fontId="23" fillId="0" borderId="15" xfId="0" applyFont="1" applyFill="1" applyBorder="1" applyAlignment="1">
      <alignment horizontal="center"/>
    </xf>
    <xf numFmtId="20" fontId="0" fillId="0" borderId="0" xfId="0" applyNumberFormat="1"/>
    <xf numFmtId="0" fontId="16" fillId="41" borderId="11" xfId="0" applyFont="1" applyFill="1" applyBorder="1" applyAlignment="1">
      <alignment horizontal="center"/>
    </xf>
    <xf numFmtId="0" fontId="16" fillId="41" borderId="13" xfId="0" applyFont="1" applyFill="1" applyBorder="1" applyAlignment="1">
      <alignment horizontal="center"/>
    </xf>
    <xf numFmtId="0" fontId="0" fillId="41" borderId="11" xfId="0" applyFill="1" applyBorder="1"/>
    <xf numFmtId="0" fontId="0" fillId="37" borderId="13" xfId="0" applyFill="1" applyBorder="1" applyAlignment="1">
      <alignment horizontal="center"/>
    </xf>
    <xf numFmtId="0" fontId="0" fillId="37" borderId="23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9" fontId="0" fillId="0" borderId="11" xfId="0" applyNumberFormat="1" applyBorder="1" applyAlignment="1">
      <alignment horizontal="center"/>
    </xf>
    <xf numFmtId="0" fontId="0" fillId="0" borderId="0" xfId="0"/>
    <xf numFmtId="0" fontId="20" fillId="37" borderId="0" xfId="0" applyFont="1" applyFill="1" applyAlignment="1">
      <alignment horizontal="left" vertical="center" wrapText="1"/>
    </xf>
    <xf numFmtId="0" fontId="20" fillId="37" borderId="0" xfId="0" applyFon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37" borderId="0" xfId="0" applyFill="1" applyAlignment="1">
      <alignment horizontal="left" vertical="center"/>
    </xf>
    <xf numFmtId="0" fontId="16" fillId="37" borderId="0" xfId="0" applyFont="1" applyFill="1" applyAlignment="1">
      <alignment vertical="center"/>
    </xf>
    <xf numFmtId="0" fontId="24" fillId="37" borderId="0" xfId="0" applyFont="1" applyFill="1" applyAlignment="1">
      <alignment horizontal="left" vertical="center"/>
    </xf>
    <xf numFmtId="0" fontId="16" fillId="37" borderId="0" xfId="0" applyFont="1" applyFill="1" applyAlignment="1">
      <alignment horizontal="left" vertical="center"/>
    </xf>
    <xf numFmtId="0" fontId="25" fillId="37" borderId="0" xfId="0" applyFont="1" applyFill="1" applyAlignment="1">
      <alignment horizontal="left" vertical="center" wrapText="1"/>
    </xf>
    <xf numFmtId="0" fontId="27" fillId="37" borderId="0" xfId="0" applyFont="1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20" fillId="37" borderId="0" xfId="0" applyFont="1" applyFill="1" applyAlignment="1">
      <alignment horizontal="left" vertical="center"/>
    </xf>
    <xf numFmtId="0" fontId="16" fillId="37" borderId="0" xfId="0" applyFont="1" applyFill="1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9" fontId="0" fillId="0" borderId="1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27" fillId="41" borderId="10" xfId="0" applyFont="1" applyFill="1" applyBorder="1" applyAlignment="1">
      <alignment horizontal="center" wrapText="1"/>
    </xf>
    <xf numFmtId="0" fontId="20" fillId="37" borderId="10" xfId="0" applyFont="1" applyFill="1" applyBorder="1" applyAlignment="1">
      <alignment wrapText="1"/>
    </xf>
    <xf numFmtId="0" fontId="27" fillId="41" borderId="11" xfId="0" applyFont="1" applyFill="1" applyBorder="1" applyAlignment="1">
      <alignment horizontal="center" wrapText="1"/>
    </xf>
    <xf numFmtId="0" fontId="27" fillId="37" borderId="10" xfId="0" applyFont="1" applyFill="1" applyBorder="1" applyAlignment="1">
      <alignment wrapText="1"/>
    </xf>
    <xf numFmtId="0" fontId="27" fillId="37" borderId="11" xfId="0" applyFont="1" applyFill="1" applyBorder="1" applyAlignment="1">
      <alignment horizontal="center"/>
    </xf>
    <xf numFmtId="0" fontId="27" fillId="37" borderId="10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32" fillId="0" borderId="0" xfId="0" applyFont="1" applyFill="1"/>
    <xf numFmtId="0" fontId="33" fillId="0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0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30" fillId="0" borderId="0" xfId="0" applyFont="1" applyAlignment="1"/>
    <xf numFmtId="0" fontId="30" fillId="0" borderId="0" xfId="0" applyFont="1"/>
    <xf numFmtId="0" fontId="34" fillId="0" borderId="0" xfId="0" applyFont="1"/>
    <xf numFmtId="0" fontId="30" fillId="0" borderId="14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6" fillId="0" borderId="26" xfId="0" applyFont="1" applyBorder="1" applyAlignment="1">
      <alignment horizontal="center"/>
    </xf>
    <xf numFmtId="0" fontId="35" fillId="43" borderId="28" xfId="0" applyFont="1" applyFill="1" applyBorder="1" applyAlignment="1">
      <alignment horizontal="center"/>
    </xf>
    <xf numFmtId="0" fontId="37" fillId="0" borderId="29" xfId="0" applyFont="1" applyBorder="1" applyAlignment="1">
      <alignment horizontal="center"/>
    </xf>
    <xf numFmtId="0" fontId="37" fillId="0" borderId="17" xfId="0" applyFont="1" applyBorder="1" applyAlignment="1">
      <alignment horizontal="center"/>
    </xf>
    <xf numFmtId="0" fontId="35" fillId="42" borderId="30" xfId="0" applyFont="1" applyFill="1" applyBorder="1" applyAlignment="1">
      <alignment horizontal="center"/>
    </xf>
    <xf numFmtId="0" fontId="35" fillId="42" borderId="16" xfId="0" applyFont="1" applyFill="1" applyBorder="1" applyAlignment="1">
      <alignment horizontal="center"/>
    </xf>
    <xf numFmtId="0" fontId="14" fillId="0" borderId="29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9" fontId="0" fillId="0" borderId="0" xfId="0" applyNumberFormat="1"/>
    <xf numFmtId="0" fontId="0" fillId="0" borderId="10" xfId="0" applyBorder="1"/>
    <xf numFmtId="164" fontId="0" fillId="0" borderId="0" xfId="0" applyNumberFormat="1"/>
    <xf numFmtId="0" fontId="40" fillId="0" borderId="0" xfId="43" applyFont="1" applyFill="1" applyBorder="1" applyAlignment="1">
      <alignment horizontal="left" vertical="top" wrapText="1"/>
    </xf>
    <xf numFmtId="10" fontId="0" fillId="0" borderId="0" xfId="0" applyNumberFormat="1" applyFill="1" applyBorder="1"/>
    <xf numFmtId="9" fontId="0" fillId="0" borderId="0" xfId="0" applyNumberFormat="1" applyFill="1" applyBorder="1"/>
    <xf numFmtId="0" fontId="41" fillId="44" borderId="10" xfId="0" applyFont="1" applyFill="1" applyBorder="1"/>
    <xf numFmtId="0" fontId="41" fillId="0" borderId="10" xfId="0" applyFont="1" applyBorder="1"/>
    <xf numFmtId="0" fontId="41" fillId="0" borderId="10" xfId="0" applyFont="1" applyBorder="1" applyAlignment="1">
      <alignment horizontal="center" vertical="center"/>
    </xf>
    <xf numFmtId="0" fontId="41" fillId="0" borderId="10" xfId="0" applyFont="1" applyFill="1" applyBorder="1"/>
    <xf numFmtId="0" fontId="0" fillId="0" borderId="0" xfId="0" applyFill="1" applyBorder="1"/>
    <xf numFmtId="0" fontId="0" fillId="46" borderId="10" xfId="0" applyFill="1" applyBorder="1"/>
    <xf numFmtId="0" fontId="0" fillId="47" borderId="10" xfId="0" applyFill="1" applyBorder="1"/>
    <xf numFmtId="0" fontId="0" fillId="48" borderId="10" xfId="0" applyFill="1" applyBorder="1"/>
    <xf numFmtId="0" fontId="0" fillId="0" borderId="0" xfId="0" applyBorder="1"/>
    <xf numFmtId="0" fontId="28" fillId="0" borderId="0" xfId="0" applyFont="1"/>
    <xf numFmtId="0" fontId="35" fillId="43" borderId="25" xfId="0" applyFont="1" applyFill="1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36" fillId="0" borderId="14" xfId="0" applyFont="1" applyBorder="1" applyAlignment="1">
      <alignment horizontal="center"/>
    </xf>
    <xf numFmtId="0" fontId="35" fillId="43" borderId="13" xfId="0" applyFont="1" applyFill="1" applyBorder="1" applyAlignment="1">
      <alignment horizontal="center"/>
    </xf>
    <xf numFmtId="0" fontId="14" fillId="0" borderId="23" xfId="0" applyFont="1" applyBorder="1" applyAlignment="1">
      <alignment horizontal="center"/>
    </xf>
    <xf numFmtId="0" fontId="0" fillId="0" borderId="0" xfId="0" applyAlignment="1">
      <alignment horizontal="center"/>
    </xf>
    <xf numFmtId="0" fontId="43" fillId="0" borderId="0" xfId="0" applyFont="1" applyBorder="1" applyAlignment="1">
      <alignment horizontal="center" vertical="center" readingOrder="1"/>
    </xf>
    <xf numFmtId="0" fontId="0" fillId="0" borderId="10" xfId="0" applyFill="1" applyBorder="1"/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NumberFormat="1"/>
    <xf numFmtId="0" fontId="35" fillId="43" borderId="24" xfId="0" applyFont="1" applyFill="1" applyBorder="1" applyAlignment="1"/>
    <xf numFmtId="0" fontId="35" fillId="43" borderId="25" xfId="0" applyFont="1" applyFill="1" applyBorder="1" applyAlignment="1"/>
    <xf numFmtId="0" fontId="14" fillId="0" borderId="26" xfId="0" applyFont="1" applyBorder="1" applyAlignment="1"/>
    <xf numFmtId="0" fontId="14" fillId="0" borderId="27" xfId="0" applyFont="1" applyBorder="1" applyAlignment="1"/>
    <xf numFmtId="0" fontId="0" fillId="0" borderId="0" xfId="0" applyAlignment="1">
      <alignment horizontal="center"/>
    </xf>
    <xf numFmtId="0" fontId="36" fillId="0" borderId="26" xfId="0" applyFont="1" applyBorder="1" applyAlignment="1"/>
    <xf numFmtId="0" fontId="36" fillId="0" borderId="27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49" borderId="0" xfId="0" applyFill="1"/>
    <xf numFmtId="0" fontId="0" fillId="50" borderId="0" xfId="0" applyFill="1"/>
    <xf numFmtId="0" fontId="0" fillId="0" borderId="0" xfId="0" applyAlignment="1">
      <alignment horizontal="center"/>
    </xf>
    <xf numFmtId="0" fontId="35" fillId="43" borderId="24" xfId="0" applyFont="1" applyFill="1" applyBorder="1" applyAlignment="1">
      <alignment horizontal="center"/>
    </xf>
    <xf numFmtId="0" fontId="35" fillId="43" borderId="25" xfId="0" applyFont="1" applyFill="1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28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/>
    <xf numFmtId="0" fontId="16" fillId="0" borderId="0" xfId="0" applyFont="1" applyAlignment="1">
      <alignment horizontal="center" vertical="center"/>
    </xf>
    <xf numFmtId="0" fontId="0" fillId="45" borderId="1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4" xfId="0" applyBorder="1"/>
    <xf numFmtId="0" fontId="0" fillId="0" borderId="28" xfId="0" applyBorder="1"/>
    <xf numFmtId="0" fontId="0" fillId="0" borderId="25" xfId="0" applyBorder="1"/>
    <xf numFmtId="0" fontId="0" fillId="0" borderId="31" xfId="0" applyBorder="1"/>
    <xf numFmtId="0" fontId="0" fillId="0" borderId="32" xfId="0" applyBorder="1"/>
    <xf numFmtId="0" fontId="29" fillId="0" borderId="0" xfId="0" applyFont="1" applyBorder="1"/>
    <xf numFmtId="0" fontId="41" fillId="0" borderId="0" xfId="0" applyFont="1" applyBorder="1"/>
    <xf numFmtId="0" fontId="0" fillId="0" borderId="26" xfId="0" applyBorder="1"/>
    <xf numFmtId="0" fontId="0" fillId="0" borderId="14" xfId="0" applyBorder="1"/>
    <xf numFmtId="0" fontId="0" fillId="0" borderId="27" xfId="0" applyBorder="1"/>
    <xf numFmtId="0" fontId="28" fillId="0" borderId="0" xfId="0" applyFont="1" applyBorder="1" applyAlignment="1">
      <alignment horizontal="left"/>
    </xf>
    <xf numFmtId="164" fontId="0" fillId="0" borderId="0" xfId="0" applyNumberFormat="1" applyAlignment="1"/>
    <xf numFmtId="0" fontId="16" fillId="0" borderId="0" xfId="0" applyFont="1" applyAlignment="1">
      <alignment horizontal="center"/>
    </xf>
    <xf numFmtId="0" fontId="16" fillId="0" borderId="14" xfId="0" applyFont="1" applyBorder="1" applyAlignment="1">
      <alignment horizontal="center"/>
    </xf>
    <xf numFmtId="0" fontId="35" fillId="43" borderId="24" xfId="0" applyFont="1" applyFill="1" applyBorder="1" applyAlignment="1">
      <alignment horizontal="center"/>
    </xf>
    <xf numFmtId="0" fontId="35" fillId="43" borderId="25" xfId="0" applyFont="1" applyFill="1" applyBorder="1" applyAlignment="1">
      <alignment horizontal="center"/>
    </xf>
    <xf numFmtId="0" fontId="16" fillId="0" borderId="28" xfId="0" applyFont="1" applyBorder="1" applyAlignment="1">
      <alignment horizontal="center"/>
    </xf>
    <xf numFmtId="0" fontId="14" fillId="0" borderId="26" xfId="0" applyFont="1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28" fillId="0" borderId="0" xfId="0" applyFont="1" applyAlignment="1">
      <alignment horizontal="center"/>
    </xf>
    <xf numFmtId="0" fontId="14" fillId="0" borderId="0" xfId="0" applyFont="1" applyBorder="1" applyAlignment="1">
      <alignment horizontal="center"/>
    </xf>
    <xf numFmtId="0" fontId="0" fillId="51" borderId="0" xfId="0" applyFill="1" applyBorder="1"/>
    <xf numFmtId="0" fontId="0" fillId="48" borderId="0" xfId="0" applyFill="1" applyBorder="1"/>
    <xf numFmtId="9" fontId="0" fillId="0" borderId="0" xfId="0" applyNumberFormat="1" applyBorder="1"/>
    <xf numFmtId="0" fontId="0" fillId="48" borderId="0" xfId="0" applyFont="1" applyFill="1" applyBorder="1"/>
    <xf numFmtId="0" fontId="0" fillId="35" borderId="0" xfId="0" applyFill="1" applyBorder="1"/>
    <xf numFmtId="0" fontId="0" fillId="52" borderId="0" xfId="0" applyFill="1" applyBorder="1"/>
    <xf numFmtId="0" fontId="0" fillId="34" borderId="0" xfId="0" applyFill="1" applyBorder="1"/>
    <xf numFmtId="0" fontId="0" fillId="53" borderId="0" xfId="0" applyFill="1" applyBorder="1"/>
    <xf numFmtId="0" fontId="0" fillId="54" borderId="0" xfId="0" applyFill="1" applyBorder="1"/>
    <xf numFmtId="0" fontId="16" fillId="0" borderId="0" xfId="0" applyFont="1" applyBorder="1"/>
    <xf numFmtId="164" fontId="0" fillId="0" borderId="0" xfId="0" applyNumberFormat="1" applyBorder="1"/>
    <xf numFmtId="165" fontId="0" fillId="0" borderId="0" xfId="0" applyNumberFormat="1" applyBorder="1"/>
    <xf numFmtId="1" fontId="0" fillId="0" borderId="0" xfId="0" applyNumberFormat="1" applyBorder="1"/>
    <xf numFmtId="0" fontId="0" fillId="0" borderId="14" xfId="0" applyFill="1" applyBorder="1"/>
    <xf numFmtId="164" fontId="0" fillId="0" borderId="14" xfId="0" applyNumberFormat="1" applyBorder="1"/>
    <xf numFmtId="165" fontId="0" fillId="0" borderId="14" xfId="0" applyNumberFormat="1" applyBorder="1"/>
    <xf numFmtId="0" fontId="0" fillId="0" borderId="0" xfId="0" applyAlignment="1">
      <alignment horizontal="center"/>
    </xf>
    <xf numFmtId="0" fontId="46" fillId="0" borderId="0" xfId="0" applyFont="1"/>
    <xf numFmtId="0" fontId="46" fillId="0" borderId="31" xfId="0" applyFont="1" applyBorder="1"/>
    <xf numFmtId="0" fontId="46" fillId="0" borderId="0" xfId="0" applyFont="1" applyBorder="1"/>
    <xf numFmtId="1" fontId="0" fillId="0" borderId="0" xfId="0" applyNumberFormat="1"/>
    <xf numFmtId="0" fontId="0" fillId="0" borderId="0" xfId="0" applyAlignment="1">
      <alignment horizontal="center"/>
    </xf>
    <xf numFmtId="1" fontId="0" fillId="0" borderId="14" xfId="0" applyNumberFormat="1" applyBorder="1"/>
    <xf numFmtId="0" fontId="0" fillId="0" borderId="0" xfId="0" applyFont="1" applyBorder="1"/>
    <xf numFmtId="0" fontId="0" fillId="0" borderId="0" xfId="0" applyFont="1" applyFill="1" applyBorder="1"/>
    <xf numFmtId="0" fontId="0" fillId="0" borderId="24" xfId="0" applyBorder="1" applyAlignment="1">
      <alignment horizontal="center"/>
    </xf>
    <xf numFmtId="0" fontId="0" fillId="0" borderId="28" xfId="0" applyBorder="1" applyAlignment="1">
      <alignment horizontal="center"/>
    </xf>
    <xf numFmtId="9" fontId="0" fillId="0" borderId="32" xfId="0" applyNumberFormat="1" applyBorder="1"/>
    <xf numFmtId="0" fontId="0" fillId="0" borderId="32" xfId="0" applyNumberFormat="1" applyBorder="1"/>
    <xf numFmtId="0" fontId="0" fillId="0" borderId="31" xfId="0" applyBorder="1" applyAlignment="1">
      <alignment horizontal="center"/>
    </xf>
    <xf numFmtId="9" fontId="0" fillId="0" borderId="27" xfId="0" applyNumberFormat="1" applyBorder="1"/>
    <xf numFmtId="1" fontId="0" fillId="0" borderId="32" xfId="0" applyNumberFormat="1" applyBorder="1"/>
    <xf numFmtId="1" fontId="0" fillId="0" borderId="27" xfId="0" applyNumberFormat="1" applyBorder="1"/>
    <xf numFmtId="165" fontId="0" fillId="0" borderId="31" xfId="0" applyNumberFormat="1" applyBorder="1"/>
    <xf numFmtId="2" fontId="0" fillId="0" borderId="0" xfId="0" applyNumberFormat="1"/>
    <xf numFmtId="0" fontId="0" fillId="0" borderId="0" xfId="0" applyAlignment="1">
      <alignment vertical="top"/>
    </xf>
    <xf numFmtId="0" fontId="0" fillId="0" borderId="0" xfId="0" applyBorder="1" applyAlignment="1">
      <alignment vertical="top"/>
    </xf>
    <xf numFmtId="16" fontId="0" fillId="0" borderId="0" xfId="0" applyNumberFormat="1"/>
    <xf numFmtId="165" fontId="0" fillId="0" borderId="0" xfId="0" applyNumberFormat="1"/>
    <xf numFmtId="0" fontId="0" fillId="48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/>
    <xf numFmtId="164" fontId="0" fillId="0" borderId="15" xfId="0" applyNumberFormat="1" applyBorder="1"/>
    <xf numFmtId="0" fontId="35" fillId="0" borderId="0" xfId="0" applyFont="1" applyAlignment="1">
      <alignment horizontal="center"/>
    </xf>
    <xf numFmtId="0" fontId="35" fillId="50" borderId="0" xfId="0" applyFont="1" applyFill="1"/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64" fontId="0" fillId="0" borderId="35" xfId="0" applyNumberFormat="1" applyBorder="1" applyAlignment="1">
      <alignment horizontal="center"/>
    </xf>
    <xf numFmtId="0" fontId="0" fillId="0" borderId="36" xfId="0" applyBorder="1" applyAlignment="1">
      <alignment horizontal="center"/>
    </xf>
    <xf numFmtId="164" fontId="0" fillId="0" borderId="37" xfId="0" applyNumberForma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164" fontId="0" fillId="0" borderId="40" xfId="0" applyNumberFormat="1" applyBorder="1" applyAlignment="1">
      <alignment horizontal="center"/>
    </xf>
    <xf numFmtId="0" fontId="35" fillId="50" borderId="0" xfId="0" applyFont="1" applyFill="1" applyAlignment="1">
      <alignment horizontal="center"/>
    </xf>
    <xf numFmtId="0" fontId="0" fillId="0" borderId="35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35" xfId="0" applyBorder="1"/>
    <xf numFmtId="0" fontId="0" fillId="0" borderId="40" xfId="0" applyBorder="1"/>
    <xf numFmtId="0" fontId="29" fillId="39" borderId="0" xfId="0" applyFont="1" applyFill="1" applyAlignment="1">
      <alignment horizontal="center"/>
    </xf>
    <xf numFmtId="0" fontId="29" fillId="48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0" fontId="0" fillId="39" borderId="33" xfId="0" applyFill="1" applyBorder="1" applyAlignment="1">
      <alignment horizontal="center"/>
    </xf>
    <xf numFmtId="0" fontId="0" fillId="39" borderId="34" xfId="0" applyFill="1" applyBorder="1" applyAlignment="1">
      <alignment horizontal="center"/>
    </xf>
    <xf numFmtId="2" fontId="0" fillId="39" borderId="34" xfId="0" applyNumberFormat="1" applyFill="1" applyBorder="1" applyAlignment="1">
      <alignment horizontal="center"/>
    </xf>
    <xf numFmtId="2" fontId="0" fillId="39" borderId="35" xfId="0" applyNumberFormat="1" applyFill="1" applyBorder="1" applyAlignment="1">
      <alignment horizontal="center"/>
    </xf>
    <xf numFmtId="0" fontId="0" fillId="39" borderId="36" xfId="0" applyFill="1" applyBorder="1"/>
    <xf numFmtId="0" fontId="0" fillId="39" borderId="0" xfId="0" applyFill="1" applyBorder="1"/>
    <xf numFmtId="2" fontId="0" fillId="39" borderId="0" xfId="0" applyNumberFormat="1" applyFill="1" applyBorder="1"/>
    <xf numFmtId="2" fontId="0" fillId="39" borderId="37" xfId="0" applyNumberFormat="1" applyFill="1" applyBorder="1"/>
    <xf numFmtId="0" fontId="0" fillId="48" borderId="33" xfId="0" applyFill="1" applyBorder="1" applyAlignment="1">
      <alignment horizontal="center"/>
    </xf>
    <xf numFmtId="0" fontId="0" fillId="48" borderId="34" xfId="0" applyFill="1" applyBorder="1" applyAlignment="1">
      <alignment horizontal="center"/>
    </xf>
    <xf numFmtId="2" fontId="0" fillId="48" borderId="34" xfId="0" applyNumberFormat="1" applyFill="1" applyBorder="1" applyAlignment="1">
      <alignment horizontal="center"/>
    </xf>
    <xf numFmtId="2" fontId="0" fillId="48" borderId="35" xfId="0" applyNumberFormat="1" applyFill="1" applyBorder="1" applyAlignment="1">
      <alignment horizontal="center"/>
    </xf>
    <xf numFmtId="0" fontId="0" fillId="48" borderId="38" xfId="0" applyFill="1" applyBorder="1" applyAlignment="1">
      <alignment horizontal="center"/>
    </xf>
    <xf numFmtId="0" fontId="0" fillId="48" borderId="39" xfId="0" applyFill="1" applyBorder="1" applyAlignment="1">
      <alignment horizontal="center"/>
    </xf>
    <xf numFmtId="2" fontId="0" fillId="48" borderId="39" xfId="0" applyNumberFormat="1" applyFill="1" applyBorder="1" applyAlignment="1">
      <alignment horizontal="center"/>
    </xf>
    <xf numFmtId="2" fontId="0" fillId="48" borderId="40" xfId="0" applyNumberFormat="1" applyFill="1" applyBorder="1" applyAlignment="1">
      <alignment horizontal="center"/>
    </xf>
    <xf numFmtId="0" fontId="0" fillId="39" borderId="36" xfId="0" applyFill="1" applyBorder="1" applyAlignment="1">
      <alignment horizontal="center"/>
    </xf>
    <xf numFmtId="0" fontId="0" fillId="39" borderId="0" xfId="0" applyFill="1" applyBorder="1" applyAlignment="1">
      <alignment horizontal="center"/>
    </xf>
    <xf numFmtId="2" fontId="0" fillId="39" borderId="0" xfId="0" applyNumberFormat="1" applyFill="1" applyBorder="1" applyAlignment="1">
      <alignment horizontal="center"/>
    </xf>
    <xf numFmtId="2" fontId="0" fillId="39" borderId="37" xfId="0" applyNumberFormat="1" applyFill="1" applyBorder="1" applyAlignment="1">
      <alignment horizontal="center"/>
    </xf>
    <xf numFmtId="0" fontId="0" fillId="48" borderId="36" xfId="0" applyFill="1" applyBorder="1" applyAlignment="1">
      <alignment horizontal="center"/>
    </xf>
    <xf numFmtId="0" fontId="0" fillId="48" borderId="0" xfId="0" applyFill="1" applyBorder="1" applyAlignment="1">
      <alignment horizontal="center"/>
    </xf>
    <xf numFmtId="2" fontId="0" fillId="48" borderId="0" xfId="0" applyNumberFormat="1" applyFill="1" applyBorder="1" applyAlignment="1">
      <alignment horizontal="center"/>
    </xf>
    <xf numFmtId="2" fontId="0" fillId="48" borderId="37" xfId="0" applyNumberFormat="1" applyFill="1" applyBorder="1" applyAlignment="1">
      <alignment horizontal="center"/>
    </xf>
    <xf numFmtId="0" fontId="14" fillId="48" borderId="0" xfId="0" applyFont="1" applyFill="1" applyBorder="1"/>
    <xf numFmtId="0" fontId="0" fillId="38" borderId="0" xfId="0" applyFill="1" applyBorder="1"/>
    <xf numFmtId="164" fontId="0" fillId="38" borderId="0" xfId="0" applyNumberFormat="1" applyFill="1" applyBorder="1"/>
    <xf numFmtId="165" fontId="0" fillId="38" borderId="0" xfId="0" applyNumberFormat="1" applyFill="1" applyBorder="1"/>
    <xf numFmtId="1" fontId="0" fillId="38" borderId="0" xfId="0" applyNumberFormat="1" applyFill="1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35" fillId="0" borderId="16" xfId="0" applyFont="1" applyBorder="1" applyAlignment="1">
      <alignment horizontal="center" vertical="center"/>
    </xf>
    <xf numFmtId="0" fontId="0" fillId="39" borderId="10" xfId="0" applyFill="1" applyBorder="1"/>
    <xf numFmtId="2" fontId="0" fillId="39" borderId="10" xfId="0" applyNumberFormat="1" applyFill="1" applyBorder="1"/>
    <xf numFmtId="2" fontId="0" fillId="48" borderId="10" xfId="0" applyNumberFormat="1" applyFill="1" applyBorder="1"/>
    <xf numFmtId="0" fontId="35" fillId="0" borderId="15" xfId="0" applyFont="1" applyBorder="1" applyAlignment="1">
      <alignment horizontal="center" vertical="center"/>
    </xf>
    <xf numFmtId="0" fontId="0" fillId="0" borderId="33" xfId="0" applyBorder="1"/>
    <xf numFmtId="0" fontId="35" fillId="48" borderId="34" xfId="0" applyFont="1" applyFill="1" applyBorder="1"/>
    <xf numFmtId="0" fontId="0" fillId="0" borderId="38" xfId="0" applyBorder="1"/>
    <xf numFmtId="0" fontId="0" fillId="0" borderId="39" xfId="0" applyBorder="1"/>
    <xf numFmtId="164" fontId="0" fillId="0" borderId="40" xfId="0" applyNumberFormat="1" applyBorder="1"/>
    <xf numFmtId="164" fontId="0" fillId="0" borderId="35" xfId="0" applyNumberFormat="1" applyBorder="1"/>
    <xf numFmtId="165" fontId="30" fillId="39" borderId="0" xfId="0" applyNumberFormat="1" applyFont="1" applyFill="1" applyAlignment="1">
      <alignment horizontal="center"/>
    </xf>
    <xf numFmtId="165" fontId="30" fillId="48" borderId="0" xfId="0" applyNumberFormat="1" applyFont="1" applyFill="1" applyAlignment="1">
      <alignment horizontal="center"/>
    </xf>
    <xf numFmtId="1" fontId="14" fillId="0" borderId="26" xfId="0" applyNumberFormat="1" applyFont="1" applyBorder="1" applyAlignment="1"/>
    <xf numFmtId="1" fontId="14" fillId="0" borderId="27" xfId="0" applyNumberFormat="1" applyFont="1" applyBorder="1" applyAlignment="1"/>
    <xf numFmtId="2" fontId="0" fillId="0" borderId="0" xfId="0" applyNumberFormat="1" applyBorder="1"/>
    <xf numFmtId="2" fontId="0" fillId="38" borderId="0" xfId="0" applyNumberFormat="1" applyFill="1" applyBorder="1"/>
    <xf numFmtId="2" fontId="0" fillId="0" borderId="31" xfId="0" applyNumberFormat="1" applyBorder="1"/>
    <xf numFmtId="0" fontId="0" fillId="55" borderId="0" xfId="0" applyFill="1"/>
    <xf numFmtId="0" fontId="0" fillId="0" borderId="0" xfId="0" applyAlignment="1">
      <alignment horizontal="center"/>
    </xf>
    <xf numFmtId="0" fontId="3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0" fillId="0" borderId="0" xfId="0" applyFont="1" applyAlignment="1">
      <alignment horizontal="center"/>
    </xf>
    <xf numFmtId="0" fontId="0" fillId="0" borderId="0" xfId="0"/>
    <xf numFmtId="0" fontId="48" fillId="0" borderId="0" xfId="0" applyFont="1"/>
    <xf numFmtId="49" fontId="48" fillId="0" borderId="0" xfId="0" applyNumberFormat="1" applyFont="1" applyAlignment="1">
      <alignment horizontal="right"/>
    </xf>
    <xf numFmtId="0" fontId="50" fillId="0" borderId="0" xfId="44" applyFont="1"/>
    <xf numFmtId="0" fontId="50" fillId="0" borderId="0" xfId="44" applyFont="1" applyAlignment="1">
      <alignment horizontal="center"/>
    </xf>
    <xf numFmtId="0" fontId="51" fillId="0" borderId="41" xfId="44" applyFont="1" applyBorder="1" applyAlignment="1">
      <alignment horizontal="center" vertical="center"/>
    </xf>
    <xf numFmtId="0" fontId="51" fillId="0" borderId="42" xfId="44" applyFont="1" applyBorder="1" applyAlignment="1">
      <alignment horizontal="center" vertical="center"/>
    </xf>
    <xf numFmtId="0" fontId="51" fillId="0" borderId="43" xfId="44" applyFont="1" applyBorder="1" applyAlignment="1">
      <alignment horizontal="center" vertical="center"/>
    </xf>
    <xf numFmtId="0" fontId="52" fillId="0" borderId="0" xfId="44" applyFont="1" applyAlignment="1">
      <alignment horizontal="center" vertical="center"/>
    </xf>
    <xf numFmtId="0" fontId="51" fillId="0" borderId="44" xfId="44" applyFont="1" applyBorder="1" applyAlignment="1">
      <alignment horizontal="center" vertical="center"/>
    </xf>
    <xf numFmtId="0" fontId="51" fillId="0" borderId="45" xfId="44" applyFont="1" applyBorder="1" applyAlignment="1">
      <alignment horizontal="center" vertical="center"/>
    </xf>
    <xf numFmtId="0" fontId="51" fillId="0" borderId="46" xfId="44" applyFont="1" applyBorder="1" applyAlignment="1">
      <alignment horizontal="center" vertical="center"/>
    </xf>
    <xf numFmtId="0" fontId="51" fillId="0" borderId="47" xfId="44" applyFont="1" applyBorder="1" applyAlignment="1">
      <alignment horizontal="center" vertical="center"/>
    </xf>
    <xf numFmtId="0" fontId="51" fillId="0" borderId="48" xfId="44" applyFont="1" applyBorder="1" applyAlignment="1">
      <alignment horizontal="center" vertical="center"/>
    </xf>
    <xf numFmtId="0" fontId="51" fillId="0" borderId="49" xfId="44" applyFont="1" applyBorder="1" applyAlignment="1">
      <alignment horizontal="center" vertical="center"/>
    </xf>
    <xf numFmtId="0" fontId="51" fillId="0" borderId="50" xfId="44" applyFont="1" applyBorder="1" applyAlignment="1">
      <alignment horizontal="center" vertical="center"/>
    </xf>
    <xf numFmtId="0" fontId="51" fillId="0" borderId="51" xfId="44" applyFont="1" applyBorder="1" applyAlignment="1">
      <alignment horizontal="center" vertical="center"/>
    </xf>
    <xf numFmtId="0" fontId="51" fillId="0" borderId="52" xfId="44" applyFont="1" applyBorder="1" applyAlignment="1">
      <alignment horizontal="center" vertical="center"/>
    </xf>
    <xf numFmtId="0" fontId="53" fillId="0" borderId="0" xfId="44" applyFont="1" applyAlignment="1">
      <alignment horizontal="center" vertical="center"/>
    </xf>
    <xf numFmtId="0" fontId="52" fillId="0" borderId="0" xfId="44" applyFont="1" applyAlignment="1">
      <alignment horizontal="center" vertical="center" wrapText="1"/>
    </xf>
    <xf numFmtId="0" fontId="54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0" fillId="0" borderId="0" xfId="0" applyFont="1" applyAlignment="1">
      <alignment horizontal="center"/>
    </xf>
    <xf numFmtId="1" fontId="48" fillId="0" borderId="0" xfId="0" applyNumberFormat="1" applyFont="1"/>
    <xf numFmtId="1" fontId="48" fillId="0" borderId="0" xfId="0" applyNumberFormat="1" applyFont="1" applyAlignment="1">
      <alignment horizontal="right"/>
    </xf>
    <xf numFmtId="0" fontId="0" fillId="0" borderId="0" xfId="0" applyAlignment="1">
      <alignment horizontal="center"/>
    </xf>
    <xf numFmtId="0" fontId="0" fillId="0" borderId="31" xfId="0" applyBorder="1" applyAlignment="1">
      <alignment horizontal="center"/>
    </xf>
    <xf numFmtId="0" fontId="0" fillId="0" borderId="0" xfId="0" applyBorder="1" applyAlignment="1">
      <alignment horizontal="center"/>
    </xf>
    <xf numFmtId="0" fontId="16" fillId="0" borderId="28" xfId="0" applyFont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14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48" borderId="32" xfId="0" applyFill="1" applyBorder="1" applyAlignment="1">
      <alignment horizontal="center" wrapText="1"/>
    </xf>
    <xf numFmtId="0" fontId="29" fillId="0" borderId="28" xfId="0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45" fillId="0" borderId="0" xfId="0" applyFont="1" applyBorder="1" applyAlignment="1">
      <alignment horizontal="center"/>
    </xf>
    <xf numFmtId="0" fontId="45" fillId="0" borderId="32" xfId="0" applyFont="1" applyBorder="1" applyAlignment="1">
      <alignment horizontal="center"/>
    </xf>
    <xf numFmtId="0" fontId="45" fillId="0" borderId="28" xfId="0" applyFont="1" applyBorder="1" applyAlignment="1">
      <alignment horizontal="center"/>
    </xf>
    <xf numFmtId="0" fontId="45" fillId="0" borderId="25" xfId="0" applyFont="1" applyBorder="1" applyAlignment="1">
      <alignment horizontal="center"/>
    </xf>
    <xf numFmtId="0" fontId="0" fillId="0" borderId="31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31" fillId="0" borderId="0" xfId="0" applyFont="1" applyBorder="1" applyAlignment="1">
      <alignment horizontal="center" vertical="center" wrapText="1"/>
    </xf>
    <xf numFmtId="9" fontId="0" fillId="0" borderId="0" xfId="0" applyNumberFormat="1" applyBorder="1" applyAlignment="1">
      <alignment horizontal="center" wrapText="1"/>
    </xf>
    <xf numFmtId="0" fontId="0" fillId="0" borderId="0" xfId="0" applyBorder="1" applyAlignment="1">
      <alignment horizontal="center" vertical="center" wrapText="1"/>
    </xf>
    <xf numFmtId="9" fontId="28" fillId="0" borderId="0" xfId="0" applyNumberFormat="1" applyFont="1" applyFill="1" applyBorder="1" applyAlignment="1">
      <alignment horizontal="center"/>
    </xf>
    <xf numFmtId="0" fontId="42" fillId="0" borderId="14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35" fillId="0" borderId="0" xfId="0" applyFont="1" applyBorder="1" applyAlignment="1">
      <alignment horizontal="center"/>
    </xf>
    <xf numFmtId="0" fontId="0" fillId="0" borderId="32" xfId="0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44" fillId="0" borderId="28" xfId="0" applyFont="1" applyBorder="1" applyAlignment="1">
      <alignment horizontal="center" vertical="center" wrapText="1"/>
    </xf>
    <xf numFmtId="0" fontId="44" fillId="0" borderId="0" xfId="0" applyFont="1" applyBorder="1" applyAlignment="1">
      <alignment horizontal="center" vertical="center" wrapText="1"/>
    </xf>
    <xf numFmtId="0" fontId="31" fillId="0" borderId="0" xfId="0" applyFont="1" applyBorder="1" applyAlignment="1">
      <alignment horizontal="center" vertical="center"/>
    </xf>
    <xf numFmtId="0" fontId="30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7" fillId="41" borderId="10" xfId="0" applyFont="1" applyFill="1" applyBorder="1" applyAlignment="1">
      <alignment horizontal="center"/>
    </xf>
    <xf numFmtId="0" fontId="0" fillId="41" borderId="11" xfId="0" applyFill="1" applyBorder="1" applyAlignment="1">
      <alignment horizontal="center"/>
    </xf>
    <xf numFmtId="0" fontId="0" fillId="41" borderId="12" xfId="0" applyFill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0" fontId="0" fillId="41" borderId="10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37" borderId="13" xfId="0" applyFill="1" applyBorder="1" applyAlignment="1">
      <alignment horizontal="center"/>
    </xf>
    <xf numFmtId="0" fontId="0" fillId="37" borderId="23" xfId="0" applyFill="1" applyBorder="1" applyAlignment="1">
      <alignment horizontal="center"/>
    </xf>
    <xf numFmtId="0" fontId="30" fillId="0" borderId="14" xfId="0" applyFont="1" applyBorder="1" applyAlignment="1">
      <alignment horizontal="center"/>
    </xf>
    <xf numFmtId="0" fontId="0" fillId="41" borderId="10" xfId="0" applyFill="1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22" xfId="0" applyBorder="1" applyAlignment="1">
      <alignment horizontal="center"/>
    </xf>
    <xf numFmtId="9" fontId="0" fillId="0" borderId="11" xfId="0" applyNumberFormat="1" applyBorder="1" applyAlignment="1">
      <alignment horizontal="center"/>
    </xf>
    <xf numFmtId="9" fontId="0" fillId="0" borderId="12" xfId="0" applyNumberFormat="1" applyBorder="1" applyAlignment="1">
      <alignment horizontal="center"/>
    </xf>
    <xf numFmtId="9" fontId="0" fillId="0" borderId="22" xfId="0" applyNumberFormat="1" applyBorder="1" applyAlignment="1">
      <alignment horizontal="center"/>
    </xf>
    <xf numFmtId="0" fontId="31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0" fillId="0" borderId="0" xfId="0" applyFont="1" applyBorder="1" applyAlignment="1">
      <alignment horizontal="center"/>
    </xf>
    <xf numFmtId="0" fontId="47" fillId="0" borderId="0" xfId="0" applyFont="1" applyAlignment="1">
      <alignment horizontal="center"/>
    </xf>
    <xf numFmtId="0" fontId="50" fillId="0" borderId="0" xfId="44" applyFont="1" applyAlignment="1">
      <alignment horizontal="center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4"/>
    <cellStyle name="Normal_Standardid" xfId="43"/>
    <cellStyle name="Note" xfId="15" builtinId="10" customBuiltin="1"/>
    <cellStyle name="Output" xfId="10" builtinId="21" customBuiltin="1"/>
    <cellStyle name="Title" xfId="1" builtinId="15" customBuiltin="1"/>
    <cellStyle name="Title 2" xfId="42"/>
    <cellStyle name="Total" xfId="17" builtinId="25" customBuiltin="1"/>
    <cellStyle name="Warning Text" xfId="14" builtinId="11" customBuiltin="1"/>
  </cellStyles>
  <dxfs count="20"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9"/>
      <tableStyleElement type="headerRow" dxfId="18"/>
    </tableStyle>
  </tableStyles>
  <colors>
    <mruColors>
      <color rgb="FFF8696B"/>
      <color rgb="FF63BE7B"/>
      <color rgb="FFFFCCCC"/>
      <color rgb="FFFF7C80"/>
      <color rgb="FFFF5050"/>
      <color rgb="FF4D4D4D"/>
      <color rgb="FF646060"/>
      <color rgb="FFFFCCFF"/>
      <color rgb="FFFF33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t-EE"/>
              <a:t>Momentum</a:t>
            </a:r>
          </a:p>
        </c:rich>
      </c:tx>
      <c:spPr>
        <a:noFill/>
        <a:ln>
          <a:noFill/>
        </a:ln>
        <a:effectLst/>
      </c:spPr>
    </c:title>
    <c:plotArea>
      <c:layout/>
      <c:lineChart>
        <c:grouping val="standard"/>
        <c:ser>
          <c:idx val="0"/>
          <c:order val="0"/>
          <c:tx>
            <c:strRef>
              <c:f>Algandmed!$AD$1384</c:f>
              <c:strCache>
                <c:ptCount val="1"/>
                <c:pt idx="0">
                  <c:v>v Läti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Algandmed!$AC$1385:$AC$1402</c:f>
              <c:numCache>
                <c:formatCode>General</c:formatCode>
                <c:ptCount val="1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</c:numCache>
            </c:numRef>
          </c:cat>
          <c:val>
            <c:numRef>
              <c:f>Algandmed!$AD$1385:$AD$1402</c:f>
              <c:numCache>
                <c:formatCode>General</c:formatCode>
                <c:ptCount val="18"/>
                <c:pt idx="0">
                  <c:v>2</c:v>
                </c:pt>
                <c:pt idx="1">
                  <c:v>16</c:v>
                </c:pt>
                <c:pt idx="2">
                  <c:v>2</c:v>
                </c:pt>
                <c:pt idx="3">
                  <c:v>7</c:v>
                </c:pt>
                <c:pt idx="4">
                  <c:v>11</c:v>
                </c:pt>
                <c:pt idx="5">
                  <c:v>3</c:v>
                </c:pt>
                <c:pt idx="6">
                  <c:v>2</c:v>
                </c:pt>
                <c:pt idx="7">
                  <c:v>-3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13</c:v>
                </c:pt>
                <c:pt idx="13">
                  <c:v>2</c:v>
                </c:pt>
                <c:pt idx="14">
                  <c:v>-9</c:v>
                </c:pt>
                <c:pt idx="15">
                  <c:v>-1</c:v>
                </c:pt>
                <c:pt idx="16">
                  <c:v>2</c:v>
                </c:pt>
                <c:pt idx="17">
                  <c:v>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CC4-488C-BA38-C0116D61A570}"/>
            </c:ext>
          </c:extLst>
        </c:ser>
        <c:ser>
          <c:idx val="1"/>
          <c:order val="1"/>
          <c:tx>
            <c:strRef>
              <c:f>Algandmed!$AE$1384</c:f>
              <c:strCache>
                <c:ptCount val="1"/>
                <c:pt idx="0">
                  <c:v>v Soome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Algandmed!$AE$1385:$AE$1402</c:f>
              <c:numCache>
                <c:formatCode>General</c:formatCode>
                <c:ptCount val="18"/>
                <c:pt idx="0">
                  <c:v>-5</c:v>
                </c:pt>
                <c:pt idx="1">
                  <c:v>0</c:v>
                </c:pt>
                <c:pt idx="2">
                  <c:v>0</c:v>
                </c:pt>
                <c:pt idx="3">
                  <c:v>-2</c:v>
                </c:pt>
                <c:pt idx="4">
                  <c:v>-2</c:v>
                </c:pt>
                <c:pt idx="5">
                  <c:v>0</c:v>
                </c:pt>
                <c:pt idx="6">
                  <c:v>-2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0</c:v>
                </c:pt>
                <c:pt idx="11">
                  <c:v>-1</c:v>
                </c:pt>
                <c:pt idx="12">
                  <c:v>1</c:v>
                </c:pt>
                <c:pt idx="13">
                  <c:v>-3</c:v>
                </c:pt>
                <c:pt idx="14">
                  <c:v>-3</c:v>
                </c:pt>
                <c:pt idx="15">
                  <c:v>-6</c:v>
                </c:pt>
                <c:pt idx="16">
                  <c:v>16</c:v>
                </c:pt>
                <c:pt idx="17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CC4-488C-BA38-C0116D61A570}"/>
            </c:ext>
          </c:extLst>
        </c:ser>
        <c:ser>
          <c:idx val="2"/>
          <c:order val="2"/>
          <c:tx>
            <c:strRef>
              <c:f>Algandmed!$AF$1384</c:f>
              <c:strCache>
                <c:ptCount val="1"/>
                <c:pt idx="0">
                  <c:v>v Leedu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Algandmed!$AF$1385:$AF$1402</c:f>
              <c:numCache>
                <c:formatCode>General</c:formatCode>
                <c:ptCount val="18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0</c:v>
                </c:pt>
                <c:pt idx="16">
                  <c:v>-2</c:v>
                </c:pt>
                <c:pt idx="17">
                  <c:v>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CC4-488C-BA38-C0116D61A570}"/>
            </c:ext>
          </c:extLst>
        </c:ser>
        <c:marker val="1"/>
        <c:axId val="71907200"/>
        <c:axId val="71908736"/>
        <c:extLst xmlns:c16r2="http://schemas.microsoft.com/office/drawing/2015/06/chart"/>
      </c:lineChart>
      <c:catAx>
        <c:axId val="71907200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8736"/>
        <c:crosses val="autoZero"/>
        <c:lblAlgn val="ctr"/>
        <c:lblOffset val="100"/>
      </c:catAx>
      <c:valAx>
        <c:axId val="71908736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Settings!$G$16:$G$17</c:f>
              <c:strCache>
                <c:ptCount val="1"/>
                <c:pt idx="0">
                  <c:v>First ATONGOAL Eesti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Settings!$E$18:$F$20</c:f>
              <c:strCache>
                <c:ptCount val="3"/>
                <c:pt idx="0">
                  <c:v>WIN</c:v>
                </c:pt>
                <c:pt idx="1">
                  <c:v>DRAW</c:v>
                </c:pt>
                <c:pt idx="2">
                  <c:v>LOSE</c:v>
                </c:pt>
              </c:strCache>
            </c:strRef>
          </c:cat>
          <c:val>
            <c:numRef>
              <c:f>Settings!$G$18:$G$20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5BD-4C73-AAC2-C856A72E0BFC}"/>
            </c:ext>
          </c:extLst>
        </c:ser>
        <c:ser>
          <c:idx val="1"/>
          <c:order val="1"/>
          <c:tx>
            <c:strRef>
              <c:f>Settings!$H$16:$H$17</c:f>
              <c:strCache>
                <c:ptCount val="1"/>
                <c:pt idx="0">
                  <c:v>First ATONGOAL Opponent</c:v>
                </c:pt>
              </c:strCache>
            </c:strRef>
          </c:tx>
          <c:spPr>
            <a:solidFill>
              <a:srgbClr val="FF0000"/>
            </a:solidFill>
          </c:spPr>
          <c:dLbls>
            <c:spPr>
              <a:noFill/>
              <a:ln>
                <a:noFill/>
              </a:ln>
              <a:effectLst/>
            </c:sp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Settings!$E$18:$F$20</c:f>
              <c:strCache>
                <c:ptCount val="3"/>
                <c:pt idx="0">
                  <c:v>WIN</c:v>
                </c:pt>
                <c:pt idx="1">
                  <c:v>DRAW</c:v>
                </c:pt>
                <c:pt idx="2">
                  <c:v>LOSE</c:v>
                </c:pt>
              </c:strCache>
            </c:strRef>
          </c:cat>
          <c:val>
            <c:numRef>
              <c:f>Settings!$H$18:$H$20</c:f>
              <c:numCache>
                <c:formatCode>General</c:formatCode>
                <c:ptCount val="3"/>
                <c:pt idx="2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5BD-4C73-AAC2-C856A72E0BFC}"/>
            </c:ext>
          </c:extLst>
        </c:ser>
        <c:axId val="94073600"/>
        <c:axId val="94075136"/>
      </c:barChart>
      <c:catAx>
        <c:axId val="94073600"/>
        <c:scaling>
          <c:orientation val="minMax"/>
        </c:scaling>
        <c:axPos val="b"/>
        <c:numFmt formatCode="General" sourceLinked="0"/>
        <c:tickLblPos val="nextTo"/>
        <c:crossAx val="94075136"/>
        <c:crosses val="autoZero"/>
        <c:auto val="1"/>
        <c:lblAlgn val="ctr"/>
        <c:lblOffset val="100"/>
      </c:catAx>
      <c:valAx>
        <c:axId val="94075136"/>
        <c:scaling>
          <c:orientation val="minMax"/>
        </c:scaling>
        <c:axPos val="l"/>
        <c:majorGridlines/>
        <c:numFmt formatCode="General" sourceLinked="1"/>
        <c:tickLblPos val="nextTo"/>
        <c:crossAx val="94073600"/>
        <c:crosses val="autoZero"/>
        <c:crossBetween val="between"/>
        <c:majorUnit val="1"/>
      </c:valAx>
    </c:plotArea>
    <c:legend>
      <c:legendPos val="r"/>
      <c:layout/>
    </c:legend>
    <c:plotVisOnly val="1"/>
    <c:dispBlanksAs val="gap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Settings!$C$43</c:f>
              <c:strCache>
                <c:ptCount val="1"/>
                <c:pt idx="0">
                  <c:v>SCORED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Settings!$D$42:$U$42</c:f>
              <c:strCache>
                <c:ptCount val="18"/>
                <c:pt idx="0">
                  <c:v>1-5</c:v>
                </c:pt>
                <c:pt idx="1">
                  <c:v>6-10</c:v>
                </c:pt>
                <c:pt idx="2">
                  <c:v>11-15</c:v>
                </c:pt>
                <c:pt idx="3">
                  <c:v>16-20</c:v>
                </c:pt>
                <c:pt idx="4">
                  <c:v>21-25</c:v>
                </c:pt>
                <c:pt idx="5">
                  <c:v>26-30</c:v>
                </c:pt>
                <c:pt idx="6">
                  <c:v>31-35</c:v>
                </c:pt>
                <c:pt idx="7">
                  <c:v>36-40</c:v>
                </c:pt>
                <c:pt idx="8">
                  <c:v>41-45</c:v>
                </c:pt>
                <c:pt idx="9">
                  <c:v>46-50</c:v>
                </c:pt>
                <c:pt idx="10">
                  <c:v>51-55</c:v>
                </c:pt>
                <c:pt idx="11">
                  <c:v>56-60</c:v>
                </c:pt>
                <c:pt idx="12">
                  <c:v>61-65</c:v>
                </c:pt>
                <c:pt idx="13">
                  <c:v>66-70</c:v>
                </c:pt>
                <c:pt idx="14">
                  <c:v>71-75</c:v>
                </c:pt>
                <c:pt idx="15">
                  <c:v>76-80</c:v>
                </c:pt>
                <c:pt idx="16">
                  <c:v>81-85</c:v>
                </c:pt>
                <c:pt idx="17">
                  <c:v>86-90</c:v>
                </c:pt>
              </c:strCache>
            </c:strRef>
          </c:cat>
          <c:val>
            <c:numRef>
              <c:f>Settings!$D$43:$U$43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748-4EFC-A135-69B45D975A49}"/>
            </c:ext>
          </c:extLst>
        </c:ser>
        <c:ser>
          <c:idx val="1"/>
          <c:order val="1"/>
          <c:tx>
            <c:strRef>
              <c:f>Settings!$C$44</c:f>
              <c:strCache>
                <c:ptCount val="1"/>
                <c:pt idx="0">
                  <c:v>CONCEDED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strRef>
              <c:f>Settings!$D$42:$U$42</c:f>
              <c:strCache>
                <c:ptCount val="18"/>
                <c:pt idx="0">
                  <c:v>1-5</c:v>
                </c:pt>
                <c:pt idx="1">
                  <c:v>6-10</c:v>
                </c:pt>
                <c:pt idx="2">
                  <c:v>11-15</c:v>
                </c:pt>
                <c:pt idx="3">
                  <c:v>16-20</c:v>
                </c:pt>
                <c:pt idx="4">
                  <c:v>21-25</c:v>
                </c:pt>
                <c:pt idx="5">
                  <c:v>26-30</c:v>
                </c:pt>
                <c:pt idx="6">
                  <c:v>31-35</c:v>
                </c:pt>
                <c:pt idx="7">
                  <c:v>36-40</c:v>
                </c:pt>
                <c:pt idx="8">
                  <c:v>41-45</c:v>
                </c:pt>
                <c:pt idx="9">
                  <c:v>46-50</c:v>
                </c:pt>
                <c:pt idx="10">
                  <c:v>51-55</c:v>
                </c:pt>
                <c:pt idx="11">
                  <c:v>56-60</c:v>
                </c:pt>
                <c:pt idx="12">
                  <c:v>61-65</c:v>
                </c:pt>
                <c:pt idx="13">
                  <c:v>66-70</c:v>
                </c:pt>
                <c:pt idx="14">
                  <c:v>71-75</c:v>
                </c:pt>
                <c:pt idx="15">
                  <c:v>76-80</c:v>
                </c:pt>
                <c:pt idx="16">
                  <c:v>81-85</c:v>
                </c:pt>
                <c:pt idx="17">
                  <c:v>86-90</c:v>
                </c:pt>
              </c:strCache>
            </c:strRef>
          </c:cat>
          <c:val>
            <c:numRef>
              <c:f>Settings!$D$44:$U$44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748-4EFC-A135-69B45D975A49}"/>
            </c:ext>
          </c:extLst>
        </c:ser>
        <c:gapWidth val="219"/>
        <c:overlap val="-27"/>
        <c:axId val="94253440"/>
        <c:axId val="94254976"/>
      </c:barChart>
      <c:catAx>
        <c:axId val="94253440"/>
        <c:scaling>
          <c:orientation val="minMax"/>
        </c:scaling>
        <c:axPos val="b"/>
        <c:numFmt formatCode="General" sourceLinked="0"/>
        <c:maj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54976"/>
        <c:crosses val="autoZero"/>
        <c:auto val="1"/>
        <c:lblAlgn val="ctr"/>
        <c:lblOffset val="100"/>
      </c:catAx>
      <c:valAx>
        <c:axId val="9425497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5344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755553421675938"/>
          <c:y val="0.23488150378261538"/>
          <c:w val="0.44472632994046557"/>
          <c:h val="0.53628763316350325"/>
        </c:manualLayout>
      </c:layout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spPr>
              <a:solidFill>
                <a:schemeClr val="accent5">
                  <a:lumMod val="75000"/>
                </a:schemeClr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634-4F3E-BDB4-7C18374732CD}"/>
              </c:ext>
            </c:extLst>
          </c:dPt>
          <c:dPt>
            <c:idx val="1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634-4F3E-BDB4-7C18374732CD}"/>
              </c:ext>
            </c:extLst>
          </c:dPt>
          <c:dPt>
            <c:idx val="2"/>
            <c:spPr>
              <a:solidFill>
                <a:schemeClr val="accent5">
                  <a:lumMod val="20000"/>
                  <a:lumOff val="80000"/>
                </a:schemeClr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4634-4F3E-BDB4-7C18374732CD}"/>
              </c:ext>
            </c:extLst>
          </c:dPt>
          <c:dLbls>
            <c:dLbl>
              <c:idx val="0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634-4F3E-BDB4-7C18374732CD}"/>
                </c:ext>
              </c:extLst>
            </c:dLbl>
            <c:dLbl>
              <c:idx val="1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34-4F3E-BDB4-7C18374732CD}"/>
                </c:ext>
              </c:extLst>
            </c:dLbl>
            <c:dLbl>
              <c:idx val="2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634-4F3E-BDB4-7C18374732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Val val="1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STANDARD</c:v>
              </c:pt>
              <c:pt idx="1">
                <c:v>TRANSITION</c:v>
              </c:pt>
              <c:pt idx="2">
                <c:v>BUILD -UP</c:v>
              </c:pt>
            </c:strLit>
          </c:cat>
          <c:val>
            <c:numLit>
              <c:formatCode>General</c:formatCode>
              <c:ptCount val="3"/>
              <c:pt idx="0">
                <c:v>0.33333333333333331</c:v>
              </c:pt>
              <c:pt idx="1">
                <c:v>0.33333333333333331</c:v>
              </c:pt>
              <c:pt idx="2">
                <c:v>0.33333333333333331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4634-4F3E-BDB4-7C18374732CD}"/>
            </c:ext>
          </c:extLst>
        </c:ser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734437616029707"/>
          <c:y val="0.33609001080747353"/>
          <c:w val="0.30731259202355915"/>
          <c:h val="0.33057665585919527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5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755553421675938"/>
          <c:y val="0.23488150378261538"/>
          <c:w val="0.44472632994046557"/>
          <c:h val="0.53628763316350325"/>
        </c:manualLayout>
      </c:layout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spPr>
              <a:solidFill>
                <a:schemeClr val="accent5">
                  <a:lumMod val="75000"/>
                </a:schemeClr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9B4-47F0-9373-7E6F6EE0DFDE}"/>
              </c:ext>
            </c:extLst>
          </c:dPt>
          <c:dPt>
            <c:idx val="1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9B4-47F0-9373-7E6F6EE0DFDE}"/>
              </c:ext>
            </c:extLst>
          </c:dPt>
          <c:dPt>
            <c:idx val="2"/>
            <c:spPr>
              <a:solidFill>
                <a:schemeClr val="accent5">
                  <a:lumMod val="20000"/>
                  <a:lumOff val="80000"/>
                </a:schemeClr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9B4-47F0-9373-7E6F6EE0DFDE}"/>
              </c:ext>
            </c:extLst>
          </c:dPt>
          <c:dLbls>
            <c:dLbl>
              <c:idx val="0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9B4-47F0-9373-7E6F6EE0DFDE}"/>
                </c:ext>
              </c:extLst>
            </c:dLbl>
            <c:dLbl>
              <c:idx val="1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9B4-47F0-9373-7E6F6EE0DFDE}"/>
                </c:ext>
              </c:extLst>
            </c:dLbl>
            <c:dLbl>
              <c:idx val="2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9B4-47F0-9373-7E6F6EE0DF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Val val="1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STANDARD</c:v>
              </c:pt>
              <c:pt idx="1">
                <c:v>TRANSITION</c:v>
              </c:pt>
              <c:pt idx="2">
                <c:v>BUILD -UP</c:v>
              </c:pt>
            </c:strLit>
          </c:cat>
          <c:val>
            <c:numLit>
              <c:formatCode>General</c:formatCode>
              <c:ptCount val="3"/>
              <c:pt idx="0">
                <c:v>0.33333333333333331</c:v>
              </c:pt>
              <c:pt idx="1">
                <c:v>0.33333333333333331</c:v>
              </c:pt>
              <c:pt idx="2">
                <c:v>0.33333333333333331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9B4-47F0-9373-7E6F6EE0DFDE}"/>
            </c:ext>
          </c:extLst>
        </c:ser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734437616029707"/>
          <c:y val="0.33609001080747353"/>
          <c:w val="0.30731259202355915"/>
          <c:h val="0.33057665585919527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5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755553421675938"/>
          <c:y val="0.23488150378261538"/>
          <c:w val="0.44472632994046557"/>
          <c:h val="0.53628763316350325"/>
        </c:manualLayout>
      </c:layout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spPr>
              <a:solidFill>
                <a:schemeClr val="accent5">
                  <a:lumMod val="75000"/>
                </a:schemeClr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D50-4B0D-B7EC-85146F839F23}"/>
              </c:ext>
            </c:extLst>
          </c:dPt>
          <c:dPt>
            <c:idx val="1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D50-4B0D-B7EC-85146F839F23}"/>
              </c:ext>
            </c:extLst>
          </c:dPt>
          <c:dPt>
            <c:idx val="2"/>
            <c:spPr>
              <a:solidFill>
                <a:schemeClr val="accent5">
                  <a:lumMod val="20000"/>
                  <a:lumOff val="80000"/>
                </a:schemeClr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FD50-4B0D-B7EC-85146F839F23}"/>
              </c:ext>
            </c:extLst>
          </c:dPt>
          <c:dLbls>
            <c:dLbl>
              <c:idx val="0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D50-4B0D-B7EC-85146F839F23}"/>
                </c:ext>
              </c:extLst>
            </c:dLbl>
            <c:dLbl>
              <c:idx val="1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D50-4B0D-B7EC-85146F839F23}"/>
                </c:ext>
              </c:extLst>
            </c:dLbl>
            <c:dLbl>
              <c:idx val="2"/>
              <c:showPercent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D50-4B0D-B7EC-85146F839F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Val val="1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STANDARD</c:v>
              </c:pt>
              <c:pt idx="1">
                <c:v>TRANSITION</c:v>
              </c:pt>
              <c:pt idx="2">
                <c:v>BUILD -UP</c:v>
              </c:pt>
            </c:strLit>
          </c:cat>
          <c:val>
            <c:numLit>
              <c:formatCode>General</c:formatCode>
              <c:ptCount val="3"/>
              <c:pt idx="0">
                <c:v>0.33333333333333331</c:v>
              </c:pt>
              <c:pt idx="1">
                <c:v>0.33333333333333331</c:v>
              </c:pt>
              <c:pt idx="2">
                <c:v>0.33333333333333331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FD50-4B0D-B7EC-85146F839F23}"/>
            </c:ext>
          </c:extLst>
        </c:ser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734437616029707"/>
          <c:y val="0.33609001080747353"/>
          <c:w val="0.30731259202355915"/>
          <c:h val="0.33057665585919527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5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t-EE"/>
              <a:t>Momentum</a:t>
            </a:r>
          </a:p>
        </c:rich>
      </c:tx>
      <c:spPr>
        <a:noFill/>
        <a:ln>
          <a:noFill/>
        </a:ln>
        <a:effectLst/>
      </c:spPr>
    </c:title>
    <c:plotArea>
      <c:layout/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9"/>
              <c:pt idx="0">
                <c:v>1</c:v>
              </c:pt>
              <c:pt idx="1">
                <c:v>2</c:v>
              </c:pt>
              <c:pt idx="2">
                <c:v>4</c:v>
              </c:pt>
              <c:pt idx="3">
                <c:v>6</c:v>
              </c:pt>
              <c:pt idx="4">
                <c:v>7</c:v>
              </c:pt>
              <c:pt idx="5">
                <c:v>9</c:v>
              </c:pt>
              <c:pt idx="6">
                <c:v>12</c:v>
              </c:pt>
              <c:pt idx="7">
                <c:v>14</c:v>
              </c:pt>
              <c:pt idx="8">
                <c:v>7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B59-47BC-8E5A-454359AA4DC8}"/>
            </c:ext>
          </c:extLst>
        </c:ser>
        <c:dLbls>
          <c:showVal val="1"/>
        </c:dLbls>
        <c:marker val="1"/>
        <c:axId val="94536448"/>
        <c:axId val="94537984"/>
      </c:lineChart>
      <c:catAx>
        <c:axId val="94536448"/>
        <c:scaling>
          <c:orientation val="minMax"/>
        </c:scaling>
        <c:axPos val="b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37984"/>
        <c:crosses val="autoZero"/>
        <c:auto val="1"/>
        <c:lblAlgn val="ctr"/>
        <c:lblOffset val="100"/>
      </c:catAx>
      <c:valAx>
        <c:axId val="9453798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3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755553421675938"/>
          <c:y val="0.23488150378261538"/>
          <c:w val="0.44472632994046557"/>
          <c:h val="0.53628763316350325"/>
        </c:manualLayout>
      </c:layout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spPr>
              <a:solidFill>
                <a:schemeClr val="accent5">
                  <a:lumMod val="75000"/>
                </a:schemeClr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4FF-4389-89BE-5076047F0168}"/>
              </c:ext>
            </c:extLst>
          </c:dPt>
          <c:dPt>
            <c:idx val="1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4FF-4389-89BE-5076047F0168}"/>
              </c:ext>
            </c:extLst>
          </c:dPt>
          <c:dPt>
            <c:idx val="2"/>
            <c:spPr>
              <a:solidFill>
                <a:schemeClr val="accent5">
                  <a:lumMod val="20000"/>
                  <a:lumOff val="80000"/>
                </a:schemeClr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4FF-4389-89BE-5076047F016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Val val="1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Algandmed!$AE$155:$AG$155</c:f>
              <c:strCache>
                <c:ptCount val="3"/>
                <c:pt idx="0">
                  <c:v>Standard</c:v>
                </c:pt>
                <c:pt idx="1">
                  <c:v>Transition</c:v>
                </c:pt>
                <c:pt idx="2">
                  <c:v>Build-up</c:v>
                </c:pt>
              </c:strCache>
            </c:strRef>
          </c:cat>
          <c:val>
            <c:numRef>
              <c:f>Algandmed!$AE$159:$AG$159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4FF-4389-89BE-5076047F0168}"/>
            </c:ext>
          </c:extLst>
        </c:ser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674223870266091"/>
          <c:y val="0.21379396036636103"/>
          <c:w val="0.34325776129733931"/>
          <c:h val="0.5199384325779266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1" i="0" u="none" strike="noStrike" kern="1200" baseline="0">
              <a:solidFill>
                <a:sysClr val="windowText" lastClr="000000"/>
              </a:solidFill>
              <a:latin typeface="Hanse" panose="02000000000000000000" pitchFamily="50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8.5515438618953207E-2"/>
          <c:y val="0.26061364829396322"/>
          <c:w val="0.52424706058084203"/>
          <c:h val="0.64482388451443773"/>
        </c:manualLayout>
      </c:layout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spPr>
              <a:solidFill>
                <a:schemeClr val="accent5">
                  <a:lumMod val="75000"/>
                </a:schemeClr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E16-4EB8-A787-228689F97C45}"/>
              </c:ext>
            </c:extLst>
          </c:dPt>
          <c:dPt>
            <c:idx val="1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E16-4EB8-A787-228689F97C45}"/>
              </c:ext>
            </c:extLst>
          </c:dPt>
          <c:dPt>
            <c:idx val="2"/>
            <c:spPr>
              <a:solidFill>
                <a:schemeClr val="accent5">
                  <a:lumMod val="20000"/>
                  <a:lumOff val="80000"/>
                </a:schemeClr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E16-4EB8-A787-228689F97C4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Val val="1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Algandmed!$AE$204:$AG$204</c:f>
              <c:strCache>
                <c:ptCount val="3"/>
                <c:pt idx="0">
                  <c:v>Standard</c:v>
                </c:pt>
                <c:pt idx="1">
                  <c:v>Transition</c:v>
                </c:pt>
                <c:pt idx="2">
                  <c:v>Build-up</c:v>
                </c:pt>
              </c:strCache>
            </c:strRef>
          </c:cat>
          <c:val>
            <c:numRef>
              <c:f>Algandmed!$AE$208:$AG$208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E16-4EB8-A787-228689F97C45}"/>
            </c:ext>
          </c:extLst>
        </c:ser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734437616029707"/>
          <c:y val="0.29609002624671915"/>
          <c:w val="0.32655635793862703"/>
          <c:h val="0.50724330708661358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1" i="0" u="none" strike="noStrike" kern="1200" baseline="0">
              <a:solidFill>
                <a:sysClr val="windowText" lastClr="000000"/>
              </a:solidFill>
              <a:latin typeface="Hanse" panose="02000000000000000000" pitchFamily="50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755553421675938"/>
          <c:y val="0.23488150378261538"/>
          <c:w val="0.44472632994046557"/>
          <c:h val="0.53628763316350325"/>
        </c:manualLayout>
      </c:layout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B49-4EC2-9652-A9385FEE0824}"/>
              </c:ext>
            </c:extLst>
          </c:dPt>
          <c:dPt>
            <c:idx val="1"/>
            <c:spPr>
              <a:solidFill>
                <a:srgbClr val="FF505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B49-4EC2-9652-A9385FEE0824}"/>
              </c:ext>
            </c:extLst>
          </c:dPt>
          <c:dPt>
            <c:idx val="2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lin ang="2700000" scaled="1"/>
                <a:tileRect/>
              </a:gra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5B49-4EC2-9652-A9385FEE082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Val val="1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Algandmed!$AT$204:$AV$204</c:f>
              <c:strCache>
                <c:ptCount val="3"/>
                <c:pt idx="0">
                  <c:v>Standard</c:v>
                </c:pt>
                <c:pt idx="1">
                  <c:v>Transition</c:v>
                </c:pt>
                <c:pt idx="2">
                  <c:v>Build-up</c:v>
                </c:pt>
              </c:strCache>
            </c:strRef>
          </c:cat>
          <c:val>
            <c:numRef>
              <c:f>Algandmed!$AT$208:$AV$208</c:f>
              <c:numCache>
                <c:formatCode>0%</c:formatCode>
                <c:ptCount val="3"/>
                <c:pt idx="0">
                  <c:v>0.53333333333333333</c:v>
                </c:pt>
                <c:pt idx="1">
                  <c:v>0.33333333333333331</c:v>
                </c:pt>
                <c:pt idx="2">
                  <c:v>0.13333333333333333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5B49-4EC2-9652-A9385FEE0824}"/>
            </c:ext>
          </c:extLst>
        </c:ser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470042192140818"/>
          <c:y val="0.252444491735831"/>
          <c:w val="0.35299578078592131"/>
          <c:h val="0.47856707100801588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1" i="0" u="none" strike="noStrike" kern="1200" baseline="0">
              <a:solidFill>
                <a:sysClr val="windowText" lastClr="000000"/>
              </a:solidFill>
              <a:latin typeface="Hanse" panose="02000000000000000000" pitchFamily="50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4"/>
          <c:order val="0"/>
          <c:dPt>
            <c:idx val="0"/>
            <c:spPr>
              <a:gradFill flip="none" rotWithShape="1">
                <a:gsLst>
                  <a:gs pos="0">
                    <a:srgbClr val="FF0000">
                      <a:tint val="66000"/>
                      <a:satMod val="160000"/>
                    </a:srgbClr>
                  </a:gs>
                  <a:gs pos="50000">
                    <a:srgbClr val="FF0000">
                      <a:tint val="44500"/>
                      <a:satMod val="160000"/>
                    </a:srgbClr>
                  </a:gs>
                  <a:gs pos="100000">
                    <a:srgbClr val="FF0000">
                      <a:tint val="23500"/>
                      <a:satMod val="160000"/>
                    </a:srgbClr>
                  </a:gs>
                </a:gsLst>
                <a:path path="circle">
                  <a:fillToRect r="100000" b="100000"/>
                </a:path>
                <a:tileRect l="-100000" t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1E7-4F86-AF26-F9FFBC967199}"/>
              </c:ext>
            </c:extLst>
          </c:dPt>
          <c:dPt>
            <c:idx val="1"/>
            <c:spPr>
              <a:solidFill>
                <a:schemeClr val="accent2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81E7-4F86-AF26-F9FFBC967199}"/>
              </c:ext>
            </c:extLst>
          </c:dPt>
          <c:dPt>
            <c:idx val="2"/>
            <c:spPr>
              <a:solidFill>
                <a:srgbClr val="FF0000">
                  <a:alpha val="15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81E7-4F86-AF26-F9FFBC967199}"/>
              </c:ext>
            </c:extLst>
          </c:dPt>
          <c:dPt>
            <c:idx val="3"/>
            <c:spPr>
              <a:solidFill>
                <a:srgbClr val="FF0000">
                  <a:alpha val="60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81E7-4F86-AF26-F9FFBC967199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81E7-4F86-AF26-F9FFBC96719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Algandmed!$AT$181:$AX$181</c:f>
              <c:strCache>
                <c:ptCount val="5"/>
                <c:pt idx="0">
                  <c:v>STANCO</c:v>
                </c:pt>
                <c:pt idx="1">
                  <c:v>STANFK</c:v>
                </c:pt>
                <c:pt idx="2">
                  <c:v>STANTI</c:v>
                </c:pt>
                <c:pt idx="3">
                  <c:v>STANPEN</c:v>
                </c:pt>
                <c:pt idx="4">
                  <c:v>STANFK DIRECT</c:v>
                </c:pt>
              </c:strCache>
            </c:strRef>
          </c:cat>
          <c:val>
            <c:numRef>
              <c:f>Algandmed!$AT$185:$AX$185</c:f>
              <c:numCache>
                <c:formatCode>0%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81E7-4F86-AF26-F9FFBC967199}"/>
            </c:ext>
          </c:extLst>
        </c:ser>
        <c:firstSliceAng val="0"/>
      </c:pieChart>
    </c:plotArea>
    <c:legend>
      <c:legendPos val="r"/>
      <c:layout>
        <c:manualLayout>
          <c:xMode val="edge"/>
          <c:yMode val="edge"/>
          <c:x val="0.69455652949041746"/>
          <c:y val="5.6330965978476324E-2"/>
          <c:w val="0.28657554598128082"/>
          <c:h val="0.87143096309773749"/>
        </c:manualLayout>
      </c:layout>
      <c:txPr>
        <a:bodyPr/>
        <a:lstStyle/>
        <a:p>
          <a:pPr rtl="0">
            <a:defRPr sz="1400" b="1"/>
          </a:pPr>
          <a:endParaRPr lang="en-US"/>
        </a:p>
      </c:txPr>
    </c:legend>
    <c:plotVisOnly val="1"/>
    <c:dispBlanksAs val="zero"/>
  </c:chart>
  <c:spPr>
    <a:noFill/>
    <a:ln>
      <a:noFill/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542-496D-97DF-C2D420E68073}"/>
              </c:ext>
            </c:extLst>
          </c:dPt>
          <c:dPt>
            <c:idx val="1"/>
            <c:spPr>
              <a:solidFill>
                <a:schemeClr val="accent5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542-496D-97DF-C2D420E68073}"/>
              </c:ext>
            </c:extLst>
          </c:dPt>
          <c:dPt>
            <c:idx val="2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542-496D-97DF-C2D420E68073}"/>
              </c:ext>
            </c:extLst>
          </c:dPt>
          <c:dPt>
            <c:idx val="3"/>
            <c:spPr>
              <a:solidFill>
                <a:schemeClr val="accent5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2542-496D-97DF-C2D420E68073}"/>
              </c:ext>
            </c:extLst>
          </c:dPt>
          <c:dPt>
            <c:idx val="4"/>
            <c:spPr>
              <a:solidFill>
                <a:schemeClr val="accent1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2542-496D-97DF-C2D420E6807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Algandmed!$AE$231:$AI$231</c:f>
              <c:strCache>
                <c:ptCount val="5"/>
                <c:pt idx="0">
                  <c:v>STANCO</c:v>
                </c:pt>
                <c:pt idx="1">
                  <c:v>STANFK</c:v>
                </c:pt>
                <c:pt idx="2">
                  <c:v>STANTI</c:v>
                </c:pt>
                <c:pt idx="3">
                  <c:v>STANPEN</c:v>
                </c:pt>
                <c:pt idx="4">
                  <c:v>STANFK DIRECT</c:v>
                </c:pt>
              </c:strCache>
            </c:strRef>
          </c:cat>
          <c:val>
            <c:numRef>
              <c:f>Algandmed!$AE$235:$AI$235</c:f>
              <c:numCache>
                <c:formatCode>0%</c:formatCode>
                <c:ptCount val="5"/>
                <c:pt idx="0">
                  <c:v>0.33333333333333331</c:v>
                </c:pt>
                <c:pt idx="1">
                  <c:v>0.33333333333333331</c:v>
                </c:pt>
                <c:pt idx="2">
                  <c:v>0</c:v>
                </c:pt>
                <c:pt idx="3">
                  <c:v>0</c:v>
                </c:pt>
                <c:pt idx="4">
                  <c:v>0.33333333333333331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2542-496D-97DF-C2D420E68073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 sz="1400" b="1">
              <a:latin typeface="Hanse" panose="02000000000000000000" pitchFamily="50" charset="0"/>
            </a:defRPr>
          </a:pPr>
          <a:endParaRPr lang="en-US"/>
        </a:p>
      </c:txPr>
    </c:legend>
    <c:plotVisOnly val="1"/>
    <c:dispBlanksAs val="zero"/>
  </c:chart>
  <c:spPr>
    <a:noFill/>
    <a:ln>
      <a:noFill/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dPt>
            <c:idx val="0"/>
            <c:spPr>
              <a:gradFill flip="none" rotWithShape="1">
                <a:gsLst>
                  <a:gs pos="0">
                    <a:srgbClr val="FF0000">
                      <a:tint val="66000"/>
                      <a:satMod val="160000"/>
                    </a:srgbClr>
                  </a:gs>
                  <a:gs pos="50000">
                    <a:srgbClr val="FF0000">
                      <a:tint val="44500"/>
                      <a:satMod val="160000"/>
                    </a:srgbClr>
                  </a:gs>
                  <a:gs pos="100000">
                    <a:srgbClr val="FF000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735-4B75-BAEA-0835A1CC443B}"/>
              </c:ext>
            </c:extLst>
          </c:dPt>
          <c:dPt>
            <c:idx val="1"/>
            <c:spPr>
              <a:solidFill>
                <a:schemeClr val="accent2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735-4B75-BAEA-0835A1CC443B}"/>
              </c:ext>
            </c:extLst>
          </c:dPt>
          <c:dPt>
            <c:idx val="2"/>
            <c:spPr>
              <a:solidFill>
                <a:srgbClr val="FF0000">
                  <a:alpha val="15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735-4B75-BAEA-0835A1CC443B}"/>
              </c:ext>
            </c:extLst>
          </c:dPt>
          <c:dPt>
            <c:idx val="3"/>
            <c:spPr>
              <a:solidFill>
                <a:srgbClr val="FF0000">
                  <a:alpha val="50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735-4B75-BAEA-0835A1CC443B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C735-4B75-BAEA-0835A1CC443B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Algandmed!$AT$231:$AX$231</c:f>
              <c:strCache>
                <c:ptCount val="5"/>
                <c:pt idx="0">
                  <c:v>STANCO</c:v>
                </c:pt>
                <c:pt idx="1">
                  <c:v>STANFK</c:v>
                </c:pt>
                <c:pt idx="2">
                  <c:v>STANTI</c:v>
                </c:pt>
                <c:pt idx="3">
                  <c:v>STANPEN</c:v>
                </c:pt>
                <c:pt idx="4">
                  <c:v>STANFK DIRECT</c:v>
                </c:pt>
              </c:strCache>
            </c:strRef>
          </c:cat>
          <c:val>
            <c:numRef>
              <c:f>Algandmed!$AT$235:$AX$235</c:f>
              <c:numCache>
                <c:formatCode>0%</c:formatCode>
                <c:ptCount val="5"/>
                <c:pt idx="0">
                  <c:v>0.5</c:v>
                </c:pt>
                <c:pt idx="1">
                  <c:v>0.33333333333333331</c:v>
                </c:pt>
                <c:pt idx="2">
                  <c:v>0</c:v>
                </c:pt>
                <c:pt idx="3">
                  <c:v>0</c:v>
                </c:pt>
                <c:pt idx="4">
                  <c:v>0.16666666666666666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C735-4B75-BAEA-0835A1CC443B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 sz="1400" b="1">
              <a:latin typeface="Hanse" panose="02000000000000000000" pitchFamily="50" charset="0"/>
            </a:defRPr>
          </a:pPr>
          <a:endParaRPr lang="en-US"/>
        </a:p>
      </c:txPr>
    </c:legend>
    <c:plotVisOnly val="1"/>
    <c:dispBlanksAs val="zero"/>
  </c:chart>
  <c:spPr>
    <a:noFill/>
    <a:ln>
      <a:noFill/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2"/>
          <c:order val="0"/>
          <c:dPt>
            <c:idx val="0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0D1-4752-B00B-E167C67BA59F}"/>
              </c:ext>
            </c:extLst>
          </c:dPt>
          <c:dPt>
            <c:idx val="1"/>
            <c:spPr>
              <a:solidFill>
                <a:schemeClr val="accent5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0D1-4752-B00B-E167C67BA59F}"/>
              </c:ext>
            </c:extLst>
          </c:dPt>
          <c:dPt>
            <c:idx val="2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0D1-4752-B00B-E167C67BA59F}"/>
              </c:ext>
            </c:extLst>
          </c:dPt>
          <c:dPt>
            <c:idx val="3"/>
            <c:spPr>
              <a:solidFill>
                <a:schemeClr val="accent5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00D1-4752-B00B-E167C67BA59F}"/>
              </c:ext>
            </c:extLst>
          </c:dPt>
          <c:dPt>
            <c:idx val="4"/>
            <c:spPr>
              <a:solidFill>
                <a:schemeClr val="accent1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00D1-4752-B00B-E167C67BA59F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Algandmed!$AE$181:$AI$181</c:f>
              <c:strCache>
                <c:ptCount val="5"/>
                <c:pt idx="0">
                  <c:v>STANCO</c:v>
                </c:pt>
                <c:pt idx="1">
                  <c:v>STANFK</c:v>
                </c:pt>
                <c:pt idx="2">
                  <c:v>STANTI</c:v>
                </c:pt>
                <c:pt idx="3">
                  <c:v>STANPEN</c:v>
                </c:pt>
                <c:pt idx="4">
                  <c:v>STANFK DIRECT</c:v>
                </c:pt>
              </c:strCache>
            </c:strRef>
          </c:cat>
          <c:val>
            <c:numRef>
              <c:f>Algandmed!$AE$185:$AI$185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00D1-4752-B00B-E167C67BA59F}"/>
            </c:ext>
          </c:extLst>
        </c:ser>
        <c:firstSliceAng val="0"/>
      </c:pieChart>
    </c:plotArea>
    <c:legend>
      <c:legendPos val="r"/>
      <c:layout>
        <c:manualLayout>
          <c:xMode val="edge"/>
          <c:yMode val="edge"/>
          <c:x val="0.70150312941651527"/>
          <c:y val="5.7992576747493856E-2"/>
          <c:w val="0.27926610135271623"/>
          <c:h val="0.94200742325250664"/>
        </c:manualLayout>
      </c:layout>
      <c:txPr>
        <a:bodyPr/>
        <a:lstStyle/>
        <a:p>
          <a:pPr rtl="0">
            <a:defRPr sz="1400" b="1"/>
          </a:pPr>
          <a:endParaRPr lang="en-US"/>
        </a:p>
      </c:txPr>
    </c:legend>
    <c:plotVisOnly val="1"/>
    <c:dispBlanksAs val="zero"/>
  </c:chart>
  <c:spPr>
    <a:noFill/>
    <a:ln>
      <a:noFill/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9A6-41EB-BDD6-5256F934A73A}"/>
              </c:ext>
            </c:extLst>
          </c:dPt>
          <c:dPt>
            <c:idx val="1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9A6-41EB-BDD6-5256F934A73A}"/>
              </c:ext>
            </c:extLst>
          </c:dPt>
          <c:dPt>
            <c:idx val="2"/>
            <c:spPr>
              <a:solidFill>
                <a:schemeClr val="accent5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9A6-41EB-BDD6-5256F934A73A}"/>
              </c:ext>
            </c:extLst>
          </c:dPt>
          <c:dPt>
            <c:idx val="3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09A6-41EB-BDD6-5256F934A73A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Algandmed!$AE$189:$AH$189</c:f>
              <c:strCache>
                <c:ptCount val="4"/>
                <c:pt idx="0">
                  <c:v>STANFK</c:v>
                </c:pt>
                <c:pt idx="1">
                  <c:v>STANTI</c:v>
                </c:pt>
                <c:pt idx="2">
                  <c:v>STANGK</c:v>
                </c:pt>
                <c:pt idx="3">
                  <c:v>STANGS</c:v>
                </c:pt>
              </c:strCache>
            </c:strRef>
          </c:cat>
          <c:val>
            <c:numRef>
              <c:f>Algandmed!$AE$193:$AH$193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9A6-41EB-BDD6-5256F934A73A}"/>
            </c:ext>
          </c:extLst>
        </c:ser>
        <c:ser>
          <c:idx val="4"/>
          <c:order val="1"/>
          <c:dPt>
            <c:idx val="0"/>
            <c:spPr>
              <a:solidFill>
                <a:schemeClr val="accent5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09A6-41EB-BDD6-5256F934A73A}"/>
              </c:ext>
            </c:extLst>
          </c:dPt>
          <c:dPt>
            <c:idx val="1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09A6-41EB-BDD6-5256F934A73A}"/>
              </c:ext>
            </c:extLst>
          </c:dPt>
          <c:dPt>
            <c:idx val="2"/>
            <c:spPr>
              <a:solidFill>
                <a:schemeClr val="accent5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09A6-41EB-BDD6-5256F934A73A}"/>
              </c:ext>
            </c:extLst>
          </c:dPt>
          <c:dPt>
            <c:idx val="3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09A6-41EB-BDD6-5256F934A73A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Algandmed!$AE$189:$AH$189</c:f>
              <c:strCache>
                <c:ptCount val="4"/>
                <c:pt idx="0">
                  <c:v>STANFK</c:v>
                </c:pt>
                <c:pt idx="1">
                  <c:v>STANTI</c:v>
                </c:pt>
                <c:pt idx="2">
                  <c:v>STANGK</c:v>
                </c:pt>
                <c:pt idx="3">
                  <c:v>STANGS</c:v>
                </c:pt>
              </c:strCache>
            </c:strRef>
          </c:cat>
          <c:val>
            <c:numRef>
              <c:f>Algandmed!$AE$193:$AH$193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1-09A6-41EB-BDD6-5256F934A73A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 sz="1400" b="1">
              <a:latin typeface="Hanse" panose="02000000000000000000" pitchFamily="50" charset="0"/>
            </a:defRPr>
          </a:pPr>
          <a:endParaRPr lang="en-US"/>
        </a:p>
      </c:txPr>
    </c:legend>
    <c:plotVisOnly val="1"/>
    <c:dispBlanksAs val="zero"/>
  </c:chart>
  <c:spPr>
    <a:noFill/>
    <a:ln>
      <a:noFill/>
    </a:ln>
  </c:sp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E0D-429A-B7BB-DF498671BDFC}"/>
              </c:ext>
            </c:extLst>
          </c:dPt>
          <c:dPt>
            <c:idx val="1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E0D-429A-B7BB-DF498671BDFC}"/>
              </c:ext>
            </c:extLst>
          </c:dPt>
          <c:dPt>
            <c:idx val="2"/>
            <c:spPr>
              <a:solidFill>
                <a:schemeClr val="accent5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E0D-429A-B7BB-DF498671BDFC}"/>
              </c:ext>
            </c:extLst>
          </c:dPt>
          <c:dPt>
            <c:idx val="3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DE0D-429A-B7BB-DF498671BDF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Algandmed!$AE$239:$AH$239</c:f>
              <c:strCache>
                <c:ptCount val="4"/>
                <c:pt idx="0">
                  <c:v>STANFK</c:v>
                </c:pt>
                <c:pt idx="1">
                  <c:v>STANTI</c:v>
                </c:pt>
                <c:pt idx="2">
                  <c:v>STANGK</c:v>
                </c:pt>
                <c:pt idx="3">
                  <c:v>STANGS</c:v>
                </c:pt>
              </c:strCache>
            </c:strRef>
          </c:cat>
          <c:val>
            <c:numRef>
              <c:f>Algandmed!$AE$243:$AH$243</c:f>
              <c:numCache>
                <c:formatCode>0%</c:formatCode>
                <c:ptCount val="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DE0D-429A-B7BB-DF498671BDFC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 sz="1400" b="1">
              <a:latin typeface="Hanse" panose="02000000000000000000" pitchFamily="50" charset="0"/>
            </a:defRPr>
          </a:pPr>
          <a:endParaRPr lang="en-US"/>
        </a:p>
      </c:txPr>
    </c:legend>
    <c:plotVisOnly val="1"/>
    <c:dispBlanksAs val="zero"/>
  </c:chart>
  <c:spPr>
    <a:noFill/>
    <a:ln>
      <a:noFill/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>
                  <a:alpha val="15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10E-4383-B1FB-8CBD03A89C0E}"/>
              </c:ext>
            </c:extLst>
          </c:dPt>
          <c:dPt>
            <c:idx val="1"/>
            <c:spPr>
              <a:solidFill>
                <a:schemeClr val="accent2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10E-4383-B1FB-8CBD03A89C0E}"/>
              </c:ext>
            </c:extLst>
          </c:dPt>
          <c:dPt>
            <c:idx val="2"/>
            <c:spPr>
              <a:solidFill>
                <a:srgbClr val="FF0000">
                  <a:alpha val="50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510E-4383-B1FB-8CBD03A89C0E}"/>
              </c:ext>
            </c:extLst>
          </c:dPt>
          <c:dPt>
            <c:idx val="3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510E-4383-B1FB-8CBD03A89C0E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Algandmed!$AT$239:$AW$239</c:f>
              <c:strCache>
                <c:ptCount val="4"/>
                <c:pt idx="0">
                  <c:v>STANFK</c:v>
                </c:pt>
                <c:pt idx="1">
                  <c:v>STANTI</c:v>
                </c:pt>
                <c:pt idx="2">
                  <c:v>STANGK</c:v>
                </c:pt>
                <c:pt idx="3">
                  <c:v>STANGS</c:v>
                </c:pt>
              </c:strCache>
            </c:strRef>
          </c:cat>
          <c:val>
            <c:numRef>
              <c:f>Algandmed!$AT$243:$AW$243</c:f>
              <c:numCache>
                <c:formatCode>0%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510E-4383-B1FB-8CBD03A89C0E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 sz="1400" b="1">
              <a:latin typeface="Hanse" panose="02000000000000000000" pitchFamily="50" charset="0"/>
            </a:defRPr>
          </a:pPr>
          <a:endParaRPr lang="en-US"/>
        </a:p>
      </c:txPr>
    </c:legend>
    <c:plotVisOnly val="1"/>
    <c:dispBlanksAs val="zero"/>
  </c:chart>
  <c:spPr>
    <a:noFill/>
    <a:ln>
      <a:noFill/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Settings!$C$43</c:f>
              <c:strCache>
                <c:ptCount val="1"/>
                <c:pt idx="0">
                  <c:v>SCORED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Settings!$D$42:$U$42</c:f>
              <c:strCache>
                <c:ptCount val="18"/>
                <c:pt idx="0">
                  <c:v>1-5</c:v>
                </c:pt>
                <c:pt idx="1">
                  <c:v>6-10</c:v>
                </c:pt>
                <c:pt idx="2">
                  <c:v>11-15</c:v>
                </c:pt>
                <c:pt idx="3">
                  <c:v>16-20</c:v>
                </c:pt>
                <c:pt idx="4">
                  <c:v>21-25</c:v>
                </c:pt>
                <c:pt idx="5">
                  <c:v>26-30</c:v>
                </c:pt>
                <c:pt idx="6">
                  <c:v>31-35</c:v>
                </c:pt>
                <c:pt idx="7">
                  <c:v>36-40</c:v>
                </c:pt>
                <c:pt idx="8">
                  <c:v>41-45</c:v>
                </c:pt>
                <c:pt idx="9">
                  <c:v>46-50</c:v>
                </c:pt>
                <c:pt idx="10">
                  <c:v>51-55</c:v>
                </c:pt>
                <c:pt idx="11">
                  <c:v>56-60</c:v>
                </c:pt>
                <c:pt idx="12">
                  <c:v>61-65</c:v>
                </c:pt>
                <c:pt idx="13">
                  <c:v>66-70</c:v>
                </c:pt>
                <c:pt idx="14">
                  <c:v>71-75</c:v>
                </c:pt>
                <c:pt idx="15">
                  <c:v>76-80</c:v>
                </c:pt>
                <c:pt idx="16">
                  <c:v>81-85</c:v>
                </c:pt>
                <c:pt idx="17">
                  <c:v>86-90</c:v>
                </c:pt>
              </c:strCache>
            </c:strRef>
          </c:cat>
          <c:val>
            <c:numRef>
              <c:f>Settings!$D$43:$U$43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243-48E6-8C33-AB9DAD5C71E5}"/>
            </c:ext>
          </c:extLst>
        </c:ser>
        <c:ser>
          <c:idx val="1"/>
          <c:order val="1"/>
          <c:tx>
            <c:strRef>
              <c:f>Settings!$C$44</c:f>
              <c:strCache>
                <c:ptCount val="1"/>
                <c:pt idx="0">
                  <c:v>CONCEDED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strRef>
              <c:f>Settings!$D$42:$U$42</c:f>
              <c:strCache>
                <c:ptCount val="18"/>
                <c:pt idx="0">
                  <c:v>1-5</c:v>
                </c:pt>
                <c:pt idx="1">
                  <c:v>6-10</c:v>
                </c:pt>
                <c:pt idx="2">
                  <c:v>11-15</c:v>
                </c:pt>
                <c:pt idx="3">
                  <c:v>16-20</c:v>
                </c:pt>
                <c:pt idx="4">
                  <c:v>21-25</c:v>
                </c:pt>
                <c:pt idx="5">
                  <c:v>26-30</c:v>
                </c:pt>
                <c:pt idx="6">
                  <c:v>31-35</c:v>
                </c:pt>
                <c:pt idx="7">
                  <c:v>36-40</c:v>
                </c:pt>
                <c:pt idx="8">
                  <c:v>41-45</c:v>
                </c:pt>
                <c:pt idx="9">
                  <c:v>46-50</c:v>
                </c:pt>
                <c:pt idx="10">
                  <c:v>51-55</c:v>
                </c:pt>
                <c:pt idx="11">
                  <c:v>56-60</c:v>
                </c:pt>
                <c:pt idx="12">
                  <c:v>61-65</c:v>
                </c:pt>
                <c:pt idx="13">
                  <c:v>66-70</c:v>
                </c:pt>
                <c:pt idx="14">
                  <c:v>71-75</c:v>
                </c:pt>
                <c:pt idx="15">
                  <c:v>76-80</c:v>
                </c:pt>
                <c:pt idx="16">
                  <c:v>81-85</c:v>
                </c:pt>
                <c:pt idx="17">
                  <c:v>86-90</c:v>
                </c:pt>
              </c:strCache>
            </c:strRef>
          </c:cat>
          <c:val>
            <c:numRef>
              <c:f>Settings!$D$44:$U$44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243-48E6-8C33-AB9DAD5C71E5}"/>
            </c:ext>
          </c:extLst>
        </c:ser>
        <c:gapWidth val="219"/>
        <c:overlap val="-27"/>
        <c:axId val="149014784"/>
        <c:axId val="149102592"/>
      </c:barChart>
      <c:catAx>
        <c:axId val="149014784"/>
        <c:scaling>
          <c:orientation val="minMax"/>
        </c:scaling>
        <c:axPos val="b"/>
        <c:numFmt formatCode="General" sourceLinked="0"/>
        <c:maj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rgbClr val="4D4D4D"/>
                </a:solidFill>
                <a:latin typeface="Hanse" panose="02000000000000000000" pitchFamily="50" charset="0"/>
                <a:ea typeface="+mn-ea"/>
                <a:cs typeface="+mn-cs"/>
              </a:defRPr>
            </a:pPr>
            <a:endParaRPr lang="en-US"/>
          </a:p>
        </c:txPr>
        <c:crossAx val="149102592"/>
        <c:crosses val="autoZero"/>
        <c:auto val="1"/>
        <c:lblAlgn val="ctr"/>
        <c:lblOffset val="100"/>
      </c:catAx>
      <c:valAx>
        <c:axId val="14910259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rgbClr val="4D4D4D"/>
                </a:solidFill>
                <a:latin typeface="Hanse" panose="02000000000000000000" pitchFamily="50" charset="0"/>
                <a:ea typeface="+mn-ea"/>
                <a:cs typeface="+mn-cs"/>
              </a:defRPr>
            </a:pPr>
            <a:endParaRPr lang="en-US"/>
          </a:p>
        </c:txPr>
        <c:crossAx val="14901478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rgbClr val="4D4D4D"/>
              </a:solidFill>
              <a:latin typeface="Hanse" panose="02000000000000000000" pitchFamily="50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noFill/>
    <a:ln w="9525" cap="flat" cmpd="sng" algn="ctr">
      <a:noFill/>
      <a:round/>
    </a:ln>
    <a:effectLst/>
  </c:spPr>
  <c:txPr>
    <a:bodyPr/>
    <a:lstStyle/>
    <a:p>
      <a:pPr>
        <a:defRPr sz="1800">
          <a:solidFill>
            <a:sysClr val="windowText" lastClr="000000"/>
          </a:solidFill>
          <a:latin typeface="Hanse" panose="02000000000000000000" pitchFamily="50" charset="0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CF-490A-8E04-1FEB6DCA2513}"/>
              </c:ext>
            </c:extLst>
          </c:dPt>
          <c:dPt>
            <c:idx val="1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CF-490A-8E04-1FEB6DCA2513}"/>
              </c:ext>
            </c:extLst>
          </c:dPt>
          <c:dPt>
            <c:idx val="2"/>
            <c:spPr>
              <a:solidFill>
                <a:schemeClr val="accent5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CF-490A-8E04-1FEB6DCA2513}"/>
              </c:ext>
            </c:extLst>
          </c:dPt>
          <c:dPt>
            <c:idx val="3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2CF-490A-8E04-1FEB6DCA251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Algandmed!$AT$189:$AW$189</c:f>
              <c:strCache>
                <c:ptCount val="4"/>
                <c:pt idx="0">
                  <c:v>STANFK</c:v>
                </c:pt>
                <c:pt idx="1">
                  <c:v>STANTI</c:v>
                </c:pt>
                <c:pt idx="2">
                  <c:v>STANGK</c:v>
                </c:pt>
                <c:pt idx="3">
                  <c:v>STANGS</c:v>
                </c:pt>
              </c:strCache>
            </c:strRef>
          </c:cat>
          <c:val>
            <c:numRef>
              <c:f>Algandmed!$AT$193:$AW$193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2CF-490A-8E04-1FEB6DCA2513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 sz="1400" b="1">
              <a:latin typeface="Hanse" panose="02000000000000000000" pitchFamily="50" charset="0"/>
            </a:defRPr>
          </a:pPr>
          <a:endParaRPr lang="en-US"/>
        </a:p>
      </c:txPr>
    </c:legend>
    <c:plotVisOnly val="1"/>
    <c:dispBlanksAs val="zero"/>
  </c:chart>
  <c:spPr>
    <a:noFill/>
    <a:ln>
      <a:noFill/>
    </a:ln>
  </c:sp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755553421675938"/>
          <c:y val="0.23488150378261538"/>
          <c:w val="0.44472632994046557"/>
          <c:h val="0.53628763316350325"/>
        </c:manualLayout>
      </c:layout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59B-4BFA-9A48-746E88271668}"/>
              </c:ext>
            </c:extLst>
          </c:dPt>
          <c:dPt>
            <c:idx val="1"/>
            <c:spPr>
              <a:solidFill>
                <a:srgbClr val="FF505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59B-4BFA-9A48-746E88271668}"/>
              </c:ext>
            </c:extLst>
          </c:dPt>
          <c:dPt>
            <c:idx val="2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lin ang="2700000" scaled="1"/>
                <a:tileRect/>
              </a:gra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59B-4BFA-9A48-746E8827166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Val val="1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Algandmed!$AT$155:$AV$155</c:f>
              <c:strCache>
                <c:ptCount val="3"/>
                <c:pt idx="0">
                  <c:v>Standard</c:v>
                </c:pt>
                <c:pt idx="1">
                  <c:v>Transition</c:v>
                </c:pt>
                <c:pt idx="2">
                  <c:v>Build-up</c:v>
                </c:pt>
              </c:strCache>
            </c:strRef>
          </c:cat>
          <c:val>
            <c:numRef>
              <c:f>Algandmed!$AT$159:$AV$159</c:f>
              <c:numCache>
                <c:formatCode>0.0%</c:formatCode>
                <c:ptCount val="3"/>
                <c:pt idx="0">
                  <c:v>0.5</c:v>
                </c:pt>
                <c:pt idx="1">
                  <c:v>0</c:v>
                </c:pt>
                <c:pt idx="2">
                  <c:v>0.5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E59B-4BFA-9A48-746E88271668}"/>
            </c:ext>
          </c:extLst>
        </c:ser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470042192140818"/>
          <c:y val="0.252444491735831"/>
          <c:w val="0.35299578078592131"/>
          <c:h val="0.47856707100801588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1" i="0" u="none" strike="noStrike" kern="1200" baseline="0">
              <a:solidFill>
                <a:sysClr val="windowText" lastClr="000000"/>
              </a:solidFill>
              <a:latin typeface="Hanse" panose="02000000000000000000" pitchFamily="50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2.6429922199035942E-2"/>
          <c:y val="1.3321704501622981E-2"/>
          <c:w val="0.6218117187513339"/>
          <c:h val="0.88055964841233447"/>
        </c:manualLayout>
      </c:layout>
      <c:barChart>
        <c:barDir val="col"/>
        <c:grouping val="clustered"/>
        <c:ser>
          <c:idx val="0"/>
          <c:order val="0"/>
          <c:tx>
            <c:strRef>
              <c:f>Settings!$G$16:$G$17</c:f>
              <c:strCache>
                <c:ptCount val="1"/>
                <c:pt idx="0">
                  <c:v>First ATONGOAL Eesti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Settings!$E$18:$F$20</c:f>
              <c:strCache>
                <c:ptCount val="3"/>
                <c:pt idx="0">
                  <c:v>WIN</c:v>
                </c:pt>
                <c:pt idx="1">
                  <c:v>DRAW</c:v>
                </c:pt>
                <c:pt idx="2">
                  <c:v>LOSE</c:v>
                </c:pt>
              </c:strCache>
            </c:strRef>
          </c:cat>
          <c:val>
            <c:numRef>
              <c:f>Settings!$G$18:$G$20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C1-40BB-8F57-27A85E4AD312}"/>
            </c:ext>
          </c:extLst>
        </c:ser>
        <c:ser>
          <c:idx val="1"/>
          <c:order val="1"/>
          <c:tx>
            <c:strRef>
              <c:f>Settings!$H$16:$H$17</c:f>
              <c:strCache>
                <c:ptCount val="1"/>
                <c:pt idx="0">
                  <c:v>First ATONGOAL Opponent</c:v>
                </c:pt>
              </c:strCache>
            </c:strRef>
          </c:tx>
          <c:spPr>
            <a:solidFill>
              <a:srgbClr val="FF0000"/>
            </a:solidFill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000" b="1"/>
                </a:pPr>
                <a:endParaRPr lang="en-U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Settings!$E$18:$F$20</c:f>
              <c:strCache>
                <c:ptCount val="3"/>
                <c:pt idx="0">
                  <c:v>WIN</c:v>
                </c:pt>
                <c:pt idx="1">
                  <c:v>DRAW</c:v>
                </c:pt>
                <c:pt idx="2">
                  <c:v>LOSE</c:v>
                </c:pt>
              </c:strCache>
            </c:strRef>
          </c:cat>
          <c:val>
            <c:numRef>
              <c:f>Settings!$H$18:$H$20</c:f>
              <c:numCache>
                <c:formatCode>General</c:formatCode>
                <c:ptCount val="3"/>
                <c:pt idx="2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C1-40BB-8F57-27A85E4AD312}"/>
            </c:ext>
          </c:extLst>
        </c:ser>
        <c:axId val="150392832"/>
        <c:axId val="150394368"/>
      </c:barChart>
      <c:catAx>
        <c:axId val="150392832"/>
        <c:scaling>
          <c:orientation val="minMax"/>
        </c:scaling>
        <c:axPos val="b"/>
        <c:numFmt formatCode="General" sourceLinked="0"/>
        <c:tickLblPos val="nextTo"/>
        <c:txPr>
          <a:bodyPr/>
          <a:lstStyle/>
          <a:p>
            <a:pPr>
              <a:defRPr sz="2000">
                <a:latin typeface="Hanse" panose="02000000000000000000" pitchFamily="50" charset="0"/>
              </a:defRPr>
            </a:pPr>
            <a:endParaRPr lang="en-US"/>
          </a:p>
        </c:txPr>
        <c:crossAx val="150394368"/>
        <c:crosses val="autoZero"/>
        <c:auto val="1"/>
        <c:lblAlgn val="ctr"/>
        <c:lblOffset val="100"/>
      </c:catAx>
      <c:valAx>
        <c:axId val="150394368"/>
        <c:scaling>
          <c:orientation val="minMax"/>
        </c:scaling>
        <c:axPos val="l"/>
        <c:majorGridlines/>
        <c:numFmt formatCode="General" sourceLinked="1"/>
        <c:tickLblPos val="nextTo"/>
        <c:crossAx val="150392832"/>
        <c:crosses val="autoZero"/>
        <c:crossBetween val="between"/>
        <c:majorUnit val="1"/>
      </c:valAx>
      <c:spPr>
        <a:noFill/>
        <a:ln>
          <a:noFill/>
        </a:ln>
      </c:spPr>
    </c:plotArea>
    <c:legend>
      <c:legendPos val="r"/>
      <c:txPr>
        <a:bodyPr/>
        <a:lstStyle/>
        <a:p>
          <a:pPr>
            <a:defRPr sz="2000">
              <a:latin typeface="Hanse" panose="02000000000000000000" pitchFamily="50" charset="0"/>
            </a:defRPr>
          </a:pPr>
          <a:endParaRPr lang="en-US"/>
        </a:p>
      </c:txPr>
    </c:legend>
    <c:plotVisOnly val="1"/>
    <c:dispBlanksAs val="gap"/>
  </c:chart>
  <c:spPr>
    <a:noFill/>
    <a:ln>
      <a:noFill/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Algandmed!$AB$2:$AB$216</c:f>
              <c:numCache>
                <c:formatCode>0</c:formatCode>
                <c:ptCount val="2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6</c:v>
                </c:pt>
                <c:pt idx="21">
                  <c:v>6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8</c:v>
                </c:pt>
                <c:pt idx="27">
                  <c:v>8</c:v>
                </c:pt>
                <c:pt idx="28">
                  <c:v>9</c:v>
                </c:pt>
                <c:pt idx="29">
                  <c:v>9</c:v>
                </c:pt>
                <c:pt idx="30">
                  <c:v>10</c:v>
                </c:pt>
                <c:pt idx="31">
                  <c:v>10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12</c:v>
                </c:pt>
                <c:pt idx="36">
                  <c:v>13</c:v>
                </c:pt>
                <c:pt idx="37">
                  <c:v>13</c:v>
                </c:pt>
                <c:pt idx="38">
                  <c:v>14</c:v>
                </c:pt>
                <c:pt idx="39">
                  <c:v>14</c:v>
                </c:pt>
                <c:pt idx="40">
                  <c:v>14</c:v>
                </c:pt>
                <c:pt idx="41">
                  <c:v>15</c:v>
                </c:pt>
                <c:pt idx="42">
                  <c:v>18</c:v>
                </c:pt>
                <c:pt idx="43">
                  <c:v>18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20</c:v>
                </c:pt>
                <c:pt idx="49">
                  <c:v>21</c:v>
                </c:pt>
                <c:pt idx="50">
                  <c:v>21</c:v>
                </c:pt>
                <c:pt idx="51">
                  <c:v>21</c:v>
                </c:pt>
                <c:pt idx="52">
                  <c:v>21</c:v>
                </c:pt>
                <c:pt idx="53">
                  <c:v>22</c:v>
                </c:pt>
                <c:pt idx="54">
                  <c:v>22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24</c:v>
                </c:pt>
                <c:pt idx="60">
                  <c:v>24</c:v>
                </c:pt>
                <c:pt idx="61">
                  <c:v>24</c:v>
                </c:pt>
                <c:pt idx="62">
                  <c:v>24</c:v>
                </c:pt>
                <c:pt idx="63">
                  <c:v>25</c:v>
                </c:pt>
                <c:pt idx="64">
                  <c:v>25</c:v>
                </c:pt>
                <c:pt idx="65">
                  <c:v>25</c:v>
                </c:pt>
                <c:pt idx="66">
                  <c:v>25</c:v>
                </c:pt>
                <c:pt idx="67">
                  <c:v>25</c:v>
                </c:pt>
                <c:pt idx="68">
                  <c:v>26</c:v>
                </c:pt>
                <c:pt idx="69">
                  <c:v>26</c:v>
                </c:pt>
                <c:pt idx="70">
                  <c:v>27</c:v>
                </c:pt>
                <c:pt idx="71">
                  <c:v>27</c:v>
                </c:pt>
                <c:pt idx="72">
                  <c:v>27</c:v>
                </c:pt>
                <c:pt idx="73">
                  <c:v>27</c:v>
                </c:pt>
                <c:pt idx="74">
                  <c:v>28</c:v>
                </c:pt>
                <c:pt idx="75">
                  <c:v>28</c:v>
                </c:pt>
                <c:pt idx="76">
                  <c:v>28</c:v>
                </c:pt>
                <c:pt idx="77">
                  <c:v>29</c:v>
                </c:pt>
                <c:pt idx="78">
                  <c:v>29</c:v>
                </c:pt>
                <c:pt idx="79">
                  <c:v>29</c:v>
                </c:pt>
                <c:pt idx="80">
                  <c:v>30</c:v>
                </c:pt>
                <c:pt idx="81">
                  <c:v>30</c:v>
                </c:pt>
                <c:pt idx="82">
                  <c:v>30</c:v>
                </c:pt>
                <c:pt idx="83">
                  <c:v>30</c:v>
                </c:pt>
                <c:pt idx="84">
                  <c:v>31</c:v>
                </c:pt>
                <c:pt idx="85">
                  <c:v>32</c:v>
                </c:pt>
                <c:pt idx="86">
                  <c:v>32</c:v>
                </c:pt>
                <c:pt idx="87">
                  <c:v>33</c:v>
                </c:pt>
                <c:pt idx="88">
                  <c:v>33</c:v>
                </c:pt>
                <c:pt idx="89">
                  <c:v>33</c:v>
                </c:pt>
                <c:pt idx="90">
                  <c:v>33</c:v>
                </c:pt>
                <c:pt idx="91">
                  <c:v>33</c:v>
                </c:pt>
                <c:pt idx="92">
                  <c:v>34</c:v>
                </c:pt>
                <c:pt idx="93">
                  <c:v>34</c:v>
                </c:pt>
                <c:pt idx="94">
                  <c:v>35</c:v>
                </c:pt>
                <c:pt idx="95">
                  <c:v>35</c:v>
                </c:pt>
                <c:pt idx="96">
                  <c:v>36</c:v>
                </c:pt>
                <c:pt idx="97">
                  <c:v>36</c:v>
                </c:pt>
                <c:pt idx="98">
                  <c:v>36</c:v>
                </c:pt>
                <c:pt idx="99">
                  <c:v>36</c:v>
                </c:pt>
                <c:pt idx="100">
                  <c:v>37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39</c:v>
                </c:pt>
                <c:pt idx="107">
                  <c:v>39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41</c:v>
                </c:pt>
                <c:pt idx="113">
                  <c:v>41</c:v>
                </c:pt>
                <c:pt idx="114">
                  <c:v>41</c:v>
                </c:pt>
                <c:pt idx="115">
                  <c:v>42</c:v>
                </c:pt>
                <c:pt idx="116">
                  <c:v>41</c:v>
                </c:pt>
                <c:pt idx="117">
                  <c:v>41</c:v>
                </c:pt>
                <c:pt idx="118">
                  <c:v>41</c:v>
                </c:pt>
                <c:pt idx="119">
                  <c:v>41</c:v>
                </c:pt>
                <c:pt idx="120">
                  <c:v>41</c:v>
                </c:pt>
                <c:pt idx="121">
                  <c:v>41</c:v>
                </c:pt>
                <c:pt idx="122">
                  <c:v>41</c:v>
                </c:pt>
                <c:pt idx="123">
                  <c:v>41</c:v>
                </c:pt>
                <c:pt idx="124">
                  <c:v>42</c:v>
                </c:pt>
                <c:pt idx="125">
                  <c:v>42</c:v>
                </c:pt>
                <c:pt idx="126">
                  <c:v>43</c:v>
                </c:pt>
                <c:pt idx="127">
                  <c:v>43</c:v>
                </c:pt>
                <c:pt idx="128">
                  <c:v>44</c:v>
                </c:pt>
                <c:pt idx="129">
                  <c:v>44</c:v>
                </c:pt>
                <c:pt idx="130">
                  <c:v>45</c:v>
                </c:pt>
                <c:pt idx="131">
                  <c:v>45</c:v>
                </c:pt>
                <c:pt idx="132">
                  <c:v>46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48</c:v>
                </c:pt>
                <c:pt idx="137">
                  <c:v>48</c:v>
                </c:pt>
                <c:pt idx="138">
                  <c:v>48</c:v>
                </c:pt>
                <c:pt idx="139">
                  <c:v>49</c:v>
                </c:pt>
                <c:pt idx="140">
                  <c:v>49</c:v>
                </c:pt>
                <c:pt idx="141">
                  <c:v>49</c:v>
                </c:pt>
                <c:pt idx="142">
                  <c:v>50</c:v>
                </c:pt>
                <c:pt idx="143">
                  <c:v>51</c:v>
                </c:pt>
                <c:pt idx="144">
                  <c:v>51</c:v>
                </c:pt>
                <c:pt idx="145">
                  <c:v>52</c:v>
                </c:pt>
                <c:pt idx="146">
                  <c:v>52</c:v>
                </c:pt>
                <c:pt idx="147">
                  <c:v>52</c:v>
                </c:pt>
                <c:pt idx="148">
                  <c:v>53</c:v>
                </c:pt>
                <c:pt idx="149">
                  <c:v>53</c:v>
                </c:pt>
                <c:pt idx="150">
                  <c:v>53</c:v>
                </c:pt>
                <c:pt idx="151">
                  <c:v>54</c:v>
                </c:pt>
                <c:pt idx="152">
                  <c:v>54</c:v>
                </c:pt>
                <c:pt idx="153">
                  <c:v>55</c:v>
                </c:pt>
                <c:pt idx="154">
                  <c:v>55</c:v>
                </c:pt>
                <c:pt idx="155">
                  <c:v>55</c:v>
                </c:pt>
                <c:pt idx="156">
                  <c:v>56</c:v>
                </c:pt>
                <c:pt idx="157">
                  <c:v>56</c:v>
                </c:pt>
                <c:pt idx="158">
                  <c:v>57</c:v>
                </c:pt>
                <c:pt idx="159">
                  <c:v>57</c:v>
                </c:pt>
                <c:pt idx="160">
                  <c:v>58</c:v>
                </c:pt>
                <c:pt idx="161">
                  <c:v>58</c:v>
                </c:pt>
                <c:pt idx="162">
                  <c:v>58</c:v>
                </c:pt>
                <c:pt idx="163">
                  <c:v>59</c:v>
                </c:pt>
                <c:pt idx="164">
                  <c:v>59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61</c:v>
                </c:pt>
                <c:pt idx="170">
                  <c:v>61</c:v>
                </c:pt>
                <c:pt idx="171">
                  <c:v>62</c:v>
                </c:pt>
                <c:pt idx="172">
                  <c:v>62</c:v>
                </c:pt>
                <c:pt idx="173">
                  <c:v>63</c:v>
                </c:pt>
                <c:pt idx="174">
                  <c:v>63</c:v>
                </c:pt>
                <c:pt idx="175">
                  <c:v>63</c:v>
                </c:pt>
                <c:pt idx="176">
                  <c:v>64</c:v>
                </c:pt>
                <c:pt idx="177">
                  <c:v>64</c:v>
                </c:pt>
                <c:pt idx="178">
                  <c:v>64</c:v>
                </c:pt>
                <c:pt idx="179">
                  <c:v>65</c:v>
                </c:pt>
                <c:pt idx="180">
                  <c:v>66</c:v>
                </c:pt>
                <c:pt idx="181">
                  <c:v>66</c:v>
                </c:pt>
                <c:pt idx="182">
                  <c:v>66</c:v>
                </c:pt>
                <c:pt idx="183">
                  <c:v>66</c:v>
                </c:pt>
                <c:pt idx="184">
                  <c:v>67</c:v>
                </c:pt>
                <c:pt idx="185">
                  <c:v>67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69</c:v>
                </c:pt>
                <c:pt idx="191">
                  <c:v>69</c:v>
                </c:pt>
                <c:pt idx="192">
                  <c:v>70</c:v>
                </c:pt>
                <c:pt idx="193">
                  <c:v>71</c:v>
                </c:pt>
                <c:pt idx="194">
                  <c:v>71</c:v>
                </c:pt>
                <c:pt idx="195">
                  <c:v>73</c:v>
                </c:pt>
                <c:pt idx="196">
                  <c:v>73</c:v>
                </c:pt>
                <c:pt idx="197">
                  <c:v>73</c:v>
                </c:pt>
                <c:pt idx="198">
                  <c:v>73</c:v>
                </c:pt>
                <c:pt idx="199">
                  <c:v>74</c:v>
                </c:pt>
                <c:pt idx="200">
                  <c:v>75</c:v>
                </c:pt>
                <c:pt idx="201">
                  <c:v>75</c:v>
                </c:pt>
                <c:pt idx="202">
                  <c:v>75</c:v>
                </c:pt>
                <c:pt idx="203">
                  <c:v>75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78</c:v>
                </c:pt>
                <c:pt idx="212">
                  <c:v>79</c:v>
                </c:pt>
                <c:pt idx="213">
                  <c:v>79</c:v>
                </c:pt>
                <c:pt idx="214">
                  <c:v>79</c:v>
                </c:pt>
              </c:numCache>
            </c:numRef>
          </c:cat>
          <c:val>
            <c:numRef>
              <c:f>Algandmed!$X$2:$X$216</c:f>
              <c:numCache>
                <c:formatCode>General</c:formatCode>
                <c:ptCount val="2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-2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4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-6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2</c:v>
                </c:pt>
                <c:pt idx="30">
                  <c:v>1</c:v>
                </c:pt>
                <c:pt idx="31">
                  <c:v>0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12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-6</c:v>
                </c:pt>
                <c:pt idx="41">
                  <c:v>-8</c:v>
                </c:pt>
                <c:pt idx="42">
                  <c:v>-6</c:v>
                </c:pt>
                <c:pt idx="43">
                  <c:v>-8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-12</c:v>
                </c:pt>
                <c:pt idx="48">
                  <c:v>6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-6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1</c:v>
                </c:pt>
                <c:pt idx="72">
                  <c:v>2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6</c:v>
                </c:pt>
                <c:pt idx="80">
                  <c:v>-8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-2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4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-12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0</c:v>
                </c:pt>
                <c:pt idx="104">
                  <c:v>1</c:v>
                </c:pt>
                <c:pt idx="105">
                  <c:v>-6</c:v>
                </c:pt>
                <c:pt idx="106">
                  <c:v>-12</c:v>
                </c:pt>
                <c:pt idx="107">
                  <c:v>-20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-10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-6</c:v>
                </c:pt>
                <c:pt idx="124">
                  <c:v>1</c:v>
                </c:pt>
                <c:pt idx="125">
                  <c:v>2</c:v>
                </c:pt>
                <c:pt idx="126">
                  <c:v>1</c:v>
                </c:pt>
                <c:pt idx="127">
                  <c:v>1</c:v>
                </c:pt>
                <c:pt idx="128">
                  <c:v>10</c:v>
                </c:pt>
                <c:pt idx="129">
                  <c:v>-6</c:v>
                </c:pt>
                <c:pt idx="130">
                  <c:v>-12</c:v>
                </c:pt>
                <c:pt idx="131">
                  <c:v>1</c:v>
                </c:pt>
                <c:pt idx="132">
                  <c:v>6</c:v>
                </c:pt>
                <c:pt idx="133">
                  <c:v>10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-12</c:v>
                </c:pt>
                <c:pt idx="139">
                  <c:v>1</c:v>
                </c:pt>
                <c:pt idx="140">
                  <c:v>-2</c:v>
                </c:pt>
                <c:pt idx="141">
                  <c:v>1</c:v>
                </c:pt>
                <c:pt idx="142">
                  <c:v>1</c:v>
                </c:pt>
                <c:pt idx="143">
                  <c:v>-2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6</c:v>
                </c:pt>
                <c:pt idx="148">
                  <c:v>8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-12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-10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2</c:v>
                </c:pt>
                <c:pt idx="168">
                  <c:v>0</c:v>
                </c:pt>
                <c:pt idx="169">
                  <c:v>1</c:v>
                </c:pt>
                <c:pt idx="170">
                  <c:v>-10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-2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6</c:v>
                </c:pt>
                <c:pt idx="186">
                  <c:v>2</c:v>
                </c:pt>
                <c:pt idx="187">
                  <c:v>1</c:v>
                </c:pt>
                <c:pt idx="188">
                  <c:v>2</c:v>
                </c:pt>
                <c:pt idx="189">
                  <c:v>-2</c:v>
                </c:pt>
                <c:pt idx="190">
                  <c:v>1</c:v>
                </c:pt>
                <c:pt idx="191">
                  <c:v>-6</c:v>
                </c:pt>
                <c:pt idx="192">
                  <c:v>-20</c:v>
                </c:pt>
                <c:pt idx="193">
                  <c:v>1</c:v>
                </c:pt>
                <c:pt idx="194">
                  <c:v>-6</c:v>
                </c:pt>
                <c:pt idx="195">
                  <c:v>-10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-10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06A-4933-99ED-9AC4656B4E6E}"/>
            </c:ext>
          </c:extLst>
        </c:ser>
        <c:marker val="1"/>
        <c:axId val="152720512"/>
        <c:axId val="152722048"/>
        <c:extLst xmlns:c16r2="http://schemas.microsoft.com/office/drawing/2015/06/chart"/>
      </c:lineChart>
      <c:catAx>
        <c:axId val="152720512"/>
        <c:scaling>
          <c:orientation val="minMax"/>
        </c:scaling>
        <c:axPos val="b"/>
        <c:numFmt formatCode="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722048"/>
        <c:crosses val="autoZero"/>
        <c:lblAlgn val="ctr"/>
        <c:lblOffset val="100"/>
        <c:tickLblSkip val="10"/>
        <c:tickMarkSkip val="1"/>
      </c:catAx>
      <c:valAx>
        <c:axId val="152722048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72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821-4C14-990D-27BDAB8B7F6B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821-4C14-990D-27BDAB8B7F6B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821-4C14-990D-27BDAB8B7F6B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(Lõppandmed!$C$5,Lõppandmed!$H$5:$I$5)</c:f>
              <c:strCache>
                <c:ptCount val="3"/>
                <c:pt idx="0">
                  <c:v>LÖÖKE KOKKU</c:v>
                </c:pt>
                <c:pt idx="1">
                  <c:v>VÕIDAME STANDARDI</c:v>
                </c:pt>
                <c:pt idx="2">
                  <c:v>KAOTAME PALLI</c:v>
                </c:pt>
              </c:strCache>
            </c:strRef>
          </c:cat>
          <c:val>
            <c:numRef>
              <c:f>(Lõppandmed!$C$6,Lõppandmed!$H$6:$I$6)</c:f>
              <c:numCache>
                <c:formatCode>General</c:formatCode>
                <c:ptCount val="3"/>
                <c:pt idx="0">
                  <c:v>5</c:v>
                </c:pt>
                <c:pt idx="1">
                  <c:v>6</c:v>
                </c:pt>
                <c:pt idx="2">
                  <c:v>62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821-4C14-990D-27BDAB8B7F6B}"/>
            </c:ext>
          </c:extLst>
        </c:ser>
        <c:firstSliceAng val="0"/>
      </c:pieChart>
    </c:plotArea>
    <c:legend>
      <c:legendPos val="r"/>
      <c:spPr>
        <a:noFill/>
      </c:sp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AA</a:t>
            </a:r>
          </a:p>
          <a:p>
            <a:pPr>
              <a:defRPr sz="1400"/>
            </a:pPr>
            <a:r>
              <a:rPr lang="et-EE" sz="1400"/>
              <a:t>Väga madal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9F0-4D79-880C-2C6C635C2134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9F0-4D79-880C-2C6C635C2134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9F0-4D79-880C-2C6C635C213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(Lõppandmed!$D$109,Lõppandmed!$I$109:$J$109)</c:f>
              <c:strCache>
                <c:ptCount val="3"/>
                <c:pt idx="0">
                  <c:v>LÖÖKE KOKKU</c:v>
                </c:pt>
                <c:pt idx="1">
                  <c:v>VÕIDAME STANDARDI</c:v>
                </c:pt>
                <c:pt idx="2">
                  <c:v>KAOTAME PALLI</c:v>
                </c:pt>
              </c:strCache>
            </c:strRef>
          </c:cat>
          <c:val>
            <c:numRef>
              <c:f>(Lõppandmed!$D$110,Lõppandmed!$I$110:$J$110)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9F0-4D79-880C-2C6C635C2134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t-EE" sz="1400"/>
              <a:t>AA  </a:t>
            </a:r>
          </a:p>
          <a:p>
            <a:pPr>
              <a:defRPr/>
            </a:pPr>
            <a:r>
              <a:rPr lang="en-US" sz="1400"/>
              <a:t>Madal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069-4716-8AC2-1D4743319FC2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069-4716-8AC2-1D4743319FC2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069-4716-8AC2-1D4743319FC2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(Lõppandmed!$D$109,Lõppandmed!$I$109:$J$109)</c:f>
              <c:strCache>
                <c:ptCount val="3"/>
                <c:pt idx="0">
                  <c:v>LÖÖKE KOKKU</c:v>
                </c:pt>
                <c:pt idx="1">
                  <c:v>VÕIDAME STANDARDI</c:v>
                </c:pt>
                <c:pt idx="2">
                  <c:v>KAOTAME PALLI</c:v>
                </c:pt>
              </c:strCache>
            </c:strRef>
          </c:cat>
          <c:val>
            <c:numRef>
              <c:f>(Lõppandmed!$D$111,Lõppandmed!$I$111:$J$111)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E069-4716-8AC2-1D4743319FC2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AA </a:t>
            </a:r>
            <a:endParaRPr lang="et-EE" sz="1400"/>
          </a:p>
          <a:p>
            <a:pPr>
              <a:defRPr sz="1400"/>
            </a:pPr>
            <a:r>
              <a:rPr lang="en-US" sz="1400"/>
              <a:t>Keskmine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20D-4420-BE96-909816F5CDCD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20D-4420-BE96-909816F5CDCD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F20D-4420-BE96-909816F5CDCD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(Lõppandmed!$D$109,Lõppandmed!$I$109:$J$109)</c:f>
              <c:strCache>
                <c:ptCount val="3"/>
                <c:pt idx="0">
                  <c:v>LÖÖKE KOKKU</c:v>
                </c:pt>
                <c:pt idx="1">
                  <c:v>VÕIDAME STANDARDI</c:v>
                </c:pt>
                <c:pt idx="2">
                  <c:v>KAOTAME PALLI</c:v>
                </c:pt>
              </c:strCache>
            </c:strRef>
          </c:cat>
          <c:val>
            <c:numRef>
              <c:f>(Lõppandmed!$D$112,Lõppandmed!$I$112:$J$112)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F20D-4420-BE96-909816F5CDCD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DA</a:t>
            </a:r>
          </a:p>
          <a:p>
            <a:pPr>
              <a:defRPr sz="1400"/>
            </a:pPr>
            <a:r>
              <a:rPr lang="et-EE" sz="1400"/>
              <a:t>Väga madal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C65-4B49-B95A-0DF6073067BB}"/>
              </c:ext>
            </c:extLst>
          </c:dPt>
          <c:dPt>
            <c:idx val="1"/>
            <c:spPr>
              <a:solidFill>
                <a:schemeClr val="accent1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8C65-4B49-B95A-0DF6073067BB}"/>
              </c:ext>
            </c:extLst>
          </c:dPt>
          <c:dPt>
            <c:idx val="2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8C65-4B49-B95A-0DF6073067BB}"/>
              </c:ext>
            </c:extLst>
          </c:dPt>
          <c:dPt>
            <c:idx val="3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8C65-4B49-B95A-0DF6073067BB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(Lõppandmed!$E$308,Lõppandmed!$J$308:$L$308)</c:f>
              <c:strCache>
                <c:ptCount val="4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KAOTAME PALLI</c:v>
                </c:pt>
              </c:strCache>
            </c:strRef>
          </c:cat>
          <c:val>
            <c:numRef>
              <c:f>(Lõppandmed!$E$309,Lõppandmed!$J$309:$L$309)</c:f>
              <c:numCache>
                <c:formatCode>0%</c:formatCode>
                <c:ptCount val="4"/>
                <c:pt idx="0">
                  <c:v>0</c:v>
                </c:pt>
                <c:pt idx="1">
                  <c:v>0.17647058823529413</c:v>
                </c:pt>
                <c:pt idx="2">
                  <c:v>0</c:v>
                </c:pt>
                <c:pt idx="3">
                  <c:v>0.76470588235294112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8C65-4B49-B95A-0DF6073067BB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D</a:t>
            </a:r>
            <a:r>
              <a:rPr lang="en-US" sz="1400"/>
              <a:t>A </a:t>
            </a:r>
            <a:endParaRPr lang="et-EE" sz="1400"/>
          </a:p>
          <a:p>
            <a:pPr>
              <a:defRPr sz="1400"/>
            </a:pPr>
            <a:r>
              <a:rPr lang="en-US" sz="1400"/>
              <a:t>Keskmine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4BD-47FA-B89F-F58ADBDE2FAF}"/>
              </c:ext>
            </c:extLst>
          </c:dPt>
          <c:dPt>
            <c:idx val="1"/>
            <c:spPr>
              <a:solidFill>
                <a:schemeClr val="accent1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4BD-47FA-B89F-F58ADBDE2FAF}"/>
              </c:ext>
            </c:extLst>
          </c:dPt>
          <c:dPt>
            <c:idx val="2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4BD-47FA-B89F-F58ADBDE2FAF}"/>
              </c:ext>
            </c:extLst>
          </c:dPt>
          <c:dPt>
            <c:idx val="3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4BD-47FA-B89F-F58ADBDE2FAF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(Lõppandmed!$E$308,Lõppandmed!$J$308:$L$308)</c:f>
              <c:strCache>
                <c:ptCount val="4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KAOTAME PALLI</c:v>
                </c:pt>
              </c:strCache>
            </c:strRef>
          </c:cat>
          <c:val>
            <c:numRef>
              <c:f>(Lõppandmed!$E$311,Lõppandmed!$J$311:$L$311)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7.6923076923076927E-2</c:v>
                </c:pt>
                <c:pt idx="3">
                  <c:v>0.76923076923076927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A4BD-47FA-B89F-F58ADBDE2FAF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t-EE" sz="1400"/>
              <a:t>DA  </a:t>
            </a:r>
          </a:p>
          <a:p>
            <a:pPr>
              <a:defRPr/>
            </a:pPr>
            <a:r>
              <a:rPr lang="en-US" sz="1400"/>
              <a:t>Madal pressing</a:t>
            </a:r>
          </a:p>
        </c:rich>
      </c:tx>
    </c:title>
    <c:plotArea>
      <c:layout/>
      <c:pieChart>
        <c:varyColors val="1"/>
        <c:ser>
          <c:idx val="0"/>
          <c:order val="0"/>
          <c:tx>
            <c:strRef>
              <c:f>Lõppandmed!$A$310</c:f>
              <c:strCache>
                <c:ptCount val="1"/>
                <c:pt idx="0">
                  <c:v>Madalpress</c:v>
                </c:pt>
              </c:strCache>
            </c:strRef>
          </c:tx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54B-4106-AE18-80CE500F45F7}"/>
              </c:ext>
            </c:extLst>
          </c:dPt>
          <c:dPt>
            <c:idx val="1"/>
            <c:spPr>
              <a:solidFill>
                <a:schemeClr val="accent1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54B-4106-AE18-80CE500F45F7}"/>
              </c:ext>
            </c:extLst>
          </c:dPt>
          <c:dPt>
            <c:idx val="2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54B-4106-AE18-80CE500F45F7}"/>
              </c:ext>
            </c:extLst>
          </c:dPt>
          <c:dPt>
            <c:idx val="3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254B-4106-AE18-80CE500F45F7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(Lõppandmed!$E$308,Lõppandmed!$J$308:$L$308)</c:f>
              <c:strCache>
                <c:ptCount val="4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KAOTAME PALLI</c:v>
                </c:pt>
              </c:strCache>
            </c:strRef>
          </c:cat>
          <c:val>
            <c:numRef>
              <c:f>(Lõppandmed!$E$310,Lõppandmed!$J$310:$L$310)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254B-4106-AE18-80CE500F45F7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D</a:t>
            </a:r>
            <a:r>
              <a:rPr lang="en-US" sz="1400"/>
              <a:t>A </a:t>
            </a:r>
            <a:endParaRPr lang="et-EE" sz="1400"/>
          </a:p>
          <a:p>
            <a:pPr>
              <a:defRPr sz="1400"/>
            </a:pPr>
            <a:r>
              <a:rPr lang="en-US" sz="1400"/>
              <a:t>Kõrge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F61-4772-98E2-73CCD74CD275}"/>
              </c:ext>
            </c:extLst>
          </c:dPt>
          <c:dPt>
            <c:idx val="1"/>
            <c:spPr>
              <a:solidFill>
                <a:schemeClr val="accent1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F61-4772-98E2-73CCD74CD275}"/>
              </c:ext>
            </c:extLst>
          </c:dPt>
          <c:dPt>
            <c:idx val="2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F61-4772-98E2-73CCD74CD275}"/>
              </c:ext>
            </c:extLst>
          </c:dPt>
          <c:dPt>
            <c:idx val="3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F61-4772-98E2-73CCD74CD275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(Lõppandmed!$E$308,Lõppandmed!$J$308:$L$308)</c:f>
              <c:strCache>
                <c:ptCount val="4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KAOTAME PALLI</c:v>
                </c:pt>
              </c:strCache>
            </c:strRef>
          </c:cat>
          <c:val>
            <c:numRef>
              <c:f>(Lõppandmed!$E$312,Lõppandmed!$J$312:$L$312)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AF61-4772-98E2-73CCD74CD275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AA</a:t>
            </a:r>
          </a:p>
          <a:p>
            <a:pPr>
              <a:defRPr sz="1400"/>
            </a:pPr>
            <a:r>
              <a:rPr lang="et-EE" sz="1400"/>
              <a:t>Lühike ülesehitus</a:t>
            </a:r>
          </a:p>
        </c:rich>
      </c:tx>
    </c:title>
    <c:plotArea>
      <c:layout/>
      <c:pieChart>
        <c:varyColors val="1"/>
        <c:ser>
          <c:idx val="2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DC4-4967-9EA2-776EBE21A5EE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DC4-4967-9EA2-776EBE21A5EE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DC4-4967-9EA2-776EBE21A5EE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(Lõppandmed!$D$59,Lõppandmed!$I$59:$J$59)</c:f>
              <c:strCache>
                <c:ptCount val="3"/>
                <c:pt idx="0">
                  <c:v>LÖÖKE KOKKU</c:v>
                </c:pt>
                <c:pt idx="1">
                  <c:v>VÕIDAME STANDARDI</c:v>
                </c:pt>
                <c:pt idx="2">
                  <c:v>KAOTAME PALLI</c:v>
                </c:pt>
              </c:strCache>
            </c:strRef>
          </c:cat>
          <c:val>
            <c:numRef>
              <c:f>(Lõppandmed!$D$60,Lõppandmed!$I$60:$J$60)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DC4-4967-9EA2-776EBE21A5EE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AA </a:t>
            </a:r>
            <a:endParaRPr lang="et-EE" sz="1400"/>
          </a:p>
          <a:p>
            <a:pPr>
              <a:defRPr sz="1400"/>
            </a:pPr>
            <a:r>
              <a:rPr lang="et-EE" sz="1400"/>
              <a:t>Lühike-pikk ülesehitus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51C-474C-A586-9DD6BD3D037C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51C-474C-A586-9DD6BD3D037C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51C-474C-A586-9DD6BD3D037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(Lõppandmed!$D$59,Lõppandmed!$I$59:$J$59)</c:f>
              <c:strCache>
                <c:ptCount val="3"/>
                <c:pt idx="0">
                  <c:v>LÖÖKE KOKKU</c:v>
                </c:pt>
                <c:pt idx="1">
                  <c:v>VÕIDAME STANDARDI</c:v>
                </c:pt>
                <c:pt idx="2">
                  <c:v>KAOTAME PALLI</c:v>
                </c:pt>
              </c:strCache>
            </c:strRef>
          </c:cat>
          <c:val>
            <c:numRef>
              <c:f>(Lõppandmed!$D$61,Lõppandmed!$I$61:$J$61)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951C-474C-A586-9DD6BD3D037C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AA </a:t>
            </a:r>
            <a:endParaRPr lang="et-EE" sz="1400"/>
          </a:p>
          <a:p>
            <a:pPr>
              <a:defRPr sz="1400"/>
            </a:pPr>
            <a:r>
              <a:rPr lang="et-EE" sz="1400"/>
              <a:t>Pikk ülesehitus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D9B-4FA6-B08B-7E49D4F61A59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D9B-4FA6-B08B-7E49D4F61A59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D9B-4FA6-B08B-7E49D4F61A5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(Lõppandmed!$D$59,Lõppandmed!$I$59:$J$59)</c:f>
              <c:strCache>
                <c:ptCount val="3"/>
                <c:pt idx="0">
                  <c:v>LÖÖKE KOKKU</c:v>
                </c:pt>
                <c:pt idx="1">
                  <c:v>VÕIDAME STANDARDI</c:v>
                </c:pt>
                <c:pt idx="2">
                  <c:v>KAOTAME PALLI</c:v>
                </c:pt>
              </c:strCache>
            </c:strRef>
          </c:cat>
          <c:val>
            <c:numRef>
              <c:f>(Lõppandmed!$D$62,Lõppandmed!$I$62:$J$62)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2D9B-4FA6-B08B-7E49D4F61A59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t-EE" sz="1200"/>
              <a:t>AA  </a:t>
            </a:r>
          </a:p>
          <a:p>
            <a:pPr>
              <a:defRPr sz="1200"/>
            </a:pPr>
            <a:r>
              <a:rPr lang="et-EE" sz="1200"/>
              <a:t>Lühike ülesehitus</a:t>
            </a:r>
          </a:p>
          <a:p>
            <a:pPr>
              <a:defRPr sz="1200"/>
            </a:pPr>
            <a:r>
              <a:rPr lang="et-EE" sz="1200"/>
              <a:t>Väga m</a:t>
            </a:r>
            <a:r>
              <a:rPr lang="en-US" sz="1200"/>
              <a:t>adal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5FD-4590-BA84-7027C30643E8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5FD-4590-BA84-7027C30643E8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5FD-4590-BA84-7027C30643E8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(Lõppandmed!$D$159,Lõppandmed!$I$159:$J$159)</c:f>
              <c:strCache>
                <c:ptCount val="3"/>
                <c:pt idx="0">
                  <c:v>LÖÖKE KOKKU</c:v>
                </c:pt>
                <c:pt idx="1">
                  <c:v>VÕIDAME STANDARDI</c:v>
                </c:pt>
                <c:pt idx="2">
                  <c:v>KAOTAME PALLI</c:v>
                </c:pt>
              </c:strCache>
            </c:strRef>
          </c:cat>
          <c:val>
            <c:numRef>
              <c:f>(Lõppandmed!$D$160,Lõppandmed!$I$160:$J$160)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25FD-4590-BA84-7027C30643E8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t-EE" sz="1200"/>
              <a:t>AA  </a:t>
            </a:r>
          </a:p>
          <a:p>
            <a:pPr>
              <a:defRPr sz="1200"/>
            </a:pPr>
            <a:r>
              <a:rPr lang="et-EE" sz="1200"/>
              <a:t>Lühike/pikk ülesehitus</a:t>
            </a:r>
          </a:p>
          <a:p>
            <a:pPr>
              <a:defRPr sz="1200"/>
            </a:pPr>
            <a:r>
              <a:rPr lang="et-EE" sz="1200"/>
              <a:t>Väga m</a:t>
            </a:r>
            <a:r>
              <a:rPr lang="en-US" sz="1200"/>
              <a:t>adal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2B6-4835-BD54-2B297CD19EA4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2B6-4835-BD54-2B297CD19EA4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42B6-4835-BD54-2B297CD19E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(Lõppandmed!$E$209,Lõppandmed!$J$209:$K$209)</c:f>
              <c:strCache>
                <c:ptCount val="3"/>
                <c:pt idx="0">
                  <c:v>LÖÖKE KOKKU</c:v>
                </c:pt>
                <c:pt idx="1">
                  <c:v>VÕIDAME STANDARDI</c:v>
                </c:pt>
                <c:pt idx="2">
                  <c:v>KAOTAME PALLI</c:v>
                </c:pt>
              </c:strCache>
            </c:strRef>
          </c:cat>
          <c:val>
            <c:numRef>
              <c:f>(Lõppandmed!$E$210,Lõppandmed!$J$210:$K$210)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42B6-4835-BD54-2B297CD19EA4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t-EE" sz="1200"/>
              <a:t>AA  </a:t>
            </a:r>
          </a:p>
          <a:p>
            <a:pPr>
              <a:defRPr sz="1200"/>
            </a:pPr>
            <a:r>
              <a:rPr lang="et-EE" sz="1200"/>
              <a:t>Pikk ülesehitus</a:t>
            </a:r>
          </a:p>
          <a:p>
            <a:pPr>
              <a:defRPr sz="1200"/>
            </a:pPr>
            <a:r>
              <a:rPr lang="et-EE" sz="1200"/>
              <a:t>Väga m</a:t>
            </a:r>
            <a:r>
              <a:rPr lang="en-US" sz="1200"/>
              <a:t>adal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092-489D-A8CA-8687096462E8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092-489D-A8CA-8687096462E8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092-489D-A8CA-8687096462E8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(Lõppandmed!$E$258,Lõppandmed!$J$258:$K$258)</c:f>
              <c:strCache>
                <c:ptCount val="3"/>
                <c:pt idx="0">
                  <c:v>LÖÖKE KOKKU</c:v>
                </c:pt>
                <c:pt idx="1">
                  <c:v>VÕIDAME STANDARDI</c:v>
                </c:pt>
                <c:pt idx="2">
                  <c:v>KAOTAME PALLI</c:v>
                </c:pt>
              </c:strCache>
            </c:strRef>
          </c:cat>
          <c:val>
            <c:numRef>
              <c:f>(Lõppandmed!$E$259,Lõppandmed!$J$259:$K$259)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E092-489D-A8CA-8687096462E8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Lõppandmed!$A$409</c:f>
              <c:strCache>
                <c:ptCount val="1"/>
                <c:pt idx="0">
                  <c:v>POS</c:v>
                </c:pt>
              </c:strCache>
            </c:strRef>
          </c:tx>
          <c:spPr>
            <a:solidFill>
              <a:schemeClr val="accent5"/>
            </a:solidFill>
          </c:spPr>
          <c:cat>
            <c:strRef>
              <c:f>Lõppandmed!$B$408:$K$408</c:f>
              <c:strCache>
                <c:ptCount val="10"/>
                <c:pt idx="0">
                  <c:v>TSENDERDUS</c:v>
                </c:pt>
                <c:pt idx="1">
                  <c:v>ÄÄRE VAHETUS</c:v>
                </c:pt>
                <c:pt idx="2">
                  <c:v>ÄÄRED</c:v>
                </c:pt>
                <c:pt idx="3">
                  <c:v>VASTU RÜNNAK</c:v>
                </c:pt>
                <c:pt idx="4">
                  <c:v>INDIVIDUAAL NE</c:v>
                </c:pt>
                <c:pt idx="5">
                  <c:v>SÖÖDU KOMB.</c:v>
                </c:pt>
                <c:pt idx="6">
                  <c:v>TEINE PALL</c:v>
                </c:pt>
                <c:pt idx="7">
                  <c:v>KAUGLÖÖK</c:v>
                </c:pt>
                <c:pt idx="8">
                  <c:v>TERAV SÖÖT</c:v>
                </c:pt>
                <c:pt idx="9">
                  <c:v>DIAGO</c:v>
                </c:pt>
              </c:strCache>
            </c:strRef>
          </c:cat>
          <c:val>
            <c:numRef>
              <c:f>Lõppandmed!$B$409:$K$409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14E-4240-BB45-571B0A7674BE}"/>
            </c:ext>
          </c:extLst>
        </c:ser>
        <c:ser>
          <c:idx val="1"/>
          <c:order val="1"/>
          <c:tx>
            <c:strRef>
              <c:f>Lõppandmed!$A$410</c:f>
              <c:strCache>
                <c:ptCount val="1"/>
                <c:pt idx="0">
                  <c:v>NEG</c:v>
                </c:pt>
              </c:strCache>
            </c:strRef>
          </c:tx>
          <c:spPr>
            <a:solidFill>
              <a:schemeClr val="accent2"/>
            </a:solidFill>
          </c:spPr>
          <c:cat>
            <c:strRef>
              <c:f>Lõppandmed!$B$408:$K$408</c:f>
              <c:strCache>
                <c:ptCount val="10"/>
                <c:pt idx="0">
                  <c:v>TSENDERDUS</c:v>
                </c:pt>
                <c:pt idx="1">
                  <c:v>ÄÄRE VAHETUS</c:v>
                </c:pt>
                <c:pt idx="2">
                  <c:v>ÄÄRED</c:v>
                </c:pt>
                <c:pt idx="3">
                  <c:v>VASTU RÜNNAK</c:v>
                </c:pt>
                <c:pt idx="4">
                  <c:v>INDIVIDUAAL NE</c:v>
                </c:pt>
                <c:pt idx="5">
                  <c:v>SÖÖDU KOMB.</c:v>
                </c:pt>
                <c:pt idx="6">
                  <c:v>TEINE PALL</c:v>
                </c:pt>
                <c:pt idx="7">
                  <c:v>KAUGLÖÖK</c:v>
                </c:pt>
                <c:pt idx="8">
                  <c:v>TERAV SÖÖT</c:v>
                </c:pt>
                <c:pt idx="9">
                  <c:v>DIAGO</c:v>
                </c:pt>
              </c:strCache>
            </c:strRef>
          </c:cat>
          <c:val>
            <c:numRef>
              <c:f>Lõppandmed!$B$410:$K$410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14E-4240-BB45-571B0A7674BE}"/>
            </c:ext>
          </c:extLst>
        </c:ser>
        <c:axId val="160066176"/>
        <c:axId val="160076160"/>
      </c:barChart>
      <c:catAx>
        <c:axId val="160066176"/>
        <c:scaling>
          <c:orientation val="minMax"/>
        </c:scaling>
        <c:axPos val="b"/>
        <c:numFmt formatCode="General" sourceLinked="0"/>
        <c:tickLblPos val="nextTo"/>
        <c:crossAx val="160076160"/>
        <c:crosses val="autoZero"/>
        <c:auto val="1"/>
        <c:lblAlgn val="ctr"/>
        <c:lblOffset val="100"/>
      </c:catAx>
      <c:valAx>
        <c:axId val="160076160"/>
        <c:scaling>
          <c:orientation val="minMax"/>
          <c:max val="1"/>
        </c:scaling>
        <c:axPos val="l"/>
        <c:majorGridlines/>
        <c:numFmt formatCode="0%" sourceLinked="1"/>
        <c:tickLblPos val="nextTo"/>
        <c:crossAx val="160066176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Vasturünnak</a:t>
            </a:r>
          </a:p>
          <a:p>
            <a:pPr>
              <a:defRPr sz="1400"/>
            </a:pPr>
            <a:r>
              <a:rPr lang="et-EE" sz="1400"/>
              <a:t>Väga madal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439-42C9-81C2-B9AC9DF6129A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439-42C9-81C2-B9AC9DF6129A}"/>
              </c:ext>
            </c:extLst>
          </c:dPt>
          <c:dPt>
            <c:idx val="2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439-42C9-81C2-B9AC9DF6129A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(Lõppandmed!$D$450,Lõppandmed!$I$450:$J$450)</c:f>
              <c:strCache>
                <c:ptCount val="3"/>
                <c:pt idx="0">
                  <c:v>LÖÖKE KOKKU</c:v>
                </c:pt>
                <c:pt idx="1">
                  <c:v>VÕIDAME STANDARDI</c:v>
                </c:pt>
                <c:pt idx="2">
                  <c:v>KAOTAME PALLI</c:v>
                </c:pt>
              </c:strCache>
            </c:strRef>
          </c:cat>
          <c:val>
            <c:numRef>
              <c:f>(Lõppandmed!$D$451,Lõppandmed!$I$451:$J$451)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439-42C9-81C2-B9AC9DF6129A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Standard</a:t>
            </a:r>
          </a:p>
          <a:p>
            <a:pPr>
              <a:defRPr sz="1400"/>
            </a:pPr>
            <a:r>
              <a:rPr lang="et-EE" sz="1400"/>
              <a:t>Nurgalöök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EC8-4FEB-9629-B01B9FB51ECF}"/>
              </c:ext>
            </c:extLst>
          </c:dPt>
          <c:dPt>
            <c:idx val="1"/>
            <c:spPr>
              <a:solidFill>
                <a:schemeClr val="accent5">
                  <a:alpha val="7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EC8-4FEB-9629-B01B9FB51ECF}"/>
              </c:ext>
            </c:extLst>
          </c:dPt>
          <c:dPt>
            <c:idx val="2"/>
            <c:spPr>
              <a:solidFill>
                <a:schemeClr val="accent5">
                  <a:alpha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EC8-4FEB-9629-B01B9FB51ECF}"/>
              </c:ext>
            </c:extLst>
          </c:dPt>
          <c:dPt>
            <c:idx val="3"/>
            <c:spPr>
              <a:solidFill>
                <a:schemeClr val="accent1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EC8-4FEB-9629-B01B9FB51ECF}"/>
              </c:ext>
            </c:extLst>
          </c:dPt>
          <c:dPt>
            <c:idx val="4"/>
            <c:spPr>
              <a:solidFill>
                <a:schemeClr val="bg2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EC8-4FEB-9629-B01B9FB51ECF}"/>
              </c:ext>
            </c:extLst>
          </c:dPt>
          <c:dPt>
            <c:idx val="5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EEC8-4FEB-9629-B01B9FB51ECF}"/>
              </c:ext>
            </c:extLst>
          </c:dPt>
          <c:dPt>
            <c:idx val="6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EEC8-4FEB-9629-B01B9FB51ECF}"/>
              </c:ext>
            </c:extLst>
          </c:dPt>
          <c:dPt>
            <c:idx val="7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EEC8-4FEB-9629-B01B9FB51ECF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Lõppandmed!$E$495:$L$495</c:f>
              <c:strCache>
                <c:ptCount val="8"/>
                <c:pt idx="0">
                  <c:v>VÄRAV</c:v>
                </c:pt>
                <c:pt idx="1">
                  <c:v>LÖÖK VÄRAVALE</c:v>
                </c:pt>
                <c:pt idx="2">
                  <c:v>LÖÖK MÖÖDA</c:v>
                </c:pt>
                <c:pt idx="3">
                  <c:v>LÖÖK BLOKEERITUD</c:v>
                </c:pt>
                <c:pt idx="4">
                  <c:v>VÕIDAME STANDARDI</c:v>
                </c:pt>
                <c:pt idx="5">
                  <c:v>HOIAME PALLI</c:v>
                </c:pt>
                <c:pt idx="6">
                  <c:v>VÕIDAME AUDI</c:v>
                </c:pt>
                <c:pt idx="7">
                  <c:v>KAOTAME PALLI</c:v>
                </c:pt>
              </c:strCache>
            </c:strRef>
          </c:cat>
          <c:val>
            <c:numRef>
              <c:f>Lõppandmed!$E$496:$L$496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0-EEC8-4FEB-9629-B01B9FB51ECF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Standard</a:t>
            </a:r>
          </a:p>
          <a:p>
            <a:pPr>
              <a:defRPr sz="1400"/>
            </a:pPr>
            <a:r>
              <a:rPr lang="et-EE" sz="1400"/>
              <a:t>Karistuslöök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EB8-45DA-BDF7-60AADAC96284}"/>
              </c:ext>
            </c:extLst>
          </c:dPt>
          <c:dPt>
            <c:idx val="1"/>
            <c:spPr>
              <a:solidFill>
                <a:schemeClr val="accent5">
                  <a:alpha val="7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EB8-45DA-BDF7-60AADAC96284}"/>
              </c:ext>
            </c:extLst>
          </c:dPt>
          <c:dPt>
            <c:idx val="2"/>
            <c:spPr>
              <a:solidFill>
                <a:schemeClr val="accent5">
                  <a:alpha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EB8-45DA-BDF7-60AADAC96284}"/>
              </c:ext>
            </c:extLst>
          </c:dPt>
          <c:dPt>
            <c:idx val="3"/>
            <c:spPr>
              <a:solidFill>
                <a:schemeClr val="accent1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EB8-45DA-BDF7-60AADAC96284}"/>
              </c:ext>
            </c:extLst>
          </c:dPt>
          <c:dPt>
            <c:idx val="4"/>
            <c:spPr>
              <a:solidFill>
                <a:schemeClr val="bg2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AEB8-45DA-BDF7-60AADAC96284}"/>
              </c:ext>
            </c:extLst>
          </c:dPt>
          <c:dPt>
            <c:idx val="5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AEB8-45DA-BDF7-60AADAC96284}"/>
              </c:ext>
            </c:extLst>
          </c:dPt>
          <c:dPt>
            <c:idx val="6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AEB8-45DA-BDF7-60AADAC96284}"/>
              </c:ext>
            </c:extLst>
          </c:dPt>
          <c:dPt>
            <c:idx val="7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AEB8-45DA-BDF7-60AADAC9628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Lõppandmed!$E$519:$L$519</c:f>
              <c:strCache>
                <c:ptCount val="8"/>
                <c:pt idx="0">
                  <c:v>VÄRAV</c:v>
                </c:pt>
                <c:pt idx="1">
                  <c:v>LÖÖK VÄRAVALE</c:v>
                </c:pt>
                <c:pt idx="2">
                  <c:v>LÖÖK MÖÖDA</c:v>
                </c:pt>
                <c:pt idx="3">
                  <c:v>LÖÖK BLOKEERITUD</c:v>
                </c:pt>
                <c:pt idx="4">
                  <c:v>VÕIDAME STANDARDI</c:v>
                </c:pt>
                <c:pt idx="5">
                  <c:v>HOIAME PALLI</c:v>
                </c:pt>
                <c:pt idx="6">
                  <c:v>VÕIDAME AUDI</c:v>
                </c:pt>
                <c:pt idx="7">
                  <c:v>KAOTAME PALLI</c:v>
                </c:pt>
              </c:strCache>
            </c:strRef>
          </c:cat>
          <c:val>
            <c:numRef>
              <c:f>Lõppandmed!$E$520:$L$520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0.2</c:v>
                </c:pt>
                <c:pt idx="3">
                  <c:v>0</c:v>
                </c:pt>
                <c:pt idx="4">
                  <c:v>0.1</c:v>
                </c:pt>
                <c:pt idx="5">
                  <c:v>0.1</c:v>
                </c:pt>
                <c:pt idx="6">
                  <c:v>0</c:v>
                </c:pt>
                <c:pt idx="7">
                  <c:v>0.6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0-AEB8-45DA-BDF7-60AADAC96284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Standard</a:t>
            </a:r>
          </a:p>
          <a:p>
            <a:pPr>
              <a:defRPr sz="1400"/>
            </a:pPr>
            <a:r>
              <a:rPr lang="et-EE" sz="1400"/>
              <a:t>Väravalöök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F7E-48EE-8003-47025EF17953}"/>
              </c:ext>
            </c:extLst>
          </c:dPt>
          <c:dPt>
            <c:idx val="1"/>
            <c:spPr>
              <a:solidFill>
                <a:schemeClr val="accent5">
                  <a:alpha val="7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F7E-48EE-8003-47025EF17953}"/>
              </c:ext>
            </c:extLst>
          </c:dPt>
          <c:dPt>
            <c:idx val="2"/>
            <c:spPr>
              <a:solidFill>
                <a:schemeClr val="accent5">
                  <a:alpha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F7E-48EE-8003-47025EF17953}"/>
              </c:ext>
            </c:extLst>
          </c:dPt>
          <c:dPt>
            <c:idx val="3"/>
            <c:spPr>
              <a:solidFill>
                <a:schemeClr val="accent5">
                  <a:alpha val="2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F7E-48EE-8003-47025EF17953}"/>
              </c:ext>
            </c:extLst>
          </c:dPt>
          <c:dPt>
            <c:idx val="4"/>
            <c:spPr>
              <a:solidFill>
                <a:schemeClr val="bg2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6F7E-48EE-8003-47025EF17953}"/>
              </c:ext>
            </c:extLst>
          </c:dPt>
          <c:dPt>
            <c:idx val="5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6F7E-48EE-8003-47025EF17953}"/>
              </c:ext>
            </c:extLst>
          </c:dPt>
          <c:dPt>
            <c:idx val="6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6F7E-48EE-8003-47025EF17953}"/>
              </c:ext>
            </c:extLst>
          </c:dPt>
          <c:dPt>
            <c:idx val="7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6F7E-48EE-8003-47025EF1795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Lõppandmed!$E$642:$L$642</c:f>
              <c:strCache>
                <c:ptCount val="8"/>
                <c:pt idx="0">
                  <c:v>VÄRAV</c:v>
                </c:pt>
                <c:pt idx="1">
                  <c:v>LÖÖK VÄRAVALE</c:v>
                </c:pt>
                <c:pt idx="2">
                  <c:v>LÖÖK MÖÖDA</c:v>
                </c:pt>
                <c:pt idx="3">
                  <c:v>LÖÖK BLOKEERITUD</c:v>
                </c:pt>
                <c:pt idx="4">
                  <c:v>VÕIDAME STANDARDI</c:v>
                </c:pt>
                <c:pt idx="5">
                  <c:v>HOIAME PALLI</c:v>
                </c:pt>
                <c:pt idx="6">
                  <c:v>VÕIDAME AUDI</c:v>
                </c:pt>
                <c:pt idx="7">
                  <c:v>KAOTAME PALLI</c:v>
                </c:pt>
              </c:strCache>
            </c:strRef>
          </c:cat>
          <c:val>
            <c:numRef>
              <c:f>Lõppandmed!$E$643:$L$643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0.16666666666666666</c:v>
                </c:pt>
                <c:pt idx="6">
                  <c:v>0</c:v>
                </c:pt>
                <c:pt idx="7">
                  <c:v>0.83333333333333337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0-6F7E-48EE-8003-47025EF17953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Standard</a:t>
            </a:r>
          </a:p>
          <a:p>
            <a:pPr>
              <a:defRPr sz="1400"/>
            </a:pPr>
            <a:r>
              <a:rPr lang="et-EE" sz="1400"/>
              <a:t>Väravavahi löök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48E-4F92-8301-34AB12234907}"/>
              </c:ext>
            </c:extLst>
          </c:dPt>
          <c:dPt>
            <c:idx val="1"/>
            <c:spPr>
              <a:solidFill>
                <a:schemeClr val="accent5">
                  <a:alpha val="7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48E-4F92-8301-34AB12234907}"/>
              </c:ext>
            </c:extLst>
          </c:dPt>
          <c:dPt>
            <c:idx val="2"/>
            <c:spPr>
              <a:solidFill>
                <a:schemeClr val="accent5">
                  <a:alpha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48E-4F92-8301-34AB12234907}"/>
              </c:ext>
            </c:extLst>
          </c:dPt>
          <c:dPt>
            <c:idx val="3"/>
            <c:spPr>
              <a:solidFill>
                <a:schemeClr val="accent5">
                  <a:alpha val="2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48E-4F92-8301-34AB12234907}"/>
              </c:ext>
            </c:extLst>
          </c:dPt>
          <c:dPt>
            <c:idx val="4"/>
            <c:spPr>
              <a:solidFill>
                <a:schemeClr val="bg2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C48E-4F92-8301-34AB12234907}"/>
              </c:ext>
            </c:extLst>
          </c:dPt>
          <c:dPt>
            <c:idx val="5"/>
            <c:spPr>
              <a:solidFill>
                <a:srgbClr val="FF9933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C48E-4F92-8301-34AB12234907}"/>
              </c:ext>
            </c:extLst>
          </c:dPt>
          <c:dPt>
            <c:idx val="6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C48E-4F92-8301-34AB12234907}"/>
              </c:ext>
            </c:extLst>
          </c:dPt>
          <c:dPt>
            <c:idx val="7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C48E-4F92-8301-34AB12234907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Lõppandmed!$E$794:$L$794</c:f>
              <c:strCache>
                <c:ptCount val="8"/>
                <c:pt idx="0">
                  <c:v>VÄRAV</c:v>
                </c:pt>
                <c:pt idx="1">
                  <c:v>LÖÖK VÄRAVALE</c:v>
                </c:pt>
                <c:pt idx="2">
                  <c:v>LÖÖK MÖÖDA</c:v>
                </c:pt>
                <c:pt idx="3">
                  <c:v>LÖÖK BLOKEERITUD</c:v>
                </c:pt>
                <c:pt idx="4">
                  <c:v>VÕIDAME STANDARDI</c:v>
                </c:pt>
                <c:pt idx="5">
                  <c:v>HOIAME PALLI</c:v>
                </c:pt>
                <c:pt idx="6">
                  <c:v>VÕIDAME AUDI</c:v>
                </c:pt>
                <c:pt idx="7">
                  <c:v>KAOTAME PALLI</c:v>
                </c:pt>
              </c:strCache>
            </c:strRef>
          </c:cat>
          <c:val>
            <c:numRef>
              <c:f>Lõppandmed!$E$795:$L$795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0.1111111111111111</c:v>
                </c:pt>
                <c:pt idx="5">
                  <c:v>0.22222222222222221</c:v>
                </c:pt>
                <c:pt idx="6">
                  <c:v>0</c:v>
                </c:pt>
                <c:pt idx="7">
                  <c:v>0.66666666666666663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0-C48E-4F92-8301-34AB12234907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Standard</a:t>
            </a:r>
          </a:p>
          <a:p>
            <a:pPr>
              <a:defRPr sz="1400"/>
            </a:pPr>
            <a:r>
              <a:rPr lang="et-EE" sz="1400"/>
              <a:t>Audivise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D09-4607-ABD7-A127377F6107}"/>
              </c:ext>
            </c:extLst>
          </c:dPt>
          <c:dPt>
            <c:idx val="1"/>
            <c:spPr>
              <a:solidFill>
                <a:schemeClr val="accent5">
                  <a:alpha val="7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D09-4607-ABD7-A127377F6107}"/>
              </c:ext>
            </c:extLst>
          </c:dPt>
          <c:dPt>
            <c:idx val="2"/>
            <c:spPr>
              <a:solidFill>
                <a:schemeClr val="accent5">
                  <a:alpha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D09-4607-ABD7-A127377F6107}"/>
              </c:ext>
            </c:extLst>
          </c:dPt>
          <c:dPt>
            <c:idx val="3"/>
            <c:spPr>
              <a:solidFill>
                <a:schemeClr val="accent5">
                  <a:alpha val="2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D09-4607-ABD7-A127377F6107}"/>
              </c:ext>
            </c:extLst>
          </c:dPt>
          <c:dPt>
            <c:idx val="4"/>
            <c:spPr>
              <a:solidFill>
                <a:schemeClr val="bg2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6D09-4607-ABD7-A127377F6107}"/>
              </c:ext>
            </c:extLst>
          </c:dPt>
          <c:dPt>
            <c:idx val="5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6D09-4607-ABD7-A127377F6107}"/>
              </c:ext>
            </c:extLst>
          </c:dPt>
          <c:dPt>
            <c:idx val="6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6D09-4607-ABD7-A127377F6107}"/>
              </c:ext>
            </c:extLst>
          </c:dPt>
          <c:dPt>
            <c:idx val="7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6D09-4607-ABD7-A127377F6107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Lõppandmed!$E$942:$L$942</c:f>
              <c:strCache>
                <c:ptCount val="8"/>
                <c:pt idx="0">
                  <c:v>VÄRAV</c:v>
                </c:pt>
                <c:pt idx="1">
                  <c:v>LÖÖK VÄRAVALE</c:v>
                </c:pt>
                <c:pt idx="2">
                  <c:v>LÖÖK MÖÖDA</c:v>
                </c:pt>
                <c:pt idx="3">
                  <c:v>LÖÖK BLOKEERITUD</c:v>
                </c:pt>
                <c:pt idx="4">
                  <c:v>VÕIDAME STANDARDI</c:v>
                </c:pt>
                <c:pt idx="5">
                  <c:v>HOIAME PALLI</c:v>
                </c:pt>
                <c:pt idx="6">
                  <c:v>VÕIDAME AUDI</c:v>
                </c:pt>
                <c:pt idx="7">
                  <c:v>KAOTAME PALLI</c:v>
                </c:pt>
              </c:strCache>
            </c:strRef>
          </c:cat>
          <c:val>
            <c:numRef>
              <c:f>Lõppandmed!$E$943:$L$943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6.6666666666666666E-2</c:v>
                </c:pt>
                <c:pt idx="5">
                  <c:v>0.26666666666666666</c:v>
                </c:pt>
                <c:pt idx="6">
                  <c:v>0</c:v>
                </c:pt>
                <c:pt idx="7">
                  <c:v>0.66666666666666663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0-6D09-4607-ABD7-A127377F6107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Audivise</a:t>
            </a:r>
          </a:p>
          <a:p>
            <a:pPr>
              <a:defRPr sz="1400"/>
            </a:pPr>
            <a:r>
              <a:rPr lang="et-EE" sz="1400"/>
              <a:t>Väga madal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BE6-47C4-A227-DB7792472B93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BE6-47C4-A227-DB7792472B93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BE6-47C4-A227-DB7792472B93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2BE6-47C4-A227-DB7792472B93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2BE6-47C4-A227-DB7792472B9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(Lõppandmed!$D$997,Lõppandmed!$I$997:$L$997)</c:f>
              <c:strCache>
                <c:ptCount val="5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VÕIDAME AUDI</c:v>
                </c:pt>
                <c:pt idx="4">
                  <c:v>KAOTAME PALLI</c:v>
                </c:pt>
              </c:strCache>
            </c:strRef>
          </c:cat>
          <c:val>
            <c:numRef>
              <c:f>(Lõppandmed!$D$998,Lõppandmed!$I$998:$L$998)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2BE6-47C4-A227-DB7792472B93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Karistuslöök</a:t>
            </a:r>
          </a:p>
          <a:p>
            <a:pPr>
              <a:defRPr sz="1400"/>
            </a:pPr>
            <a:r>
              <a:rPr lang="et-EE" sz="1400"/>
              <a:t>Madal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A4F-427D-B63F-470B245BBDC3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A4F-427D-B63F-470B245BBDC3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4A4F-427D-B63F-470B245BBDC3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4A4F-427D-B63F-470B245BBDC3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4A4F-427D-B63F-470B245BBDC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(Lõppandmed!$D$547,Lõppandmed!$I$547:$L$547)</c:f>
              <c:strCache>
                <c:ptCount val="5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VÕIDAME AUDI</c:v>
                </c:pt>
                <c:pt idx="4">
                  <c:v>KAOTAME PALLI</c:v>
                </c:pt>
              </c:strCache>
            </c:strRef>
          </c:cat>
          <c:val>
            <c:numRef>
              <c:f>(Lõppandmed!$D$549,Lõppandmed!$I$549:$L$549)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4A4F-427D-B63F-470B245BBDC3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Väravalöök</a:t>
            </a:r>
          </a:p>
          <a:p>
            <a:pPr>
              <a:defRPr sz="1400"/>
            </a:pPr>
            <a:r>
              <a:rPr lang="et-EE" sz="1400"/>
              <a:t>Väga madal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FAA-447B-80F5-C4385A57333A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FAA-447B-80F5-C4385A57333A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FAA-447B-80F5-C4385A57333A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BFAA-447B-80F5-C4385A57333A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BFAA-447B-80F5-C4385A57333A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(Lõppandmed!$D$697,Lõppandmed!$I$697:$L$697)</c:f>
              <c:strCache>
                <c:ptCount val="5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VÕIDAME AUDI</c:v>
                </c:pt>
                <c:pt idx="4">
                  <c:v>KAOTAME PALLI</c:v>
                </c:pt>
              </c:strCache>
            </c:strRef>
          </c:cat>
          <c:val>
            <c:numRef>
              <c:f>(Lõppandmed!$D$698,Lõppandmed!$I$698:$L$698)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BFAA-447B-80F5-C4385A57333A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Väravalöök</a:t>
            </a:r>
          </a:p>
          <a:p>
            <a:pPr>
              <a:defRPr sz="1400"/>
            </a:pPr>
            <a:r>
              <a:rPr lang="et-EE" sz="1400"/>
              <a:t>Lühike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F7E-4E00-BD57-7F92D9A85ABF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F7E-4E00-BD57-7F92D9A85ABF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F7E-4E00-BD57-7F92D9A85ABF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BF7E-4E00-BD57-7F92D9A85ABF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BF7E-4E00-BD57-7F92D9A85ABF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(Lõppandmed!$D$745,Lõppandmed!$I$745:$L$745)</c:f>
              <c:strCache>
                <c:ptCount val="5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VÕIDAME AUDI</c:v>
                </c:pt>
                <c:pt idx="4">
                  <c:v>KAOTAME PALLI</c:v>
                </c:pt>
              </c:strCache>
            </c:strRef>
          </c:cat>
          <c:val>
            <c:numRef>
              <c:f>(Lõppandmed!$D$746,Lõppandmed!$I$746:$L$746)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BF7E-4E00-BD57-7F92D9A85ABF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Karistuslöök</a:t>
            </a:r>
          </a:p>
          <a:p>
            <a:pPr>
              <a:defRPr sz="1400"/>
            </a:pPr>
            <a:r>
              <a:rPr lang="et-EE" sz="1400"/>
              <a:t>Lühike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E0A-4CCC-B21F-2F7A74AB0B6D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E0A-4CCC-B21F-2F7A74AB0B6D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E0A-4CCC-B21F-2F7A74AB0B6D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E0A-4CCC-B21F-2F7A74AB0B6D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AE0A-4CCC-B21F-2F7A74AB0B6D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(Lõppandmed!$D$595,Lõppandmed!$I$595:$L$595)</c:f>
              <c:strCache>
                <c:ptCount val="5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VÕIDAME AUDI</c:v>
                </c:pt>
                <c:pt idx="4">
                  <c:v>KAOTAME PALLI</c:v>
                </c:pt>
              </c:strCache>
            </c:strRef>
          </c:cat>
          <c:val>
            <c:numRef>
              <c:f>(Lõppandmed!$D$596,Lõppandmed!$I$596:$L$596)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AE0A-4CCC-B21F-2F7A74AB0B6D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Väravahi löök</a:t>
            </a:r>
          </a:p>
          <a:p>
            <a:pPr>
              <a:defRPr sz="1400"/>
            </a:pPr>
            <a:r>
              <a:rPr lang="et-EE" sz="1400"/>
              <a:t>Väga madal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9E2-4E0B-B7DA-FE3DAF1B0799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9E2-4E0B-B7DA-FE3DAF1B0799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9E2-4E0B-B7DA-FE3DAF1B0799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D9E2-4E0B-B7DA-FE3DAF1B0799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D9E2-4E0B-B7DA-FE3DAF1B079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(Lõppandmed!$D$848,Lõppandmed!$I$848:$L$848)</c:f>
              <c:strCache>
                <c:ptCount val="5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VÕIDAME AUDI</c:v>
                </c:pt>
                <c:pt idx="4">
                  <c:v>KAOTAME PALLI</c:v>
                </c:pt>
              </c:strCache>
            </c:strRef>
          </c:cat>
          <c:val>
            <c:numRef>
              <c:f>(Lõppandmed!$D$849,Lõppandmed!$I$849:$L$849)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D9E2-4E0B-B7DA-FE3DAF1B0799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Väravahi löök</a:t>
            </a:r>
          </a:p>
          <a:p>
            <a:pPr>
              <a:defRPr sz="1400"/>
            </a:pPr>
            <a:r>
              <a:rPr lang="et-EE" sz="1400"/>
              <a:t>Lühike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AD0-40AD-92E5-32DED727B5B1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AD0-40AD-92E5-32DED727B5B1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AD0-40AD-92E5-32DED727B5B1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BAD0-40AD-92E5-32DED727B5B1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BAD0-40AD-92E5-32DED727B5B1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(Lõppandmed!$D$895,Lõppandmed!$I$895:$L$895)</c:f>
              <c:strCache>
                <c:ptCount val="5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VÕIDAME AUDI</c:v>
                </c:pt>
                <c:pt idx="4">
                  <c:v>KAOTAME PALLI</c:v>
                </c:pt>
              </c:strCache>
            </c:strRef>
          </c:cat>
          <c:val>
            <c:numRef>
              <c:f>(Lõppandmed!$D$896,Lõppandmed!$I$896:$L$896)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BAD0-40AD-92E5-32DED727B5B1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spPr>
            <a:solidFill>
              <a:srgbClr val="FF5050"/>
            </a:solidFill>
          </c:spPr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539-4FC0-8140-B57E1A5B37F0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539-4FC0-8140-B57E1A5B37F0}"/>
              </c:ext>
            </c:extLst>
          </c:dPt>
          <c:dPt>
            <c:idx val="2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539-4FC0-8140-B57E1A5B37F0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(Lõppandmed!$O$5,Lõppandmed!$T$5:$U$5)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(Lõppandmed!$O$6,Lõppandmed!$T$6:$U$6)</c:f>
              <c:numCache>
                <c:formatCode>General</c:formatCode>
                <c:ptCount val="3"/>
                <c:pt idx="0">
                  <c:v>15</c:v>
                </c:pt>
                <c:pt idx="1">
                  <c:v>9</c:v>
                </c:pt>
                <c:pt idx="2">
                  <c:v>60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1539-4FC0-8140-B57E1A5B37F0}"/>
            </c:ext>
          </c:extLst>
        </c:ser>
        <c:firstSliceAng val="0"/>
      </c:pieChart>
    </c:plotArea>
    <c:legend>
      <c:legendPos val="r"/>
      <c:spPr>
        <a:noFill/>
      </c:spPr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DD</a:t>
            </a:r>
          </a:p>
          <a:p>
            <a:pPr>
              <a:defRPr sz="1400"/>
            </a:pPr>
            <a:r>
              <a:rPr lang="et-EE" sz="1400"/>
              <a:t>Lühike ülesehitus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372-4693-BBEC-3C305B1BDF7A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372-4693-BBEC-3C305B1BDF7A}"/>
              </c:ext>
            </c:extLst>
          </c:dPt>
          <c:dPt>
            <c:idx val="2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372-4693-BBEC-3C305B1BDF7A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(Lõppandmed!$P$59,Lõppandmed!$U$59:$V$59)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(Lõppandmed!$P$60,Lõppandmed!$U$60:$V$60)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372-4693-BBEC-3C305B1BDF7A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DD</a:t>
            </a:r>
            <a:r>
              <a:rPr lang="en-US" sz="1400"/>
              <a:t> </a:t>
            </a:r>
            <a:endParaRPr lang="et-EE" sz="1400"/>
          </a:p>
          <a:p>
            <a:pPr>
              <a:defRPr sz="1400"/>
            </a:pPr>
            <a:r>
              <a:rPr lang="et-EE" sz="1400"/>
              <a:t>Lühike-pikk ülesehitus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F39-4CA3-9CF4-91896E2990BE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F39-4CA3-9CF4-91896E2990BE}"/>
              </c:ext>
            </c:extLst>
          </c:dPt>
          <c:dPt>
            <c:idx val="2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F39-4CA3-9CF4-91896E2990BE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(Lõppandmed!$P$59,Lõppandmed!$U$59:$V$59)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(Lõppandmed!$P$61,Lõppandmed!$U$61:$V$61)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F39-4CA3-9CF4-91896E2990BE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DD</a:t>
            </a:r>
            <a:r>
              <a:rPr lang="en-US" sz="1400"/>
              <a:t> </a:t>
            </a:r>
            <a:endParaRPr lang="et-EE" sz="1400"/>
          </a:p>
          <a:p>
            <a:pPr>
              <a:defRPr sz="1400"/>
            </a:pPr>
            <a:r>
              <a:rPr lang="et-EE" sz="1400"/>
              <a:t>Pikk ülesehitus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EF8-4ECB-8D1A-B1A6A4465223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EF8-4ECB-8D1A-B1A6A4465223}"/>
              </c:ext>
            </c:extLst>
          </c:dPt>
          <c:dPt>
            <c:idx val="2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EF8-4ECB-8D1A-B1A6A446522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(Lõppandmed!$P$59,Lõppandmed!$U$59:$V$59)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(Lõppandmed!$P$62,Lõppandmed!$U$62:$V$62)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9EF8-4ECB-8D1A-B1A6A4465223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DD</a:t>
            </a:r>
          </a:p>
          <a:p>
            <a:pPr>
              <a:defRPr sz="1400"/>
            </a:pPr>
            <a:r>
              <a:rPr lang="et-EE" sz="1400"/>
              <a:t>Väga madal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F77-4DAF-87AA-245AC9B5B129}"/>
              </c:ext>
            </c:extLst>
          </c:dPt>
          <c:dPt>
            <c:idx val="1"/>
            <c:spPr>
              <a:solidFill>
                <a:srgbClr val="FF7C8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F77-4DAF-87AA-245AC9B5B129}"/>
              </c:ext>
            </c:extLst>
          </c:dPt>
          <c:dPt>
            <c:idx val="2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F77-4DAF-87AA-245AC9B5B12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(Lõppandmed!$P$109,Lõppandmed!$U$109:$V$109)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(Lõppandmed!$P$110,Lõppandmed!$U$110:$V$110)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F77-4DAF-87AA-245AC9B5B129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t-EE" sz="1400"/>
              <a:t>DD  </a:t>
            </a:r>
          </a:p>
          <a:p>
            <a:pPr>
              <a:defRPr/>
            </a:pPr>
            <a:r>
              <a:rPr lang="en-US" sz="1400"/>
              <a:t>Madal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74D-484A-8C9D-CAFF32FD8E7B}"/>
              </c:ext>
            </c:extLst>
          </c:dPt>
          <c:dPt>
            <c:idx val="1"/>
            <c:spPr>
              <a:solidFill>
                <a:srgbClr val="FF7C8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74D-484A-8C9D-CAFF32FD8E7B}"/>
              </c:ext>
            </c:extLst>
          </c:dPt>
          <c:dPt>
            <c:idx val="2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74D-484A-8C9D-CAFF32FD8E7B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(Lõppandmed!$P$109,Lõppandmed!$U$109:$V$109)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(Lõppandmed!$P$111,Lõppandmed!$U$111:$V$111)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D74D-484A-8C9D-CAFF32FD8E7B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DD</a:t>
            </a:r>
            <a:r>
              <a:rPr lang="en-US" sz="1400"/>
              <a:t> </a:t>
            </a:r>
            <a:endParaRPr lang="et-EE" sz="1400"/>
          </a:p>
          <a:p>
            <a:pPr>
              <a:defRPr sz="1400"/>
            </a:pPr>
            <a:r>
              <a:rPr lang="en-US" sz="1400"/>
              <a:t>Keskmine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04E-4196-BF3D-6E1530CF8C1F}"/>
              </c:ext>
            </c:extLst>
          </c:dPt>
          <c:dPt>
            <c:idx val="1"/>
            <c:spPr>
              <a:solidFill>
                <a:srgbClr val="FF7C8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804E-4196-BF3D-6E1530CF8C1F}"/>
              </c:ext>
            </c:extLst>
          </c:dPt>
          <c:dPt>
            <c:idx val="2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804E-4196-BF3D-6E1530CF8C1F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(Lõppandmed!$P$109,Lõppandmed!$U$109:$V$109)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(Lõppandmed!$P$112,Lõppandmed!$U$112:$V$112)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804E-4196-BF3D-6E1530CF8C1F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DD</a:t>
            </a:r>
            <a:r>
              <a:rPr lang="en-US" sz="1400"/>
              <a:t> </a:t>
            </a:r>
            <a:endParaRPr lang="et-EE" sz="1400"/>
          </a:p>
          <a:p>
            <a:pPr>
              <a:defRPr sz="1400"/>
            </a:pPr>
            <a:r>
              <a:rPr lang="en-US" sz="1400"/>
              <a:t>Kõrge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60D-4799-ABAD-2C6A571DB995}"/>
              </c:ext>
            </c:extLst>
          </c:dPt>
          <c:dPt>
            <c:idx val="1"/>
            <c:spPr>
              <a:solidFill>
                <a:srgbClr val="FF7C8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60D-4799-ABAD-2C6A571DB995}"/>
              </c:ext>
            </c:extLst>
          </c:dPt>
          <c:dPt>
            <c:idx val="2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60D-4799-ABAD-2C6A571DB995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(Lõppandmed!$P$109,Lõppandmed!$U$109:$V$109)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(Lõppandmed!$P$113,Lõppandmed!$U$113:$V$113)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160D-4799-ABAD-2C6A571DB995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t-EE" sz="1200"/>
              <a:t>DD  </a:t>
            </a:r>
          </a:p>
          <a:p>
            <a:pPr>
              <a:defRPr sz="1200"/>
            </a:pPr>
            <a:r>
              <a:rPr lang="et-EE" sz="1200"/>
              <a:t>Lühike ülesehitus</a:t>
            </a:r>
          </a:p>
          <a:p>
            <a:pPr>
              <a:defRPr sz="1200"/>
            </a:pPr>
            <a:r>
              <a:rPr lang="et-EE" sz="1200"/>
              <a:t>Väga m</a:t>
            </a:r>
            <a:r>
              <a:rPr lang="en-US" sz="1200"/>
              <a:t>adal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F91-4231-BC7F-2B30BC44825E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F91-4231-BC7F-2B30BC44825E}"/>
              </c:ext>
            </c:extLst>
          </c:dPt>
          <c:dPt>
            <c:idx val="2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F91-4231-BC7F-2B30BC44825E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(Lõppandmed!$P$159,Lõppandmed!$U$159:$V$159)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(Lõppandmed!$P$160,Lõppandmed!$U$160:$V$160)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9F91-4231-BC7F-2B30BC44825E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t-EE" sz="1200"/>
              <a:t>DD  </a:t>
            </a:r>
          </a:p>
          <a:p>
            <a:pPr>
              <a:defRPr sz="1200"/>
            </a:pPr>
            <a:r>
              <a:rPr lang="et-EE" sz="1200"/>
              <a:t>Lühike/pikk ülesehitus</a:t>
            </a:r>
          </a:p>
          <a:p>
            <a:pPr>
              <a:defRPr sz="1200"/>
            </a:pPr>
            <a:r>
              <a:rPr lang="et-EE" sz="1200"/>
              <a:t>Väga m</a:t>
            </a:r>
            <a:r>
              <a:rPr lang="en-US" sz="1200"/>
              <a:t>adal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95D-4C6B-B14F-8277EE90EDFC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95D-4C6B-B14F-8277EE90EDFC}"/>
              </c:ext>
            </c:extLst>
          </c:dPt>
          <c:dPt>
            <c:idx val="2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495D-4C6B-B14F-8277EE90EDF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(Lõppandmed!$Q$209,Lõppandmed!$V$209:$W$209)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(Lõppandmed!$Q$210,Lõppandmed!$V$210:$W$210)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495D-4C6B-B14F-8277EE90EDFC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t-EE" sz="1200"/>
              <a:t>DD  </a:t>
            </a:r>
          </a:p>
          <a:p>
            <a:pPr>
              <a:defRPr sz="1200"/>
            </a:pPr>
            <a:r>
              <a:rPr lang="et-EE" sz="1200"/>
              <a:t>Pikk ülesehitus</a:t>
            </a:r>
          </a:p>
          <a:p>
            <a:pPr>
              <a:defRPr sz="1200"/>
            </a:pPr>
            <a:r>
              <a:rPr lang="et-EE" sz="1200"/>
              <a:t>Väga m</a:t>
            </a:r>
            <a:r>
              <a:rPr lang="en-US" sz="1200"/>
              <a:t>adal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432-488C-AEA9-2F72C464093A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432-488C-AEA9-2F72C464093A}"/>
              </c:ext>
            </c:extLst>
          </c:dPt>
          <c:dPt>
            <c:idx val="2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432-488C-AEA9-2F72C464093A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(Lõppandmed!$Q$258,Lõppandmed!$V$258:$W$258)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(Lõppandmed!$Q$259,Lõppandmed!$V$259:$W$259)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9432-488C-AEA9-2F72C464093A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AD</a:t>
            </a:r>
          </a:p>
          <a:p>
            <a:pPr>
              <a:defRPr sz="1400"/>
            </a:pPr>
            <a:r>
              <a:rPr lang="et-EE" sz="1400"/>
              <a:t>Väga madal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CDF-4DA9-8577-EB8F73BA8D84}"/>
              </c:ext>
            </c:extLst>
          </c:dPt>
          <c:dPt>
            <c:idx val="1"/>
            <c:spPr>
              <a:solidFill>
                <a:srgbClr val="FF7C8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CDF-4DA9-8577-EB8F73BA8D84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CDF-4DA9-8577-EB8F73BA8D84}"/>
              </c:ext>
            </c:extLst>
          </c:dPt>
          <c:dPt>
            <c:idx val="3"/>
            <c:spPr>
              <a:solidFill>
                <a:schemeClr val="accent1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CDF-4DA9-8577-EB8F73BA8D8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(Lõppandmed!$Q$308,Lõppandmed!$V$308:$X$308)</c:f>
              <c:strCache>
                <c:ptCount val="4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VÕIDAME PALLI</c:v>
                </c:pt>
              </c:strCache>
            </c:strRef>
          </c:cat>
          <c:val>
            <c:numRef>
              <c:f>(Lõppandmed!$Q$309,Lõppandmed!$V$309:$X$309)</c:f>
              <c:numCache>
                <c:formatCode>0%</c:formatCode>
                <c:ptCount val="4"/>
                <c:pt idx="0">
                  <c:v>0.2</c:v>
                </c:pt>
                <c:pt idx="1">
                  <c:v>0</c:v>
                </c:pt>
                <c:pt idx="2">
                  <c:v>0</c:v>
                </c:pt>
                <c:pt idx="3">
                  <c:v>0.6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3CDF-4DA9-8577-EB8F73BA8D84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AD</a:t>
            </a:r>
            <a:r>
              <a:rPr lang="en-US" sz="1400"/>
              <a:t> </a:t>
            </a:r>
            <a:endParaRPr lang="et-EE" sz="1400"/>
          </a:p>
          <a:p>
            <a:pPr>
              <a:defRPr sz="1400"/>
            </a:pPr>
            <a:r>
              <a:rPr lang="en-US" sz="1400"/>
              <a:t>Keskmine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9AB-4682-B8E6-13DE08459511}"/>
              </c:ext>
            </c:extLst>
          </c:dPt>
          <c:dPt>
            <c:idx val="1"/>
            <c:spPr>
              <a:solidFill>
                <a:srgbClr val="FF7C8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89AB-4682-B8E6-13DE08459511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89AB-4682-B8E6-13DE08459511}"/>
              </c:ext>
            </c:extLst>
          </c:dPt>
          <c:dPt>
            <c:idx val="3"/>
            <c:spPr>
              <a:solidFill>
                <a:schemeClr val="accent1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89AB-4682-B8E6-13DE08459511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(Lõppandmed!$Q$308,Lõppandmed!$V$308:$X$308)</c:f>
              <c:strCache>
                <c:ptCount val="4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VÕIDAME PALLI</c:v>
                </c:pt>
              </c:strCache>
            </c:strRef>
          </c:cat>
          <c:val>
            <c:numRef>
              <c:f>(Lõppandmed!$Q$311,Lõppandmed!$V$311:$X$311)</c:f>
              <c:numCache>
                <c:formatCode>0%</c:formatCode>
                <c:ptCount val="4"/>
                <c:pt idx="0">
                  <c:v>4.7619047619047616E-2</c:v>
                </c:pt>
                <c:pt idx="1">
                  <c:v>4.7619047619047616E-2</c:v>
                </c:pt>
                <c:pt idx="2">
                  <c:v>0</c:v>
                </c:pt>
                <c:pt idx="3">
                  <c:v>0.42857142857142855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89AB-4682-B8E6-13DE08459511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t-EE" sz="1400"/>
              <a:t>AD  </a:t>
            </a:r>
          </a:p>
          <a:p>
            <a:pPr>
              <a:defRPr/>
            </a:pPr>
            <a:r>
              <a:rPr lang="en-US" sz="1400"/>
              <a:t>Madal pressing</a:t>
            </a:r>
          </a:p>
        </c:rich>
      </c:tx>
    </c:title>
    <c:plotArea>
      <c:layout/>
      <c:pieChart>
        <c:varyColors val="1"/>
        <c:ser>
          <c:idx val="0"/>
          <c:order val="0"/>
          <c:tx>
            <c:strRef>
              <c:f>Lõppandmed!$M$310</c:f>
              <c:strCache>
                <c:ptCount val="1"/>
                <c:pt idx="0">
                  <c:v>Madalpress</c:v>
                </c:pt>
              </c:strCache>
            </c:strRef>
          </c:tx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735-4494-B3A7-593AE82F1C62}"/>
              </c:ext>
            </c:extLst>
          </c:dPt>
          <c:dPt>
            <c:idx val="1"/>
            <c:spPr>
              <a:solidFill>
                <a:srgbClr val="FF7C8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735-4494-B3A7-593AE82F1C62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F735-4494-B3A7-593AE82F1C62}"/>
              </c:ext>
            </c:extLst>
          </c:dPt>
          <c:dPt>
            <c:idx val="3"/>
            <c:spPr>
              <a:solidFill>
                <a:schemeClr val="accent1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F735-4494-B3A7-593AE82F1C62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(Lõppandmed!$Q$308,Lõppandmed!$V$308:$X$308)</c:f>
              <c:strCache>
                <c:ptCount val="4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VÕIDAME PALLI</c:v>
                </c:pt>
              </c:strCache>
            </c:strRef>
          </c:cat>
          <c:val>
            <c:numRef>
              <c:f>(Lõppandmed!$Q$310,Lõppandmed!$V$310:$X$310)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F735-4494-B3A7-593AE82F1C62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AD</a:t>
            </a:r>
            <a:r>
              <a:rPr lang="en-US" sz="1400"/>
              <a:t> </a:t>
            </a:r>
            <a:endParaRPr lang="et-EE" sz="1400"/>
          </a:p>
          <a:p>
            <a:pPr>
              <a:defRPr sz="1400"/>
            </a:pPr>
            <a:r>
              <a:rPr lang="en-US" sz="1400"/>
              <a:t>Kõrge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22A-47CA-8A65-8E3724877767}"/>
              </c:ext>
            </c:extLst>
          </c:dPt>
          <c:dPt>
            <c:idx val="1"/>
            <c:spPr>
              <a:solidFill>
                <a:srgbClr val="FF7C8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22A-47CA-8A65-8E3724877767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22A-47CA-8A65-8E3724877767}"/>
              </c:ext>
            </c:extLst>
          </c:dPt>
          <c:dPt>
            <c:idx val="3"/>
            <c:spPr>
              <a:solidFill>
                <a:schemeClr val="accent1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722A-47CA-8A65-8E3724877767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(Lõppandmed!$Q$308,Lõppandmed!$V$308:$X$308)</c:f>
              <c:strCache>
                <c:ptCount val="4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VÕIDAME PALLI</c:v>
                </c:pt>
              </c:strCache>
            </c:strRef>
          </c:cat>
          <c:val>
            <c:numRef>
              <c:f>(Lõppandmed!$Q$312,Lõppandmed!$V$312:$X$312)</c:f>
              <c:numCache>
                <c:formatCode>0%</c:formatCode>
                <c:ptCount val="4"/>
                <c:pt idx="0">
                  <c:v>0.15789473684210525</c:v>
                </c:pt>
                <c:pt idx="1">
                  <c:v>0.10526315789473684</c:v>
                </c:pt>
                <c:pt idx="2">
                  <c:v>0</c:v>
                </c:pt>
                <c:pt idx="3">
                  <c:v>0.36842105263157893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22A-47CA-8A65-8E3724877767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Lõppandmed!$M$409</c:f>
              <c:strCache>
                <c:ptCount val="1"/>
                <c:pt idx="0">
                  <c:v>NEG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Lõppandmed!$N$408:$W$408</c:f>
              <c:strCache>
                <c:ptCount val="10"/>
                <c:pt idx="0">
                  <c:v>TSENDERDUS</c:v>
                </c:pt>
                <c:pt idx="1">
                  <c:v>ÄÄRE VAHETUS</c:v>
                </c:pt>
                <c:pt idx="2">
                  <c:v>ÄÄRED</c:v>
                </c:pt>
                <c:pt idx="3">
                  <c:v>VASTU RÜNNAK</c:v>
                </c:pt>
                <c:pt idx="4">
                  <c:v>INDIVIDUAAL NE</c:v>
                </c:pt>
                <c:pt idx="5">
                  <c:v>SÖÖDU KOMB.</c:v>
                </c:pt>
                <c:pt idx="6">
                  <c:v>TEINE PALL</c:v>
                </c:pt>
                <c:pt idx="7">
                  <c:v>KAUGLÖÖK</c:v>
                </c:pt>
                <c:pt idx="8">
                  <c:v>TERAV SÖÖT</c:v>
                </c:pt>
                <c:pt idx="9">
                  <c:v>DIAGO</c:v>
                </c:pt>
              </c:strCache>
            </c:strRef>
          </c:cat>
          <c:val>
            <c:numRef>
              <c:f>Lõppandmed!$N$409:$W$409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5D3-4B00-B3E3-64F98A791847}"/>
            </c:ext>
          </c:extLst>
        </c:ser>
        <c:ser>
          <c:idx val="1"/>
          <c:order val="1"/>
          <c:tx>
            <c:strRef>
              <c:f>Lõppandmed!$M$410</c:f>
              <c:strCache>
                <c:ptCount val="1"/>
                <c:pt idx="0">
                  <c:v>POS</c:v>
                </c:pt>
              </c:strCache>
            </c:strRef>
          </c:tx>
          <c:spPr>
            <a:solidFill>
              <a:schemeClr val="accent5"/>
            </a:solidFill>
          </c:spPr>
          <c:cat>
            <c:strRef>
              <c:f>Lõppandmed!$N$408:$W$408</c:f>
              <c:strCache>
                <c:ptCount val="10"/>
                <c:pt idx="0">
                  <c:v>TSENDERDUS</c:v>
                </c:pt>
                <c:pt idx="1">
                  <c:v>ÄÄRE VAHETUS</c:v>
                </c:pt>
                <c:pt idx="2">
                  <c:v>ÄÄRED</c:v>
                </c:pt>
                <c:pt idx="3">
                  <c:v>VASTU RÜNNAK</c:v>
                </c:pt>
                <c:pt idx="4">
                  <c:v>INDIVIDUAAL NE</c:v>
                </c:pt>
                <c:pt idx="5">
                  <c:v>SÖÖDU KOMB.</c:v>
                </c:pt>
                <c:pt idx="6">
                  <c:v>TEINE PALL</c:v>
                </c:pt>
                <c:pt idx="7">
                  <c:v>KAUGLÖÖK</c:v>
                </c:pt>
                <c:pt idx="8">
                  <c:v>TERAV SÖÖT</c:v>
                </c:pt>
                <c:pt idx="9">
                  <c:v>DIAGO</c:v>
                </c:pt>
              </c:strCache>
            </c:strRef>
          </c:cat>
          <c:val>
            <c:numRef>
              <c:f>Lõppandmed!$N$410:$W$410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5D3-4B00-B3E3-64F98A791847}"/>
            </c:ext>
          </c:extLst>
        </c:ser>
        <c:axId val="161609600"/>
        <c:axId val="161611136"/>
      </c:barChart>
      <c:catAx>
        <c:axId val="161609600"/>
        <c:scaling>
          <c:orientation val="minMax"/>
        </c:scaling>
        <c:axPos val="b"/>
        <c:numFmt formatCode="General" sourceLinked="0"/>
        <c:tickLblPos val="nextTo"/>
        <c:crossAx val="161611136"/>
        <c:crosses val="autoZero"/>
        <c:auto val="1"/>
        <c:lblAlgn val="ctr"/>
        <c:lblOffset val="100"/>
      </c:catAx>
      <c:valAx>
        <c:axId val="161611136"/>
        <c:scaling>
          <c:orientation val="minMax"/>
          <c:max val="1"/>
        </c:scaling>
        <c:axPos val="l"/>
        <c:majorGridlines/>
        <c:numFmt formatCode="0%" sourceLinked="1"/>
        <c:tickLblPos val="nextTo"/>
        <c:crossAx val="161609600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Vasturünnak</a:t>
            </a:r>
          </a:p>
          <a:p>
            <a:pPr>
              <a:defRPr sz="1400"/>
            </a:pPr>
            <a:r>
              <a:rPr lang="et-EE" sz="1400"/>
              <a:t>Väga madal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247-410C-941B-78299F43A847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247-410C-941B-78299F43A847}"/>
              </c:ext>
            </c:extLst>
          </c:dPt>
          <c:dPt>
            <c:idx val="2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247-410C-941B-78299F43A847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(Lõppandmed!$P$450,Lõppandmed!$U$450:$V$450)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(Lõppandmed!$P$451,Lõppandmed!$U$451:$V$451)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1247-410C-941B-78299F43A847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Standard</a:t>
            </a:r>
          </a:p>
          <a:p>
            <a:pPr>
              <a:defRPr sz="1400"/>
            </a:pPr>
            <a:r>
              <a:rPr lang="et-EE" sz="1400"/>
              <a:t>Nurgalöök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D8C-4A19-930C-5B7EC5BD1492}"/>
              </c:ext>
            </c:extLst>
          </c:dPt>
          <c:dPt>
            <c:idx val="1"/>
            <c:spPr>
              <a:solidFill>
                <a:srgbClr val="FF0000">
                  <a:alpha val="70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D8C-4A19-930C-5B7EC5BD1492}"/>
              </c:ext>
            </c:extLst>
          </c:dPt>
          <c:dPt>
            <c:idx val="2"/>
            <c:spPr>
              <a:solidFill>
                <a:srgbClr val="FF0000">
                  <a:alpha val="28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D8C-4A19-930C-5B7EC5BD1492}"/>
              </c:ext>
            </c:extLst>
          </c:dPt>
          <c:dPt>
            <c:idx val="3"/>
            <c:spPr>
              <a:solidFill>
                <a:srgbClr val="FF7C80">
                  <a:alpha val="20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D8C-4A19-930C-5B7EC5BD1492}"/>
              </c:ext>
            </c:extLst>
          </c:dPt>
          <c:dPt>
            <c:idx val="4"/>
            <c:spPr>
              <a:solidFill>
                <a:schemeClr val="bg2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3D8C-4A19-930C-5B7EC5BD1492}"/>
              </c:ext>
            </c:extLst>
          </c:dPt>
          <c:dPt>
            <c:idx val="5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3D8C-4A19-930C-5B7EC5BD1492}"/>
              </c:ext>
            </c:extLst>
          </c:dPt>
          <c:dPt>
            <c:idx val="6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3D8C-4A19-930C-5B7EC5BD1492}"/>
              </c:ext>
            </c:extLst>
          </c:dPt>
          <c:dPt>
            <c:idx val="7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3D8C-4A19-930C-5B7EC5BD1492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Lõppandmed!$Q$495:$X$495</c:f>
              <c:strCache>
                <c:ptCount val="8"/>
                <c:pt idx="0">
                  <c:v>VÄRAV</c:v>
                </c:pt>
                <c:pt idx="1">
                  <c:v>LÖÖK VÄRAVALE</c:v>
                </c:pt>
                <c:pt idx="2">
                  <c:v>LÖÖK MÖÖDA</c:v>
                </c:pt>
                <c:pt idx="3">
                  <c:v>LÖÖK BLOKEERITUD</c:v>
                </c:pt>
                <c:pt idx="4">
                  <c:v>ANNAME STANDARDI</c:v>
                </c:pt>
                <c:pt idx="5">
                  <c:v>HOIAVAD PALLI</c:v>
                </c:pt>
                <c:pt idx="6">
                  <c:v>VÕIDAVAD AUDI</c:v>
                </c:pt>
                <c:pt idx="7">
                  <c:v>VÕIDAME PALLI</c:v>
                </c:pt>
              </c:strCache>
            </c:strRef>
          </c:cat>
          <c:val>
            <c:numRef>
              <c:f>Lõppandmed!$Q$496:$X$496</c:f>
              <c:numCache>
                <c:formatCode>0%</c:formatCode>
                <c:ptCount val="8"/>
                <c:pt idx="0">
                  <c:v>0.2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0-3D8C-4A19-930C-5B7EC5BD1492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Standard</a:t>
            </a:r>
          </a:p>
          <a:p>
            <a:pPr>
              <a:defRPr sz="1400"/>
            </a:pPr>
            <a:r>
              <a:rPr lang="et-EE" sz="1400"/>
              <a:t>Karistuslöök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C18-43A8-8DB8-2AA4B1CA2438}"/>
              </c:ext>
            </c:extLst>
          </c:dPt>
          <c:dPt>
            <c:idx val="1"/>
            <c:spPr>
              <a:solidFill>
                <a:srgbClr val="FF0000">
                  <a:alpha val="70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C18-43A8-8DB8-2AA4B1CA2438}"/>
              </c:ext>
            </c:extLst>
          </c:dPt>
          <c:dPt>
            <c:idx val="2"/>
            <c:spPr>
              <a:solidFill>
                <a:srgbClr val="FF0000">
                  <a:alpha val="30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C18-43A8-8DB8-2AA4B1CA2438}"/>
              </c:ext>
            </c:extLst>
          </c:dPt>
          <c:dPt>
            <c:idx val="3"/>
            <c:spPr>
              <a:solidFill>
                <a:srgbClr val="FF7C8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DC18-43A8-8DB8-2AA4B1CA2438}"/>
              </c:ext>
            </c:extLst>
          </c:dPt>
          <c:dPt>
            <c:idx val="4"/>
            <c:spPr>
              <a:solidFill>
                <a:schemeClr val="bg2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DC18-43A8-8DB8-2AA4B1CA2438}"/>
              </c:ext>
            </c:extLst>
          </c:dPt>
          <c:dPt>
            <c:idx val="5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DC18-43A8-8DB8-2AA4B1CA2438}"/>
              </c:ext>
            </c:extLst>
          </c:dPt>
          <c:dPt>
            <c:idx val="6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DC18-43A8-8DB8-2AA4B1CA2438}"/>
              </c:ext>
            </c:extLst>
          </c:dPt>
          <c:dPt>
            <c:idx val="7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DC18-43A8-8DB8-2AA4B1CA2438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Lõppandmed!$Q$519:$X$519</c:f>
              <c:strCache>
                <c:ptCount val="8"/>
                <c:pt idx="0">
                  <c:v>VÄRAV</c:v>
                </c:pt>
                <c:pt idx="1">
                  <c:v>LÖÖK VÄRAVALE</c:v>
                </c:pt>
                <c:pt idx="2">
                  <c:v>LÖÖK MÖÖDA</c:v>
                </c:pt>
                <c:pt idx="3">
                  <c:v>LÖÖK BLOKEERITUD</c:v>
                </c:pt>
                <c:pt idx="4">
                  <c:v>ANNAME STANDARDI</c:v>
                </c:pt>
                <c:pt idx="5">
                  <c:v>HOIAVAD PALLI</c:v>
                </c:pt>
                <c:pt idx="6">
                  <c:v>VÕIDAVAD AUDI</c:v>
                </c:pt>
                <c:pt idx="7">
                  <c:v>VÕIDAME PALLI</c:v>
                </c:pt>
              </c:strCache>
            </c:strRef>
          </c:cat>
          <c:val>
            <c:numRef>
              <c:f>Lõppandmed!$Q$520:$X$520</c:f>
              <c:numCache>
                <c:formatCode>0%</c:formatCode>
                <c:ptCount val="8"/>
                <c:pt idx="0">
                  <c:v>0</c:v>
                </c:pt>
                <c:pt idx="1">
                  <c:v>0.125</c:v>
                </c:pt>
                <c:pt idx="2">
                  <c:v>0.125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0-DC18-43A8-8DB8-2AA4B1CA2438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Karistuslöök</a:t>
            </a:r>
          </a:p>
          <a:p>
            <a:pPr>
              <a:defRPr sz="1400"/>
            </a:pPr>
            <a:r>
              <a:rPr lang="et-EE" sz="1400"/>
              <a:t>Väga madal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C6D-4ED5-95DC-7F9D8223400F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C6D-4ED5-95DC-7F9D8223400F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C6D-4ED5-95DC-7F9D8223400F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C6D-4ED5-95DC-7F9D8223400F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(Lõppandmed!$P$547,Lõppandmed!$U$547:$X$547)</c:f>
              <c:strCache>
                <c:ptCount val="5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VÕIDAVAD AUDI</c:v>
                </c:pt>
                <c:pt idx="4">
                  <c:v>VÕIDAME PALLI</c:v>
                </c:pt>
              </c:strCache>
            </c:strRef>
          </c:cat>
          <c:val>
            <c:numRef>
              <c:f>(Lõppandmed!$P$548,Lõppandmed!$U$548:$X$548)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3C6D-4ED5-95DC-7F9D8223400F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Karistuslöök</a:t>
            </a:r>
          </a:p>
          <a:p>
            <a:pPr>
              <a:defRPr sz="1400"/>
            </a:pPr>
            <a:r>
              <a:rPr lang="et-EE" sz="1400"/>
              <a:t>Lühike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B91-4663-8FF0-7E0AACFD4C0D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B91-4663-8FF0-7E0AACFD4C0D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B91-4663-8FF0-7E0AACFD4C0D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B91-4663-8FF0-7E0AACFD4C0D}"/>
              </c:ext>
            </c:extLst>
          </c:dPt>
          <c:dPt>
            <c:idx val="4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3B91-4663-8FF0-7E0AACFD4C0D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(Lõppandmed!$P$595,Lõppandmed!$U$595:$X$595)</c:f>
              <c:strCache>
                <c:ptCount val="5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VÕIDAVAD AUDI</c:v>
                </c:pt>
                <c:pt idx="4">
                  <c:v>VÕIDAME PALLI</c:v>
                </c:pt>
              </c:strCache>
            </c:strRef>
          </c:cat>
          <c:val>
            <c:numRef>
              <c:f>(Lõppandmed!$P$596,Lõppandmed!$U$596:$X$596)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3B91-4663-8FF0-7E0AACFD4C0D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Standard</a:t>
            </a:r>
          </a:p>
          <a:p>
            <a:pPr>
              <a:defRPr sz="1400"/>
            </a:pPr>
            <a:r>
              <a:rPr lang="et-EE" sz="1400"/>
              <a:t>Väravalöök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283-4D59-BAB0-756FC9B20B34}"/>
              </c:ext>
            </c:extLst>
          </c:dPt>
          <c:dPt>
            <c:idx val="1"/>
            <c:spPr>
              <a:solidFill>
                <a:srgbClr val="FF0000">
                  <a:alpha val="70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283-4D59-BAB0-756FC9B20B34}"/>
              </c:ext>
            </c:extLst>
          </c:dPt>
          <c:dPt>
            <c:idx val="2"/>
            <c:spPr>
              <a:solidFill>
                <a:srgbClr val="FF0000">
                  <a:alpha val="30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283-4D59-BAB0-756FC9B20B34}"/>
              </c:ext>
            </c:extLst>
          </c:dPt>
          <c:dPt>
            <c:idx val="3"/>
            <c:spPr>
              <a:solidFill>
                <a:srgbClr val="FF7C80">
                  <a:alpha val="20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283-4D59-BAB0-756FC9B20B34}"/>
              </c:ext>
            </c:extLst>
          </c:dPt>
          <c:dPt>
            <c:idx val="4"/>
            <c:spPr>
              <a:solidFill>
                <a:schemeClr val="bg2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C283-4D59-BAB0-756FC9B20B34}"/>
              </c:ext>
            </c:extLst>
          </c:dPt>
          <c:dPt>
            <c:idx val="5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C283-4D59-BAB0-756FC9B20B34}"/>
              </c:ext>
            </c:extLst>
          </c:dPt>
          <c:dPt>
            <c:idx val="6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C283-4D59-BAB0-756FC9B20B34}"/>
              </c:ext>
            </c:extLst>
          </c:dPt>
          <c:dPt>
            <c:idx val="7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C283-4D59-BAB0-756FC9B20B3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Lõppandmed!$Q$642:$X$642</c:f>
              <c:strCache>
                <c:ptCount val="8"/>
                <c:pt idx="0">
                  <c:v>VÄRAV</c:v>
                </c:pt>
                <c:pt idx="1">
                  <c:v>LÖÖK VÄRAVALE</c:v>
                </c:pt>
                <c:pt idx="2">
                  <c:v>LÖÖK MÖÖDA</c:v>
                </c:pt>
                <c:pt idx="3">
                  <c:v>LÖÖK BLOKEERITUD</c:v>
                </c:pt>
                <c:pt idx="4">
                  <c:v>ANNAME STANDARDI</c:v>
                </c:pt>
                <c:pt idx="5">
                  <c:v>HOIAVAD PALLI</c:v>
                </c:pt>
                <c:pt idx="6">
                  <c:v>VÕIDAVAD AUDI</c:v>
                </c:pt>
                <c:pt idx="7">
                  <c:v>VÕIDAME PALLI</c:v>
                </c:pt>
              </c:strCache>
            </c:strRef>
          </c:cat>
          <c:val>
            <c:numRef>
              <c:f>Lõppandmed!$Q$643:$X$643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</c:v>
                </c:pt>
                <c:pt idx="6">
                  <c:v>0</c:v>
                </c:pt>
                <c:pt idx="7">
                  <c:v>0.8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0-C283-4D59-BAB0-756FC9B20B34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Väravalöök</a:t>
            </a:r>
          </a:p>
          <a:p>
            <a:pPr>
              <a:defRPr sz="1400"/>
            </a:pPr>
            <a:r>
              <a:rPr lang="et-EE" sz="1400"/>
              <a:t>Väga madal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EB7-43DE-9CC2-33B1BB1C7A70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EB7-43DE-9CC2-33B1BB1C7A70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EB7-43DE-9CC2-33B1BB1C7A70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EB7-43DE-9CC2-33B1BB1C7A70}"/>
              </c:ext>
            </c:extLst>
          </c:dPt>
          <c:dPt>
            <c:idx val="4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6EB7-43DE-9CC2-33B1BB1C7A70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(Lõppandmed!$P$697,Lõppandmed!$U$697:$X$697)</c:f>
              <c:strCache>
                <c:ptCount val="5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VÕIDAVAD AUDI</c:v>
                </c:pt>
                <c:pt idx="4">
                  <c:v>VÕIDAME PALLI</c:v>
                </c:pt>
              </c:strCache>
            </c:strRef>
          </c:cat>
          <c:val>
            <c:numRef>
              <c:f>(Lõppandmed!$P$698,Lõppandmed!$U$698:$X$698)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6EB7-43DE-9CC2-33B1BB1C7A70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Väravalöök</a:t>
            </a:r>
          </a:p>
          <a:p>
            <a:pPr>
              <a:defRPr sz="1400"/>
            </a:pPr>
            <a:r>
              <a:rPr lang="et-EE" sz="1400"/>
              <a:t>Lühike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B1B-4660-8346-174A72B68C2C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B1B-4660-8346-174A72B68C2C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B1B-4660-8346-174A72B68C2C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B1B-4660-8346-174A72B68C2C}"/>
              </c:ext>
            </c:extLst>
          </c:dPt>
          <c:dPt>
            <c:idx val="4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6B1B-4660-8346-174A72B68C2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(Lõppandmed!$P$745,Lõppandmed!$U$745:$X$745)</c:f>
              <c:strCache>
                <c:ptCount val="5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VÕIDAVAD AUDI</c:v>
                </c:pt>
                <c:pt idx="4">
                  <c:v>VÕIDAME PALLI</c:v>
                </c:pt>
              </c:strCache>
            </c:strRef>
          </c:cat>
          <c:val>
            <c:numRef>
              <c:f>(Lõppandmed!$P$746,Lõppandmed!$U$746:$X$746)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6B1B-4660-8346-174A72B68C2C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Standard</a:t>
            </a:r>
          </a:p>
          <a:p>
            <a:pPr>
              <a:defRPr sz="1400"/>
            </a:pPr>
            <a:r>
              <a:rPr lang="et-EE" sz="1400"/>
              <a:t>Väravavahi</a:t>
            </a:r>
            <a:r>
              <a:rPr lang="et-EE" sz="1400" baseline="0"/>
              <a:t> </a:t>
            </a:r>
            <a:r>
              <a:rPr lang="et-EE" sz="1400"/>
              <a:t>löök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3B4-42CC-801D-0B97E25ACE3D}"/>
              </c:ext>
            </c:extLst>
          </c:dPt>
          <c:dPt>
            <c:idx val="1"/>
            <c:spPr>
              <a:solidFill>
                <a:srgbClr val="FF0000">
                  <a:alpha val="70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3B4-42CC-801D-0B97E25ACE3D}"/>
              </c:ext>
            </c:extLst>
          </c:dPt>
          <c:dPt>
            <c:idx val="2"/>
            <c:spPr>
              <a:solidFill>
                <a:srgbClr val="FF0000">
                  <a:alpha val="28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3B4-42CC-801D-0B97E25ACE3D}"/>
              </c:ext>
            </c:extLst>
          </c:dPt>
          <c:dPt>
            <c:idx val="3"/>
            <c:spPr>
              <a:solidFill>
                <a:srgbClr val="FF7C80">
                  <a:alpha val="20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03B4-42CC-801D-0B97E25ACE3D}"/>
              </c:ext>
            </c:extLst>
          </c:dPt>
          <c:dPt>
            <c:idx val="4"/>
            <c:spPr>
              <a:solidFill>
                <a:schemeClr val="bg2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03B4-42CC-801D-0B97E25ACE3D}"/>
              </c:ext>
            </c:extLst>
          </c:dPt>
          <c:dPt>
            <c:idx val="5"/>
            <c:spPr>
              <a:solidFill>
                <a:srgbClr val="FF9933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03B4-42CC-801D-0B97E25ACE3D}"/>
              </c:ext>
            </c:extLst>
          </c:dPt>
          <c:dPt>
            <c:idx val="6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03B4-42CC-801D-0B97E25ACE3D}"/>
              </c:ext>
            </c:extLst>
          </c:dPt>
          <c:dPt>
            <c:idx val="7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03B4-42CC-801D-0B97E25ACE3D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Lõppandmed!$Q$794:$X$794</c:f>
              <c:strCache>
                <c:ptCount val="8"/>
                <c:pt idx="0">
                  <c:v>VÄRAV</c:v>
                </c:pt>
                <c:pt idx="1">
                  <c:v>LÖÖK VÄRAVALE</c:v>
                </c:pt>
                <c:pt idx="2">
                  <c:v>LÖÖK MÖÖDA</c:v>
                </c:pt>
                <c:pt idx="3">
                  <c:v>LÖÖK BLOKEERITUD</c:v>
                </c:pt>
                <c:pt idx="4">
                  <c:v>ANNAME STANDARDI</c:v>
                </c:pt>
                <c:pt idx="5">
                  <c:v>HOIAVAD PALLI</c:v>
                </c:pt>
                <c:pt idx="6">
                  <c:v>VÕIDAVAD AUDI</c:v>
                </c:pt>
                <c:pt idx="7">
                  <c:v>VÕIDAME PALLI</c:v>
                </c:pt>
              </c:strCache>
            </c:strRef>
          </c:cat>
          <c:val>
            <c:numRef>
              <c:f>Lõppandmed!$Q$795:$X$795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0-03B4-42CC-801D-0B97E25ACE3D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Väravahi</a:t>
            </a:r>
            <a:r>
              <a:rPr lang="et-EE" sz="1400" baseline="0"/>
              <a:t> </a:t>
            </a:r>
            <a:r>
              <a:rPr lang="et-EE" sz="1400"/>
              <a:t>löök</a:t>
            </a:r>
          </a:p>
          <a:p>
            <a:pPr>
              <a:defRPr sz="1400"/>
            </a:pPr>
            <a:r>
              <a:rPr lang="et-EE" sz="1400"/>
              <a:t>Väga madal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38D-42BA-A357-F4DD7B38095D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38D-42BA-A357-F4DD7B38095D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438D-42BA-A357-F4DD7B38095D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438D-42BA-A357-F4DD7B38095D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(Lõppandmed!$P$848,Lõppandmed!$U$848:$X$848)</c:f>
              <c:strCache>
                <c:ptCount val="5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VÕIDAVAD AUDI</c:v>
                </c:pt>
                <c:pt idx="4">
                  <c:v>VÕIDAME PALLI</c:v>
                </c:pt>
              </c:strCache>
            </c:strRef>
          </c:cat>
          <c:val>
            <c:numRef>
              <c:f>(Lõppandmed!$P$849,Lõppandmed!$U$849:$X$849)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438D-42BA-A357-F4DD7B38095D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Väravahi löök</a:t>
            </a:r>
          </a:p>
          <a:p>
            <a:pPr>
              <a:defRPr sz="1400"/>
            </a:pPr>
            <a:r>
              <a:rPr lang="et-EE" sz="1400"/>
              <a:t>Lühike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A00-4089-9C83-F6E1940130C7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A00-4089-9C83-F6E1940130C7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A00-4089-9C83-F6E1940130C7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A00-4089-9C83-F6E1940130C7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(Lõppandmed!$P$895,Lõppandmed!$U$895:$X$895)</c:f>
              <c:strCache>
                <c:ptCount val="5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VÕIDAVAD AUDI</c:v>
                </c:pt>
                <c:pt idx="4">
                  <c:v>VÕIDAME PALLI</c:v>
                </c:pt>
              </c:strCache>
            </c:strRef>
          </c:cat>
          <c:val>
            <c:numRef>
              <c:f>(Lõppandmed!$P$896,Lõppandmed!$U$896:$X$896)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9A00-4089-9C83-F6E1940130C7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Standard</a:t>
            </a:r>
          </a:p>
          <a:p>
            <a:pPr>
              <a:defRPr sz="1400"/>
            </a:pPr>
            <a:r>
              <a:rPr lang="et-EE" sz="1400"/>
              <a:t>Audivise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4D3-4603-95DC-EDB3EEDF53FE}"/>
              </c:ext>
            </c:extLst>
          </c:dPt>
          <c:dPt>
            <c:idx val="1"/>
            <c:spPr>
              <a:solidFill>
                <a:srgbClr val="FF0000">
                  <a:alpha val="69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4D3-4603-95DC-EDB3EEDF53FE}"/>
              </c:ext>
            </c:extLst>
          </c:dPt>
          <c:dPt>
            <c:idx val="2"/>
            <c:spPr>
              <a:solidFill>
                <a:srgbClr val="FF0000">
                  <a:alpha val="28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4D3-4603-95DC-EDB3EEDF53FE}"/>
              </c:ext>
            </c:extLst>
          </c:dPt>
          <c:dPt>
            <c:idx val="3"/>
            <c:spPr>
              <a:solidFill>
                <a:srgbClr val="FF7C80">
                  <a:alpha val="20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4D3-4603-95DC-EDB3EEDF53FE}"/>
              </c:ext>
            </c:extLst>
          </c:dPt>
          <c:dPt>
            <c:idx val="4"/>
            <c:spPr>
              <a:solidFill>
                <a:schemeClr val="bg2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94D3-4603-95DC-EDB3EEDF53FE}"/>
              </c:ext>
            </c:extLst>
          </c:dPt>
          <c:dPt>
            <c:idx val="5"/>
            <c:spPr>
              <a:solidFill>
                <a:srgbClr val="FF9933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94D3-4603-95DC-EDB3EEDF53FE}"/>
              </c:ext>
            </c:extLst>
          </c:dPt>
          <c:dPt>
            <c:idx val="6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94D3-4603-95DC-EDB3EEDF53FE}"/>
              </c:ext>
            </c:extLst>
          </c:dPt>
          <c:dPt>
            <c:idx val="7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94D3-4603-95DC-EDB3EEDF53FE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Lõppandmed!$Q$942:$X$942</c:f>
              <c:strCache>
                <c:ptCount val="8"/>
                <c:pt idx="0">
                  <c:v>VÄRAV</c:v>
                </c:pt>
                <c:pt idx="1">
                  <c:v>LÖÖK VÄRAVALE</c:v>
                </c:pt>
                <c:pt idx="2">
                  <c:v>LÖÖK MÖÖDA</c:v>
                </c:pt>
                <c:pt idx="3">
                  <c:v>LÖÖK BLOKEERITUD</c:v>
                </c:pt>
                <c:pt idx="4">
                  <c:v>ANNAME STANDARDI</c:v>
                </c:pt>
                <c:pt idx="5">
                  <c:v>HOIAVAD PALLI</c:v>
                </c:pt>
                <c:pt idx="6">
                  <c:v>VÕIDAVAD AUDI</c:v>
                </c:pt>
                <c:pt idx="7">
                  <c:v>VÕIDAME PALLI</c:v>
                </c:pt>
              </c:strCache>
            </c:strRef>
          </c:cat>
          <c:val>
            <c:numRef>
              <c:f>Lõppandmed!$Q$943:$X$943</c:f>
              <c:numCache>
                <c:formatCode>0%</c:formatCode>
                <c:ptCount val="8"/>
                <c:pt idx="0">
                  <c:v>0</c:v>
                </c:pt>
                <c:pt idx="1">
                  <c:v>8.3333333333333329E-2</c:v>
                </c:pt>
                <c:pt idx="2">
                  <c:v>8.3333333333333329E-2</c:v>
                </c:pt>
                <c:pt idx="3">
                  <c:v>0</c:v>
                </c:pt>
                <c:pt idx="4">
                  <c:v>0.33333333333333331</c:v>
                </c:pt>
                <c:pt idx="5">
                  <c:v>0</c:v>
                </c:pt>
                <c:pt idx="6">
                  <c:v>0</c:v>
                </c:pt>
                <c:pt idx="7">
                  <c:v>0.5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0-94D3-4603-95DC-EDB3EEDF53FE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Audivise</a:t>
            </a:r>
          </a:p>
          <a:p>
            <a:pPr>
              <a:defRPr sz="1400"/>
            </a:pPr>
            <a:r>
              <a:rPr lang="et-EE" sz="1400"/>
              <a:t>Väga madal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539-4E5C-B1BD-192E566BF15A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539-4E5C-B1BD-192E566BF15A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539-4E5C-B1BD-192E566BF15A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539-4E5C-B1BD-192E566BF15A}"/>
              </c:ext>
            </c:extLst>
          </c:dPt>
          <c:dPt>
            <c:idx val="4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E539-4E5C-B1BD-192E566BF15A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(Lõppandmed!$P$997,Lõppandmed!$U$997:$X$997)</c:f>
              <c:strCache>
                <c:ptCount val="5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VÕIDAVAD AUDI</c:v>
                </c:pt>
                <c:pt idx="4">
                  <c:v>VÕIDAME PALLI</c:v>
                </c:pt>
              </c:strCache>
            </c:strRef>
          </c:cat>
          <c:val>
            <c:numRef>
              <c:f>(Lõppandmed!$P$998,Lõppandmed!$U$998:$X$998)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E539-4E5C-B1BD-192E566BF15A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barChart>
        <c:barDir val="col"/>
        <c:grouping val="clustered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Lõppandmed!$B$402:$K$402</c:f>
              <c:strCache>
                <c:ptCount val="10"/>
                <c:pt idx="0">
                  <c:v>TSENDER DUS</c:v>
                </c:pt>
                <c:pt idx="1">
                  <c:v>ÄÄRE VAHETUS</c:v>
                </c:pt>
                <c:pt idx="2">
                  <c:v>ÄÄRED</c:v>
                </c:pt>
                <c:pt idx="3">
                  <c:v>VASTU RÜNNAK</c:v>
                </c:pt>
                <c:pt idx="4">
                  <c:v>INDIVIDUAAL NE</c:v>
                </c:pt>
                <c:pt idx="5">
                  <c:v>SÖÖDU KOMB.</c:v>
                </c:pt>
                <c:pt idx="6">
                  <c:v>TEINE PALL</c:v>
                </c:pt>
                <c:pt idx="7">
                  <c:v>KAUGLÖÖK</c:v>
                </c:pt>
                <c:pt idx="8">
                  <c:v>TERAV SÖÖT</c:v>
                </c:pt>
                <c:pt idx="9">
                  <c:v>DIAGO</c:v>
                </c:pt>
              </c:strCache>
            </c:strRef>
          </c:cat>
          <c:val>
            <c:numRef>
              <c:f>Lõppandmed!$B$405:$K$405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98F-49C3-BA14-F51FB6206FC5}"/>
            </c:ext>
          </c:extLst>
        </c:ser>
        <c:axId val="162843264"/>
        <c:axId val="162849152"/>
      </c:barChart>
      <c:catAx>
        <c:axId val="162843264"/>
        <c:scaling>
          <c:orientation val="minMax"/>
        </c:scaling>
        <c:axPos val="b"/>
        <c:numFmt formatCode="General" sourceLinked="0"/>
        <c:tickLblPos val="nextTo"/>
        <c:crossAx val="162849152"/>
        <c:crosses val="autoZero"/>
        <c:auto val="1"/>
        <c:lblAlgn val="ctr"/>
        <c:lblOffset val="100"/>
      </c:catAx>
      <c:valAx>
        <c:axId val="162849152"/>
        <c:scaling>
          <c:orientation val="minMax"/>
        </c:scaling>
        <c:axPos val="l"/>
        <c:majorGridlines/>
        <c:numFmt formatCode="General" sourceLinked="1"/>
        <c:tickLblPos val="nextTo"/>
        <c:crossAx val="162843264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barChart>
        <c:barDir val="col"/>
        <c:grouping val="clustered"/>
        <c:ser>
          <c:idx val="0"/>
          <c:order val="0"/>
          <c:tx>
            <c:v>KOKKU</c:v>
          </c:tx>
          <c:dLbls>
            <c:spPr>
              <a:noFill/>
              <a:ln>
                <a:noFill/>
              </a:ln>
              <a:effectLst/>
            </c:sp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Lõppandmed!$N$408:$W$408</c:f>
              <c:strCache>
                <c:ptCount val="10"/>
                <c:pt idx="0">
                  <c:v>TSENDERDUS</c:v>
                </c:pt>
                <c:pt idx="1">
                  <c:v>ÄÄRE VAHETUS</c:v>
                </c:pt>
                <c:pt idx="2">
                  <c:v>ÄÄRED</c:v>
                </c:pt>
                <c:pt idx="3">
                  <c:v>VASTU RÜNNAK</c:v>
                </c:pt>
                <c:pt idx="4">
                  <c:v>INDIVIDUAAL NE</c:v>
                </c:pt>
                <c:pt idx="5">
                  <c:v>SÖÖDU KOMB.</c:v>
                </c:pt>
                <c:pt idx="6">
                  <c:v>TEINE PALL</c:v>
                </c:pt>
                <c:pt idx="7">
                  <c:v>KAUGLÖÖK</c:v>
                </c:pt>
                <c:pt idx="8">
                  <c:v>TERAV SÖÖT</c:v>
                </c:pt>
                <c:pt idx="9">
                  <c:v>DIAGO</c:v>
                </c:pt>
              </c:strCache>
            </c:strRef>
          </c:cat>
          <c:val>
            <c:numRef>
              <c:f>Lõppandmed!$N$411:$W$411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47-4F4D-8C1D-7F9ABA08EB9A}"/>
            </c:ext>
          </c:extLst>
        </c:ser>
        <c:axId val="162865536"/>
        <c:axId val="162867072"/>
      </c:barChart>
      <c:catAx>
        <c:axId val="162865536"/>
        <c:scaling>
          <c:orientation val="minMax"/>
        </c:scaling>
        <c:axPos val="b"/>
        <c:numFmt formatCode="General" sourceLinked="0"/>
        <c:tickLblPos val="nextTo"/>
        <c:crossAx val="162867072"/>
        <c:crosses val="autoZero"/>
        <c:auto val="1"/>
        <c:lblAlgn val="ctr"/>
        <c:lblOffset val="100"/>
      </c:catAx>
      <c:valAx>
        <c:axId val="162867072"/>
        <c:scaling>
          <c:orientation val="minMax"/>
        </c:scaling>
        <c:axPos val="l"/>
        <c:majorGridlines/>
        <c:numFmt formatCode="0%" sourceLinked="1"/>
        <c:tickLblPos val="nextTo"/>
        <c:crossAx val="162865536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strRef>
              <c:f>Lõppandmed!$D$29:$E$29</c:f>
              <c:strCache>
                <c:ptCount val="1"/>
                <c:pt idx="0">
                  <c:v>AA</c:v>
                </c:pt>
              </c:strCache>
            </c:strRef>
          </c:tx>
          <c:dPt>
            <c:idx val="0"/>
            <c:spPr>
              <a:solidFill>
                <a:schemeClr val="accent1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FE5-4DD3-A403-1256261C7141}"/>
              </c:ext>
            </c:extLst>
          </c:dPt>
          <c:dPt>
            <c:idx val="1"/>
            <c:spPr>
              <a:solidFill>
                <a:schemeClr val="accent2"/>
              </a:solidFill>
              <a:ln>
                <a:solidFill>
                  <a:schemeClr val="accent1"/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FE5-4DD3-A403-1256261C7141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Lõppandmed!$F$28:$G$28</c:f>
              <c:strCache>
                <c:ptCount val="2"/>
                <c:pt idx="0">
                  <c:v>POS</c:v>
                </c:pt>
                <c:pt idx="1">
                  <c:v>NEG</c:v>
                </c:pt>
              </c:strCache>
            </c:strRef>
          </c:cat>
          <c:val>
            <c:numRef>
              <c:f>Lõppandmed!$F$29:$G$29</c:f>
              <c:numCache>
                <c:formatCode>0%</c:formatCode>
                <c:ptCount val="2"/>
                <c:pt idx="0">
                  <c:v>0.33870967741935482</c:v>
                </c:pt>
                <c:pt idx="1">
                  <c:v>0.59677419354838712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FE5-4DD3-A403-1256261C7141}"/>
            </c:ext>
          </c:extLst>
        </c:ser>
        <c:firstSliceAng val="0"/>
      </c:pieChart>
    </c:plotArea>
    <c:legend>
      <c:legendPos val="r"/>
      <c:layout>
        <c:manualLayout>
          <c:xMode val="edge"/>
          <c:yMode val="edge"/>
          <c:x val="0.76805385244582325"/>
          <c:y val="0.48561517158191231"/>
          <c:w val="0.19659260517098914"/>
          <c:h val="0.26695242559052335"/>
        </c:manualLayout>
      </c:layout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DA</c:v>
          </c:tx>
          <c:spPr>
            <a:solidFill>
              <a:srgbClr val="FF0000"/>
            </a:solidFill>
          </c:spPr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E7C-4C80-8F51-61668A256596}"/>
              </c:ext>
            </c:extLst>
          </c:dPt>
          <c:dPt>
            <c:idx val="1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E7C-4C80-8F51-61668A256596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Lõppandmed!$F$28:$G$28</c:f>
              <c:strCache>
                <c:ptCount val="2"/>
                <c:pt idx="0">
                  <c:v>POS</c:v>
                </c:pt>
                <c:pt idx="1">
                  <c:v>NEG</c:v>
                </c:pt>
              </c:strCache>
            </c:strRef>
          </c:cat>
          <c:val>
            <c:numRef>
              <c:f>Lõppandmed!$F$30:$G$30</c:f>
              <c:numCache>
                <c:formatCode>0%</c:formatCode>
                <c:ptCount val="2"/>
                <c:pt idx="0">
                  <c:v>0.25714285714285712</c:v>
                </c:pt>
                <c:pt idx="1">
                  <c:v>0.7142857142857143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9E7C-4C80-8F51-61668A256596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strRef>
              <c:f>Lõppandmed!$P$29:$Q$29</c:f>
              <c:strCache>
                <c:ptCount val="1"/>
                <c:pt idx="0">
                  <c:v>DD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53E-4018-B77C-1A2C222EE027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Lõppandmed!$R$28:$S$28</c:f>
              <c:strCache>
                <c:ptCount val="2"/>
                <c:pt idx="0">
                  <c:v>POS</c:v>
                </c:pt>
                <c:pt idx="1">
                  <c:v>NEG</c:v>
                </c:pt>
              </c:strCache>
            </c:strRef>
          </c:cat>
          <c:val>
            <c:numRef>
              <c:f>Lõppandmed!$R$29:$S$29</c:f>
              <c:numCache>
                <c:formatCode>0%</c:formatCode>
                <c:ptCount val="2"/>
                <c:pt idx="0">
                  <c:v>0.56338028169014087</c:v>
                </c:pt>
                <c:pt idx="1">
                  <c:v>0.39436619718309857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53E-4018-B77C-1A2C222EE027}"/>
            </c:ext>
          </c:extLst>
        </c:ser>
        <c:firstSliceAng val="0"/>
      </c:pieChart>
    </c:plotArea>
    <c:legend>
      <c:legendPos val="r"/>
      <c:layout>
        <c:manualLayout>
          <c:xMode val="edge"/>
          <c:yMode val="edge"/>
          <c:x val="0.76805385244582325"/>
          <c:y val="0.48561517158191231"/>
          <c:w val="0.19659260517098914"/>
          <c:h val="0.26695242559052335"/>
        </c:manualLayout>
      </c:layout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AD</c:v>
          </c:tx>
          <c:spPr>
            <a:solidFill>
              <a:srgbClr val="FF0000"/>
            </a:solidFill>
          </c:spPr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417-4A6F-BF9F-0B130AF022B5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Lõppandmed!$R$28:$S$28</c:f>
              <c:strCache>
                <c:ptCount val="2"/>
                <c:pt idx="0">
                  <c:v>POS</c:v>
                </c:pt>
                <c:pt idx="1">
                  <c:v>NEG</c:v>
                </c:pt>
              </c:strCache>
            </c:strRef>
          </c:cat>
          <c:val>
            <c:numRef>
              <c:f>Lõppandmed!$R$30:$S$30</c:f>
              <c:numCache>
                <c:formatCode>0%</c:formatCode>
                <c:ptCount val="2"/>
                <c:pt idx="0">
                  <c:v>0.42553191489361702</c:v>
                </c:pt>
                <c:pt idx="1">
                  <c:v>0.55319148936170215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D417-4A6F-BF9F-0B130AF022B5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VÄRAV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(Lõppandmed!$D$1045,Lõppandmed!$F$1045)</c:f>
              <c:strCache>
                <c:ptCount val="2"/>
                <c:pt idx="0">
                  <c:v>Standard</c:v>
                </c:pt>
                <c:pt idx="1">
                  <c:v>Mitte-standard</c:v>
                </c:pt>
              </c:strCache>
            </c:strRef>
          </c:cat>
          <c:val>
            <c:numRef>
              <c:f>(Lõppandmed!$D$1046,Lõppandmed!$F$1046)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6E8-4B7C-B2F3-57E8EA31E69B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VÄRAV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(Lõppandmed!$P$1045,Lõppandmed!$R$1045)</c:f>
              <c:strCache>
                <c:ptCount val="2"/>
                <c:pt idx="0">
                  <c:v>Standard</c:v>
                </c:pt>
                <c:pt idx="1">
                  <c:v>Mitte-standard</c:v>
                </c:pt>
              </c:strCache>
            </c:strRef>
          </c:cat>
          <c:val>
            <c:numRef>
              <c:f>(Lõppandmed!$P$1046,Lõppandmed!$R$1046)</c:f>
              <c:numCache>
                <c:formatCode>0%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6AA-4969-AD5F-A3BE701F6189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VÄRAV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(Lõppandmed!$D$1064,Lõppandmed!$F$1064,Lõppandmed!$H$1064)</c:f>
              <c:strCache>
                <c:ptCount val="3"/>
                <c:pt idx="0">
                  <c:v>Standard</c:v>
                </c:pt>
                <c:pt idx="1">
                  <c:v>Üleminek</c:v>
                </c:pt>
                <c:pt idx="2">
                  <c:v>Ülesehitus</c:v>
                </c:pt>
              </c:strCache>
            </c:strRef>
          </c:cat>
          <c:val>
            <c:numRef>
              <c:f>(Lõppandmed!$D$1065,Lõppandmed!$F$1065,Lõppandmed!$H$1065)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897-47CC-BC95-D9B291E07703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VÄRAV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(Lõppandmed!$P$1064,Lõppandmed!$R$1064,Lõppandmed!$T$1064)</c:f>
              <c:strCache>
                <c:ptCount val="3"/>
                <c:pt idx="0">
                  <c:v>Standard</c:v>
                </c:pt>
                <c:pt idx="1">
                  <c:v>Üleminek</c:v>
                </c:pt>
                <c:pt idx="2">
                  <c:v>Ülesehitus</c:v>
                </c:pt>
              </c:strCache>
            </c:strRef>
          </c:cat>
          <c:val>
            <c:numRef>
              <c:f>(Lõppandmed!$P$1065,Lõppandmed!$R$1065,Lõppandmed!$T$1065)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F13-44C3-9771-1F3E5A952D00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VÄRAV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(Lõppandmed!$D$1092:$E$1092,Lõppandmed!$G$1092:$H$1092)</c:f>
              <c:strCache>
                <c:ptCount val="4"/>
                <c:pt idx="0">
                  <c:v>Lühike</c:v>
                </c:pt>
                <c:pt idx="1">
                  <c:v>Lühike-pikk</c:v>
                </c:pt>
                <c:pt idx="2">
                  <c:v>Pikk</c:v>
                </c:pt>
                <c:pt idx="3">
                  <c:v>Kaitsest ründesse</c:v>
                </c:pt>
              </c:strCache>
            </c:strRef>
          </c:cat>
          <c:val>
            <c:numRef>
              <c:f>(Lõppandmed!$D$1093:$E$1093,Lõppandmed!$G$1093:$H$1093)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A45-4C4A-BFD1-6C59CFD5E497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VÄRAV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(Lõppandmed!$P$1092:$Q$1092,Lõppandmed!$S$1092:$T$1092)</c:f>
              <c:strCache>
                <c:ptCount val="4"/>
                <c:pt idx="0">
                  <c:v>Lühike</c:v>
                </c:pt>
                <c:pt idx="1">
                  <c:v>Lühike-pikk</c:v>
                </c:pt>
                <c:pt idx="2">
                  <c:v>Pikk</c:v>
                </c:pt>
                <c:pt idx="3">
                  <c:v>Kaitsest ründesse</c:v>
                </c:pt>
              </c:strCache>
            </c:strRef>
          </c:cat>
          <c:val>
            <c:numRef>
              <c:f>(Lõppandmed!$P$1093:$Q$1093,Lõppandmed!$S$1093:$T$1093)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96D-464F-85FD-72F6294C1B24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VÄRAV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(Lõppandmed!$D$1114:$E$1114,Lõppandmed!$G$1114:$H$1114)</c:f>
              <c:strCache>
                <c:ptCount val="4"/>
                <c:pt idx="0">
                  <c:v>Vmadal</c:v>
                </c:pt>
                <c:pt idx="1">
                  <c:v>Madal</c:v>
                </c:pt>
                <c:pt idx="2">
                  <c:v>Kesk</c:v>
                </c:pt>
                <c:pt idx="3">
                  <c:v>Kõrge</c:v>
                </c:pt>
              </c:strCache>
            </c:strRef>
          </c:cat>
          <c:val>
            <c:numRef>
              <c:f>(Lõppandmed!$D$1115:$E$1115,Lõppandmed!$G$1115:$H$1115)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119-4EDC-8D2F-293FD50736AC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VÄRAV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(Lõppandmed!$P$1114:$Q$1114,Lõppandmed!$S$1114:$T$1114)</c:f>
              <c:strCache>
                <c:ptCount val="4"/>
                <c:pt idx="0">
                  <c:v>Vmadal</c:v>
                </c:pt>
                <c:pt idx="1">
                  <c:v>Madal</c:v>
                </c:pt>
                <c:pt idx="2">
                  <c:v>Kesk</c:v>
                </c:pt>
                <c:pt idx="3">
                  <c:v>Kõrge</c:v>
                </c:pt>
              </c:strCache>
            </c:strRef>
          </c:cat>
          <c:val>
            <c:numRef>
              <c:f>(Lõppandmed!$P$1115:$Q$1115,Lõppandmed!$S$1115:$T$1115)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9D7-4C5F-A325-8C5E746A36A2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VÄRAV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(Lõppandmed!$D$1142:$E$1142,Lõppandmed!$G$1142:$H$1142)</c:f>
              <c:strCache>
                <c:ptCount val="4"/>
                <c:pt idx="0">
                  <c:v>Vmadal</c:v>
                </c:pt>
                <c:pt idx="1">
                  <c:v>Madal</c:v>
                </c:pt>
                <c:pt idx="2">
                  <c:v>Kesk</c:v>
                </c:pt>
                <c:pt idx="3">
                  <c:v>Kõrge</c:v>
                </c:pt>
              </c:strCache>
            </c:strRef>
          </c:cat>
          <c:val>
            <c:numRef>
              <c:f>(Lõppandmed!$D$1143:$E$1143,Lõppandmed!$G$1143:$H$1143)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EF-41A2-83DF-20B913D221D4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VÄRAV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(Lõppandmed!$P$1142:$Q$1142,Lõppandmed!$S$1142:$T$1142)</c:f>
              <c:strCache>
                <c:ptCount val="4"/>
                <c:pt idx="0">
                  <c:v>Vmadal</c:v>
                </c:pt>
                <c:pt idx="1">
                  <c:v>Madal</c:v>
                </c:pt>
                <c:pt idx="2">
                  <c:v>Kesk</c:v>
                </c:pt>
                <c:pt idx="3">
                  <c:v>Kõrge</c:v>
                </c:pt>
              </c:strCache>
            </c:strRef>
          </c:cat>
          <c:val>
            <c:numRef>
              <c:f>(Lõppandmed!$P$1143:$Q$1143,Lõppandmed!$S$1143:$T$1143)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042-4D5A-9212-58D1D3CD3FAF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LÖÖGID KOKKU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(Lõppandmed!$D$1193,Lõppandmed!$F$1193)</c:f>
              <c:strCache>
                <c:ptCount val="2"/>
                <c:pt idx="0">
                  <c:v>Standard</c:v>
                </c:pt>
                <c:pt idx="1">
                  <c:v>Mitte-standard</c:v>
                </c:pt>
              </c:strCache>
            </c:strRef>
          </c:cat>
          <c:val>
            <c:numRef>
              <c:f>(Lõppandmed!$D$1194,Lõppandmed!$F$1194)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4B0-4226-8271-E9F33C05F06D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LÖÖGID KOKKU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(Lõppandmed!$P$1193,Lõppandmed!$R$1193)</c:f>
              <c:strCache>
                <c:ptCount val="2"/>
                <c:pt idx="0">
                  <c:v>Standard</c:v>
                </c:pt>
                <c:pt idx="1">
                  <c:v>Mitte-standard</c:v>
                </c:pt>
              </c:strCache>
            </c:strRef>
          </c:cat>
          <c:val>
            <c:numRef>
              <c:f>(Lõppandmed!$P$1194,Lõppandmed!$R$1194)</c:f>
              <c:numCache>
                <c:formatCode>0%</c:formatCode>
                <c:ptCount val="2"/>
                <c:pt idx="0">
                  <c:v>0.53333333333333333</c:v>
                </c:pt>
                <c:pt idx="1">
                  <c:v>0.46666666666666667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C6-49EA-B3EB-582D2DB492F4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LÖÖGID KOKKU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(Lõppandmed!$D$1212,Lõppandmed!$F$1212,Lõppandmed!$H$1212)</c:f>
              <c:strCache>
                <c:ptCount val="3"/>
                <c:pt idx="0">
                  <c:v>Standard</c:v>
                </c:pt>
                <c:pt idx="1">
                  <c:v>Üleminek</c:v>
                </c:pt>
                <c:pt idx="2">
                  <c:v>Ülesehitus</c:v>
                </c:pt>
              </c:strCache>
            </c:strRef>
          </c:cat>
          <c:val>
            <c:numRef>
              <c:f>(Lõppandmed!$D$1213,Lõppandmed!$F$1213,Lõppandmed!$H$1213)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CEE-4DD3-A65E-92F4083506FE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LÖÖGID KOKKU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(Lõppandmed!$P$1212,Lõppandmed!$R$1212,Lõppandmed!$T$1212)</c:f>
              <c:strCache>
                <c:ptCount val="3"/>
                <c:pt idx="0">
                  <c:v>Standard</c:v>
                </c:pt>
                <c:pt idx="1">
                  <c:v>Üleminek</c:v>
                </c:pt>
                <c:pt idx="2">
                  <c:v>Ülesehitus</c:v>
                </c:pt>
              </c:strCache>
            </c:strRef>
          </c:cat>
          <c:val>
            <c:numRef>
              <c:f>(Lõppandmed!$P$1213,Lõppandmed!$R$1213,Lõppandmed!$T$1213)</c:f>
              <c:numCache>
                <c:formatCode>0%</c:formatCode>
                <c:ptCount val="3"/>
                <c:pt idx="0">
                  <c:v>0.53333333333333333</c:v>
                </c:pt>
                <c:pt idx="1">
                  <c:v>0.33333333333333331</c:v>
                </c:pt>
                <c:pt idx="2">
                  <c:v>0.13333333333333333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132-4A7F-BAAD-2F5433A84DC8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LÖÖGID KOKKU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(Lõppandmed!$D$1240:$E$1240,Lõppandmed!$G$1240:$H$1240)</c:f>
              <c:strCache>
                <c:ptCount val="4"/>
                <c:pt idx="0">
                  <c:v>Lühike</c:v>
                </c:pt>
                <c:pt idx="1">
                  <c:v>Lühike-pikk</c:v>
                </c:pt>
                <c:pt idx="2">
                  <c:v>Pikk</c:v>
                </c:pt>
                <c:pt idx="3">
                  <c:v>Kaitsest ründesse</c:v>
                </c:pt>
              </c:strCache>
            </c:strRef>
          </c:cat>
          <c:val>
            <c:numRef>
              <c:f>(Lõppandmed!$D$1241:$E$1241,Lõppandmed!$G$1241:$H$1241)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E6E-4EAF-9D5F-CDB1BDC6B2C4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LÖÖGID KOKKU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(Lõppandmed!$P$1240:$Q$1240,Lõppandmed!$S$1240:$T$1240)</c:f>
              <c:strCache>
                <c:ptCount val="4"/>
                <c:pt idx="0">
                  <c:v>Lühike</c:v>
                </c:pt>
                <c:pt idx="1">
                  <c:v>Lühike-pikk</c:v>
                </c:pt>
                <c:pt idx="2">
                  <c:v>Pikk</c:v>
                </c:pt>
                <c:pt idx="3">
                  <c:v>Ründest kaitsesse</c:v>
                </c:pt>
              </c:strCache>
            </c:strRef>
          </c:cat>
          <c:val>
            <c:numRef>
              <c:f>(Lõppandmed!$P$1241:$Q$1241,Lõppandmed!$S$1241:$T$1241)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883-4216-800C-56370D356C57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LÖÖGID KOKKU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(Lõppandmed!$D$1260:$E$1260,Lõppandmed!$G$1260:$H$1260)</c:f>
              <c:strCache>
                <c:ptCount val="4"/>
                <c:pt idx="0">
                  <c:v>Vmadal</c:v>
                </c:pt>
                <c:pt idx="1">
                  <c:v>Madal</c:v>
                </c:pt>
                <c:pt idx="2">
                  <c:v>Kesk</c:v>
                </c:pt>
                <c:pt idx="3">
                  <c:v>Kõrge</c:v>
                </c:pt>
              </c:strCache>
            </c:strRef>
          </c:cat>
          <c:val>
            <c:numRef>
              <c:f>(Lõppandmed!$D$1261:$E$1261,Lõppandmed!$G$1261:$H$1261)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1F5-4EDF-9A47-D9DA9658A308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LÖÖGID KOKKU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(Lõppandmed!$P$1260:$Q$1260,Lõppandmed!$S$1260:$T$1260)</c:f>
              <c:strCache>
                <c:ptCount val="4"/>
                <c:pt idx="0">
                  <c:v>Vmadal</c:v>
                </c:pt>
                <c:pt idx="1">
                  <c:v>Madal</c:v>
                </c:pt>
                <c:pt idx="2">
                  <c:v>Kesk</c:v>
                </c:pt>
                <c:pt idx="3">
                  <c:v>Kõrge</c:v>
                </c:pt>
              </c:strCache>
            </c:strRef>
          </c:cat>
          <c:val>
            <c:numRef>
              <c:f>(Lõppandmed!$P$1261:$Q$1261,Lõppandmed!$S$1261:$T$1261)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AD1-418F-A599-3CB944420623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LÖÖGID KOKKU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(Lõppandmed!$D$1290:$E$1290,Lõppandmed!$G$1290:$H$1290)</c:f>
              <c:strCache>
                <c:ptCount val="4"/>
                <c:pt idx="0">
                  <c:v>Vmadal</c:v>
                </c:pt>
                <c:pt idx="1">
                  <c:v>Madal</c:v>
                </c:pt>
                <c:pt idx="2">
                  <c:v>Kesk</c:v>
                </c:pt>
                <c:pt idx="3">
                  <c:v>Kõrge</c:v>
                </c:pt>
              </c:strCache>
            </c:strRef>
          </c:cat>
          <c:val>
            <c:numRef>
              <c:f>(Lõppandmed!$D$1291:$E$1291,Lõppandmed!$G$1291:$H$1291)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AE7-48FD-AACD-0A480BEFA755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LÖÖGID KOKKU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(Lõppandmed!$P$1290:$Q$1290,Lõppandmed!$S$1290:$T$1290)</c:f>
              <c:strCache>
                <c:ptCount val="4"/>
                <c:pt idx="0">
                  <c:v>Vmadal</c:v>
                </c:pt>
                <c:pt idx="1">
                  <c:v>Madal</c:v>
                </c:pt>
                <c:pt idx="2">
                  <c:v>Kesk</c:v>
                </c:pt>
                <c:pt idx="3">
                  <c:v>Kõrge</c:v>
                </c:pt>
              </c:strCache>
            </c:strRef>
          </c:cat>
          <c:val>
            <c:numRef>
              <c:f>(Lõppandmed!$P$1291:$Q$1291,Lõppandmed!$S$1291:$T$1291)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C93-432F-A787-A998CDF38E1C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POSITIIVSED OLUKORRAD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(Lõppandmed!$D$1341,Lõppandmed!$F$1341)</c:f>
              <c:strCache>
                <c:ptCount val="2"/>
                <c:pt idx="0">
                  <c:v>Standard</c:v>
                </c:pt>
                <c:pt idx="1">
                  <c:v>Mitte-standard</c:v>
                </c:pt>
              </c:strCache>
            </c:strRef>
          </c:cat>
          <c:val>
            <c:numRef>
              <c:f>(Lõppandmed!$D$1342,Lõppandmed!$F$1342)</c:f>
              <c:numCache>
                <c:formatCode>0%</c:formatCode>
                <c:ptCount val="2"/>
                <c:pt idx="0">
                  <c:v>0.6333333333333333</c:v>
                </c:pt>
                <c:pt idx="1">
                  <c:v>0.36666666666666664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E9F-480C-ADCC-727900780937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NEGATIIVSED OLUKORRAD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(Lõppandmed!$P$1341,Lõppandmed!$R$1341)</c:f>
              <c:strCache>
                <c:ptCount val="2"/>
                <c:pt idx="0">
                  <c:v>Standard</c:v>
                </c:pt>
                <c:pt idx="1">
                  <c:v>Mitte-standard</c:v>
                </c:pt>
              </c:strCache>
            </c:strRef>
          </c:cat>
          <c:val>
            <c:numRef>
              <c:f>(Lõppandmed!$P$1342,Lõppandmed!$R$1342)</c:f>
              <c:numCache>
                <c:formatCode>0%</c:formatCode>
                <c:ptCount val="2"/>
                <c:pt idx="0">
                  <c:v>0.40740740740740738</c:v>
                </c:pt>
                <c:pt idx="1">
                  <c:v>0.59259259259259256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51F-4538-8541-B1CA3F02EE46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POSITIIVSED OLUKORRAD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(Lõppandmed!$D$1360,Lõppandmed!$F$1360,Lõppandmed!$H$1360)</c:f>
              <c:strCache>
                <c:ptCount val="3"/>
                <c:pt idx="0">
                  <c:v>Standard</c:v>
                </c:pt>
                <c:pt idx="1">
                  <c:v>Üleminek</c:v>
                </c:pt>
                <c:pt idx="2">
                  <c:v>Ülesehitus</c:v>
                </c:pt>
              </c:strCache>
            </c:strRef>
          </c:cat>
          <c:val>
            <c:numRef>
              <c:f>(Lõppandmed!$D$1361,Lõppandmed!$F$1361,Lõppandmed!$H$1361)</c:f>
              <c:numCache>
                <c:formatCode>0%</c:formatCode>
                <c:ptCount val="3"/>
                <c:pt idx="0">
                  <c:v>0.6333333333333333</c:v>
                </c:pt>
                <c:pt idx="1">
                  <c:v>0.3</c:v>
                </c:pt>
                <c:pt idx="2">
                  <c:v>6.6666666666666666E-2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964-44AE-8EC4-5A32285D31C1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NEGATIIVSED OLUKORRAD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(Lõppandmed!$P$1360,Lõppandmed!$R$1360,Lõppandmed!$T$1360)</c:f>
              <c:strCache>
                <c:ptCount val="3"/>
                <c:pt idx="0">
                  <c:v>Standard</c:v>
                </c:pt>
                <c:pt idx="1">
                  <c:v>Üleminek</c:v>
                </c:pt>
                <c:pt idx="2">
                  <c:v>Ülesehitus</c:v>
                </c:pt>
              </c:strCache>
            </c:strRef>
          </c:cat>
          <c:val>
            <c:numRef>
              <c:f>(Lõppandmed!$P$1361,Lõppandmed!$R$1361,Lõppandmed!$T$1361)</c:f>
              <c:numCache>
                <c:formatCode>0%</c:formatCode>
                <c:ptCount val="3"/>
                <c:pt idx="0">
                  <c:v>0.40740740740740738</c:v>
                </c:pt>
                <c:pt idx="1">
                  <c:v>0.48148148148148145</c:v>
                </c:pt>
                <c:pt idx="2">
                  <c:v>0.1111111111111111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0A4-4BBB-977C-510847F730C6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POSITIIVSED OLUKORRAD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(Lõppandmed!$D$1388:$E$1388,Lõppandmed!$G$1388:$H$1388)</c:f>
              <c:strCache>
                <c:ptCount val="4"/>
                <c:pt idx="0">
                  <c:v>Lühike</c:v>
                </c:pt>
                <c:pt idx="1">
                  <c:v>Lühike-pikk</c:v>
                </c:pt>
                <c:pt idx="2">
                  <c:v>Pikk</c:v>
                </c:pt>
                <c:pt idx="3">
                  <c:v>Kaitsest ründesse</c:v>
                </c:pt>
              </c:strCache>
            </c:strRef>
          </c:cat>
          <c:val>
            <c:numRef>
              <c:f>(Lõppandmed!$D$1389:$E$1389,Lõppandmed!$G$1389:$H$1389)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3A6-417F-856E-03C9A16FED82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NEGATIIVSED OLUKORRAD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(Lõppandmed!$P$1388:$Q$1388,Lõppandmed!$S$1388:$T$1388)</c:f>
              <c:strCache>
                <c:ptCount val="4"/>
                <c:pt idx="0">
                  <c:v>Lühike</c:v>
                </c:pt>
                <c:pt idx="1">
                  <c:v>Lühike-pikk</c:v>
                </c:pt>
                <c:pt idx="2">
                  <c:v>Pikk</c:v>
                </c:pt>
                <c:pt idx="3">
                  <c:v>Ründest kaitsesse</c:v>
                </c:pt>
              </c:strCache>
            </c:strRef>
          </c:cat>
          <c:val>
            <c:numRef>
              <c:f>(Lõppandmed!$P$1389:$Q$1389,Lõppandmed!$S$1389:$T$1389)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B2C-4AB8-8663-7D2F0AD32C05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POSITIIVSED OLUKORRAD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(Lõppandmed!$D$1408:$E$1408,Lõppandmed!$G$1408:$H$1408)</c:f>
              <c:strCache>
                <c:ptCount val="4"/>
                <c:pt idx="0">
                  <c:v>Vmadal</c:v>
                </c:pt>
                <c:pt idx="1">
                  <c:v>Madal</c:v>
                </c:pt>
                <c:pt idx="2">
                  <c:v>Kesk</c:v>
                </c:pt>
                <c:pt idx="3">
                  <c:v>Kõrge</c:v>
                </c:pt>
              </c:strCache>
            </c:strRef>
          </c:cat>
          <c:val>
            <c:numRef>
              <c:f>(Lõppandmed!$D$1409:$E$1409,Lõppandmed!$G$1409:$H$1409)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965-4F8B-AE30-C96ECBF03153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NEGATIIVSED OLUKORRAD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(Lõppandmed!$P$1408:$Q$1408,Lõppandmed!$S$1408:$T$1408)</c:f>
              <c:strCache>
                <c:ptCount val="4"/>
                <c:pt idx="0">
                  <c:v>Vmadal</c:v>
                </c:pt>
                <c:pt idx="1">
                  <c:v>Madal</c:v>
                </c:pt>
                <c:pt idx="2">
                  <c:v>Kesk</c:v>
                </c:pt>
                <c:pt idx="3">
                  <c:v>Kõrge</c:v>
                </c:pt>
              </c:strCache>
            </c:strRef>
          </c:cat>
          <c:val>
            <c:numRef>
              <c:f>(Lõppandmed!$P$1409:$Q$1409,Lõppandmed!$S$1409:$T$1409)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1FC-4F0F-ABB0-03F5365AD3A7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POSITIIVSED OLUKORRAD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(Lõppandmed!$D$1438:$E$1438,Lõppandmed!$G$1438:$H$1438)</c:f>
              <c:strCache>
                <c:ptCount val="4"/>
                <c:pt idx="0">
                  <c:v>Vmadal</c:v>
                </c:pt>
                <c:pt idx="1">
                  <c:v>Madal</c:v>
                </c:pt>
                <c:pt idx="2">
                  <c:v>Kesk</c:v>
                </c:pt>
                <c:pt idx="3">
                  <c:v>Kõrge</c:v>
                </c:pt>
              </c:strCache>
            </c:strRef>
          </c:cat>
          <c:val>
            <c:numRef>
              <c:f>(Lõppandmed!$D$1439:$E$1439,Lõppandmed!$G$1439:$H$1439)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835-4621-85BD-7F470B10029D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v>NEGATIIVSED OLUKORRAD</c:v>
          </c:tx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(Lõppandmed!$P$1438:$Q$1438,Lõppandmed!$S$1438:$T$1438)</c:f>
              <c:strCache>
                <c:ptCount val="4"/>
                <c:pt idx="0">
                  <c:v>Vmadal</c:v>
                </c:pt>
                <c:pt idx="1">
                  <c:v>Madal</c:v>
                </c:pt>
                <c:pt idx="2">
                  <c:v>Kesk</c:v>
                </c:pt>
                <c:pt idx="3">
                  <c:v>Kõrge</c:v>
                </c:pt>
              </c:strCache>
            </c:strRef>
          </c:cat>
          <c:val>
            <c:numRef>
              <c:f>(Lõppandmed!$P$1439:$Q$1439,Lõppandmed!$S$1439:$T$1439)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C41-4D80-9D9D-5720620D3127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1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B9A-4A9A-875C-86A63C2E37BD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(Lõppandmed!$D$1458:$E$1458,Lõppandmed!$G$1458:$K$1458)</c:f>
              <c:strCache>
                <c:ptCount val="7"/>
                <c:pt idx="0">
                  <c:v>Nurga- löök</c:v>
                </c:pt>
                <c:pt idx="1">
                  <c:v>Audivise</c:v>
                </c:pt>
                <c:pt idx="2">
                  <c:v>Karistus- löök</c:v>
                </c:pt>
                <c:pt idx="3">
                  <c:v>Värava- löök</c:v>
                </c:pt>
                <c:pt idx="4">
                  <c:v>Väravavahi alustamine</c:v>
                </c:pt>
                <c:pt idx="5">
                  <c:v>Penalt</c:v>
                </c:pt>
                <c:pt idx="6">
                  <c:v>Karistus- löök (otse)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Lõppandmed!$D$1458:$K$1458</c15:sqref>
                  </c15:fullRef>
                </c:ext>
              </c:extLst>
            </c:strRef>
          </c:cat>
          <c:val>
            <c:numRef>
              <c:f>(Lõppandmed!$D$1459:$E$1459,Lõppandmed!$G$1459:$K$1459)</c:f>
              <c:numCache>
                <c:formatCode>0%</c:formatCode>
                <c:ptCount val="7"/>
                <c:pt idx="0">
                  <c:v>5.2631578947368418E-2</c:v>
                </c:pt>
                <c:pt idx="1">
                  <c:v>0.42105263157894735</c:v>
                </c:pt>
                <c:pt idx="2">
                  <c:v>0.26315789473684209</c:v>
                </c:pt>
                <c:pt idx="3">
                  <c:v>5.2631578947368418E-2</c:v>
                </c:pt>
                <c:pt idx="4">
                  <c:v>0.15789473684210525</c:v>
                </c:pt>
                <c:pt idx="5">
                  <c:v>0</c:v>
                </c:pt>
                <c:pt idx="6">
                  <c:v>5.2631578947368418E-2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Lõppandmed!$D$1459:$K$1459</c15:sqref>
                  </c15:fullRef>
                </c:ext>
              </c:extLst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B9A-4A9A-875C-86A63C2E37BD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AA </a:t>
            </a:r>
            <a:endParaRPr lang="et-EE" sz="1400"/>
          </a:p>
          <a:p>
            <a:pPr>
              <a:defRPr sz="1400"/>
            </a:pPr>
            <a:r>
              <a:rPr lang="et-EE" sz="1400"/>
              <a:t>Kõrge</a:t>
            </a:r>
            <a:r>
              <a:rPr lang="en-US" sz="1400"/>
              <a:t>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3D4-46BD-BF96-EE4E4E19B2AE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3D4-46BD-BF96-EE4E4E19B2AE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3D4-46BD-BF96-EE4E4E19B2AE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(Lõppandmed!$D$109,Lõppandmed!$I$109:$J$109)</c:f>
              <c:strCache>
                <c:ptCount val="3"/>
                <c:pt idx="0">
                  <c:v>LÖÖKE KOKKU</c:v>
                </c:pt>
                <c:pt idx="1">
                  <c:v>VÕIDAME STANDARDI</c:v>
                </c:pt>
                <c:pt idx="2">
                  <c:v>KAOTAME PALLI</c:v>
                </c:pt>
              </c:strCache>
            </c:strRef>
          </c:cat>
          <c:val>
            <c:numRef>
              <c:f>(Lõppandmed!$D$113,Lõppandmed!$I$113:$J$113)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3D4-46BD-BF96-EE4E4E19B2AE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t-EE" sz="1200"/>
              <a:t>AA  </a:t>
            </a:r>
          </a:p>
          <a:p>
            <a:pPr>
              <a:defRPr sz="1200"/>
            </a:pPr>
            <a:r>
              <a:rPr lang="et-EE" sz="1200"/>
              <a:t>Lühike ülesehitus</a:t>
            </a:r>
          </a:p>
          <a:p>
            <a:pPr>
              <a:defRPr sz="1200"/>
            </a:pPr>
            <a:r>
              <a:rPr lang="et-EE" sz="1200"/>
              <a:t>Madal </a:t>
            </a:r>
            <a:r>
              <a:rPr lang="en-US" sz="1200"/>
              <a:t>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FD9-4DB2-8497-D22EB9884007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FD9-4DB2-8497-D22EB9884007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FD9-4DB2-8497-D22EB9884007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(Lõppandmed!$D$159,Lõppandmed!$I$159:$J$159)</c:f>
              <c:strCache>
                <c:ptCount val="3"/>
                <c:pt idx="0">
                  <c:v>LÖÖKE KOKKU</c:v>
                </c:pt>
                <c:pt idx="1">
                  <c:v>VÕIDAME STANDARDI</c:v>
                </c:pt>
                <c:pt idx="2">
                  <c:v>KAOTAME PALLI</c:v>
                </c:pt>
              </c:strCache>
            </c:strRef>
          </c:cat>
          <c:val>
            <c:numRef>
              <c:f>(Lõppandmed!$D$161,Lõppandmed!$I$161:$J$161)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FD9-4DB2-8497-D22EB9884007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t-EE" sz="1200"/>
              <a:t>AA  </a:t>
            </a:r>
          </a:p>
          <a:p>
            <a:pPr>
              <a:defRPr sz="1200"/>
            </a:pPr>
            <a:r>
              <a:rPr lang="et-EE" sz="1200"/>
              <a:t>Lühike ülesehitus</a:t>
            </a:r>
          </a:p>
          <a:p>
            <a:pPr>
              <a:defRPr sz="1200"/>
            </a:pPr>
            <a:r>
              <a:rPr lang="et-EE" sz="1200"/>
              <a:t>Keskmine </a:t>
            </a:r>
            <a:r>
              <a:rPr lang="en-US" sz="1200"/>
              <a:t>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8C0-47EA-843A-BF55F9EE94E6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8C0-47EA-843A-BF55F9EE94E6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8C0-47EA-843A-BF55F9EE94E6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(Lõppandmed!$D$159,Lõppandmed!$I$159:$J$159)</c:f>
              <c:strCache>
                <c:ptCount val="3"/>
                <c:pt idx="0">
                  <c:v>LÖÖKE KOKKU</c:v>
                </c:pt>
                <c:pt idx="1">
                  <c:v>VÕIDAME STANDARDI</c:v>
                </c:pt>
                <c:pt idx="2">
                  <c:v>KAOTAME PALLI</c:v>
                </c:pt>
              </c:strCache>
            </c:strRef>
          </c:cat>
          <c:val>
            <c:numRef>
              <c:f>(Lõppandmed!$D$162,Lõppandmed!$I$162:$J$162)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8C0-47EA-843A-BF55F9EE94E6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t-EE" sz="1200"/>
              <a:t>AA  </a:t>
            </a:r>
          </a:p>
          <a:p>
            <a:pPr>
              <a:defRPr sz="1200"/>
            </a:pPr>
            <a:r>
              <a:rPr lang="et-EE" sz="1200"/>
              <a:t>Lühike ülesehitus</a:t>
            </a:r>
          </a:p>
          <a:p>
            <a:pPr>
              <a:defRPr sz="1200"/>
            </a:pPr>
            <a:r>
              <a:rPr lang="et-EE" sz="1200"/>
              <a:t>Väga m</a:t>
            </a:r>
            <a:r>
              <a:rPr lang="en-US" sz="1200"/>
              <a:t>adal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9A0-4273-9924-89242B15CE40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9A0-4273-9924-89242B15CE40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9A0-4273-9924-89242B15CE40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(Lõppandmed!$D$159,Lõppandmed!$I$159:$J$159)</c:f>
              <c:strCache>
                <c:ptCount val="3"/>
                <c:pt idx="0">
                  <c:v>LÖÖKE KOKKU</c:v>
                </c:pt>
                <c:pt idx="1">
                  <c:v>VÕIDAME STANDARDI</c:v>
                </c:pt>
                <c:pt idx="2">
                  <c:v>KAOTAME PALLI</c:v>
                </c:pt>
              </c:strCache>
            </c:strRef>
          </c:cat>
          <c:val>
            <c:numRef>
              <c:f>(Lõppandmed!$D$163,Lõppandmed!$I$163:$J$163)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9A0-4273-9924-89242B15CE40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t-EE" sz="1200"/>
              <a:t>DD  </a:t>
            </a:r>
          </a:p>
          <a:p>
            <a:pPr>
              <a:defRPr sz="1200"/>
            </a:pPr>
            <a:r>
              <a:rPr lang="et-EE" sz="1200"/>
              <a:t>Lühike ülesehitus</a:t>
            </a:r>
          </a:p>
          <a:p>
            <a:pPr>
              <a:defRPr sz="1200"/>
            </a:pPr>
            <a:r>
              <a:rPr lang="et-EE" sz="1200"/>
              <a:t>M</a:t>
            </a:r>
            <a:r>
              <a:rPr lang="en-US" sz="1200"/>
              <a:t>adal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314-447B-8FF1-FA880E0013D6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314-447B-8FF1-FA880E0013D6}"/>
              </c:ext>
            </c:extLst>
          </c:dPt>
          <c:dPt>
            <c:idx val="2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314-447B-8FF1-FA880E0013D6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(Lõppandmed!$P$159,Lõppandmed!$U$159:$V$159)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(Lõppandmed!$P$161,Lõppandmed!$U$161:$V$161)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314-447B-8FF1-FA880E0013D6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t-EE" sz="1200"/>
              <a:t>DD  </a:t>
            </a:r>
          </a:p>
          <a:p>
            <a:pPr>
              <a:defRPr sz="1200"/>
            </a:pPr>
            <a:r>
              <a:rPr lang="et-EE" sz="1200"/>
              <a:t>Lühike ülesehitus</a:t>
            </a:r>
          </a:p>
          <a:p>
            <a:pPr>
              <a:defRPr sz="1200"/>
            </a:pPr>
            <a:r>
              <a:rPr lang="et-EE" sz="1200"/>
              <a:t>Keskmine </a:t>
            </a:r>
            <a:r>
              <a:rPr lang="en-US" sz="1200"/>
              <a:t>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2D8-426B-9B98-589EBC4A1289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2D8-426B-9B98-589EBC4A1289}"/>
              </c:ext>
            </c:extLst>
          </c:dPt>
          <c:dPt>
            <c:idx val="2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2D8-426B-9B98-589EBC4A128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(Lõppandmed!$P$159,Lõppandmed!$U$159:$V$159)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(Lõppandmed!$P$162,Lõppandmed!$U$162:$V$162)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E2D8-426B-9B98-589EBC4A1289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t-EE" sz="1200"/>
              <a:t>DD  </a:t>
            </a:r>
          </a:p>
          <a:p>
            <a:pPr>
              <a:defRPr sz="1200"/>
            </a:pPr>
            <a:r>
              <a:rPr lang="et-EE" sz="1200"/>
              <a:t>Lühike ülesehitus</a:t>
            </a:r>
          </a:p>
          <a:p>
            <a:pPr>
              <a:defRPr sz="1200"/>
            </a:pPr>
            <a:r>
              <a:rPr lang="et-EE" sz="1200"/>
              <a:t>Kõrge</a:t>
            </a:r>
            <a:r>
              <a:rPr lang="et-EE" sz="1200" baseline="0"/>
              <a:t> </a:t>
            </a:r>
            <a:r>
              <a:rPr lang="en-US" sz="1200"/>
              <a:t>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E06-48F0-946A-3CF515BDA866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E06-48F0-946A-3CF515BDA866}"/>
              </c:ext>
            </c:extLst>
          </c:dPt>
          <c:dPt>
            <c:idx val="2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E06-48F0-946A-3CF515BDA866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(Lõppandmed!$P$159,Lõppandmed!$U$159:$V$159)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(Lõppandmed!$P$163,Lõppandmed!$U$163:$V$163)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E06-48F0-946A-3CF515BDA866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t-EE" sz="1200"/>
              <a:t>AA  </a:t>
            </a:r>
          </a:p>
          <a:p>
            <a:pPr>
              <a:defRPr sz="1200"/>
            </a:pPr>
            <a:r>
              <a:rPr lang="et-EE" sz="1200"/>
              <a:t>Lühike/pikk ülesehitus</a:t>
            </a:r>
          </a:p>
          <a:p>
            <a:pPr>
              <a:defRPr sz="1200"/>
            </a:pPr>
            <a:r>
              <a:rPr lang="et-EE" sz="1200"/>
              <a:t>M</a:t>
            </a:r>
            <a:r>
              <a:rPr lang="en-US" sz="1200"/>
              <a:t>adal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EF2-48E9-A558-DB13C289E668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EF2-48E9-A558-DB13C289E668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EF2-48E9-A558-DB13C289E668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(Lõppandmed!$E$209,Lõppandmed!$J$209:$K$209)</c:f>
              <c:strCache>
                <c:ptCount val="3"/>
                <c:pt idx="0">
                  <c:v>LÖÖKE KOKKU</c:v>
                </c:pt>
                <c:pt idx="1">
                  <c:v>VÕIDAME STANDARDI</c:v>
                </c:pt>
                <c:pt idx="2">
                  <c:v>KAOTAME PALLI</c:v>
                </c:pt>
              </c:strCache>
            </c:strRef>
          </c:cat>
          <c:val>
            <c:numRef>
              <c:f>(Lõppandmed!$E$211,Lõppandmed!$J$211:$K$211)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0EF2-48E9-A558-DB13C289E668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t-EE" sz="1200"/>
              <a:t>AA  </a:t>
            </a:r>
          </a:p>
          <a:p>
            <a:pPr>
              <a:defRPr sz="1200"/>
            </a:pPr>
            <a:r>
              <a:rPr lang="et-EE" sz="1200"/>
              <a:t>Lühike/pikk ülesehitus</a:t>
            </a:r>
          </a:p>
          <a:p>
            <a:pPr>
              <a:defRPr sz="1200"/>
            </a:pPr>
            <a:r>
              <a:rPr lang="et-EE" sz="1200"/>
              <a:t>Keskmine</a:t>
            </a:r>
            <a:r>
              <a:rPr lang="en-US" sz="1200"/>
              <a:t>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971-48C4-8AFB-B3F8121AFF57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971-48C4-8AFB-B3F8121AFF57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971-48C4-8AFB-B3F8121AFF57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(Lõppandmed!$E$209,Lõppandmed!$J$209:$K$209)</c:f>
              <c:strCache>
                <c:ptCount val="3"/>
                <c:pt idx="0">
                  <c:v>LÖÖKE KOKKU</c:v>
                </c:pt>
                <c:pt idx="1">
                  <c:v>VÕIDAME STANDARDI</c:v>
                </c:pt>
                <c:pt idx="2">
                  <c:v>KAOTAME PALLI</c:v>
                </c:pt>
              </c:strCache>
            </c:strRef>
          </c:cat>
          <c:val>
            <c:numRef>
              <c:f>(Lõppandmed!$E$212,Lõppandmed!$J$212:$K$212)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0971-48C4-8AFB-B3F8121AFF57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t-EE" sz="1200"/>
              <a:t>AA  </a:t>
            </a:r>
          </a:p>
          <a:p>
            <a:pPr>
              <a:defRPr sz="1200"/>
            </a:pPr>
            <a:r>
              <a:rPr lang="et-EE" sz="1200"/>
              <a:t>Lühike/pikk ülesehitus</a:t>
            </a:r>
          </a:p>
          <a:p>
            <a:pPr>
              <a:defRPr sz="1200"/>
            </a:pPr>
            <a:r>
              <a:rPr lang="et-EE" sz="1200"/>
              <a:t>Kõrge</a:t>
            </a:r>
            <a:r>
              <a:rPr lang="en-US" sz="1200"/>
              <a:t>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7FD-43CA-B9E1-6DB928E62BCD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7FD-43CA-B9E1-6DB928E62BCD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7FD-43CA-B9E1-6DB928E62BCD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(Lõppandmed!$E$209,Lõppandmed!$J$209:$K$209)</c:f>
              <c:strCache>
                <c:ptCount val="3"/>
                <c:pt idx="0">
                  <c:v>LÖÖKE KOKKU</c:v>
                </c:pt>
                <c:pt idx="1">
                  <c:v>VÕIDAME STANDARDI</c:v>
                </c:pt>
                <c:pt idx="2">
                  <c:v>KAOTAME PALLI</c:v>
                </c:pt>
              </c:strCache>
            </c:strRef>
          </c:cat>
          <c:val>
            <c:numRef>
              <c:f>(Lõppandmed!$E$213,Lõppandmed!$J$213:$K$213)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7FD-43CA-B9E1-6DB928E62BCD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t-EE" sz="1200"/>
              <a:t>DD  </a:t>
            </a:r>
          </a:p>
          <a:p>
            <a:pPr>
              <a:defRPr sz="1200"/>
            </a:pPr>
            <a:r>
              <a:rPr lang="et-EE" sz="1200"/>
              <a:t>Lühike/pikk ülesehitus</a:t>
            </a:r>
          </a:p>
          <a:p>
            <a:pPr>
              <a:defRPr sz="1200"/>
            </a:pPr>
            <a:r>
              <a:rPr lang="et-EE" sz="1200"/>
              <a:t>M</a:t>
            </a:r>
            <a:r>
              <a:rPr lang="en-US" sz="1200"/>
              <a:t>adal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C0A-413D-AE4E-29FFB68ADE05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C0A-413D-AE4E-29FFB68ADE05}"/>
              </c:ext>
            </c:extLst>
          </c:dPt>
          <c:dPt>
            <c:idx val="2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C0A-413D-AE4E-29FFB68ADE05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(Lõppandmed!$Q$209,Lõppandmed!$V$209:$W$209)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(Lõppandmed!$Q$211,Lõppandmed!$V$211:$W$211)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1C0A-413D-AE4E-29FFB68ADE05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t-EE" sz="1200"/>
              <a:t>DD  </a:t>
            </a:r>
          </a:p>
          <a:p>
            <a:pPr>
              <a:defRPr sz="1200"/>
            </a:pPr>
            <a:r>
              <a:rPr lang="et-EE" sz="1200"/>
              <a:t>Lühike/pikk ülesehitus</a:t>
            </a:r>
          </a:p>
          <a:p>
            <a:pPr>
              <a:defRPr sz="1200"/>
            </a:pPr>
            <a:r>
              <a:rPr lang="et-EE" sz="1200"/>
              <a:t>Keskmine</a:t>
            </a:r>
            <a:r>
              <a:rPr lang="en-US" sz="1200"/>
              <a:t>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C42-4A9A-A259-8EEB10844467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C42-4A9A-A259-8EEB10844467}"/>
              </c:ext>
            </c:extLst>
          </c:dPt>
          <c:dPt>
            <c:idx val="2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C42-4A9A-A259-8EEB10844467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(Lõppandmed!$Q$201,Lõppandmed!$V$201:$W$201)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(Lõppandmed!$Q$202,Lõppandmed!$V$202:$W$202)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C42-4A9A-A259-8EEB10844467}"/>
            </c:ext>
          </c:extLst>
        </c:ser>
        <c:ser>
          <c:idx val="1"/>
          <c:order val="1"/>
          <c:cat>
            <c:strRef>
              <c:f>(Lõppandmed!$Q$201,Lõppandmed!$V$201:$W$201)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(Lõppandmed!$Q$209,Lõppandmed!$V$209:$W$209)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3C42-4A9A-A259-8EEB10844467}"/>
            </c:ext>
          </c:extLst>
        </c:ser>
        <c:ser>
          <c:idx val="2"/>
          <c:order val="2"/>
          <c:cat>
            <c:strRef>
              <c:f>(Lõppandmed!$Q$201,Lõppandmed!$V$201:$W$201)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(Lõppandmed!$Q$212,Lõppandmed!$V$212:$W$212)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3C42-4A9A-A259-8EEB10844467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t-EE" sz="1200"/>
              <a:t>DD  </a:t>
            </a:r>
          </a:p>
          <a:p>
            <a:pPr>
              <a:defRPr sz="1200"/>
            </a:pPr>
            <a:r>
              <a:rPr lang="et-EE" sz="1200"/>
              <a:t>Lühike/pikk ülesehitus</a:t>
            </a:r>
          </a:p>
          <a:p>
            <a:pPr>
              <a:defRPr sz="1200"/>
            </a:pPr>
            <a:r>
              <a:rPr lang="et-EE" sz="1200"/>
              <a:t>Kõrge</a:t>
            </a:r>
            <a:r>
              <a:rPr lang="en-US" sz="1200"/>
              <a:t>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35B-4C22-A3A0-F0484D5A9E76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35B-4C22-A3A0-F0484D5A9E76}"/>
              </c:ext>
            </c:extLst>
          </c:dPt>
          <c:dPt>
            <c:idx val="2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35B-4C22-A3A0-F0484D5A9E76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(Lõppandmed!$Q$201,Lõppandmed!$V$201:$W$201)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(Lõppandmed!$Q$202,Lõppandmed!$V$202:$W$202)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035B-4C22-A3A0-F0484D5A9E76}"/>
            </c:ext>
          </c:extLst>
        </c:ser>
        <c:ser>
          <c:idx val="1"/>
          <c:order val="1"/>
          <c:cat>
            <c:strRef>
              <c:f>(Lõppandmed!$Q$201,Lõppandmed!$V$201:$W$201)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(Lõppandmed!$Q$209,Lõppandmed!$V$209:$W$209)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035B-4C22-A3A0-F0484D5A9E76}"/>
            </c:ext>
          </c:extLst>
        </c:ser>
        <c:ser>
          <c:idx val="2"/>
          <c:order val="2"/>
          <c:cat>
            <c:strRef>
              <c:f>(Lõppandmed!$Q$201,Lõppandmed!$V$201:$W$201)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(Lõppandmed!$Q$213,Lõppandmed!$V$213:$W$213)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35B-4C22-A3A0-F0484D5A9E76}"/>
            </c:ext>
          </c:extLst>
        </c:ser>
        <c:firstSliceAng val="0"/>
      </c:pieChart>
    </c:plotArea>
    <c:legend>
      <c:legendPos val="r"/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t-EE" sz="1200"/>
              <a:t>AA  </a:t>
            </a:r>
          </a:p>
          <a:p>
            <a:pPr>
              <a:defRPr sz="1200"/>
            </a:pPr>
            <a:r>
              <a:rPr lang="et-EE" sz="1200"/>
              <a:t>Pikk ülesehitus</a:t>
            </a:r>
          </a:p>
          <a:p>
            <a:pPr>
              <a:defRPr sz="1200"/>
            </a:pPr>
            <a:r>
              <a:rPr lang="et-EE" sz="1200"/>
              <a:t>M</a:t>
            </a:r>
            <a:r>
              <a:rPr lang="en-US" sz="1200"/>
              <a:t>adal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44D-4B6D-8516-735BD9DE732D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44D-4B6D-8516-735BD9DE732D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44D-4B6D-8516-735BD9DE732D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(Lõppandmed!$E$258,Lõppandmed!$J$258:$K$258)</c:f>
              <c:strCache>
                <c:ptCount val="3"/>
                <c:pt idx="0">
                  <c:v>LÖÖKE KOKKU</c:v>
                </c:pt>
                <c:pt idx="1">
                  <c:v>VÕIDAME STANDARDI</c:v>
                </c:pt>
                <c:pt idx="2">
                  <c:v>KAOTAME PALLI</c:v>
                </c:pt>
              </c:strCache>
            </c:strRef>
          </c:cat>
          <c:val>
            <c:numRef>
              <c:f>(Lõppandmed!$E$260,Lõppandmed!$J$260:$K$260)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244D-4B6D-8516-735BD9DE732D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t-EE" sz="1200"/>
              <a:t>AA  </a:t>
            </a:r>
          </a:p>
          <a:p>
            <a:pPr>
              <a:defRPr sz="1200"/>
            </a:pPr>
            <a:r>
              <a:rPr lang="et-EE" sz="1200"/>
              <a:t>Pikk ülesehitus</a:t>
            </a:r>
          </a:p>
          <a:p>
            <a:pPr>
              <a:defRPr sz="1200"/>
            </a:pPr>
            <a:r>
              <a:rPr lang="et-EE" sz="1200"/>
              <a:t>Keskmine</a:t>
            </a:r>
            <a:r>
              <a:rPr lang="en-US" sz="1200"/>
              <a:t>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CA2-467A-9BAA-6D8F54202026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CA2-467A-9BAA-6D8F54202026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CA2-467A-9BAA-6D8F54202026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(Lõppandmed!$E$258,Lõppandmed!$J$258:$K$258)</c:f>
              <c:strCache>
                <c:ptCount val="3"/>
                <c:pt idx="0">
                  <c:v>LÖÖKE KOKKU</c:v>
                </c:pt>
                <c:pt idx="1">
                  <c:v>VÕIDAME STANDARDI</c:v>
                </c:pt>
                <c:pt idx="2">
                  <c:v>KAOTAME PALLI</c:v>
                </c:pt>
              </c:strCache>
            </c:strRef>
          </c:cat>
          <c:val>
            <c:numRef>
              <c:f>(Lõppandmed!$E$261,Lõppandmed!$J$261:$K$261)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CA2-467A-9BAA-6D8F54202026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t-EE" sz="1200"/>
              <a:t>AA  </a:t>
            </a:r>
          </a:p>
          <a:p>
            <a:pPr>
              <a:defRPr sz="1200"/>
            </a:pPr>
            <a:r>
              <a:rPr lang="et-EE" sz="1200"/>
              <a:t>Pikk ülesehitus</a:t>
            </a:r>
          </a:p>
          <a:p>
            <a:pPr>
              <a:defRPr sz="1200"/>
            </a:pPr>
            <a:r>
              <a:rPr lang="et-EE" sz="1200"/>
              <a:t>Kõrge</a:t>
            </a:r>
            <a:r>
              <a:rPr lang="en-US" sz="1200"/>
              <a:t>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43F-46FD-92E9-60713629BFD5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43F-46FD-92E9-60713629BFD5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543F-46FD-92E9-60713629BFD5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(Lõppandmed!$E$258,Lõppandmed!$J$258:$K$258)</c:f>
              <c:strCache>
                <c:ptCount val="3"/>
                <c:pt idx="0">
                  <c:v>LÖÖKE KOKKU</c:v>
                </c:pt>
                <c:pt idx="1">
                  <c:v>VÕIDAME STANDARDI</c:v>
                </c:pt>
                <c:pt idx="2">
                  <c:v>KAOTAME PALLI</c:v>
                </c:pt>
              </c:strCache>
            </c:strRef>
          </c:cat>
          <c:val>
            <c:numRef>
              <c:f>(Lõppandmed!$E$262,Lõppandmed!$J$262:$K$262)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543F-46FD-92E9-60713629BFD5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t-EE" sz="1200"/>
              <a:t>DD  </a:t>
            </a:r>
          </a:p>
          <a:p>
            <a:pPr>
              <a:defRPr sz="1200"/>
            </a:pPr>
            <a:r>
              <a:rPr lang="et-EE" sz="1200"/>
              <a:t>Pikk ülesehitus</a:t>
            </a:r>
          </a:p>
          <a:p>
            <a:pPr>
              <a:defRPr sz="1200"/>
            </a:pPr>
            <a:r>
              <a:rPr lang="et-EE" sz="1200"/>
              <a:t>M</a:t>
            </a:r>
            <a:r>
              <a:rPr lang="en-US" sz="1200"/>
              <a:t>adal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08E-4C07-856D-7DF3A937BC51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08E-4C07-856D-7DF3A937BC51}"/>
              </c:ext>
            </c:extLst>
          </c:dPt>
          <c:dPt>
            <c:idx val="2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F08E-4C07-856D-7DF3A937BC51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(Lõppandmed!$Q$258,Lõppandmed!$V$258:$W$258)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(Lõppandmed!$Q$260,Lõppandmed!$V$260:$W$260)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F08E-4C07-856D-7DF3A937BC51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t-EE" sz="1200"/>
              <a:t>DD  </a:t>
            </a:r>
          </a:p>
          <a:p>
            <a:pPr>
              <a:defRPr sz="1200"/>
            </a:pPr>
            <a:r>
              <a:rPr lang="et-EE" sz="1200"/>
              <a:t>Pikk ülesehitus</a:t>
            </a:r>
          </a:p>
          <a:p>
            <a:pPr>
              <a:defRPr sz="1200"/>
            </a:pPr>
            <a:r>
              <a:rPr lang="et-EE" sz="1200"/>
              <a:t>Keskmine</a:t>
            </a:r>
            <a:r>
              <a:rPr lang="en-US" sz="1200"/>
              <a:t>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C21-4060-85C2-6329756DC6EB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C21-4060-85C2-6329756DC6EB}"/>
              </c:ext>
            </c:extLst>
          </c:dPt>
          <c:dPt>
            <c:idx val="2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C21-4060-85C2-6329756DC6EB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(Lõppandmed!$Q$258,Lõppandmed!$V$258:$W$258)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(Lõppandmed!$Q$261,Lõppandmed!$V$261:$W$261)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1C21-4060-85C2-6329756DC6EB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et-EE" sz="1200"/>
              <a:t>DD  </a:t>
            </a:r>
          </a:p>
          <a:p>
            <a:pPr>
              <a:defRPr sz="1200"/>
            </a:pPr>
            <a:r>
              <a:rPr lang="et-EE" sz="1200"/>
              <a:t>Pikk ülesehitus</a:t>
            </a:r>
          </a:p>
          <a:p>
            <a:pPr>
              <a:defRPr sz="1200"/>
            </a:pPr>
            <a:r>
              <a:rPr lang="et-EE" sz="1200"/>
              <a:t>Kõrge</a:t>
            </a:r>
            <a:r>
              <a:rPr lang="en-US" sz="1200"/>
              <a:t>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C27-4CF9-BFCF-149E421E60A2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C27-4CF9-BFCF-149E421E60A2}"/>
              </c:ext>
            </c:extLst>
          </c:dPt>
          <c:dPt>
            <c:idx val="2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C27-4CF9-BFCF-149E421E60A2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(Lõppandmed!$Q$258,Lõppandmed!$V$258:$W$258)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(Lõppandmed!$Q$262,Lõppandmed!$V$262:$W$262)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C27-4CF9-BFCF-149E421E60A2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Vasturünnak</a:t>
            </a:r>
          </a:p>
          <a:p>
            <a:pPr>
              <a:defRPr sz="1400"/>
            </a:pPr>
            <a:r>
              <a:rPr lang="et-EE" sz="1400"/>
              <a:t>Madal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7FB-482E-B665-5FA10960A9DE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7FB-482E-B665-5FA10960A9DE}"/>
              </c:ext>
            </c:extLst>
          </c:dPt>
          <c:dPt>
            <c:idx val="2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7FB-482E-B665-5FA10960A9DE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(Lõppandmed!$D$450,Lõppandmed!$I$450:$J$450)</c:f>
              <c:strCache>
                <c:ptCount val="3"/>
                <c:pt idx="0">
                  <c:v>LÖÖKE KOKKU</c:v>
                </c:pt>
                <c:pt idx="1">
                  <c:v>VÕIDAME STANDARDI</c:v>
                </c:pt>
                <c:pt idx="2">
                  <c:v>KAOTAME PALLI</c:v>
                </c:pt>
              </c:strCache>
            </c:strRef>
          </c:cat>
          <c:val>
            <c:numRef>
              <c:f>(Lõppandmed!$D$452,Lõppandmed!$I$452:$J$452)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7FB-482E-B665-5FA10960A9DE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Vasturünnak</a:t>
            </a:r>
          </a:p>
          <a:p>
            <a:pPr>
              <a:defRPr sz="1400"/>
            </a:pPr>
            <a:r>
              <a:rPr lang="et-EE" sz="1400"/>
              <a:t>Keskmine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9EB-4689-8480-5B9DD883F09C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9EB-4689-8480-5B9DD883F09C}"/>
              </c:ext>
            </c:extLst>
          </c:dPt>
          <c:dPt>
            <c:idx val="2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49EB-4689-8480-5B9DD883F09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(Lõppandmed!$D$450,Lõppandmed!$I$450:$J$450)</c:f>
              <c:strCache>
                <c:ptCount val="3"/>
                <c:pt idx="0">
                  <c:v>LÖÖKE KOKKU</c:v>
                </c:pt>
                <c:pt idx="1">
                  <c:v>VÕIDAME STANDARDI</c:v>
                </c:pt>
                <c:pt idx="2">
                  <c:v>KAOTAME PALLI</c:v>
                </c:pt>
              </c:strCache>
            </c:strRef>
          </c:cat>
          <c:val>
            <c:numRef>
              <c:f>(Lõppandmed!$D$453,Lõppandmed!$I$453:$J$453)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49EB-4689-8480-5B9DD883F09C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Vasturünnak</a:t>
            </a:r>
          </a:p>
          <a:p>
            <a:pPr>
              <a:defRPr sz="1400"/>
            </a:pPr>
            <a:r>
              <a:rPr lang="et-EE" sz="1400"/>
              <a:t>Kõrge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057-43C1-9211-B467286E822F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057-43C1-9211-B467286E822F}"/>
              </c:ext>
            </c:extLst>
          </c:dPt>
          <c:dPt>
            <c:idx val="2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057-43C1-9211-B467286E822F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(Lõppandmed!$D$450,Lõppandmed!$I$450:$J$450)</c:f>
              <c:strCache>
                <c:ptCount val="3"/>
                <c:pt idx="0">
                  <c:v>LÖÖKE KOKKU</c:v>
                </c:pt>
                <c:pt idx="1">
                  <c:v>VÕIDAME STANDARDI</c:v>
                </c:pt>
                <c:pt idx="2">
                  <c:v>KAOTAME PALLI</c:v>
                </c:pt>
              </c:strCache>
            </c:strRef>
          </c:cat>
          <c:val>
            <c:numRef>
              <c:f>(Lõppandmed!$D$454,Lõppandmed!$I$454:$J$454)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2057-43C1-9211-B467286E822F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Vasturünnak</a:t>
            </a:r>
          </a:p>
          <a:p>
            <a:pPr>
              <a:defRPr sz="1400"/>
            </a:pPr>
            <a:r>
              <a:rPr lang="et-EE" sz="1400"/>
              <a:t>Madal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52E-4D21-978F-9DD4F78C7CB0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52E-4D21-978F-9DD4F78C7CB0}"/>
              </c:ext>
            </c:extLst>
          </c:dPt>
          <c:dPt>
            <c:idx val="2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52E-4D21-978F-9DD4F78C7CB0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(Lõppandmed!$P$450,Lõppandmed!$U$450:$V$450)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(Lõppandmed!$P$452,Lõppandmed!$U$452:$V$452)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052E-4D21-978F-9DD4F78C7CB0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Vasturünnak</a:t>
            </a:r>
          </a:p>
          <a:p>
            <a:pPr>
              <a:defRPr sz="1400"/>
            </a:pPr>
            <a:r>
              <a:rPr lang="et-EE" sz="1400"/>
              <a:t>Keskmine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317-465B-9E68-3C46EBA27C4F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317-465B-9E68-3C46EBA27C4F}"/>
              </c:ext>
            </c:extLst>
          </c:dPt>
          <c:dPt>
            <c:idx val="2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317-465B-9E68-3C46EBA27C4F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(Lõppandmed!$P$450,Lõppandmed!$U$450:$V$450)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(Lõppandmed!$P$453,Lõppandmed!$U$453:$V$453)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2317-465B-9E68-3C46EBA27C4F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Vasturünnak</a:t>
            </a:r>
          </a:p>
          <a:p>
            <a:pPr>
              <a:defRPr sz="1400"/>
            </a:pPr>
            <a:r>
              <a:rPr lang="et-EE" sz="1400"/>
              <a:t>Kõrge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884-4C7F-A83B-344E1F977D5B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884-4C7F-A83B-344E1F977D5B}"/>
              </c:ext>
            </c:extLst>
          </c:dPt>
          <c:dPt>
            <c:idx val="2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884-4C7F-A83B-344E1F977D5B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(Lõppandmed!$P$450,Lõppandmed!$U$450:$V$450)</c:f>
              <c:strCache>
                <c:ptCount val="3"/>
                <c:pt idx="0">
                  <c:v>LÖÖKE KOKKU</c:v>
                </c:pt>
                <c:pt idx="1">
                  <c:v>ANNAME STANDARDI</c:v>
                </c:pt>
                <c:pt idx="2">
                  <c:v>VÕIDAME PALLI</c:v>
                </c:pt>
              </c:strCache>
            </c:strRef>
          </c:cat>
          <c:val>
            <c:numRef>
              <c:f>(Lõppandmed!$P$454,Lõppandmed!$U$454:$V$454)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884-4C7F-A83B-344E1F977D5B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Karistuslöök</a:t>
            </a:r>
          </a:p>
          <a:p>
            <a:pPr>
              <a:defRPr sz="1400"/>
            </a:pPr>
            <a:r>
              <a:rPr lang="et-EE" sz="1400"/>
              <a:t>Väga madal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7BB-470A-9A36-F3B819040A42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7BB-470A-9A36-F3B819040A42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7BB-470A-9A36-F3B819040A42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07BB-470A-9A36-F3B819040A42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07BB-470A-9A36-F3B819040A42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(Lõppandmed!$D$547,Lõppandmed!$I$547:$L$547)</c:f>
              <c:strCache>
                <c:ptCount val="5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VÕIDAME AUDI</c:v>
                </c:pt>
                <c:pt idx="4">
                  <c:v>KAOTAME PALLI</c:v>
                </c:pt>
              </c:strCache>
            </c:strRef>
          </c:cat>
          <c:val>
            <c:numRef>
              <c:f>(Lõppandmed!$D$548,Lõppandmed!$I$548:$L$548)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07BB-470A-9A36-F3B819040A42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Karistuslöök</a:t>
            </a:r>
          </a:p>
          <a:p>
            <a:pPr>
              <a:defRPr sz="1400"/>
            </a:pPr>
            <a:r>
              <a:rPr lang="et-EE" sz="1400"/>
              <a:t>Keskmine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2D1-4853-9A58-6E037D23FCB1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2D1-4853-9A58-6E037D23FCB1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2D1-4853-9A58-6E037D23FCB1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22D1-4853-9A58-6E037D23FCB1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22D1-4853-9A58-6E037D23FCB1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(Lõppandmed!$D$547,Lõppandmed!$I$547:$L$547)</c:f>
              <c:strCache>
                <c:ptCount val="5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VÕIDAME AUDI</c:v>
                </c:pt>
                <c:pt idx="4">
                  <c:v>KAOTAME PALLI</c:v>
                </c:pt>
              </c:strCache>
            </c:strRef>
          </c:cat>
          <c:val>
            <c:numRef>
              <c:f>(Lõppandmed!$D$550,Lõppandmed!$I$550:$L$550)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22D1-4853-9A58-6E037D23FCB1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Karistuslöök</a:t>
            </a:r>
          </a:p>
          <a:p>
            <a:pPr>
              <a:defRPr sz="1400"/>
            </a:pPr>
            <a:r>
              <a:rPr lang="et-EE" sz="1400"/>
              <a:t>Kõrge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9FB-4121-96B3-5D4684CB5D18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9FB-4121-96B3-5D4684CB5D18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9FB-4121-96B3-5D4684CB5D18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D9FB-4121-96B3-5D4684CB5D18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D9FB-4121-96B3-5D4684CB5D18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(Lõppandmed!$D$547,Lõppandmed!$I$547:$L$547)</c:f>
              <c:strCache>
                <c:ptCount val="5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VÕIDAME AUDI</c:v>
                </c:pt>
                <c:pt idx="4">
                  <c:v>KAOTAME PALLI</c:v>
                </c:pt>
              </c:strCache>
            </c:strRef>
          </c:cat>
          <c:val>
            <c:numRef>
              <c:f>(Lõppandmed!$D$551,Lõppandmed!$I$551:$L$551)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D9FB-4121-96B3-5D4684CB5D18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Karistuslöök</a:t>
            </a:r>
          </a:p>
          <a:p>
            <a:pPr>
              <a:defRPr sz="1400"/>
            </a:pPr>
            <a:r>
              <a:rPr lang="et-EE" sz="1400"/>
              <a:t>Madal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041-49E2-BC10-256B4F181B3F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041-49E2-BC10-256B4F181B3F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041-49E2-BC10-256B4F181B3F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2041-49E2-BC10-256B4F181B3F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(Lõppandmed!$P$547,Lõppandmed!$U$547:$X$547)</c:f>
              <c:strCache>
                <c:ptCount val="5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VÕIDAVAD AUDI</c:v>
                </c:pt>
                <c:pt idx="4">
                  <c:v>VÕIDAME PALLI</c:v>
                </c:pt>
              </c:strCache>
            </c:strRef>
          </c:cat>
          <c:val>
            <c:numRef>
              <c:f>(Lõppandmed!$P$549,Lõppandmed!$U$549:$X$549)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2041-49E2-BC10-256B4F181B3F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Karistuslöök</a:t>
            </a:r>
          </a:p>
          <a:p>
            <a:pPr>
              <a:defRPr sz="1400"/>
            </a:pPr>
            <a:r>
              <a:rPr lang="et-EE" sz="1400"/>
              <a:t>Keskmine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819-4B42-915F-B0EBEF77B5F3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819-4B42-915F-B0EBEF77B5F3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819-4B42-915F-B0EBEF77B5F3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819-4B42-915F-B0EBEF77B5F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(Lõppandmed!$P$547,Lõppandmed!$U$547:$X$547)</c:f>
              <c:strCache>
                <c:ptCount val="5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VÕIDAVAD AUDI</c:v>
                </c:pt>
                <c:pt idx="4">
                  <c:v>VÕIDAME PALLI</c:v>
                </c:pt>
              </c:strCache>
            </c:strRef>
          </c:cat>
          <c:val>
            <c:numRef>
              <c:f>(Lõppandmed!$P$550,Lõppandmed!$U$550:$X$550)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9819-4B42-915F-B0EBEF77B5F3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Karistuslöök</a:t>
            </a:r>
          </a:p>
          <a:p>
            <a:pPr>
              <a:defRPr sz="1400"/>
            </a:pPr>
            <a:r>
              <a:rPr lang="et-EE" sz="1400"/>
              <a:t>Kõrge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618-4779-8C78-3C2F76DB9D1B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618-4779-8C78-3C2F76DB9D1B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4618-4779-8C78-3C2F76DB9D1B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4618-4779-8C78-3C2F76DB9D1B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(Lõppandmed!$P$547,Lõppandmed!$U$547:$X$547)</c:f>
              <c:strCache>
                <c:ptCount val="5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VÕIDAVAD AUDI</c:v>
                </c:pt>
                <c:pt idx="4">
                  <c:v>VÕIDAME PALLI</c:v>
                </c:pt>
              </c:strCache>
            </c:strRef>
          </c:cat>
          <c:val>
            <c:numRef>
              <c:f>(Lõppandmed!$P$551,Lõppandmed!$U$551:$X$551)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4618-4779-8C78-3C2F76DB9D1B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Karistuslöök</a:t>
            </a:r>
          </a:p>
          <a:p>
            <a:pPr>
              <a:defRPr sz="1400"/>
            </a:pPr>
            <a:r>
              <a:rPr lang="et-EE" sz="1400"/>
              <a:t>Lühike-pikk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BA3-4B64-B548-CFD8D2A9AE5B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BA3-4B64-B548-CFD8D2A9AE5B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5BA3-4B64-B548-CFD8D2A9AE5B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5BA3-4B64-B548-CFD8D2A9AE5B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5BA3-4B64-B548-CFD8D2A9AE5B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(Lõppandmed!$D$595,Lõppandmed!$I$595:$L$595)</c:f>
              <c:strCache>
                <c:ptCount val="5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VÕIDAME AUDI</c:v>
                </c:pt>
                <c:pt idx="4">
                  <c:v>KAOTAME PALLI</c:v>
                </c:pt>
              </c:strCache>
            </c:strRef>
          </c:cat>
          <c:val>
            <c:numRef>
              <c:f>(Lõppandmed!$D$597,Lõppandmed!$I$597:$L$597)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5BA3-4B64-B548-CFD8D2A9AE5B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Karistuslöök</a:t>
            </a:r>
          </a:p>
          <a:p>
            <a:pPr>
              <a:defRPr sz="1400"/>
            </a:pPr>
            <a:r>
              <a:rPr lang="et-EE" sz="1400"/>
              <a:t>Pikk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460-43AF-B4CB-F18A5D068616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460-43AF-B4CB-F18A5D068616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460-43AF-B4CB-F18A5D068616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0460-43AF-B4CB-F18A5D068616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0460-43AF-B4CB-F18A5D068616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(Lõppandmed!$D$595,Lõppandmed!$I$595:$L$595)</c:f>
              <c:strCache>
                <c:ptCount val="5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VÕIDAME AUDI</c:v>
                </c:pt>
                <c:pt idx="4">
                  <c:v>KAOTAME PALLI</c:v>
                </c:pt>
              </c:strCache>
            </c:strRef>
          </c:cat>
          <c:val>
            <c:numRef>
              <c:f>(Lõppandmed!$D$598,Lõppandmed!$I$598:$L$598)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0460-43AF-B4CB-F18A5D068616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Karistuslöök</a:t>
            </a:r>
          </a:p>
          <a:p>
            <a:pPr>
              <a:defRPr sz="1400"/>
            </a:pPr>
            <a:r>
              <a:rPr lang="et-EE" sz="1400"/>
              <a:t>Lühike-pikk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4CD-40CF-BA2A-A1D4E98C8F61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4CD-40CF-BA2A-A1D4E98C8F61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4CD-40CF-BA2A-A1D4E98C8F61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4CD-40CF-BA2A-A1D4E98C8F61}"/>
              </c:ext>
            </c:extLst>
          </c:dPt>
          <c:dPt>
            <c:idx val="4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34CD-40CF-BA2A-A1D4E98C8F61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(Lõppandmed!$P$595,Lõppandmed!$U$595:$X$595)</c:f>
              <c:strCache>
                <c:ptCount val="5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VÕIDAVAD AUDI</c:v>
                </c:pt>
                <c:pt idx="4">
                  <c:v>VÕIDAME PALLI</c:v>
                </c:pt>
              </c:strCache>
            </c:strRef>
          </c:cat>
          <c:val>
            <c:numRef>
              <c:f>(Lõppandmed!$P$597,Lõppandmed!$U$597:$X$597)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34CD-40CF-BA2A-A1D4E98C8F61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Karistuslöök</a:t>
            </a:r>
          </a:p>
          <a:p>
            <a:pPr>
              <a:defRPr sz="1400"/>
            </a:pPr>
            <a:r>
              <a:rPr lang="et-EE" sz="1400"/>
              <a:t>Pikk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563-4841-9BCC-A23CA5988F01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563-4841-9BCC-A23CA5988F01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4563-4841-9BCC-A23CA5988F01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4563-4841-9BCC-A23CA5988F01}"/>
              </c:ext>
            </c:extLst>
          </c:dPt>
          <c:dPt>
            <c:idx val="4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4563-4841-9BCC-A23CA5988F01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(Lõppandmed!$P$595,Lõppandmed!$U$595:$X$595)</c:f>
              <c:strCache>
                <c:ptCount val="5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VÕIDAVAD AUDI</c:v>
                </c:pt>
                <c:pt idx="4">
                  <c:v>VÕIDAME PALLI</c:v>
                </c:pt>
              </c:strCache>
            </c:strRef>
          </c:cat>
          <c:val>
            <c:numRef>
              <c:f>(Lõppandmed!$P$598,Lõppandmed!$U$598:$X$598)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4563-4841-9BCC-A23CA5988F01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Väravalöök</a:t>
            </a:r>
          </a:p>
          <a:p>
            <a:pPr>
              <a:defRPr sz="1400"/>
            </a:pPr>
            <a:r>
              <a:rPr lang="et-EE" sz="1400"/>
              <a:t>Madal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687-4C2B-B390-04A2ACE213A1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687-4C2B-B390-04A2ACE213A1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687-4C2B-B390-04A2ACE213A1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B687-4C2B-B390-04A2ACE213A1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B687-4C2B-B390-04A2ACE213A1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(Lõppandmed!$D$697,Lõppandmed!$I$697:$L$697)</c:f>
              <c:strCache>
                <c:ptCount val="5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VÕIDAME AUDI</c:v>
                </c:pt>
                <c:pt idx="4">
                  <c:v>KAOTAME PALLI</c:v>
                </c:pt>
              </c:strCache>
            </c:strRef>
          </c:cat>
          <c:val>
            <c:numRef>
              <c:f>(Lõppandmed!$D$699,Lõppandmed!$I$699:$L$699)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B687-4C2B-B390-04A2ACE213A1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Väravalöök</a:t>
            </a:r>
          </a:p>
          <a:p>
            <a:pPr>
              <a:defRPr sz="1400"/>
            </a:pPr>
            <a:r>
              <a:rPr lang="et-EE" sz="1400"/>
              <a:t>Keskmine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0EF-4470-B16A-3E19E9C84C9D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0EF-4470-B16A-3E19E9C84C9D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F0EF-4470-B16A-3E19E9C84C9D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F0EF-4470-B16A-3E19E9C84C9D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F0EF-4470-B16A-3E19E9C84C9D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(Lõppandmed!$D$697,Lõppandmed!$I$697:$L$697)</c:f>
              <c:strCache>
                <c:ptCount val="5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VÕIDAME AUDI</c:v>
                </c:pt>
                <c:pt idx="4">
                  <c:v>KAOTAME PALLI</c:v>
                </c:pt>
              </c:strCache>
            </c:strRef>
          </c:cat>
          <c:val>
            <c:numRef>
              <c:f>(Lõppandmed!$D$700,Lõppandmed!$I$700:$L$700)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F0EF-4470-B16A-3E19E9C84C9D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Väravalöök</a:t>
            </a:r>
          </a:p>
          <a:p>
            <a:pPr>
              <a:defRPr sz="1400"/>
            </a:pPr>
            <a:r>
              <a:rPr lang="et-EE" sz="1400"/>
              <a:t>Kõrge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F41-43BD-89ED-B4177C1B8E8D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F41-43BD-89ED-B4177C1B8E8D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F41-43BD-89ED-B4177C1B8E8D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F41-43BD-89ED-B4177C1B8E8D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CF41-43BD-89ED-B4177C1B8E8D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(Lõppandmed!$D$697,Lõppandmed!$I$697:$L$697)</c:f>
              <c:strCache>
                <c:ptCount val="5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VÕIDAME AUDI</c:v>
                </c:pt>
                <c:pt idx="4">
                  <c:v>KAOTAME PALLI</c:v>
                </c:pt>
              </c:strCache>
            </c:strRef>
          </c:cat>
          <c:val>
            <c:numRef>
              <c:f>(Lõppandmed!$D$701,Lõppandmed!$I$701:$L$701)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CF41-43BD-89ED-B4177C1B8E8D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Väravalöök</a:t>
            </a:r>
          </a:p>
          <a:p>
            <a:pPr>
              <a:defRPr sz="1400"/>
            </a:pPr>
            <a:r>
              <a:rPr lang="et-EE" sz="1400"/>
              <a:t>Madal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130-49C7-9962-7C4FB7828DE1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130-49C7-9962-7C4FB7828DE1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130-49C7-9962-7C4FB7828DE1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B130-49C7-9962-7C4FB7828DE1}"/>
              </c:ext>
            </c:extLst>
          </c:dPt>
          <c:dPt>
            <c:idx val="4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B130-49C7-9962-7C4FB7828DE1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(Lõppandmed!$P$697,Lõppandmed!$U$697:$X$697)</c:f>
              <c:strCache>
                <c:ptCount val="5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VÕIDAVAD AUDI</c:v>
                </c:pt>
                <c:pt idx="4">
                  <c:v>VÕIDAME PALLI</c:v>
                </c:pt>
              </c:strCache>
            </c:strRef>
          </c:cat>
          <c:val>
            <c:numRef>
              <c:f>(Lõppandmed!$P$699,Lõppandmed!$U$699:$X$699)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B130-49C7-9962-7C4FB7828DE1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Väravalöök</a:t>
            </a:r>
          </a:p>
          <a:p>
            <a:pPr>
              <a:defRPr sz="1400"/>
            </a:pPr>
            <a:r>
              <a:rPr lang="et-EE" sz="1400"/>
              <a:t>Keskmine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4C1-4F2E-B11D-6DB429717644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4C1-4F2E-B11D-6DB429717644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4C1-4F2E-B11D-6DB429717644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B4C1-4F2E-B11D-6DB429717644}"/>
              </c:ext>
            </c:extLst>
          </c:dPt>
          <c:dPt>
            <c:idx val="4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B4C1-4F2E-B11D-6DB42971764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(Lõppandmed!$P$697,Lõppandmed!$U$697:$X$697)</c:f>
              <c:strCache>
                <c:ptCount val="5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VÕIDAVAD AUDI</c:v>
                </c:pt>
                <c:pt idx="4">
                  <c:v>VÕIDAME PALLI</c:v>
                </c:pt>
              </c:strCache>
            </c:strRef>
          </c:cat>
          <c:val>
            <c:numRef>
              <c:f>(Lõppandmed!$P$700,Lõppandmed!$U$700:$X$700)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B4C1-4F2E-B11D-6DB429717644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Väravalöök</a:t>
            </a:r>
          </a:p>
          <a:p>
            <a:pPr>
              <a:defRPr sz="1400"/>
            </a:pPr>
            <a:r>
              <a:rPr lang="et-EE" sz="1400"/>
              <a:t>Kõrge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755-420C-9ADC-8EF338CAE9EF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755-420C-9ADC-8EF338CAE9EF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755-420C-9ADC-8EF338CAE9EF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2755-420C-9ADC-8EF338CAE9EF}"/>
              </c:ext>
            </c:extLst>
          </c:dPt>
          <c:dPt>
            <c:idx val="4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2755-420C-9ADC-8EF338CAE9EF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(Lõppandmed!$P$697,Lõppandmed!$U$697:$X$697)</c:f>
              <c:strCache>
                <c:ptCount val="5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VÕIDAVAD AUDI</c:v>
                </c:pt>
                <c:pt idx="4">
                  <c:v>VÕIDAME PALLI</c:v>
                </c:pt>
              </c:strCache>
            </c:strRef>
          </c:cat>
          <c:val>
            <c:numRef>
              <c:f>(Lõppandmed!$P$701,Lõppandmed!$U$701:$X$701)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2755-420C-9ADC-8EF338CAE9EF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Väravalöök</a:t>
            </a:r>
          </a:p>
          <a:p>
            <a:pPr>
              <a:defRPr sz="1400"/>
            </a:pPr>
            <a:r>
              <a:rPr lang="et-EE" sz="1400"/>
              <a:t>Lühike-pikk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86D-4B00-8DDF-E85F9E1A835E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86D-4B00-8DDF-E85F9E1A835E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86D-4B00-8DDF-E85F9E1A835E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86D-4B00-8DDF-E85F9E1A835E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C86D-4B00-8DDF-E85F9E1A835E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(Lõppandmed!$D$745,Lõppandmed!$I$745:$L$745)</c:f>
              <c:strCache>
                <c:ptCount val="5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VÕIDAME AUDI</c:v>
                </c:pt>
                <c:pt idx="4">
                  <c:v>KAOTAME PALLI</c:v>
                </c:pt>
              </c:strCache>
            </c:strRef>
          </c:cat>
          <c:val>
            <c:numRef>
              <c:f>(Lõppandmed!$D$747,Lõppandmed!$I$747:$L$747)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C86D-4B00-8DDF-E85F9E1A835E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Väravalöök</a:t>
            </a:r>
          </a:p>
          <a:p>
            <a:pPr>
              <a:defRPr sz="1400"/>
            </a:pPr>
            <a:r>
              <a:rPr lang="et-EE" sz="1400"/>
              <a:t>Pikk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512-40DF-AD9C-4D1A931600C6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512-40DF-AD9C-4D1A931600C6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512-40DF-AD9C-4D1A931600C6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7512-40DF-AD9C-4D1A931600C6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7512-40DF-AD9C-4D1A931600C6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(Lõppandmed!$D$745,Lõppandmed!$I$745:$L$745)</c:f>
              <c:strCache>
                <c:ptCount val="5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VÕIDAME AUDI</c:v>
                </c:pt>
                <c:pt idx="4">
                  <c:v>KAOTAME PALLI</c:v>
                </c:pt>
              </c:strCache>
            </c:strRef>
          </c:cat>
          <c:val>
            <c:numRef>
              <c:f>(Lõppandmed!$D$748,Lõppandmed!$I$748:$L$748)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7512-40DF-AD9C-4D1A931600C6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Väravalöök</a:t>
            </a:r>
          </a:p>
          <a:p>
            <a:pPr>
              <a:defRPr sz="1400"/>
            </a:pPr>
            <a:r>
              <a:rPr lang="et-EE" sz="1400"/>
              <a:t>Lühike-pikk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0AA-4FB7-B6F0-79723CD69E02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0AA-4FB7-B6F0-79723CD69E02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0AA-4FB7-B6F0-79723CD69E02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20AA-4FB7-B6F0-79723CD69E02}"/>
              </c:ext>
            </c:extLst>
          </c:dPt>
          <c:dPt>
            <c:idx val="4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20AA-4FB7-B6F0-79723CD69E02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(Lõppandmed!$P$745,Lõppandmed!$U$745:$X$745)</c:f>
              <c:strCache>
                <c:ptCount val="5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VÕIDAVAD AUDI</c:v>
                </c:pt>
                <c:pt idx="4">
                  <c:v>VÕIDAME PALLI</c:v>
                </c:pt>
              </c:strCache>
            </c:strRef>
          </c:cat>
          <c:val>
            <c:numRef>
              <c:f>(Lõppandmed!$P$747,Lõppandmed!$U$747:$X$747)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20AA-4FB7-B6F0-79723CD69E02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Väravalöök</a:t>
            </a:r>
          </a:p>
          <a:p>
            <a:pPr>
              <a:defRPr sz="1400"/>
            </a:pPr>
            <a:r>
              <a:rPr lang="et-EE" sz="1400"/>
              <a:t>Pikk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799-41CA-BF38-72100F403827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799-41CA-BF38-72100F403827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799-41CA-BF38-72100F403827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0799-41CA-BF38-72100F403827}"/>
              </c:ext>
            </c:extLst>
          </c:dPt>
          <c:dPt>
            <c:idx val="4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0799-41CA-BF38-72100F403827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(Lõppandmed!$P$745,Lõppandmed!$U$745:$X$745)</c:f>
              <c:strCache>
                <c:ptCount val="5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VÕIDAVAD AUDI</c:v>
                </c:pt>
                <c:pt idx="4">
                  <c:v>VÕIDAME PALLI</c:v>
                </c:pt>
              </c:strCache>
            </c:strRef>
          </c:cat>
          <c:val>
            <c:numRef>
              <c:f>(Lõppandmed!$P$748,Lõppandmed!$U$748:$X$748)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0799-41CA-BF38-72100F403827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Väravahi löök</a:t>
            </a:r>
          </a:p>
          <a:p>
            <a:pPr>
              <a:defRPr sz="1400"/>
            </a:pPr>
            <a:r>
              <a:rPr lang="et-EE" sz="1400"/>
              <a:t>Madal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5B1-4B52-9EC8-9BD15EEE551D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5B1-4B52-9EC8-9BD15EEE551D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55B1-4B52-9EC8-9BD15EEE551D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55B1-4B52-9EC8-9BD15EEE551D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55B1-4B52-9EC8-9BD15EEE551D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(Lõppandmed!$D$848,Lõppandmed!$I$848:$L$848)</c:f>
              <c:strCache>
                <c:ptCount val="5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VÕIDAME AUDI</c:v>
                </c:pt>
                <c:pt idx="4">
                  <c:v>KAOTAME PALLI</c:v>
                </c:pt>
              </c:strCache>
            </c:strRef>
          </c:cat>
          <c:val>
            <c:numRef>
              <c:f>(Lõppandmed!$D$850,Lõppandmed!$I$850:$L$850)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55B1-4B52-9EC8-9BD15EEE551D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Väravahi löök</a:t>
            </a:r>
          </a:p>
          <a:p>
            <a:pPr>
              <a:defRPr sz="1400"/>
            </a:pPr>
            <a:r>
              <a:rPr lang="et-EE" sz="1400"/>
              <a:t>Keskmine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CE0-4FF1-88D1-2BBF93CE1FED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CE0-4FF1-88D1-2BBF93CE1FED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CE0-4FF1-88D1-2BBF93CE1FED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2CE0-4FF1-88D1-2BBF93CE1FED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2CE0-4FF1-88D1-2BBF93CE1FED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(Lõppandmed!$D$848,Lõppandmed!$I$848:$L$848)</c:f>
              <c:strCache>
                <c:ptCount val="5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VÕIDAME AUDI</c:v>
                </c:pt>
                <c:pt idx="4">
                  <c:v>KAOTAME PALLI</c:v>
                </c:pt>
              </c:strCache>
            </c:strRef>
          </c:cat>
          <c:val>
            <c:numRef>
              <c:f>(Lõppandmed!$D$851,Lõppandmed!$I$851:$L$851)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2CE0-4FF1-88D1-2BBF93CE1FED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Väravahi löök</a:t>
            </a:r>
          </a:p>
          <a:p>
            <a:pPr>
              <a:defRPr sz="1400"/>
            </a:pPr>
            <a:r>
              <a:rPr lang="et-EE" sz="1400"/>
              <a:t>Kõrge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E60-481F-9C1A-335F9778ACFD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E60-481F-9C1A-335F9778ACFD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5E60-481F-9C1A-335F9778ACFD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5E60-481F-9C1A-335F9778ACFD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5E60-481F-9C1A-335F9778ACFD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(Lõppandmed!$D$848,Lõppandmed!$I$848:$L$848)</c:f>
              <c:strCache>
                <c:ptCount val="5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VÕIDAME AUDI</c:v>
                </c:pt>
                <c:pt idx="4">
                  <c:v>KAOTAME PALLI</c:v>
                </c:pt>
              </c:strCache>
            </c:strRef>
          </c:cat>
          <c:val>
            <c:numRef>
              <c:f>(Lõppandmed!$D$852,Lõppandmed!$I$852:$L$852)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5E60-481F-9C1A-335F9778ACFD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Väravahi</a:t>
            </a:r>
            <a:r>
              <a:rPr lang="et-EE" sz="1400" baseline="0"/>
              <a:t> </a:t>
            </a:r>
            <a:r>
              <a:rPr lang="et-EE" sz="1400"/>
              <a:t>löök</a:t>
            </a:r>
          </a:p>
          <a:p>
            <a:pPr>
              <a:defRPr sz="1400"/>
            </a:pPr>
            <a:r>
              <a:rPr lang="et-EE" sz="1400"/>
              <a:t>Madal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E58-4296-8D23-EC0477B39781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E58-4296-8D23-EC0477B39781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E58-4296-8D23-EC0477B39781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1E58-4296-8D23-EC0477B39781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(Lõppandmed!$P$848,Lõppandmed!$U$848:$X$848)</c:f>
              <c:strCache>
                <c:ptCount val="5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VÕIDAVAD AUDI</c:v>
                </c:pt>
                <c:pt idx="4">
                  <c:v>VÕIDAME PALLI</c:v>
                </c:pt>
              </c:strCache>
            </c:strRef>
          </c:cat>
          <c:val>
            <c:numRef>
              <c:f>(Lõppandmed!$P$850,Lõppandmed!$U$850:$X$850)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1E58-4296-8D23-EC0477B39781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Väravahi</a:t>
            </a:r>
            <a:r>
              <a:rPr lang="et-EE" sz="1400" baseline="0"/>
              <a:t> </a:t>
            </a:r>
            <a:r>
              <a:rPr lang="et-EE" sz="1400"/>
              <a:t>löök</a:t>
            </a:r>
          </a:p>
          <a:p>
            <a:pPr>
              <a:defRPr sz="1400"/>
            </a:pPr>
            <a:r>
              <a:rPr lang="et-EE" sz="1400"/>
              <a:t>Keskmine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422-4CFA-B3AF-A602D9AFB090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422-4CFA-B3AF-A602D9AFB090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422-4CFA-B3AF-A602D9AFB090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422-4CFA-B3AF-A602D9AFB090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(Lõppandmed!$P$848,Lõppandmed!$U$848:$X$848)</c:f>
              <c:strCache>
                <c:ptCount val="5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VÕIDAVAD AUDI</c:v>
                </c:pt>
                <c:pt idx="4">
                  <c:v>VÕIDAME PALLI</c:v>
                </c:pt>
              </c:strCache>
            </c:strRef>
          </c:cat>
          <c:val>
            <c:numRef>
              <c:f>(Lõppandmed!$P$851,Lõppandmed!$U$851:$X$851)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E422-4CFA-B3AF-A602D9AFB090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Väravahi</a:t>
            </a:r>
            <a:r>
              <a:rPr lang="et-EE" sz="1400" baseline="0"/>
              <a:t> </a:t>
            </a:r>
            <a:r>
              <a:rPr lang="et-EE" sz="1400"/>
              <a:t>löök</a:t>
            </a:r>
          </a:p>
          <a:p>
            <a:pPr>
              <a:defRPr sz="1400"/>
            </a:pPr>
            <a:r>
              <a:rPr lang="et-EE" sz="1400"/>
              <a:t>Kõrge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115-4F09-A1B0-2B566FD29378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115-4F09-A1B0-2B566FD29378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115-4F09-A1B0-2B566FD29378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7115-4F09-A1B0-2B566FD29378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(Lõppandmed!$P$848,Lõppandmed!$U$848:$X$848)</c:f>
              <c:strCache>
                <c:ptCount val="5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VÕIDAVAD AUDI</c:v>
                </c:pt>
                <c:pt idx="4">
                  <c:v>VÕIDAME PALLI</c:v>
                </c:pt>
              </c:strCache>
            </c:strRef>
          </c:cat>
          <c:val>
            <c:numRef>
              <c:f>(Lõppandmed!$P$852,Lõppandmed!$U$852:$X$852)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115-4F09-A1B0-2B566FD29378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Väravahi löök</a:t>
            </a:r>
          </a:p>
          <a:p>
            <a:pPr>
              <a:defRPr sz="1400"/>
            </a:pPr>
            <a:r>
              <a:rPr lang="et-EE" sz="1400"/>
              <a:t>Lühike-pikk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89A-4638-88DE-D73A29268C84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89A-4638-88DE-D73A29268C84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89A-4638-88DE-D73A29268C84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89A-4638-88DE-D73A29268C84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C89A-4638-88DE-D73A29268C8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(Lõppandmed!$D$895,Lõppandmed!$I$895:$L$895)</c:f>
              <c:strCache>
                <c:ptCount val="5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VÕIDAME AUDI</c:v>
                </c:pt>
                <c:pt idx="4">
                  <c:v>KAOTAME PALLI</c:v>
                </c:pt>
              </c:strCache>
            </c:strRef>
          </c:cat>
          <c:val>
            <c:numRef>
              <c:f>(Lõppandmed!$D$897,Lõppandmed!$I$897:$L$897)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C89A-4638-88DE-D73A29268C84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Väravahi löök</a:t>
            </a:r>
          </a:p>
          <a:p>
            <a:pPr>
              <a:defRPr sz="1400"/>
            </a:pPr>
            <a:r>
              <a:rPr lang="et-EE" sz="1400"/>
              <a:t>Pikk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8DD-4909-A926-147DB451670A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8DD-4909-A926-147DB451670A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8DD-4909-A926-147DB451670A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8DD-4909-A926-147DB451670A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C8DD-4909-A926-147DB451670A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(Lõppandmed!$D$895,Lõppandmed!$I$895:$L$895)</c:f>
              <c:strCache>
                <c:ptCount val="5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VÕIDAME AUDI</c:v>
                </c:pt>
                <c:pt idx="4">
                  <c:v>KAOTAME PALLI</c:v>
                </c:pt>
              </c:strCache>
            </c:strRef>
          </c:cat>
          <c:val>
            <c:numRef>
              <c:f>(Lõppandmed!$D$898,Lõppandmed!$I$898:$L$898)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C8DD-4909-A926-147DB451670A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Väravahi löök</a:t>
            </a:r>
          </a:p>
          <a:p>
            <a:pPr>
              <a:defRPr sz="1400"/>
            </a:pPr>
            <a:r>
              <a:rPr lang="et-EE" sz="1400"/>
              <a:t>Lühike-pikk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FE8-4752-ABD0-31AAB5DC143F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FE8-4752-ABD0-31AAB5DC143F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FFE8-4752-ABD0-31AAB5DC143F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FFE8-4752-ABD0-31AAB5DC143F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(Lõppandmed!$P$895,Lõppandmed!$U$895:$X$895)</c:f>
              <c:strCache>
                <c:ptCount val="5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VÕIDAVAD AUDI</c:v>
                </c:pt>
                <c:pt idx="4">
                  <c:v>VÕIDAME PALLI</c:v>
                </c:pt>
              </c:strCache>
            </c:strRef>
          </c:cat>
          <c:val>
            <c:numRef>
              <c:f>(Lõppandmed!$P$897,Lõppandmed!$U$897:$X$897)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FFE8-4752-ABD0-31AAB5DC143F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Väravahi löök</a:t>
            </a:r>
          </a:p>
          <a:p>
            <a:pPr>
              <a:defRPr sz="1400"/>
            </a:pPr>
            <a:r>
              <a:rPr lang="et-EE" sz="1400"/>
              <a:t>Pikk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A3A-49B1-9543-CDDA27C178C3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A3A-49B1-9543-CDDA27C178C3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A3A-49B1-9543-CDDA27C178C3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A3A-49B1-9543-CDDA27C178C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(Lõppandmed!$P$895,Lõppandmed!$U$895:$X$895)</c:f>
              <c:strCache>
                <c:ptCount val="5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VÕIDAVAD AUDI</c:v>
                </c:pt>
                <c:pt idx="4">
                  <c:v>VÕIDAME PALLI</c:v>
                </c:pt>
              </c:strCache>
            </c:strRef>
          </c:cat>
          <c:val>
            <c:numRef>
              <c:f>(Lõppandmed!$P$898,Lõppandmed!$U$898:$X$898)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9A3A-49B1-9543-CDDA27C178C3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Audivise</a:t>
            </a:r>
          </a:p>
          <a:p>
            <a:pPr>
              <a:defRPr sz="1400"/>
            </a:pPr>
            <a:r>
              <a:rPr lang="et-EE" sz="1400"/>
              <a:t>Madal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0C2-4787-83F1-C74E99C6F709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0C2-4787-83F1-C74E99C6F709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0C2-4787-83F1-C74E99C6F709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70C2-4787-83F1-C74E99C6F709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70C2-4787-83F1-C74E99C6F70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(Lõppandmed!$D$997,Lõppandmed!$I$997:$L$997)</c:f>
              <c:strCache>
                <c:ptCount val="5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VÕIDAME AUDI</c:v>
                </c:pt>
                <c:pt idx="4">
                  <c:v>KAOTAME PALLI</c:v>
                </c:pt>
              </c:strCache>
            </c:strRef>
          </c:cat>
          <c:val>
            <c:numRef>
              <c:f>(Lõppandmed!$D$999,Lõppandmed!$I$999:$L$999)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70C2-4787-83F1-C74E99C6F709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Audivise</a:t>
            </a:r>
          </a:p>
          <a:p>
            <a:pPr>
              <a:defRPr sz="1400"/>
            </a:pPr>
            <a:r>
              <a:rPr lang="et-EE" sz="1400"/>
              <a:t>Keskmine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ADE-469D-A2B3-EE00E3647B30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ADE-469D-A2B3-EE00E3647B30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ADE-469D-A2B3-EE00E3647B30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1ADE-469D-A2B3-EE00E3647B30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1ADE-469D-A2B3-EE00E3647B30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(Lõppandmed!$D$997,Lõppandmed!$I$997:$L$997)</c:f>
              <c:strCache>
                <c:ptCount val="5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VÕIDAME AUDI</c:v>
                </c:pt>
                <c:pt idx="4">
                  <c:v>KAOTAME PALLI</c:v>
                </c:pt>
              </c:strCache>
            </c:strRef>
          </c:cat>
          <c:val>
            <c:numRef>
              <c:f>(Lõppandmed!$D$1000,Lõppandmed!$I$1000:$L$1000)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1ADE-469D-A2B3-EE00E3647B30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Audivise</a:t>
            </a:r>
          </a:p>
          <a:p>
            <a:pPr>
              <a:defRPr sz="1400"/>
            </a:pPr>
            <a:r>
              <a:rPr lang="et-EE" sz="1400"/>
              <a:t>Kõrge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F01-4A85-B3BF-85DEE70FD2E4}"/>
              </c:ext>
            </c:extLst>
          </c:dPt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F01-4A85-B3BF-85DEE70FD2E4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F01-4A85-B3BF-85DEE70FD2E4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2F01-4A85-B3BF-85DEE70FD2E4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2F01-4A85-B3BF-85DEE70FD2E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(Lõppandmed!$D$997,Lõppandmed!$I$997:$L$997)</c:f>
              <c:strCache>
                <c:ptCount val="5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VÕIDAME AUDI</c:v>
                </c:pt>
                <c:pt idx="4">
                  <c:v>KAOTAME PALLI</c:v>
                </c:pt>
              </c:strCache>
            </c:strRef>
          </c:cat>
          <c:val>
            <c:numRef>
              <c:f>(Lõppandmed!$D$1001,Lõppandmed!$I$1001:$L$1001)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2F01-4A85-B3BF-85DEE70FD2E4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Audivise</a:t>
            </a:r>
          </a:p>
          <a:p>
            <a:pPr>
              <a:defRPr sz="1400"/>
            </a:pPr>
            <a:r>
              <a:rPr lang="et-EE" sz="1400"/>
              <a:t>Madal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5F9-445E-AF95-022134F63C09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5F9-445E-AF95-022134F63C09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5F9-445E-AF95-022134F63C09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15F9-445E-AF95-022134F63C09}"/>
              </c:ext>
            </c:extLst>
          </c:dPt>
          <c:dPt>
            <c:idx val="4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15F9-445E-AF95-022134F63C0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(Lõppandmed!$P$997,Lõppandmed!$U$997:$X$997)</c:f>
              <c:strCache>
                <c:ptCount val="5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VÕIDAVAD AUDI</c:v>
                </c:pt>
                <c:pt idx="4">
                  <c:v>VÕIDAME PALLI</c:v>
                </c:pt>
              </c:strCache>
            </c:strRef>
          </c:cat>
          <c:val>
            <c:numRef>
              <c:f>(Lõppandmed!$P$999,Lõppandmed!$U$999:$X$999)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15F9-445E-AF95-022134F63C09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Audivise</a:t>
            </a:r>
          </a:p>
          <a:p>
            <a:pPr>
              <a:defRPr sz="1400"/>
            </a:pPr>
            <a:r>
              <a:rPr lang="et-EE" sz="1400"/>
              <a:t>Keskmine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9A9-4EFA-8CEC-19972910AC84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9A9-4EFA-8CEC-19972910AC84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9A9-4EFA-8CEC-19972910AC84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19A9-4EFA-8CEC-19972910AC84}"/>
              </c:ext>
            </c:extLst>
          </c:dPt>
          <c:dPt>
            <c:idx val="4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19A9-4EFA-8CEC-19972910AC8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(Lõppandmed!$P$997,Lõppandmed!$U$997:$X$997)</c:f>
              <c:strCache>
                <c:ptCount val="5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VÕIDAVAD AUDI</c:v>
                </c:pt>
                <c:pt idx="4">
                  <c:v>VÕIDAME PALLI</c:v>
                </c:pt>
              </c:strCache>
            </c:strRef>
          </c:cat>
          <c:val>
            <c:numRef>
              <c:f>(Lõppandmed!$P$1000,Lõppandmed!$U$1000:$X$1000)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19A9-4EFA-8CEC-19972910AC84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Audivise</a:t>
            </a:r>
          </a:p>
          <a:p>
            <a:pPr>
              <a:defRPr sz="1400"/>
            </a:pPr>
            <a:r>
              <a:rPr lang="et-EE" sz="1400"/>
              <a:t>Kõrge press</a:t>
            </a:r>
            <a:endParaRPr lang="en-US" sz="1400"/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319-4FEF-8D4A-E2959C2A352E}"/>
              </c:ext>
            </c:extLst>
          </c:dPt>
          <c:dPt>
            <c:idx val="1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319-4FEF-8D4A-E2959C2A352E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319-4FEF-8D4A-E2959C2A352E}"/>
              </c:ext>
            </c:extLst>
          </c:dPt>
          <c:dPt>
            <c:idx val="3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D319-4FEF-8D4A-E2959C2A352E}"/>
              </c:ext>
            </c:extLst>
          </c:dPt>
          <c:dPt>
            <c:idx val="4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D319-4FEF-8D4A-E2959C2A352E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(Lõppandmed!$P$997,Lõppandmed!$U$997:$X$997)</c:f>
              <c:strCache>
                <c:ptCount val="5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VÕIDAVAD AUDI</c:v>
                </c:pt>
                <c:pt idx="4">
                  <c:v>VÕIDAME PALLI</c:v>
                </c:pt>
              </c:strCache>
            </c:strRef>
          </c:cat>
          <c:val>
            <c:numRef>
              <c:f>(Lõppandmed!$P$1001,Lõppandmed!$U$1001:$X$1001)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D319-4FEF-8D4A-E2959C2A352E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1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1B0-43BB-8E4C-5BF97AC1BE2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(Lõppandmed!$P$1458:$Q$1458,Lõppandmed!$S$1458:$W$1458)</c:f>
              <c:strCache>
                <c:ptCount val="7"/>
                <c:pt idx="0">
                  <c:v>Nurga- löök</c:v>
                </c:pt>
                <c:pt idx="1">
                  <c:v>Audivise</c:v>
                </c:pt>
                <c:pt idx="2">
                  <c:v>Karistus- löök</c:v>
                </c:pt>
                <c:pt idx="3">
                  <c:v>Värava- löök</c:v>
                </c:pt>
                <c:pt idx="4">
                  <c:v>Väravavahi alustamine</c:v>
                </c:pt>
                <c:pt idx="5">
                  <c:v>Penalt</c:v>
                </c:pt>
                <c:pt idx="6">
                  <c:v>Karistus- löök (otse)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Lõppandmed!$P$1458:$W$1458</c15:sqref>
                  </c15:fullRef>
                </c:ext>
              </c:extLst>
            </c:strRef>
          </c:cat>
          <c:val>
            <c:numRef>
              <c:f>(Lõppandmed!$P$1459:$Q$1459,Lõppandmed!$S$1459:$W$1459)</c:f>
              <c:numCache>
                <c:formatCode>0%</c:formatCode>
                <c:ptCount val="7"/>
                <c:pt idx="0">
                  <c:v>0.13636363636363635</c:v>
                </c:pt>
                <c:pt idx="1">
                  <c:v>0.59090909090909094</c:v>
                </c:pt>
                <c:pt idx="2">
                  <c:v>0.13636363636363635</c:v>
                </c:pt>
                <c:pt idx="3">
                  <c:v>4.5454545454545456E-2</c:v>
                </c:pt>
                <c:pt idx="4">
                  <c:v>4.5454545454545456E-2</c:v>
                </c:pt>
                <c:pt idx="5">
                  <c:v>0</c:v>
                </c:pt>
                <c:pt idx="6">
                  <c:v>4.5454545454545456E-2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Lõppandmed!$P$1459:$W$1459</c15:sqref>
                  </c15:fullRef>
                </c:ext>
              </c:extLst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1B0-43BB-8E4C-5BF97AC1BE24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1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0F5-40E1-B78E-5996E377423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(Lõppandmed!$D$1310:$E$1310,Lõppandmed!$G$1310:$K$1310)</c:f>
              <c:strCache>
                <c:ptCount val="7"/>
                <c:pt idx="0">
                  <c:v>Nurga- löök</c:v>
                </c:pt>
                <c:pt idx="1">
                  <c:v>Audivise</c:v>
                </c:pt>
                <c:pt idx="2">
                  <c:v>Karistus- löök</c:v>
                </c:pt>
                <c:pt idx="3">
                  <c:v>Värava- löök</c:v>
                </c:pt>
                <c:pt idx="4">
                  <c:v>Väravavahi alustamine</c:v>
                </c:pt>
                <c:pt idx="5">
                  <c:v>Penalt</c:v>
                </c:pt>
                <c:pt idx="6">
                  <c:v>Karistus- löök (otse)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Lõppandmed!$D$1310:$K$1310</c15:sqref>
                  </c15:fullRef>
                </c:ext>
              </c:extLst>
            </c:strRef>
          </c:cat>
          <c:val>
            <c:numRef>
              <c:f>(Lõppandmed!$D$1311:$E$1311,Lõppandmed!$G$1311:$K$1311)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Lõppandmed!$D$1311:$K$1311</c15:sqref>
                  </c15:fullRef>
                </c:ext>
              </c:extLst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5-40E1-B78E-5996E377423C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1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40D-41DC-B2F7-27B11C8E6EDE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(Lõppandmed!$P$1310:$Q$1310,Lõppandmed!$S$1310:$W$1310)</c:f>
              <c:strCache>
                <c:ptCount val="7"/>
                <c:pt idx="0">
                  <c:v>Nurga- löök</c:v>
                </c:pt>
                <c:pt idx="1">
                  <c:v>Audivise</c:v>
                </c:pt>
                <c:pt idx="2">
                  <c:v>Karistus- löök</c:v>
                </c:pt>
                <c:pt idx="3">
                  <c:v>Värava- löök</c:v>
                </c:pt>
                <c:pt idx="4">
                  <c:v>Väravavahi alustamine</c:v>
                </c:pt>
                <c:pt idx="5">
                  <c:v>Penalt</c:v>
                </c:pt>
                <c:pt idx="6">
                  <c:v>Karistus- löök (otse)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Lõppandmed!$P$1310:$W$1310</c15:sqref>
                  </c15:fullRef>
                </c:ext>
              </c:extLst>
            </c:strRef>
          </c:cat>
          <c:val>
            <c:numRef>
              <c:f>(Lõppandmed!$P$1311:$Q$1311,Lõppandmed!$S$1311:$W$1311)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Lõppandmed!$P$1311:$W$1311</c15:sqref>
                  </c15:fullRef>
                </c:ext>
              </c:extLst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40D-41DC-B2F7-27B11C8E6EDE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(Lõppandmed!$E$1164,Lõppandmed!$G$1164:$I$1164)</c:f>
              <c:strCache>
                <c:ptCount val="4"/>
                <c:pt idx="0">
                  <c:v>Audivise</c:v>
                </c:pt>
                <c:pt idx="1">
                  <c:v>Karistus- löök</c:v>
                </c:pt>
                <c:pt idx="2">
                  <c:v>Värava- löök</c:v>
                </c:pt>
                <c:pt idx="3">
                  <c:v>Väravavahi alustamine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Lõppandmed!$D$1164:$K$1164</c15:sqref>
                  </c15:fullRef>
                </c:ext>
              </c:extLst>
            </c:strRef>
          </c:cat>
          <c:val>
            <c:numRef>
              <c:f>(Lõppandmed!$E$1165,Lõppandmed!$G$1165:$I$1165)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Lõppandmed!$D$1165:$K$1165</c15:sqref>
                  </c15:fullRef>
                </c:ext>
              </c:extLst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categoryFilterExceptions>
                <c15:categoryFilterException>
                  <c15:sqref>Lõppandmed!$D$1165</c15:sqref>
                  <c15:spPr xmlns:c15="http://schemas.microsoft.com/office/drawing/2012/chart">
                    <a:solidFill>
                      <a:schemeClr val="accent1">
                        <a:lumMod val="20000"/>
                        <a:lumOff val="80000"/>
                      </a:schemeClr>
                    </a:solidFill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1ADB-4199-B0B4-C2211C585589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(Lõppandmed!$Q$1164,Lõppandmed!$S$1164:$U$1164)</c:f>
              <c:strCache>
                <c:ptCount val="4"/>
                <c:pt idx="0">
                  <c:v>Audivise</c:v>
                </c:pt>
                <c:pt idx="1">
                  <c:v>Karistus- löök</c:v>
                </c:pt>
                <c:pt idx="2">
                  <c:v>Värava- löök</c:v>
                </c:pt>
                <c:pt idx="3">
                  <c:v>Väravavahi alustamine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Lõppandmed!$P$1164:$W$1164</c15:sqref>
                  </c15:fullRef>
                </c:ext>
              </c:extLst>
            </c:strRef>
          </c:cat>
          <c:val>
            <c:numRef>
              <c:f>(Lõppandmed!$Q$1165,Lõppandmed!$S$1165:$U$1165)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Lõppandmed!$P$1165:$W$1165</c15:sqref>
                  </c15:fullRef>
                </c:ext>
              </c:extLst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categoryFilterExceptions>
                <c15:categoryFilterException>
                  <c15:sqref>Lõppandmed!$P$1165</c15:sqref>
                  <c15:spPr xmlns:c15="http://schemas.microsoft.com/office/drawing/2012/chart">
                    <a:solidFill>
                      <a:schemeClr val="accent1">
                        <a:lumMod val="20000"/>
                        <a:lumOff val="80000"/>
                      </a:schemeClr>
                    </a:solidFill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1CA0-4BCF-8D2E-4C90DC212378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DA</a:t>
            </a:r>
          </a:p>
          <a:p>
            <a:pPr>
              <a:defRPr sz="1400"/>
            </a:pPr>
            <a:r>
              <a:rPr lang="et-EE" sz="1400"/>
              <a:t>Väga madal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B84-4185-B97A-4ABF7207A994}"/>
              </c:ext>
            </c:extLst>
          </c:dPt>
          <c:dPt>
            <c:idx val="1"/>
            <c:spPr>
              <a:solidFill>
                <a:schemeClr val="accent1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B84-4185-B97A-4ABF7207A994}"/>
              </c:ext>
            </c:extLst>
          </c:dPt>
          <c:dPt>
            <c:idx val="2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B84-4185-B97A-4ABF7207A994}"/>
              </c:ext>
            </c:extLst>
          </c:dPt>
          <c:dPt>
            <c:idx val="3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B84-4185-B97A-4ABF7207A99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(Lõppandmed!$E$355,Lõppandmed!$J$355:$L$355)</c:f>
              <c:strCache>
                <c:ptCount val="4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KAOTAME PALLI</c:v>
                </c:pt>
              </c:strCache>
            </c:strRef>
          </c:cat>
          <c:val>
            <c:numRef>
              <c:f>(Lõppandmed!$E$356,Lõppandmed!$J$356:$L$356)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EB84-4185-B97A-4ABF7207A994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D</a:t>
            </a:r>
            <a:r>
              <a:rPr lang="en-US" sz="1400"/>
              <a:t>A </a:t>
            </a:r>
            <a:endParaRPr lang="et-EE" sz="1400"/>
          </a:p>
          <a:p>
            <a:pPr>
              <a:defRPr sz="1400"/>
            </a:pPr>
            <a:r>
              <a:rPr lang="en-US" sz="1400"/>
              <a:t>Keskmine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CD1-4837-B69B-5BBB267D1085}"/>
              </c:ext>
            </c:extLst>
          </c:dPt>
          <c:dPt>
            <c:idx val="1"/>
            <c:spPr>
              <a:solidFill>
                <a:schemeClr val="accent1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CD1-4837-B69B-5BBB267D1085}"/>
              </c:ext>
            </c:extLst>
          </c:dPt>
          <c:dPt>
            <c:idx val="2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CD1-4837-B69B-5BBB267D1085}"/>
              </c:ext>
            </c:extLst>
          </c:dPt>
          <c:dPt>
            <c:idx val="3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CD1-4837-B69B-5BBB267D1085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(Lõppandmed!$E$355,Lõppandmed!$J$355:$L$355)</c:f>
              <c:strCache>
                <c:ptCount val="4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KAOTAME PALLI</c:v>
                </c:pt>
              </c:strCache>
            </c:strRef>
          </c:cat>
          <c:val>
            <c:numRef>
              <c:f>(Lõppandmed!$E$358,Lõppandmed!$J$358:$L$358)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ACD1-4837-B69B-5BBB267D1085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t-EE" sz="1400"/>
              <a:t>DA  </a:t>
            </a:r>
          </a:p>
          <a:p>
            <a:pPr>
              <a:defRPr/>
            </a:pPr>
            <a:r>
              <a:rPr lang="en-US" sz="1400"/>
              <a:t>Madal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9B6-4948-BB22-26A20FF02877}"/>
              </c:ext>
            </c:extLst>
          </c:dPt>
          <c:dPt>
            <c:idx val="1"/>
            <c:spPr>
              <a:solidFill>
                <a:schemeClr val="accent1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9B6-4948-BB22-26A20FF02877}"/>
              </c:ext>
            </c:extLst>
          </c:dPt>
          <c:dPt>
            <c:idx val="2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solidFill>
                  <a:schemeClr val="accent1">
                    <a:lumMod val="60000"/>
                    <a:lumOff val="4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9B6-4948-BB22-26A20FF02877}"/>
              </c:ext>
            </c:extLst>
          </c:dPt>
          <c:dPt>
            <c:idx val="3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9B6-4948-BB22-26A20FF02877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(Lõppandmed!$E$355,Lõppandmed!$J$355:$L$355)</c:f>
              <c:strCache>
                <c:ptCount val="4"/>
                <c:pt idx="0">
                  <c:v>LÖÖKE KOKKU</c:v>
                </c:pt>
                <c:pt idx="1">
                  <c:v>VÕIDAME STANDARDI</c:v>
                </c:pt>
                <c:pt idx="2">
                  <c:v>HOIAME PALLI</c:v>
                </c:pt>
                <c:pt idx="3">
                  <c:v>KAOTAME PALLI</c:v>
                </c:pt>
              </c:strCache>
            </c:strRef>
          </c:cat>
          <c:val>
            <c:numRef>
              <c:f>(Lõppandmed!$E$357,Lõppandmed!$J$357:$L$357)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A9B6-4948-BB22-26A20FF02877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AD</a:t>
            </a:r>
          </a:p>
          <a:p>
            <a:pPr>
              <a:defRPr sz="1400"/>
            </a:pPr>
            <a:r>
              <a:rPr lang="et-EE" sz="1400"/>
              <a:t>Väga madal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2A6-41B7-B13E-2B4D3D8DD48C}"/>
              </c:ext>
            </c:extLst>
          </c:dPt>
          <c:dPt>
            <c:idx val="1"/>
            <c:spPr>
              <a:solidFill>
                <a:srgbClr val="FF7C8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2A6-41B7-B13E-2B4D3D8DD48C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2A6-41B7-B13E-2B4D3D8DD48C}"/>
              </c:ext>
            </c:extLst>
          </c:dPt>
          <c:dPt>
            <c:idx val="3"/>
            <c:spPr>
              <a:solidFill>
                <a:schemeClr val="accent1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12A6-41B7-B13E-2B4D3D8DD48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(Lõppandmed!$Q$355,Lõppandmed!$V$355:$X$355)</c:f>
              <c:strCache>
                <c:ptCount val="4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VÕIDAME PALLI</c:v>
                </c:pt>
              </c:strCache>
            </c:strRef>
          </c:cat>
          <c:val>
            <c:numRef>
              <c:f>(Lõppandmed!$Q$356,Lõppandmed!$V$356:$X$356)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12A6-41B7-B13E-2B4D3D8DD48C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t-EE" sz="1400"/>
              <a:t>AD</a:t>
            </a:r>
            <a:r>
              <a:rPr lang="en-US" sz="1400"/>
              <a:t> </a:t>
            </a:r>
            <a:endParaRPr lang="et-EE" sz="1400"/>
          </a:p>
          <a:p>
            <a:pPr>
              <a:defRPr sz="1400"/>
            </a:pPr>
            <a:r>
              <a:rPr lang="en-US" sz="1400"/>
              <a:t>Keskmine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264-4F78-B5B6-9A58B0311304}"/>
              </c:ext>
            </c:extLst>
          </c:dPt>
          <c:dPt>
            <c:idx val="1"/>
            <c:spPr>
              <a:solidFill>
                <a:srgbClr val="FF7C8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264-4F78-B5B6-9A58B0311304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264-4F78-B5B6-9A58B0311304}"/>
              </c:ext>
            </c:extLst>
          </c:dPt>
          <c:dPt>
            <c:idx val="3"/>
            <c:spPr>
              <a:solidFill>
                <a:schemeClr val="accent1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264-4F78-B5B6-9A58B031130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(Lõppandmed!$Q$355,Lõppandmed!$V$355:$X$355)</c:f>
              <c:strCache>
                <c:ptCount val="4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VÕIDAME PALLI</c:v>
                </c:pt>
              </c:strCache>
            </c:strRef>
          </c:cat>
          <c:val>
            <c:numRef>
              <c:f>(Lõppandmed!$Q$358,Lõppandmed!$V$358:$X$358)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C264-4F78-B5B6-9A58B0311304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t-EE" sz="1400"/>
              <a:t>AD  </a:t>
            </a:r>
          </a:p>
          <a:p>
            <a:pPr>
              <a:defRPr/>
            </a:pPr>
            <a:r>
              <a:rPr lang="en-US" sz="1400"/>
              <a:t>Madal pressing</a:t>
            </a:r>
          </a:p>
        </c:rich>
      </c:tx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B6E-47BF-BFBA-744DF592FD49}"/>
              </c:ext>
            </c:extLst>
          </c:dPt>
          <c:dPt>
            <c:idx val="1"/>
            <c:spPr>
              <a:solidFill>
                <a:srgbClr val="FF7C8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B6E-47BF-BFBA-744DF592FD49}"/>
              </c:ext>
            </c:extLst>
          </c:dPt>
          <c:dPt>
            <c:idx val="2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B6E-47BF-BFBA-744DF592FD49}"/>
              </c:ext>
            </c:extLst>
          </c:dPt>
          <c:dPt>
            <c:idx val="3"/>
            <c:spPr>
              <a:solidFill>
                <a:schemeClr val="accent1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1B6E-47BF-BFBA-744DF592FD4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(Lõppandmed!$Q$355,Lõppandmed!$V$355:$X$355)</c:f>
              <c:strCache>
                <c:ptCount val="4"/>
                <c:pt idx="0">
                  <c:v>LÖÖKE KOKKU</c:v>
                </c:pt>
                <c:pt idx="1">
                  <c:v>ANNAME STANDARDI</c:v>
                </c:pt>
                <c:pt idx="2">
                  <c:v>HOIAVAD PALLI</c:v>
                </c:pt>
                <c:pt idx="3">
                  <c:v>VÕIDAME PALLI</c:v>
                </c:pt>
              </c:strCache>
            </c:strRef>
          </c:cat>
          <c:val>
            <c:numRef>
              <c:f>(Lõppandmed!$Q$357,Lõppandmed!$V$357:$X$357)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1B6E-47BF-BFBA-744DF592FD49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6.636508914979912E-2"/>
          <c:y val="5.5973282946675772E-2"/>
          <c:w val="0.91321291684178652"/>
          <c:h val="0.85993374798265043"/>
        </c:manualLayout>
      </c:layout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Algandmed!$AB$2:$AB$216</c:f>
              <c:numCache>
                <c:formatCode>0</c:formatCode>
                <c:ptCount val="2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6</c:v>
                </c:pt>
                <c:pt idx="21">
                  <c:v>6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8</c:v>
                </c:pt>
                <c:pt idx="27">
                  <c:v>8</c:v>
                </c:pt>
                <c:pt idx="28">
                  <c:v>9</c:v>
                </c:pt>
                <c:pt idx="29">
                  <c:v>9</c:v>
                </c:pt>
                <c:pt idx="30">
                  <c:v>10</c:v>
                </c:pt>
                <c:pt idx="31">
                  <c:v>10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12</c:v>
                </c:pt>
                <c:pt idx="36">
                  <c:v>13</c:v>
                </c:pt>
                <c:pt idx="37">
                  <c:v>13</c:v>
                </c:pt>
                <c:pt idx="38">
                  <c:v>14</c:v>
                </c:pt>
                <c:pt idx="39">
                  <c:v>14</c:v>
                </c:pt>
                <c:pt idx="40">
                  <c:v>14</c:v>
                </c:pt>
                <c:pt idx="41">
                  <c:v>15</c:v>
                </c:pt>
                <c:pt idx="42">
                  <c:v>18</c:v>
                </c:pt>
                <c:pt idx="43">
                  <c:v>18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20</c:v>
                </c:pt>
                <c:pt idx="49">
                  <c:v>21</c:v>
                </c:pt>
                <c:pt idx="50">
                  <c:v>21</c:v>
                </c:pt>
                <c:pt idx="51">
                  <c:v>21</c:v>
                </c:pt>
                <c:pt idx="52">
                  <c:v>21</c:v>
                </c:pt>
                <c:pt idx="53">
                  <c:v>22</c:v>
                </c:pt>
                <c:pt idx="54">
                  <c:v>22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24</c:v>
                </c:pt>
                <c:pt idx="60">
                  <c:v>24</c:v>
                </c:pt>
                <c:pt idx="61">
                  <c:v>24</c:v>
                </c:pt>
                <c:pt idx="62">
                  <c:v>24</c:v>
                </c:pt>
                <c:pt idx="63">
                  <c:v>25</c:v>
                </c:pt>
                <c:pt idx="64">
                  <c:v>25</c:v>
                </c:pt>
                <c:pt idx="65">
                  <c:v>25</c:v>
                </c:pt>
                <c:pt idx="66">
                  <c:v>25</c:v>
                </c:pt>
                <c:pt idx="67">
                  <c:v>25</c:v>
                </c:pt>
                <c:pt idx="68">
                  <c:v>26</c:v>
                </c:pt>
                <c:pt idx="69">
                  <c:v>26</c:v>
                </c:pt>
                <c:pt idx="70">
                  <c:v>27</c:v>
                </c:pt>
                <c:pt idx="71">
                  <c:v>27</c:v>
                </c:pt>
                <c:pt idx="72">
                  <c:v>27</c:v>
                </c:pt>
                <c:pt idx="73">
                  <c:v>27</c:v>
                </c:pt>
                <c:pt idx="74">
                  <c:v>28</c:v>
                </c:pt>
                <c:pt idx="75">
                  <c:v>28</c:v>
                </c:pt>
                <c:pt idx="76">
                  <c:v>28</c:v>
                </c:pt>
                <c:pt idx="77">
                  <c:v>29</c:v>
                </c:pt>
                <c:pt idx="78">
                  <c:v>29</c:v>
                </c:pt>
                <c:pt idx="79">
                  <c:v>29</c:v>
                </c:pt>
                <c:pt idx="80">
                  <c:v>30</c:v>
                </c:pt>
                <c:pt idx="81">
                  <c:v>30</c:v>
                </c:pt>
                <c:pt idx="82">
                  <c:v>30</c:v>
                </c:pt>
                <c:pt idx="83">
                  <c:v>30</c:v>
                </c:pt>
                <c:pt idx="84">
                  <c:v>31</c:v>
                </c:pt>
                <c:pt idx="85">
                  <c:v>32</c:v>
                </c:pt>
                <c:pt idx="86">
                  <c:v>32</c:v>
                </c:pt>
                <c:pt idx="87">
                  <c:v>33</c:v>
                </c:pt>
                <c:pt idx="88">
                  <c:v>33</c:v>
                </c:pt>
                <c:pt idx="89">
                  <c:v>33</c:v>
                </c:pt>
                <c:pt idx="90">
                  <c:v>33</c:v>
                </c:pt>
                <c:pt idx="91">
                  <c:v>33</c:v>
                </c:pt>
                <c:pt idx="92">
                  <c:v>34</c:v>
                </c:pt>
                <c:pt idx="93">
                  <c:v>34</c:v>
                </c:pt>
                <c:pt idx="94">
                  <c:v>35</c:v>
                </c:pt>
                <c:pt idx="95">
                  <c:v>35</c:v>
                </c:pt>
                <c:pt idx="96">
                  <c:v>36</c:v>
                </c:pt>
                <c:pt idx="97">
                  <c:v>36</c:v>
                </c:pt>
                <c:pt idx="98">
                  <c:v>36</c:v>
                </c:pt>
                <c:pt idx="99">
                  <c:v>36</c:v>
                </c:pt>
                <c:pt idx="100">
                  <c:v>37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39</c:v>
                </c:pt>
                <c:pt idx="107">
                  <c:v>39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41</c:v>
                </c:pt>
                <c:pt idx="113">
                  <c:v>41</c:v>
                </c:pt>
                <c:pt idx="114">
                  <c:v>41</c:v>
                </c:pt>
                <c:pt idx="115">
                  <c:v>42</c:v>
                </c:pt>
                <c:pt idx="116">
                  <c:v>41</c:v>
                </c:pt>
                <c:pt idx="117">
                  <c:v>41</c:v>
                </c:pt>
                <c:pt idx="118">
                  <c:v>41</c:v>
                </c:pt>
                <c:pt idx="119">
                  <c:v>41</c:v>
                </c:pt>
                <c:pt idx="120">
                  <c:v>41</c:v>
                </c:pt>
                <c:pt idx="121">
                  <c:v>41</c:v>
                </c:pt>
                <c:pt idx="122">
                  <c:v>41</c:v>
                </c:pt>
                <c:pt idx="123">
                  <c:v>41</c:v>
                </c:pt>
                <c:pt idx="124">
                  <c:v>42</c:v>
                </c:pt>
                <c:pt idx="125">
                  <c:v>42</c:v>
                </c:pt>
                <c:pt idx="126">
                  <c:v>43</c:v>
                </c:pt>
                <c:pt idx="127">
                  <c:v>43</c:v>
                </c:pt>
                <c:pt idx="128">
                  <c:v>44</c:v>
                </c:pt>
                <c:pt idx="129">
                  <c:v>44</c:v>
                </c:pt>
                <c:pt idx="130">
                  <c:v>45</c:v>
                </c:pt>
                <c:pt idx="131">
                  <c:v>45</c:v>
                </c:pt>
                <c:pt idx="132">
                  <c:v>46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48</c:v>
                </c:pt>
                <c:pt idx="137">
                  <c:v>48</c:v>
                </c:pt>
                <c:pt idx="138">
                  <c:v>48</c:v>
                </c:pt>
                <c:pt idx="139">
                  <c:v>49</c:v>
                </c:pt>
                <c:pt idx="140">
                  <c:v>49</c:v>
                </c:pt>
                <c:pt idx="141">
                  <c:v>49</c:v>
                </c:pt>
                <c:pt idx="142">
                  <c:v>50</c:v>
                </c:pt>
                <c:pt idx="143">
                  <c:v>51</c:v>
                </c:pt>
                <c:pt idx="144">
                  <c:v>51</c:v>
                </c:pt>
                <c:pt idx="145">
                  <c:v>52</c:v>
                </c:pt>
                <c:pt idx="146">
                  <c:v>52</c:v>
                </c:pt>
                <c:pt idx="147">
                  <c:v>52</c:v>
                </c:pt>
                <c:pt idx="148">
                  <c:v>53</c:v>
                </c:pt>
                <c:pt idx="149">
                  <c:v>53</c:v>
                </c:pt>
                <c:pt idx="150">
                  <c:v>53</c:v>
                </c:pt>
                <c:pt idx="151">
                  <c:v>54</c:v>
                </c:pt>
                <c:pt idx="152">
                  <c:v>54</c:v>
                </c:pt>
                <c:pt idx="153">
                  <c:v>55</c:v>
                </c:pt>
                <c:pt idx="154">
                  <c:v>55</c:v>
                </c:pt>
                <c:pt idx="155">
                  <c:v>55</c:v>
                </c:pt>
                <c:pt idx="156">
                  <c:v>56</c:v>
                </c:pt>
                <c:pt idx="157">
                  <c:v>56</c:v>
                </c:pt>
                <c:pt idx="158">
                  <c:v>57</c:v>
                </c:pt>
                <c:pt idx="159">
                  <c:v>57</c:v>
                </c:pt>
                <c:pt idx="160">
                  <c:v>58</c:v>
                </c:pt>
                <c:pt idx="161">
                  <c:v>58</c:v>
                </c:pt>
                <c:pt idx="162">
                  <c:v>58</c:v>
                </c:pt>
                <c:pt idx="163">
                  <c:v>59</c:v>
                </c:pt>
                <c:pt idx="164">
                  <c:v>59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61</c:v>
                </c:pt>
                <c:pt idx="170">
                  <c:v>61</c:v>
                </c:pt>
                <c:pt idx="171">
                  <c:v>62</c:v>
                </c:pt>
                <c:pt idx="172">
                  <c:v>62</c:v>
                </c:pt>
                <c:pt idx="173">
                  <c:v>63</c:v>
                </c:pt>
                <c:pt idx="174">
                  <c:v>63</c:v>
                </c:pt>
                <c:pt idx="175">
                  <c:v>63</c:v>
                </c:pt>
                <c:pt idx="176">
                  <c:v>64</c:v>
                </c:pt>
                <c:pt idx="177">
                  <c:v>64</c:v>
                </c:pt>
                <c:pt idx="178">
                  <c:v>64</c:v>
                </c:pt>
                <c:pt idx="179">
                  <c:v>65</c:v>
                </c:pt>
                <c:pt idx="180">
                  <c:v>66</c:v>
                </c:pt>
                <c:pt idx="181">
                  <c:v>66</c:v>
                </c:pt>
                <c:pt idx="182">
                  <c:v>66</c:v>
                </c:pt>
                <c:pt idx="183">
                  <c:v>66</c:v>
                </c:pt>
                <c:pt idx="184">
                  <c:v>67</c:v>
                </c:pt>
                <c:pt idx="185">
                  <c:v>67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69</c:v>
                </c:pt>
                <c:pt idx="191">
                  <c:v>69</c:v>
                </c:pt>
                <c:pt idx="192">
                  <c:v>70</c:v>
                </c:pt>
                <c:pt idx="193">
                  <c:v>71</c:v>
                </c:pt>
                <c:pt idx="194">
                  <c:v>71</c:v>
                </c:pt>
                <c:pt idx="195">
                  <c:v>73</c:v>
                </c:pt>
                <c:pt idx="196">
                  <c:v>73</c:v>
                </c:pt>
                <c:pt idx="197">
                  <c:v>73</c:v>
                </c:pt>
                <c:pt idx="198">
                  <c:v>73</c:v>
                </c:pt>
                <c:pt idx="199">
                  <c:v>74</c:v>
                </c:pt>
                <c:pt idx="200">
                  <c:v>75</c:v>
                </c:pt>
                <c:pt idx="201">
                  <c:v>75</c:v>
                </c:pt>
                <c:pt idx="202">
                  <c:v>75</c:v>
                </c:pt>
                <c:pt idx="203">
                  <c:v>75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78</c:v>
                </c:pt>
                <c:pt idx="212">
                  <c:v>79</c:v>
                </c:pt>
                <c:pt idx="213">
                  <c:v>79</c:v>
                </c:pt>
                <c:pt idx="214">
                  <c:v>79</c:v>
                </c:pt>
              </c:numCache>
            </c:numRef>
          </c:cat>
          <c:val>
            <c:numRef>
              <c:f>Algandmed!$X$2:$X$216</c:f>
              <c:numCache>
                <c:formatCode>General</c:formatCode>
                <c:ptCount val="2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-2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4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-6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2</c:v>
                </c:pt>
                <c:pt idx="30">
                  <c:v>1</c:v>
                </c:pt>
                <c:pt idx="31">
                  <c:v>0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12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-6</c:v>
                </c:pt>
                <c:pt idx="41">
                  <c:v>-8</c:v>
                </c:pt>
                <c:pt idx="42">
                  <c:v>-6</c:v>
                </c:pt>
                <c:pt idx="43">
                  <c:v>-8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-12</c:v>
                </c:pt>
                <c:pt idx="48">
                  <c:v>6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-6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1</c:v>
                </c:pt>
                <c:pt idx="72">
                  <c:v>2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6</c:v>
                </c:pt>
                <c:pt idx="80">
                  <c:v>-8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-2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4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-12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0</c:v>
                </c:pt>
                <c:pt idx="104">
                  <c:v>1</c:v>
                </c:pt>
                <c:pt idx="105">
                  <c:v>-6</c:v>
                </c:pt>
                <c:pt idx="106">
                  <c:v>-12</c:v>
                </c:pt>
                <c:pt idx="107">
                  <c:v>-20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-10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-6</c:v>
                </c:pt>
                <c:pt idx="124">
                  <c:v>1</c:v>
                </c:pt>
                <c:pt idx="125">
                  <c:v>2</c:v>
                </c:pt>
                <c:pt idx="126">
                  <c:v>1</c:v>
                </c:pt>
                <c:pt idx="127">
                  <c:v>1</c:v>
                </c:pt>
                <c:pt idx="128">
                  <c:v>10</c:v>
                </c:pt>
                <c:pt idx="129">
                  <c:v>-6</c:v>
                </c:pt>
                <c:pt idx="130">
                  <c:v>-12</c:v>
                </c:pt>
                <c:pt idx="131">
                  <c:v>1</c:v>
                </c:pt>
                <c:pt idx="132">
                  <c:v>6</c:v>
                </c:pt>
                <c:pt idx="133">
                  <c:v>10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-12</c:v>
                </c:pt>
                <c:pt idx="139">
                  <c:v>1</c:v>
                </c:pt>
                <c:pt idx="140">
                  <c:v>-2</c:v>
                </c:pt>
                <c:pt idx="141">
                  <c:v>1</c:v>
                </c:pt>
                <c:pt idx="142">
                  <c:v>1</c:v>
                </c:pt>
                <c:pt idx="143">
                  <c:v>-2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6</c:v>
                </c:pt>
                <c:pt idx="148">
                  <c:v>8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-12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-10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2</c:v>
                </c:pt>
                <c:pt idx="168">
                  <c:v>0</c:v>
                </c:pt>
                <c:pt idx="169">
                  <c:v>1</c:v>
                </c:pt>
                <c:pt idx="170">
                  <c:v>-10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-2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6</c:v>
                </c:pt>
                <c:pt idx="186">
                  <c:v>2</c:v>
                </c:pt>
                <c:pt idx="187">
                  <c:v>1</c:v>
                </c:pt>
                <c:pt idx="188">
                  <c:v>2</c:v>
                </c:pt>
                <c:pt idx="189">
                  <c:v>-2</c:v>
                </c:pt>
                <c:pt idx="190">
                  <c:v>1</c:v>
                </c:pt>
                <c:pt idx="191">
                  <c:v>-6</c:v>
                </c:pt>
                <c:pt idx="192">
                  <c:v>-20</c:v>
                </c:pt>
                <c:pt idx="193">
                  <c:v>1</c:v>
                </c:pt>
                <c:pt idx="194">
                  <c:v>-6</c:v>
                </c:pt>
                <c:pt idx="195">
                  <c:v>-10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-10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06A-4933-99ED-9AC4656B4E6E}"/>
            </c:ext>
          </c:extLst>
        </c:ser>
        <c:marker val="1"/>
        <c:axId val="208070912"/>
        <c:axId val="208084992"/>
        <c:extLst xmlns:c16r2="http://schemas.microsoft.com/office/drawing/2015/06/chart"/>
      </c:lineChart>
      <c:catAx>
        <c:axId val="208070912"/>
        <c:scaling>
          <c:orientation val="minMax"/>
        </c:scaling>
        <c:axPos val="b"/>
        <c:numFmt formatCode="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084992"/>
        <c:crosses val="autoZero"/>
        <c:lblAlgn val="ctr"/>
        <c:lblOffset val="100"/>
        <c:tickLblSkip val="10"/>
        <c:tickMarkSkip val="1"/>
      </c:catAx>
      <c:valAx>
        <c:axId val="208084992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070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Settings!$C$43</c:f>
              <c:strCache>
                <c:ptCount val="1"/>
                <c:pt idx="0">
                  <c:v>SCORED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Settings!$D$42:$U$42</c:f>
              <c:strCache>
                <c:ptCount val="18"/>
                <c:pt idx="0">
                  <c:v>1-5</c:v>
                </c:pt>
                <c:pt idx="1">
                  <c:v>6-10</c:v>
                </c:pt>
                <c:pt idx="2">
                  <c:v>11-15</c:v>
                </c:pt>
                <c:pt idx="3">
                  <c:v>16-20</c:v>
                </c:pt>
                <c:pt idx="4">
                  <c:v>21-25</c:v>
                </c:pt>
                <c:pt idx="5">
                  <c:v>26-30</c:v>
                </c:pt>
                <c:pt idx="6">
                  <c:v>31-35</c:v>
                </c:pt>
                <c:pt idx="7">
                  <c:v>36-40</c:v>
                </c:pt>
                <c:pt idx="8">
                  <c:v>41-45</c:v>
                </c:pt>
                <c:pt idx="9">
                  <c:v>46-50</c:v>
                </c:pt>
                <c:pt idx="10">
                  <c:v>51-55</c:v>
                </c:pt>
                <c:pt idx="11">
                  <c:v>56-60</c:v>
                </c:pt>
                <c:pt idx="12">
                  <c:v>61-65</c:v>
                </c:pt>
                <c:pt idx="13">
                  <c:v>66-70</c:v>
                </c:pt>
                <c:pt idx="14">
                  <c:v>71-75</c:v>
                </c:pt>
                <c:pt idx="15">
                  <c:v>76-80</c:v>
                </c:pt>
                <c:pt idx="16">
                  <c:v>81-85</c:v>
                </c:pt>
                <c:pt idx="17">
                  <c:v>86-90</c:v>
                </c:pt>
              </c:strCache>
            </c:strRef>
          </c:cat>
          <c:val>
            <c:numRef>
              <c:f>Settings!$D$43:$U$43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243-48E6-8C33-AB9DAD5C71E5}"/>
            </c:ext>
          </c:extLst>
        </c:ser>
        <c:ser>
          <c:idx val="1"/>
          <c:order val="1"/>
          <c:tx>
            <c:strRef>
              <c:f>Settings!$C$44</c:f>
              <c:strCache>
                <c:ptCount val="1"/>
                <c:pt idx="0">
                  <c:v>CONCEDED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strRef>
              <c:f>Settings!$D$42:$U$42</c:f>
              <c:strCache>
                <c:ptCount val="18"/>
                <c:pt idx="0">
                  <c:v>1-5</c:v>
                </c:pt>
                <c:pt idx="1">
                  <c:v>6-10</c:v>
                </c:pt>
                <c:pt idx="2">
                  <c:v>11-15</c:v>
                </c:pt>
                <c:pt idx="3">
                  <c:v>16-20</c:v>
                </c:pt>
                <c:pt idx="4">
                  <c:v>21-25</c:v>
                </c:pt>
                <c:pt idx="5">
                  <c:v>26-30</c:v>
                </c:pt>
                <c:pt idx="6">
                  <c:v>31-35</c:v>
                </c:pt>
                <c:pt idx="7">
                  <c:v>36-40</c:v>
                </c:pt>
                <c:pt idx="8">
                  <c:v>41-45</c:v>
                </c:pt>
                <c:pt idx="9">
                  <c:v>46-50</c:v>
                </c:pt>
                <c:pt idx="10">
                  <c:v>51-55</c:v>
                </c:pt>
                <c:pt idx="11">
                  <c:v>56-60</c:v>
                </c:pt>
                <c:pt idx="12">
                  <c:v>61-65</c:v>
                </c:pt>
                <c:pt idx="13">
                  <c:v>66-70</c:v>
                </c:pt>
                <c:pt idx="14">
                  <c:v>71-75</c:v>
                </c:pt>
                <c:pt idx="15">
                  <c:v>76-80</c:v>
                </c:pt>
                <c:pt idx="16">
                  <c:v>81-85</c:v>
                </c:pt>
                <c:pt idx="17">
                  <c:v>86-90</c:v>
                </c:pt>
              </c:strCache>
            </c:strRef>
          </c:cat>
          <c:val>
            <c:numRef>
              <c:f>Settings!$D$44:$U$44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243-48E6-8C33-AB9DAD5C71E5}"/>
            </c:ext>
          </c:extLst>
        </c:ser>
        <c:gapWidth val="219"/>
        <c:overlap val="-27"/>
        <c:axId val="208957824"/>
        <c:axId val="208959360"/>
      </c:barChart>
      <c:catAx>
        <c:axId val="208957824"/>
        <c:scaling>
          <c:orientation val="minMax"/>
        </c:scaling>
        <c:axPos val="b"/>
        <c:numFmt formatCode="General" sourceLinked="0"/>
        <c:maj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rgbClr val="4D4D4D"/>
                </a:solidFill>
                <a:latin typeface="Hanse" panose="02000000000000000000" pitchFamily="50" charset="0"/>
                <a:ea typeface="+mn-ea"/>
                <a:cs typeface="+mn-cs"/>
              </a:defRPr>
            </a:pPr>
            <a:endParaRPr lang="en-US"/>
          </a:p>
        </c:txPr>
        <c:crossAx val="208959360"/>
        <c:crosses val="autoZero"/>
        <c:auto val="1"/>
        <c:lblAlgn val="ctr"/>
        <c:lblOffset val="100"/>
      </c:catAx>
      <c:valAx>
        <c:axId val="20895936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rgbClr val="4D4D4D"/>
                </a:solidFill>
                <a:latin typeface="Hanse" panose="02000000000000000000" pitchFamily="50" charset="0"/>
                <a:ea typeface="+mn-ea"/>
                <a:cs typeface="+mn-cs"/>
              </a:defRPr>
            </a:pPr>
            <a:endParaRPr lang="en-US"/>
          </a:p>
        </c:txPr>
        <c:crossAx val="20895782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rgbClr val="4D4D4D"/>
              </a:solidFill>
              <a:latin typeface="Hanse" panose="02000000000000000000" pitchFamily="50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noFill/>
    <a:ln w="9525" cap="flat" cmpd="sng" algn="ctr">
      <a:noFill/>
      <a:round/>
    </a:ln>
    <a:effectLst/>
  </c:spPr>
  <c:txPr>
    <a:bodyPr/>
    <a:lstStyle/>
    <a:p>
      <a:pPr>
        <a:defRPr sz="1800">
          <a:solidFill>
            <a:sysClr val="windowText" lastClr="000000"/>
          </a:solidFill>
          <a:latin typeface="Hanse" panose="02000000000000000000" pitchFamily="50" charset="0"/>
        </a:defRPr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2.6429922199035942E-2"/>
          <c:y val="1.3321704501622981E-2"/>
          <c:w val="0.6218117187513339"/>
          <c:h val="0.88055964841233447"/>
        </c:manualLayout>
      </c:layout>
      <c:barChart>
        <c:barDir val="col"/>
        <c:grouping val="clustered"/>
        <c:ser>
          <c:idx val="0"/>
          <c:order val="0"/>
          <c:tx>
            <c:strRef>
              <c:f>Settings!$G$16:$G$17</c:f>
              <c:strCache>
                <c:ptCount val="1"/>
                <c:pt idx="0">
                  <c:v>First ATONGOAL Eesti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Settings!$E$18:$F$20</c:f>
              <c:strCache>
                <c:ptCount val="3"/>
                <c:pt idx="0">
                  <c:v>WIN</c:v>
                </c:pt>
                <c:pt idx="1">
                  <c:v>DRAW</c:v>
                </c:pt>
                <c:pt idx="2">
                  <c:v>LOSE</c:v>
                </c:pt>
              </c:strCache>
            </c:strRef>
          </c:cat>
          <c:val>
            <c:numRef>
              <c:f>Settings!$G$18:$G$20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C1-40BB-8F57-27A85E4AD312}"/>
            </c:ext>
          </c:extLst>
        </c:ser>
        <c:ser>
          <c:idx val="1"/>
          <c:order val="1"/>
          <c:tx>
            <c:strRef>
              <c:f>Settings!$H$16:$H$17</c:f>
              <c:strCache>
                <c:ptCount val="1"/>
                <c:pt idx="0">
                  <c:v>First ATONGOAL Opponent</c:v>
                </c:pt>
              </c:strCache>
            </c:strRef>
          </c:tx>
          <c:spPr>
            <a:solidFill>
              <a:srgbClr val="FF0000"/>
            </a:solidFill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000" b="1"/>
                </a:pPr>
                <a:endParaRPr lang="en-US"/>
              </a:p>
            </c:txPr>
            <c:showVal val="1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Settings!$E$18:$F$20</c:f>
              <c:strCache>
                <c:ptCount val="3"/>
                <c:pt idx="0">
                  <c:v>WIN</c:v>
                </c:pt>
                <c:pt idx="1">
                  <c:v>DRAW</c:v>
                </c:pt>
                <c:pt idx="2">
                  <c:v>LOSE</c:v>
                </c:pt>
              </c:strCache>
            </c:strRef>
          </c:cat>
          <c:val>
            <c:numRef>
              <c:f>Settings!$H$18:$H$20</c:f>
              <c:numCache>
                <c:formatCode>General</c:formatCode>
                <c:ptCount val="3"/>
                <c:pt idx="2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C1-40BB-8F57-27A85E4AD312}"/>
            </c:ext>
          </c:extLst>
        </c:ser>
        <c:axId val="209075584"/>
        <c:axId val="209093760"/>
      </c:barChart>
      <c:catAx>
        <c:axId val="209075584"/>
        <c:scaling>
          <c:orientation val="minMax"/>
        </c:scaling>
        <c:axPos val="b"/>
        <c:numFmt formatCode="General" sourceLinked="0"/>
        <c:tickLblPos val="nextTo"/>
        <c:txPr>
          <a:bodyPr/>
          <a:lstStyle/>
          <a:p>
            <a:pPr>
              <a:defRPr sz="2000">
                <a:latin typeface="Hanse" panose="02000000000000000000" pitchFamily="50" charset="0"/>
              </a:defRPr>
            </a:pPr>
            <a:endParaRPr lang="en-US"/>
          </a:p>
        </c:txPr>
        <c:crossAx val="209093760"/>
        <c:crosses val="autoZero"/>
        <c:auto val="1"/>
        <c:lblAlgn val="ctr"/>
        <c:lblOffset val="100"/>
      </c:catAx>
      <c:valAx>
        <c:axId val="209093760"/>
        <c:scaling>
          <c:orientation val="minMax"/>
        </c:scaling>
        <c:axPos val="l"/>
        <c:majorGridlines/>
        <c:numFmt formatCode="General" sourceLinked="1"/>
        <c:tickLblPos val="nextTo"/>
        <c:crossAx val="209075584"/>
        <c:crosses val="autoZero"/>
        <c:crossBetween val="between"/>
        <c:majorUnit val="1"/>
      </c:valAx>
      <c:spPr>
        <a:noFill/>
        <a:ln>
          <a:noFill/>
        </a:ln>
      </c:spPr>
    </c:plotArea>
    <c:legend>
      <c:legendPos val="r"/>
      <c:txPr>
        <a:bodyPr/>
        <a:lstStyle/>
        <a:p>
          <a:pPr>
            <a:defRPr sz="2000">
              <a:latin typeface="Hanse" panose="02000000000000000000" pitchFamily="50" charset="0"/>
            </a:defRPr>
          </a:pPr>
          <a:endParaRPr lang="en-US"/>
        </a:p>
      </c:txPr>
    </c:legend>
    <c:plotVisOnly val="1"/>
    <c:dispBlanksAs val="gap"/>
  </c:chart>
  <c:spPr>
    <a:noFill/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755553421675938"/>
          <c:y val="0.23488150378261538"/>
          <c:w val="0.44472632994046601"/>
          <c:h val="0.53628763316350414"/>
        </c:manualLayout>
      </c:layout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spPr>
              <a:solidFill>
                <a:schemeClr val="accent5">
                  <a:lumMod val="75000"/>
                </a:schemeClr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4FF-4389-89BE-5076047F0168}"/>
              </c:ext>
            </c:extLst>
          </c:dPt>
          <c:dPt>
            <c:idx val="1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4FF-4389-89BE-5076047F0168}"/>
              </c:ext>
            </c:extLst>
          </c:dPt>
          <c:dPt>
            <c:idx val="2"/>
            <c:spPr>
              <a:solidFill>
                <a:schemeClr val="accent5">
                  <a:lumMod val="20000"/>
                  <a:lumOff val="80000"/>
                </a:schemeClr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4FF-4389-89BE-5076047F016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Val val="1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Algandmed!$AE$155:$AG$155</c:f>
              <c:strCache>
                <c:ptCount val="3"/>
                <c:pt idx="0">
                  <c:v>Standard</c:v>
                </c:pt>
                <c:pt idx="1">
                  <c:v>Transition</c:v>
                </c:pt>
                <c:pt idx="2">
                  <c:v>Build-up</c:v>
                </c:pt>
              </c:strCache>
            </c:strRef>
          </c:cat>
          <c:val>
            <c:numRef>
              <c:f>Algandmed!$AE$159:$AG$159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4FF-4389-89BE-5076047F0168}"/>
            </c:ext>
          </c:extLst>
        </c:ser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674223870266091"/>
          <c:y val="0.21379396036636136"/>
          <c:w val="0.34325776129733931"/>
          <c:h val="0.5199384325779266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1" i="0" u="none" strike="noStrike" kern="1200" baseline="0">
              <a:solidFill>
                <a:sysClr val="windowText" lastClr="000000"/>
              </a:solidFill>
              <a:latin typeface="Hanse" panose="02000000000000000000" pitchFamily="50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755553421675938"/>
          <c:y val="0.23488150378261538"/>
          <c:w val="0.44472632994046601"/>
          <c:h val="0.53628763316350414"/>
        </c:manualLayout>
      </c:layout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59B-4BFA-9A48-746E88271668}"/>
              </c:ext>
            </c:extLst>
          </c:dPt>
          <c:dPt>
            <c:idx val="1"/>
            <c:spPr>
              <a:solidFill>
                <a:srgbClr val="FF505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59B-4BFA-9A48-746E88271668}"/>
              </c:ext>
            </c:extLst>
          </c:dPt>
          <c:dPt>
            <c:idx val="2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lin ang="2700000" scaled="1"/>
                <a:tileRect/>
              </a:gra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59B-4BFA-9A48-746E8827166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Val val="1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Algandmed!$AT$155:$AV$155</c:f>
              <c:strCache>
                <c:ptCount val="3"/>
                <c:pt idx="0">
                  <c:v>Standard</c:v>
                </c:pt>
                <c:pt idx="1">
                  <c:v>Transition</c:v>
                </c:pt>
                <c:pt idx="2">
                  <c:v>Build-up</c:v>
                </c:pt>
              </c:strCache>
            </c:strRef>
          </c:cat>
          <c:val>
            <c:numRef>
              <c:f>Algandmed!$AT$159:$AV$159</c:f>
              <c:numCache>
                <c:formatCode>0.0%</c:formatCode>
                <c:ptCount val="3"/>
                <c:pt idx="0">
                  <c:v>0.5</c:v>
                </c:pt>
                <c:pt idx="1">
                  <c:v>0</c:v>
                </c:pt>
                <c:pt idx="2">
                  <c:v>0.5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E59B-4BFA-9A48-746E88271668}"/>
            </c:ext>
          </c:extLst>
        </c:ser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4700421921408324"/>
          <c:y val="0.25244449173583133"/>
          <c:w val="0.35299578078592131"/>
          <c:h val="0.47856707100801588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1" i="0" u="none" strike="noStrike" kern="1200" baseline="0">
              <a:solidFill>
                <a:sysClr val="windowText" lastClr="000000"/>
              </a:solidFill>
              <a:latin typeface="Hanse" panose="02000000000000000000" pitchFamily="50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8.5515438618953207E-2"/>
          <c:y val="0.26061364829396322"/>
          <c:w val="0.52424706058084203"/>
          <c:h val="0.64482388451443873"/>
        </c:manualLayout>
      </c:layout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spPr>
              <a:solidFill>
                <a:schemeClr val="accent5">
                  <a:lumMod val="75000"/>
                </a:schemeClr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E16-4EB8-A787-228689F97C45}"/>
              </c:ext>
            </c:extLst>
          </c:dPt>
          <c:dPt>
            <c:idx val="1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E16-4EB8-A787-228689F97C45}"/>
              </c:ext>
            </c:extLst>
          </c:dPt>
          <c:dPt>
            <c:idx val="2"/>
            <c:spPr>
              <a:solidFill>
                <a:schemeClr val="accent5">
                  <a:lumMod val="20000"/>
                  <a:lumOff val="80000"/>
                </a:schemeClr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E16-4EB8-A787-228689F97C4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Val val="1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Algandmed!$AE$204:$AG$204</c:f>
              <c:strCache>
                <c:ptCount val="3"/>
                <c:pt idx="0">
                  <c:v>Standard</c:v>
                </c:pt>
                <c:pt idx="1">
                  <c:v>Transition</c:v>
                </c:pt>
                <c:pt idx="2">
                  <c:v>Build-up</c:v>
                </c:pt>
              </c:strCache>
            </c:strRef>
          </c:cat>
          <c:val>
            <c:numRef>
              <c:f>Algandmed!$AE$208:$AG$208</c:f>
              <c:numCache>
                <c:formatCode>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E16-4EB8-A787-228689F97C45}"/>
            </c:ext>
          </c:extLst>
        </c:ser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734437616029707"/>
          <c:y val="0.29609002624671915"/>
          <c:w val="0.32655635793862753"/>
          <c:h val="0.50724330708661358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1" i="0" u="none" strike="noStrike" kern="1200" baseline="0">
              <a:solidFill>
                <a:sysClr val="windowText" lastClr="000000"/>
              </a:solidFill>
              <a:latin typeface="Hanse" panose="02000000000000000000" pitchFamily="50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755553421675938"/>
          <c:y val="0.23488150378261538"/>
          <c:w val="0.44472632994046601"/>
          <c:h val="0.53628763316350414"/>
        </c:manualLayout>
      </c:layout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B49-4EC2-9652-A9385FEE0824}"/>
              </c:ext>
            </c:extLst>
          </c:dPt>
          <c:dPt>
            <c:idx val="1"/>
            <c:spPr>
              <a:solidFill>
                <a:srgbClr val="FF5050"/>
              </a:soli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B49-4EC2-9652-A9385FEE0824}"/>
              </c:ext>
            </c:extLst>
          </c:dPt>
          <c:dPt>
            <c:idx val="2"/>
            <c:spPr>
              <a:gradFill flip="none" rotWithShape="1">
                <a:gsLst>
                  <a:gs pos="0">
                    <a:srgbClr val="FF7C80">
                      <a:tint val="66000"/>
                      <a:satMod val="160000"/>
                    </a:srgbClr>
                  </a:gs>
                  <a:gs pos="50000">
                    <a:srgbClr val="FF7C80">
                      <a:tint val="44500"/>
                      <a:satMod val="160000"/>
                    </a:srgbClr>
                  </a:gs>
                  <a:gs pos="100000">
                    <a:srgbClr val="FF7C80">
                      <a:tint val="23500"/>
                      <a:satMod val="160000"/>
                    </a:srgbClr>
                  </a:gs>
                </a:gsLst>
                <a:lin ang="2700000" scaled="1"/>
                <a:tileRect/>
              </a:gradFill>
              <a:ln w="1905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5B49-4EC2-9652-A9385FEE082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Val val="1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Algandmed!$AT$204:$AV$204</c:f>
              <c:strCache>
                <c:ptCount val="3"/>
                <c:pt idx="0">
                  <c:v>Standard</c:v>
                </c:pt>
                <c:pt idx="1">
                  <c:v>Transition</c:v>
                </c:pt>
                <c:pt idx="2">
                  <c:v>Build-up</c:v>
                </c:pt>
              </c:strCache>
            </c:strRef>
          </c:cat>
          <c:val>
            <c:numRef>
              <c:f>Algandmed!$AT$208:$AV$208</c:f>
              <c:numCache>
                <c:formatCode>0%</c:formatCode>
                <c:ptCount val="3"/>
                <c:pt idx="0">
                  <c:v>0.53333333333333333</c:v>
                </c:pt>
                <c:pt idx="1">
                  <c:v>0.33333333333333331</c:v>
                </c:pt>
                <c:pt idx="2">
                  <c:v>0.13333333333333333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5B49-4EC2-9652-A9385FEE0824}"/>
            </c:ext>
          </c:extLst>
        </c:ser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4700421921408324"/>
          <c:y val="0.25244449173583133"/>
          <c:w val="0.35299578078592131"/>
          <c:h val="0.47856707100801588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1" i="0" u="none" strike="noStrike" kern="1200" baseline="0">
              <a:solidFill>
                <a:sysClr val="windowText" lastClr="000000"/>
              </a:solidFill>
              <a:latin typeface="Hanse" panose="02000000000000000000" pitchFamily="50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11" l="0.70000000000000062" r="0.70000000000000062" t="0.75000000000000211" header="0.30000000000000032" footer="0.30000000000000032"/>
    <c:pageSetup orientation="portrait"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4"/>
          <c:order val="0"/>
          <c:dPt>
            <c:idx val="0"/>
            <c:spPr>
              <a:gradFill flip="none" rotWithShape="1">
                <a:gsLst>
                  <a:gs pos="0">
                    <a:srgbClr val="FF0000">
                      <a:tint val="66000"/>
                      <a:satMod val="160000"/>
                    </a:srgbClr>
                  </a:gs>
                  <a:gs pos="50000">
                    <a:srgbClr val="FF0000">
                      <a:tint val="44500"/>
                      <a:satMod val="160000"/>
                    </a:srgbClr>
                  </a:gs>
                  <a:gs pos="100000">
                    <a:srgbClr val="FF0000">
                      <a:tint val="23500"/>
                      <a:satMod val="160000"/>
                    </a:srgbClr>
                  </a:gs>
                </a:gsLst>
                <a:path path="circle">
                  <a:fillToRect r="100000" b="100000"/>
                </a:path>
                <a:tileRect l="-100000" t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1E7-4F86-AF26-F9FFBC967199}"/>
              </c:ext>
            </c:extLst>
          </c:dPt>
          <c:dPt>
            <c:idx val="1"/>
            <c:spPr>
              <a:solidFill>
                <a:schemeClr val="accent2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81E7-4F86-AF26-F9FFBC967199}"/>
              </c:ext>
            </c:extLst>
          </c:dPt>
          <c:dPt>
            <c:idx val="2"/>
            <c:spPr>
              <a:solidFill>
                <a:srgbClr val="FF0000">
                  <a:alpha val="15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81E7-4F86-AF26-F9FFBC967199}"/>
              </c:ext>
            </c:extLst>
          </c:dPt>
          <c:dPt>
            <c:idx val="3"/>
            <c:spPr>
              <a:solidFill>
                <a:srgbClr val="FF0000">
                  <a:alpha val="60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81E7-4F86-AF26-F9FFBC967199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81E7-4F86-AF26-F9FFBC96719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Algandmed!$AT$181:$AX$181</c:f>
              <c:strCache>
                <c:ptCount val="5"/>
                <c:pt idx="0">
                  <c:v>STANCO</c:v>
                </c:pt>
                <c:pt idx="1">
                  <c:v>STANFK</c:v>
                </c:pt>
                <c:pt idx="2">
                  <c:v>STANTI</c:v>
                </c:pt>
                <c:pt idx="3">
                  <c:v>STANPEN</c:v>
                </c:pt>
                <c:pt idx="4">
                  <c:v>STANFK DIRECT</c:v>
                </c:pt>
              </c:strCache>
            </c:strRef>
          </c:cat>
          <c:val>
            <c:numRef>
              <c:f>Algandmed!$AT$185:$AX$185</c:f>
              <c:numCache>
                <c:formatCode>0%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81E7-4F86-AF26-F9FFBC967199}"/>
            </c:ext>
          </c:extLst>
        </c:ser>
        <c:firstSliceAng val="0"/>
      </c:pieChart>
    </c:plotArea>
    <c:legend>
      <c:legendPos val="r"/>
      <c:layout>
        <c:manualLayout>
          <c:xMode val="edge"/>
          <c:yMode val="edge"/>
          <c:x val="0.69455652949041746"/>
          <c:y val="5.6330965978476324E-2"/>
          <c:w val="0.28657554598128082"/>
          <c:h val="0.87143096309773749"/>
        </c:manualLayout>
      </c:layout>
      <c:txPr>
        <a:bodyPr/>
        <a:lstStyle/>
        <a:p>
          <a:pPr rtl="0">
            <a:defRPr sz="1400" b="1"/>
          </a:pPr>
          <a:endParaRPr lang="en-US"/>
        </a:p>
      </c:txPr>
    </c:legend>
    <c:plotVisOnly val="1"/>
    <c:dispBlanksAs val="zero"/>
  </c:chart>
  <c:spPr>
    <a:noFill/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542-496D-97DF-C2D420E68073}"/>
              </c:ext>
            </c:extLst>
          </c:dPt>
          <c:dPt>
            <c:idx val="1"/>
            <c:spPr>
              <a:solidFill>
                <a:schemeClr val="accent5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542-496D-97DF-C2D420E68073}"/>
              </c:ext>
            </c:extLst>
          </c:dPt>
          <c:dPt>
            <c:idx val="2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542-496D-97DF-C2D420E68073}"/>
              </c:ext>
            </c:extLst>
          </c:dPt>
          <c:dPt>
            <c:idx val="3"/>
            <c:spPr>
              <a:solidFill>
                <a:schemeClr val="accent5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2542-496D-97DF-C2D420E68073}"/>
              </c:ext>
            </c:extLst>
          </c:dPt>
          <c:dPt>
            <c:idx val="4"/>
            <c:spPr>
              <a:solidFill>
                <a:schemeClr val="accent1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2542-496D-97DF-C2D420E6807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Algandmed!$AE$231:$AI$231</c:f>
              <c:strCache>
                <c:ptCount val="5"/>
                <c:pt idx="0">
                  <c:v>STANCO</c:v>
                </c:pt>
                <c:pt idx="1">
                  <c:v>STANFK</c:v>
                </c:pt>
                <c:pt idx="2">
                  <c:v>STANTI</c:v>
                </c:pt>
                <c:pt idx="3">
                  <c:v>STANPEN</c:v>
                </c:pt>
                <c:pt idx="4">
                  <c:v>STANFK DIRECT</c:v>
                </c:pt>
              </c:strCache>
            </c:strRef>
          </c:cat>
          <c:val>
            <c:numRef>
              <c:f>Algandmed!$AE$235:$AI$235</c:f>
              <c:numCache>
                <c:formatCode>0%</c:formatCode>
                <c:ptCount val="5"/>
                <c:pt idx="0">
                  <c:v>0.33333333333333331</c:v>
                </c:pt>
                <c:pt idx="1">
                  <c:v>0.33333333333333331</c:v>
                </c:pt>
                <c:pt idx="2">
                  <c:v>0</c:v>
                </c:pt>
                <c:pt idx="3">
                  <c:v>0</c:v>
                </c:pt>
                <c:pt idx="4">
                  <c:v>0.33333333333333331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2542-496D-97DF-C2D420E68073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 sz="1400" b="1">
              <a:latin typeface="Hanse" panose="02000000000000000000" pitchFamily="50" charset="0"/>
            </a:defRPr>
          </a:pPr>
          <a:endParaRPr lang="en-US"/>
        </a:p>
      </c:txPr>
    </c:legend>
    <c:plotVisOnly val="1"/>
    <c:dispBlanksAs val="zero"/>
  </c:chart>
  <c:spPr>
    <a:noFill/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dPt>
            <c:idx val="0"/>
            <c:spPr>
              <a:gradFill flip="none" rotWithShape="1">
                <a:gsLst>
                  <a:gs pos="0">
                    <a:srgbClr val="FF0000">
                      <a:tint val="66000"/>
                      <a:satMod val="160000"/>
                    </a:srgbClr>
                  </a:gs>
                  <a:gs pos="50000">
                    <a:srgbClr val="FF0000">
                      <a:tint val="44500"/>
                      <a:satMod val="160000"/>
                    </a:srgbClr>
                  </a:gs>
                  <a:gs pos="100000">
                    <a:srgbClr val="FF0000">
                      <a:tint val="23500"/>
                      <a:satMod val="160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735-4B75-BAEA-0835A1CC443B}"/>
              </c:ext>
            </c:extLst>
          </c:dPt>
          <c:dPt>
            <c:idx val="1"/>
            <c:spPr>
              <a:solidFill>
                <a:schemeClr val="accent2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735-4B75-BAEA-0835A1CC443B}"/>
              </c:ext>
            </c:extLst>
          </c:dPt>
          <c:dPt>
            <c:idx val="2"/>
            <c:spPr>
              <a:solidFill>
                <a:srgbClr val="FF0000">
                  <a:alpha val="15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735-4B75-BAEA-0835A1CC443B}"/>
              </c:ext>
            </c:extLst>
          </c:dPt>
          <c:dPt>
            <c:idx val="3"/>
            <c:spPr>
              <a:solidFill>
                <a:srgbClr val="FF0000">
                  <a:alpha val="50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735-4B75-BAEA-0835A1CC443B}"/>
              </c:ext>
            </c:extLst>
          </c:dPt>
          <c:dPt>
            <c:idx val="4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C735-4B75-BAEA-0835A1CC443B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Algandmed!$AT$231:$AX$231</c:f>
              <c:strCache>
                <c:ptCount val="5"/>
                <c:pt idx="0">
                  <c:v>STANCO</c:v>
                </c:pt>
                <c:pt idx="1">
                  <c:v>STANFK</c:v>
                </c:pt>
                <c:pt idx="2">
                  <c:v>STANTI</c:v>
                </c:pt>
                <c:pt idx="3">
                  <c:v>STANPEN</c:v>
                </c:pt>
                <c:pt idx="4">
                  <c:v>STANFK DIRECT</c:v>
                </c:pt>
              </c:strCache>
            </c:strRef>
          </c:cat>
          <c:val>
            <c:numRef>
              <c:f>Algandmed!$AT$235:$AX$235</c:f>
              <c:numCache>
                <c:formatCode>0%</c:formatCode>
                <c:ptCount val="5"/>
                <c:pt idx="0">
                  <c:v>0.5</c:v>
                </c:pt>
                <c:pt idx="1">
                  <c:v>0.33333333333333331</c:v>
                </c:pt>
                <c:pt idx="2">
                  <c:v>0</c:v>
                </c:pt>
                <c:pt idx="3">
                  <c:v>0</c:v>
                </c:pt>
                <c:pt idx="4">
                  <c:v>0.16666666666666666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C735-4B75-BAEA-0835A1CC443B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 sz="1400" b="1">
              <a:latin typeface="Hanse" panose="02000000000000000000" pitchFamily="50" charset="0"/>
            </a:defRPr>
          </a:pPr>
          <a:endParaRPr lang="en-US"/>
        </a:p>
      </c:txPr>
    </c:legend>
    <c:plotVisOnly val="1"/>
    <c:dispBlanksAs val="zero"/>
  </c:chart>
  <c:spPr>
    <a:noFill/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2"/>
          <c:order val="0"/>
          <c:dPt>
            <c:idx val="0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0D1-4752-B00B-E167C67BA59F}"/>
              </c:ext>
            </c:extLst>
          </c:dPt>
          <c:dPt>
            <c:idx val="1"/>
            <c:spPr>
              <a:solidFill>
                <a:schemeClr val="accent5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0D1-4752-B00B-E167C67BA59F}"/>
              </c:ext>
            </c:extLst>
          </c:dPt>
          <c:dPt>
            <c:idx val="2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0D1-4752-B00B-E167C67BA59F}"/>
              </c:ext>
            </c:extLst>
          </c:dPt>
          <c:dPt>
            <c:idx val="3"/>
            <c:spPr>
              <a:solidFill>
                <a:schemeClr val="accent5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00D1-4752-B00B-E167C67BA59F}"/>
              </c:ext>
            </c:extLst>
          </c:dPt>
          <c:dPt>
            <c:idx val="4"/>
            <c:spPr>
              <a:solidFill>
                <a:schemeClr val="accent1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00D1-4752-B00B-E167C67BA59F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Algandmed!$AE$181:$AI$181</c:f>
              <c:strCache>
                <c:ptCount val="5"/>
                <c:pt idx="0">
                  <c:v>STANCO</c:v>
                </c:pt>
                <c:pt idx="1">
                  <c:v>STANFK</c:v>
                </c:pt>
                <c:pt idx="2">
                  <c:v>STANTI</c:v>
                </c:pt>
                <c:pt idx="3">
                  <c:v>STANPEN</c:v>
                </c:pt>
                <c:pt idx="4">
                  <c:v>STANFK DIRECT</c:v>
                </c:pt>
              </c:strCache>
            </c:strRef>
          </c:cat>
          <c:val>
            <c:numRef>
              <c:f>Algandmed!$AE$185:$AI$185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00D1-4752-B00B-E167C67BA59F}"/>
            </c:ext>
          </c:extLst>
        </c:ser>
        <c:firstSliceAng val="0"/>
      </c:pieChart>
    </c:plotArea>
    <c:legend>
      <c:legendPos val="r"/>
      <c:layout>
        <c:manualLayout>
          <c:xMode val="edge"/>
          <c:yMode val="edge"/>
          <c:x val="0.70150312941651527"/>
          <c:y val="5.799257674749389E-2"/>
          <c:w val="0.2792661013527164"/>
          <c:h val="0.94200742325250664"/>
        </c:manualLayout>
      </c:layout>
      <c:txPr>
        <a:bodyPr/>
        <a:lstStyle/>
        <a:p>
          <a:pPr rtl="0">
            <a:defRPr sz="1400" b="1"/>
          </a:pPr>
          <a:endParaRPr lang="en-US"/>
        </a:p>
      </c:txPr>
    </c:legend>
    <c:plotVisOnly val="1"/>
    <c:dispBlanksAs val="zero"/>
  </c:chart>
  <c:spPr>
    <a:noFill/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9A6-41EB-BDD6-5256F934A73A}"/>
              </c:ext>
            </c:extLst>
          </c:dPt>
          <c:dPt>
            <c:idx val="1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9A6-41EB-BDD6-5256F934A73A}"/>
              </c:ext>
            </c:extLst>
          </c:dPt>
          <c:dPt>
            <c:idx val="2"/>
            <c:spPr>
              <a:solidFill>
                <a:schemeClr val="accent5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9A6-41EB-BDD6-5256F934A73A}"/>
              </c:ext>
            </c:extLst>
          </c:dPt>
          <c:dPt>
            <c:idx val="3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09A6-41EB-BDD6-5256F934A73A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Algandmed!$AE$189:$AH$189</c:f>
              <c:strCache>
                <c:ptCount val="4"/>
                <c:pt idx="0">
                  <c:v>STANFK</c:v>
                </c:pt>
                <c:pt idx="1">
                  <c:v>STANTI</c:v>
                </c:pt>
                <c:pt idx="2">
                  <c:v>STANGK</c:v>
                </c:pt>
                <c:pt idx="3">
                  <c:v>STANGS</c:v>
                </c:pt>
              </c:strCache>
            </c:strRef>
          </c:cat>
          <c:val>
            <c:numRef>
              <c:f>Algandmed!$AE$193:$AH$193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9A6-41EB-BDD6-5256F934A73A}"/>
            </c:ext>
          </c:extLst>
        </c:ser>
        <c:ser>
          <c:idx val="4"/>
          <c:order val="1"/>
          <c:dPt>
            <c:idx val="0"/>
            <c:spPr>
              <a:solidFill>
                <a:schemeClr val="accent5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09A6-41EB-BDD6-5256F934A73A}"/>
              </c:ext>
            </c:extLst>
          </c:dPt>
          <c:dPt>
            <c:idx val="1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09A6-41EB-BDD6-5256F934A73A}"/>
              </c:ext>
            </c:extLst>
          </c:dPt>
          <c:dPt>
            <c:idx val="2"/>
            <c:spPr>
              <a:solidFill>
                <a:schemeClr val="accent5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09A6-41EB-BDD6-5256F934A73A}"/>
              </c:ext>
            </c:extLst>
          </c:dPt>
          <c:dPt>
            <c:idx val="3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09A6-41EB-BDD6-5256F934A73A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Algandmed!$AE$189:$AH$189</c:f>
              <c:strCache>
                <c:ptCount val="4"/>
                <c:pt idx="0">
                  <c:v>STANFK</c:v>
                </c:pt>
                <c:pt idx="1">
                  <c:v>STANTI</c:v>
                </c:pt>
                <c:pt idx="2">
                  <c:v>STANGK</c:v>
                </c:pt>
                <c:pt idx="3">
                  <c:v>STANGS</c:v>
                </c:pt>
              </c:strCache>
            </c:strRef>
          </c:cat>
          <c:val>
            <c:numRef>
              <c:f>Algandmed!$AE$193:$AH$193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1-09A6-41EB-BDD6-5256F934A73A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 sz="1400" b="1">
              <a:latin typeface="Hanse" panose="02000000000000000000" pitchFamily="50" charset="0"/>
            </a:defRPr>
          </a:pPr>
          <a:endParaRPr lang="en-US"/>
        </a:p>
      </c:txPr>
    </c:legend>
    <c:plotVisOnly val="1"/>
    <c:dispBlanksAs val="zero"/>
  </c:chart>
  <c:spPr>
    <a:noFill/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 orientation="portrait"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E0D-429A-B7BB-DF498671BDFC}"/>
              </c:ext>
            </c:extLst>
          </c:dPt>
          <c:dPt>
            <c:idx val="1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E0D-429A-B7BB-DF498671BDFC}"/>
              </c:ext>
            </c:extLst>
          </c:dPt>
          <c:dPt>
            <c:idx val="2"/>
            <c:spPr>
              <a:solidFill>
                <a:schemeClr val="accent5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E0D-429A-B7BB-DF498671BDFC}"/>
              </c:ext>
            </c:extLst>
          </c:dPt>
          <c:dPt>
            <c:idx val="3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DE0D-429A-B7BB-DF498671BDF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Algandmed!$AE$239:$AH$239</c:f>
              <c:strCache>
                <c:ptCount val="4"/>
                <c:pt idx="0">
                  <c:v>STANFK</c:v>
                </c:pt>
                <c:pt idx="1">
                  <c:v>STANTI</c:v>
                </c:pt>
                <c:pt idx="2">
                  <c:v>STANGK</c:v>
                </c:pt>
                <c:pt idx="3">
                  <c:v>STANGS</c:v>
                </c:pt>
              </c:strCache>
            </c:strRef>
          </c:cat>
          <c:val>
            <c:numRef>
              <c:f>Algandmed!$AE$243:$AH$243</c:f>
              <c:numCache>
                <c:formatCode>0%</c:formatCode>
                <c:ptCount val="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DE0D-429A-B7BB-DF498671BDFC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 sz="1400" b="1">
              <a:latin typeface="Hanse" panose="02000000000000000000" pitchFamily="50" charset="0"/>
            </a:defRPr>
          </a:pPr>
          <a:endParaRPr lang="en-US"/>
        </a:p>
      </c:txPr>
    </c:legend>
    <c:plotVisOnly val="1"/>
    <c:dispBlanksAs val="zero"/>
  </c:chart>
  <c:spPr>
    <a:noFill/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FF0000">
                  <a:alpha val="15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10E-4383-B1FB-8CBD03A89C0E}"/>
              </c:ext>
            </c:extLst>
          </c:dPt>
          <c:dPt>
            <c:idx val="1"/>
            <c:spPr>
              <a:solidFill>
                <a:schemeClr val="accent2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10E-4383-B1FB-8CBD03A89C0E}"/>
              </c:ext>
            </c:extLst>
          </c:dPt>
          <c:dPt>
            <c:idx val="2"/>
            <c:spPr>
              <a:solidFill>
                <a:srgbClr val="FF0000">
                  <a:alpha val="50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510E-4383-B1FB-8CBD03A89C0E}"/>
              </c:ext>
            </c:extLst>
          </c:dPt>
          <c:dPt>
            <c:idx val="3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510E-4383-B1FB-8CBD03A89C0E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Algandmed!$AT$239:$AW$239</c:f>
              <c:strCache>
                <c:ptCount val="4"/>
                <c:pt idx="0">
                  <c:v>STANFK</c:v>
                </c:pt>
                <c:pt idx="1">
                  <c:v>STANTI</c:v>
                </c:pt>
                <c:pt idx="2">
                  <c:v>STANGK</c:v>
                </c:pt>
                <c:pt idx="3">
                  <c:v>STANGS</c:v>
                </c:pt>
              </c:strCache>
            </c:strRef>
          </c:cat>
          <c:val>
            <c:numRef>
              <c:f>Algandmed!$AT$243:$AW$243</c:f>
              <c:numCache>
                <c:formatCode>0%</c:formatCode>
                <c:ptCount val="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510E-4383-B1FB-8CBD03A89C0E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 sz="1400" b="1">
              <a:latin typeface="Hanse" panose="02000000000000000000" pitchFamily="50" charset="0"/>
            </a:defRPr>
          </a:pPr>
          <a:endParaRPr lang="en-US"/>
        </a:p>
      </c:txPr>
    </c:legend>
    <c:plotVisOnly val="1"/>
    <c:dispBlanksAs val="zero"/>
  </c:chart>
  <c:spPr>
    <a:noFill/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5">
                  <a:lumMod val="20000"/>
                  <a:lumOff val="8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CF-490A-8E04-1FEB6DCA2513}"/>
              </c:ext>
            </c:extLst>
          </c:dPt>
          <c:dPt>
            <c:idx val="1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CF-490A-8E04-1FEB6DCA2513}"/>
              </c:ext>
            </c:extLst>
          </c:dPt>
          <c:dPt>
            <c:idx val="2"/>
            <c:spPr>
              <a:solidFill>
                <a:schemeClr val="accent5">
                  <a:lumMod val="60000"/>
                  <a:lumOff val="4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CF-490A-8E04-1FEB6DCA2513}"/>
              </c:ext>
            </c:extLst>
          </c:dPt>
          <c:dPt>
            <c:idx val="3"/>
            <c:spPr>
              <a:solidFill>
                <a:schemeClr val="accent5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2CF-490A-8E04-1FEB6DCA251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Val val="1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Algandmed!$AT$189:$AW$189</c:f>
              <c:strCache>
                <c:ptCount val="4"/>
                <c:pt idx="0">
                  <c:v>STANFK</c:v>
                </c:pt>
                <c:pt idx="1">
                  <c:v>STANTI</c:v>
                </c:pt>
                <c:pt idx="2">
                  <c:v>STANGK</c:v>
                </c:pt>
                <c:pt idx="3">
                  <c:v>STANGS</c:v>
                </c:pt>
              </c:strCache>
            </c:strRef>
          </c:cat>
          <c:val>
            <c:numRef>
              <c:f>Algandmed!$AT$193:$AW$193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2CF-490A-8E04-1FEB6DCA2513}"/>
            </c:ext>
          </c:extLst>
        </c:ser>
        <c:firstSliceAng val="0"/>
      </c:pieChart>
    </c:plotArea>
    <c:legend>
      <c:legendPos val="r"/>
      <c:txPr>
        <a:bodyPr/>
        <a:lstStyle/>
        <a:p>
          <a:pPr rtl="0">
            <a:defRPr sz="1400" b="1">
              <a:latin typeface="Hanse" panose="02000000000000000000" pitchFamily="50" charset="0"/>
            </a:defRPr>
          </a:pPr>
          <a:endParaRPr lang="en-US"/>
        </a:p>
      </c:txPr>
    </c:legend>
    <c:plotVisOnly val="1"/>
    <c:dispBlanksAs val="zero"/>
  </c:chart>
  <c:spPr>
    <a:noFill/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13" Type="http://schemas.openxmlformats.org/officeDocument/2006/relationships/chart" Target="../charts/chart18.xml"/><Relationship Id="rId18" Type="http://schemas.openxmlformats.org/officeDocument/2006/relationships/image" Target="../media/image4.jpeg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12" Type="http://schemas.openxmlformats.org/officeDocument/2006/relationships/chart" Target="../charts/chart17.xml"/><Relationship Id="rId17" Type="http://schemas.openxmlformats.org/officeDocument/2006/relationships/image" Target="../media/image3.jpeg"/><Relationship Id="rId2" Type="http://schemas.microsoft.com/office/2007/relationships/hdphoto" Target="../media/hdphoto1.wdp"/><Relationship Id="rId16" Type="http://schemas.openxmlformats.org/officeDocument/2006/relationships/image" Target="../media/image2.jpeg"/><Relationship Id="rId20" Type="http://schemas.openxmlformats.org/officeDocument/2006/relationships/chart" Target="../charts/chart22.xml"/><Relationship Id="rId1" Type="http://schemas.openxmlformats.org/officeDocument/2006/relationships/image" Target="../media/image1.png"/><Relationship Id="rId6" Type="http://schemas.openxmlformats.org/officeDocument/2006/relationships/chart" Target="../charts/chart11.xml"/><Relationship Id="rId11" Type="http://schemas.openxmlformats.org/officeDocument/2006/relationships/chart" Target="../charts/chart16.xml"/><Relationship Id="rId5" Type="http://schemas.openxmlformats.org/officeDocument/2006/relationships/chart" Target="../charts/chart10.xml"/><Relationship Id="rId15" Type="http://schemas.openxmlformats.org/officeDocument/2006/relationships/chart" Target="../charts/chart20.xml"/><Relationship Id="rId10" Type="http://schemas.openxmlformats.org/officeDocument/2006/relationships/chart" Target="../charts/chart15.xml"/><Relationship Id="rId19" Type="http://schemas.openxmlformats.org/officeDocument/2006/relationships/chart" Target="../charts/chart21.xml"/><Relationship Id="rId4" Type="http://schemas.openxmlformats.org/officeDocument/2006/relationships/chart" Target="../charts/chart9.xml"/><Relationship Id="rId9" Type="http://schemas.openxmlformats.org/officeDocument/2006/relationships/chart" Target="../charts/chart14.xml"/><Relationship Id="rId14" Type="http://schemas.openxmlformats.org/officeDocument/2006/relationships/chart" Target="../charts/chart19.xml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48.xml"/><Relationship Id="rId117" Type="http://schemas.openxmlformats.org/officeDocument/2006/relationships/chart" Target="../charts/chart139.xml"/><Relationship Id="rId21" Type="http://schemas.openxmlformats.org/officeDocument/2006/relationships/chart" Target="../charts/chart43.xml"/><Relationship Id="rId42" Type="http://schemas.openxmlformats.org/officeDocument/2006/relationships/chart" Target="../charts/chart64.xml"/><Relationship Id="rId47" Type="http://schemas.openxmlformats.org/officeDocument/2006/relationships/chart" Target="../charts/chart69.xml"/><Relationship Id="rId63" Type="http://schemas.openxmlformats.org/officeDocument/2006/relationships/chart" Target="../charts/chart85.xml"/><Relationship Id="rId68" Type="http://schemas.openxmlformats.org/officeDocument/2006/relationships/chart" Target="../charts/chart90.xml"/><Relationship Id="rId84" Type="http://schemas.openxmlformats.org/officeDocument/2006/relationships/chart" Target="../charts/chart106.xml"/><Relationship Id="rId89" Type="http://schemas.openxmlformats.org/officeDocument/2006/relationships/chart" Target="../charts/chart111.xml"/><Relationship Id="rId112" Type="http://schemas.openxmlformats.org/officeDocument/2006/relationships/chart" Target="../charts/chart134.xml"/><Relationship Id="rId133" Type="http://schemas.openxmlformats.org/officeDocument/2006/relationships/chart" Target="../charts/chart155.xml"/><Relationship Id="rId138" Type="http://schemas.openxmlformats.org/officeDocument/2006/relationships/chart" Target="../charts/chart160.xml"/><Relationship Id="rId154" Type="http://schemas.openxmlformats.org/officeDocument/2006/relationships/chart" Target="../charts/chart176.xml"/><Relationship Id="rId159" Type="http://schemas.openxmlformats.org/officeDocument/2006/relationships/chart" Target="../charts/chart181.xml"/><Relationship Id="rId16" Type="http://schemas.openxmlformats.org/officeDocument/2006/relationships/chart" Target="../charts/chart38.xml"/><Relationship Id="rId107" Type="http://schemas.openxmlformats.org/officeDocument/2006/relationships/chart" Target="../charts/chart129.xml"/><Relationship Id="rId11" Type="http://schemas.openxmlformats.org/officeDocument/2006/relationships/chart" Target="../charts/chart33.xml"/><Relationship Id="rId32" Type="http://schemas.openxmlformats.org/officeDocument/2006/relationships/chart" Target="../charts/chart54.xml"/><Relationship Id="rId37" Type="http://schemas.openxmlformats.org/officeDocument/2006/relationships/chart" Target="../charts/chart59.xml"/><Relationship Id="rId53" Type="http://schemas.openxmlformats.org/officeDocument/2006/relationships/chart" Target="../charts/chart75.xml"/><Relationship Id="rId58" Type="http://schemas.openxmlformats.org/officeDocument/2006/relationships/chart" Target="../charts/chart80.xml"/><Relationship Id="rId74" Type="http://schemas.openxmlformats.org/officeDocument/2006/relationships/chart" Target="../charts/chart96.xml"/><Relationship Id="rId79" Type="http://schemas.openxmlformats.org/officeDocument/2006/relationships/chart" Target="../charts/chart101.xml"/><Relationship Id="rId102" Type="http://schemas.openxmlformats.org/officeDocument/2006/relationships/chart" Target="../charts/chart124.xml"/><Relationship Id="rId123" Type="http://schemas.openxmlformats.org/officeDocument/2006/relationships/chart" Target="../charts/chart145.xml"/><Relationship Id="rId128" Type="http://schemas.openxmlformats.org/officeDocument/2006/relationships/chart" Target="../charts/chart150.xml"/><Relationship Id="rId144" Type="http://schemas.openxmlformats.org/officeDocument/2006/relationships/chart" Target="../charts/chart166.xml"/><Relationship Id="rId149" Type="http://schemas.openxmlformats.org/officeDocument/2006/relationships/chart" Target="../charts/chart171.xml"/><Relationship Id="rId5" Type="http://schemas.openxmlformats.org/officeDocument/2006/relationships/chart" Target="../charts/chart27.xml"/><Relationship Id="rId90" Type="http://schemas.openxmlformats.org/officeDocument/2006/relationships/chart" Target="../charts/chart112.xml"/><Relationship Id="rId95" Type="http://schemas.openxmlformats.org/officeDocument/2006/relationships/chart" Target="../charts/chart117.xml"/><Relationship Id="rId160" Type="http://schemas.openxmlformats.org/officeDocument/2006/relationships/chart" Target="../charts/chart182.xml"/><Relationship Id="rId165" Type="http://schemas.openxmlformats.org/officeDocument/2006/relationships/chart" Target="../charts/chart187.xml"/><Relationship Id="rId22" Type="http://schemas.openxmlformats.org/officeDocument/2006/relationships/chart" Target="../charts/chart44.xml"/><Relationship Id="rId27" Type="http://schemas.openxmlformats.org/officeDocument/2006/relationships/chart" Target="../charts/chart49.xml"/><Relationship Id="rId43" Type="http://schemas.openxmlformats.org/officeDocument/2006/relationships/chart" Target="../charts/chart65.xml"/><Relationship Id="rId48" Type="http://schemas.openxmlformats.org/officeDocument/2006/relationships/chart" Target="../charts/chart70.xml"/><Relationship Id="rId64" Type="http://schemas.openxmlformats.org/officeDocument/2006/relationships/chart" Target="../charts/chart86.xml"/><Relationship Id="rId69" Type="http://schemas.openxmlformats.org/officeDocument/2006/relationships/chart" Target="../charts/chart91.xml"/><Relationship Id="rId113" Type="http://schemas.openxmlformats.org/officeDocument/2006/relationships/chart" Target="../charts/chart135.xml"/><Relationship Id="rId118" Type="http://schemas.openxmlformats.org/officeDocument/2006/relationships/chart" Target="../charts/chart140.xml"/><Relationship Id="rId134" Type="http://schemas.openxmlformats.org/officeDocument/2006/relationships/chart" Target="../charts/chart156.xml"/><Relationship Id="rId139" Type="http://schemas.openxmlformats.org/officeDocument/2006/relationships/chart" Target="../charts/chart161.xml"/><Relationship Id="rId80" Type="http://schemas.openxmlformats.org/officeDocument/2006/relationships/chart" Target="../charts/chart102.xml"/><Relationship Id="rId85" Type="http://schemas.openxmlformats.org/officeDocument/2006/relationships/chart" Target="../charts/chart107.xml"/><Relationship Id="rId150" Type="http://schemas.openxmlformats.org/officeDocument/2006/relationships/chart" Target="../charts/chart172.xml"/><Relationship Id="rId155" Type="http://schemas.openxmlformats.org/officeDocument/2006/relationships/chart" Target="../charts/chart177.xml"/><Relationship Id="rId12" Type="http://schemas.openxmlformats.org/officeDocument/2006/relationships/chart" Target="../charts/chart34.xml"/><Relationship Id="rId17" Type="http://schemas.openxmlformats.org/officeDocument/2006/relationships/chart" Target="../charts/chart39.xml"/><Relationship Id="rId33" Type="http://schemas.openxmlformats.org/officeDocument/2006/relationships/chart" Target="../charts/chart55.xml"/><Relationship Id="rId38" Type="http://schemas.openxmlformats.org/officeDocument/2006/relationships/chart" Target="../charts/chart60.xml"/><Relationship Id="rId59" Type="http://schemas.openxmlformats.org/officeDocument/2006/relationships/chart" Target="../charts/chart81.xml"/><Relationship Id="rId103" Type="http://schemas.openxmlformats.org/officeDocument/2006/relationships/chart" Target="../charts/chart125.xml"/><Relationship Id="rId108" Type="http://schemas.openxmlformats.org/officeDocument/2006/relationships/chart" Target="../charts/chart130.xml"/><Relationship Id="rId124" Type="http://schemas.openxmlformats.org/officeDocument/2006/relationships/chart" Target="../charts/chart146.xml"/><Relationship Id="rId129" Type="http://schemas.openxmlformats.org/officeDocument/2006/relationships/chart" Target="../charts/chart151.xml"/><Relationship Id="rId54" Type="http://schemas.openxmlformats.org/officeDocument/2006/relationships/chart" Target="../charts/chart76.xml"/><Relationship Id="rId70" Type="http://schemas.openxmlformats.org/officeDocument/2006/relationships/chart" Target="../charts/chart92.xml"/><Relationship Id="rId75" Type="http://schemas.openxmlformats.org/officeDocument/2006/relationships/chart" Target="../charts/chart97.xml"/><Relationship Id="rId91" Type="http://schemas.openxmlformats.org/officeDocument/2006/relationships/chart" Target="../charts/chart113.xml"/><Relationship Id="rId96" Type="http://schemas.openxmlformats.org/officeDocument/2006/relationships/chart" Target="../charts/chart118.xml"/><Relationship Id="rId140" Type="http://schemas.openxmlformats.org/officeDocument/2006/relationships/chart" Target="../charts/chart162.xml"/><Relationship Id="rId145" Type="http://schemas.openxmlformats.org/officeDocument/2006/relationships/chart" Target="../charts/chart167.xml"/><Relationship Id="rId161" Type="http://schemas.openxmlformats.org/officeDocument/2006/relationships/chart" Target="../charts/chart183.xml"/><Relationship Id="rId166" Type="http://schemas.openxmlformats.org/officeDocument/2006/relationships/chart" Target="../charts/chart188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5" Type="http://schemas.openxmlformats.org/officeDocument/2006/relationships/chart" Target="../charts/chart37.xml"/><Relationship Id="rId23" Type="http://schemas.openxmlformats.org/officeDocument/2006/relationships/chart" Target="../charts/chart45.xml"/><Relationship Id="rId28" Type="http://schemas.openxmlformats.org/officeDocument/2006/relationships/chart" Target="../charts/chart50.xml"/><Relationship Id="rId36" Type="http://schemas.openxmlformats.org/officeDocument/2006/relationships/chart" Target="../charts/chart58.xml"/><Relationship Id="rId49" Type="http://schemas.openxmlformats.org/officeDocument/2006/relationships/chart" Target="../charts/chart71.xml"/><Relationship Id="rId57" Type="http://schemas.openxmlformats.org/officeDocument/2006/relationships/chart" Target="../charts/chart79.xml"/><Relationship Id="rId106" Type="http://schemas.openxmlformats.org/officeDocument/2006/relationships/chart" Target="../charts/chart128.xml"/><Relationship Id="rId114" Type="http://schemas.openxmlformats.org/officeDocument/2006/relationships/chart" Target="../charts/chart136.xml"/><Relationship Id="rId119" Type="http://schemas.openxmlformats.org/officeDocument/2006/relationships/chart" Target="../charts/chart141.xml"/><Relationship Id="rId127" Type="http://schemas.openxmlformats.org/officeDocument/2006/relationships/chart" Target="../charts/chart149.xml"/><Relationship Id="rId10" Type="http://schemas.openxmlformats.org/officeDocument/2006/relationships/chart" Target="../charts/chart32.xml"/><Relationship Id="rId31" Type="http://schemas.openxmlformats.org/officeDocument/2006/relationships/chart" Target="../charts/chart53.xml"/><Relationship Id="rId44" Type="http://schemas.openxmlformats.org/officeDocument/2006/relationships/chart" Target="../charts/chart66.xml"/><Relationship Id="rId52" Type="http://schemas.openxmlformats.org/officeDocument/2006/relationships/chart" Target="../charts/chart74.xml"/><Relationship Id="rId60" Type="http://schemas.openxmlformats.org/officeDocument/2006/relationships/chart" Target="../charts/chart82.xml"/><Relationship Id="rId65" Type="http://schemas.openxmlformats.org/officeDocument/2006/relationships/chart" Target="../charts/chart87.xml"/><Relationship Id="rId73" Type="http://schemas.openxmlformats.org/officeDocument/2006/relationships/chart" Target="../charts/chart95.xml"/><Relationship Id="rId78" Type="http://schemas.openxmlformats.org/officeDocument/2006/relationships/chart" Target="../charts/chart100.xml"/><Relationship Id="rId81" Type="http://schemas.openxmlformats.org/officeDocument/2006/relationships/chart" Target="../charts/chart103.xml"/><Relationship Id="rId86" Type="http://schemas.openxmlformats.org/officeDocument/2006/relationships/chart" Target="../charts/chart108.xml"/><Relationship Id="rId94" Type="http://schemas.openxmlformats.org/officeDocument/2006/relationships/chart" Target="../charts/chart116.xml"/><Relationship Id="rId99" Type="http://schemas.openxmlformats.org/officeDocument/2006/relationships/chart" Target="../charts/chart121.xml"/><Relationship Id="rId101" Type="http://schemas.openxmlformats.org/officeDocument/2006/relationships/chart" Target="../charts/chart123.xml"/><Relationship Id="rId122" Type="http://schemas.openxmlformats.org/officeDocument/2006/relationships/chart" Target="../charts/chart144.xml"/><Relationship Id="rId130" Type="http://schemas.openxmlformats.org/officeDocument/2006/relationships/chart" Target="../charts/chart152.xml"/><Relationship Id="rId135" Type="http://schemas.openxmlformats.org/officeDocument/2006/relationships/chart" Target="../charts/chart157.xml"/><Relationship Id="rId143" Type="http://schemas.openxmlformats.org/officeDocument/2006/relationships/chart" Target="../charts/chart165.xml"/><Relationship Id="rId148" Type="http://schemas.openxmlformats.org/officeDocument/2006/relationships/chart" Target="../charts/chart170.xml"/><Relationship Id="rId151" Type="http://schemas.openxmlformats.org/officeDocument/2006/relationships/chart" Target="../charts/chart173.xml"/><Relationship Id="rId156" Type="http://schemas.openxmlformats.org/officeDocument/2006/relationships/chart" Target="../charts/chart178.xml"/><Relationship Id="rId164" Type="http://schemas.openxmlformats.org/officeDocument/2006/relationships/chart" Target="../charts/chart186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3" Type="http://schemas.openxmlformats.org/officeDocument/2006/relationships/chart" Target="../charts/chart35.xml"/><Relationship Id="rId18" Type="http://schemas.openxmlformats.org/officeDocument/2006/relationships/chart" Target="../charts/chart40.xml"/><Relationship Id="rId39" Type="http://schemas.openxmlformats.org/officeDocument/2006/relationships/chart" Target="../charts/chart61.xml"/><Relationship Id="rId109" Type="http://schemas.openxmlformats.org/officeDocument/2006/relationships/chart" Target="../charts/chart131.xml"/><Relationship Id="rId34" Type="http://schemas.openxmlformats.org/officeDocument/2006/relationships/chart" Target="../charts/chart56.xml"/><Relationship Id="rId50" Type="http://schemas.openxmlformats.org/officeDocument/2006/relationships/chart" Target="../charts/chart72.xml"/><Relationship Id="rId55" Type="http://schemas.openxmlformats.org/officeDocument/2006/relationships/chart" Target="../charts/chart77.xml"/><Relationship Id="rId76" Type="http://schemas.openxmlformats.org/officeDocument/2006/relationships/chart" Target="../charts/chart98.xml"/><Relationship Id="rId97" Type="http://schemas.openxmlformats.org/officeDocument/2006/relationships/chart" Target="../charts/chart119.xml"/><Relationship Id="rId104" Type="http://schemas.openxmlformats.org/officeDocument/2006/relationships/chart" Target="../charts/chart126.xml"/><Relationship Id="rId120" Type="http://schemas.openxmlformats.org/officeDocument/2006/relationships/chart" Target="../charts/chart142.xml"/><Relationship Id="rId125" Type="http://schemas.openxmlformats.org/officeDocument/2006/relationships/chart" Target="../charts/chart147.xml"/><Relationship Id="rId141" Type="http://schemas.openxmlformats.org/officeDocument/2006/relationships/chart" Target="../charts/chart163.xml"/><Relationship Id="rId146" Type="http://schemas.openxmlformats.org/officeDocument/2006/relationships/chart" Target="../charts/chart168.xml"/><Relationship Id="rId7" Type="http://schemas.openxmlformats.org/officeDocument/2006/relationships/chart" Target="../charts/chart29.xml"/><Relationship Id="rId71" Type="http://schemas.openxmlformats.org/officeDocument/2006/relationships/chart" Target="../charts/chart93.xml"/><Relationship Id="rId92" Type="http://schemas.openxmlformats.org/officeDocument/2006/relationships/chart" Target="../charts/chart114.xml"/><Relationship Id="rId162" Type="http://schemas.openxmlformats.org/officeDocument/2006/relationships/chart" Target="../charts/chart184.xml"/><Relationship Id="rId2" Type="http://schemas.openxmlformats.org/officeDocument/2006/relationships/chart" Target="../charts/chart24.xml"/><Relationship Id="rId29" Type="http://schemas.openxmlformats.org/officeDocument/2006/relationships/chart" Target="../charts/chart51.xml"/><Relationship Id="rId24" Type="http://schemas.openxmlformats.org/officeDocument/2006/relationships/chart" Target="../charts/chart46.xml"/><Relationship Id="rId40" Type="http://schemas.openxmlformats.org/officeDocument/2006/relationships/chart" Target="../charts/chart62.xml"/><Relationship Id="rId45" Type="http://schemas.openxmlformats.org/officeDocument/2006/relationships/chart" Target="../charts/chart67.xml"/><Relationship Id="rId66" Type="http://schemas.openxmlformats.org/officeDocument/2006/relationships/chart" Target="../charts/chart88.xml"/><Relationship Id="rId87" Type="http://schemas.openxmlformats.org/officeDocument/2006/relationships/chart" Target="../charts/chart109.xml"/><Relationship Id="rId110" Type="http://schemas.openxmlformats.org/officeDocument/2006/relationships/chart" Target="../charts/chart132.xml"/><Relationship Id="rId115" Type="http://schemas.openxmlformats.org/officeDocument/2006/relationships/chart" Target="../charts/chart137.xml"/><Relationship Id="rId131" Type="http://schemas.openxmlformats.org/officeDocument/2006/relationships/chart" Target="../charts/chart153.xml"/><Relationship Id="rId136" Type="http://schemas.openxmlformats.org/officeDocument/2006/relationships/chart" Target="../charts/chart158.xml"/><Relationship Id="rId157" Type="http://schemas.openxmlformats.org/officeDocument/2006/relationships/chart" Target="../charts/chart179.xml"/><Relationship Id="rId61" Type="http://schemas.openxmlformats.org/officeDocument/2006/relationships/chart" Target="../charts/chart83.xml"/><Relationship Id="rId82" Type="http://schemas.openxmlformats.org/officeDocument/2006/relationships/chart" Target="../charts/chart104.xml"/><Relationship Id="rId152" Type="http://schemas.openxmlformats.org/officeDocument/2006/relationships/chart" Target="../charts/chart174.xml"/><Relationship Id="rId19" Type="http://schemas.openxmlformats.org/officeDocument/2006/relationships/chart" Target="../charts/chart41.xml"/><Relationship Id="rId14" Type="http://schemas.openxmlformats.org/officeDocument/2006/relationships/chart" Target="../charts/chart36.xml"/><Relationship Id="rId30" Type="http://schemas.openxmlformats.org/officeDocument/2006/relationships/chart" Target="../charts/chart52.xml"/><Relationship Id="rId35" Type="http://schemas.openxmlformats.org/officeDocument/2006/relationships/chart" Target="../charts/chart57.xml"/><Relationship Id="rId56" Type="http://schemas.openxmlformats.org/officeDocument/2006/relationships/chart" Target="../charts/chart78.xml"/><Relationship Id="rId77" Type="http://schemas.openxmlformats.org/officeDocument/2006/relationships/chart" Target="../charts/chart99.xml"/><Relationship Id="rId100" Type="http://schemas.openxmlformats.org/officeDocument/2006/relationships/chart" Target="../charts/chart122.xml"/><Relationship Id="rId105" Type="http://schemas.openxmlformats.org/officeDocument/2006/relationships/chart" Target="../charts/chart127.xml"/><Relationship Id="rId126" Type="http://schemas.openxmlformats.org/officeDocument/2006/relationships/chart" Target="../charts/chart148.xml"/><Relationship Id="rId147" Type="http://schemas.openxmlformats.org/officeDocument/2006/relationships/chart" Target="../charts/chart169.xml"/><Relationship Id="rId8" Type="http://schemas.openxmlformats.org/officeDocument/2006/relationships/chart" Target="../charts/chart30.xml"/><Relationship Id="rId51" Type="http://schemas.openxmlformats.org/officeDocument/2006/relationships/chart" Target="../charts/chart73.xml"/><Relationship Id="rId72" Type="http://schemas.openxmlformats.org/officeDocument/2006/relationships/chart" Target="../charts/chart94.xml"/><Relationship Id="rId93" Type="http://schemas.openxmlformats.org/officeDocument/2006/relationships/chart" Target="../charts/chart115.xml"/><Relationship Id="rId98" Type="http://schemas.openxmlformats.org/officeDocument/2006/relationships/chart" Target="../charts/chart120.xml"/><Relationship Id="rId121" Type="http://schemas.openxmlformats.org/officeDocument/2006/relationships/chart" Target="../charts/chart143.xml"/><Relationship Id="rId142" Type="http://schemas.openxmlformats.org/officeDocument/2006/relationships/chart" Target="../charts/chart164.xml"/><Relationship Id="rId163" Type="http://schemas.openxmlformats.org/officeDocument/2006/relationships/chart" Target="../charts/chart185.xml"/><Relationship Id="rId3" Type="http://schemas.openxmlformats.org/officeDocument/2006/relationships/chart" Target="../charts/chart25.xml"/><Relationship Id="rId25" Type="http://schemas.openxmlformats.org/officeDocument/2006/relationships/chart" Target="../charts/chart47.xml"/><Relationship Id="rId46" Type="http://schemas.openxmlformats.org/officeDocument/2006/relationships/chart" Target="../charts/chart68.xml"/><Relationship Id="rId67" Type="http://schemas.openxmlformats.org/officeDocument/2006/relationships/chart" Target="../charts/chart89.xml"/><Relationship Id="rId116" Type="http://schemas.openxmlformats.org/officeDocument/2006/relationships/chart" Target="../charts/chart138.xml"/><Relationship Id="rId137" Type="http://schemas.openxmlformats.org/officeDocument/2006/relationships/chart" Target="../charts/chart159.xml"/><Relationship Id="rId158" Type="http://schemas.openxmlformats.org/officeDocument/2006/relationships/chart" Target="../charts/chart180.xml"/><Relationship Id="rId20" Type="http://schemas.openxmlformats.org/officeDocument/2006/relationships/chart" Target="../charts/chart42.xml"/><Relationship Id="rId41" Type="http://schemas.openxmlformats.org/officeDocument/2006/relationships/chart" Target="../charts/chart63.xml"/><Relationship Id="rId62" Type="http://schemas.openxmlformats.org/officeDocument/2006/relationships/chart" Target="../charts/chart84.xml"/><Relationship Id="rId83" Type="http://schemas.openxmlformats.org/officeDocument/2006/relationships/chart" Target="../charts/chart105.xml"/><Relationship Id="rId88" Type="http://schemas.openxmlformats.org/officeDocument/2006/relationships/chart" Target="../charts/chart110.xml"/><Relationship Id="rId111" Type="http://schemas.openxmlformats.org/officeDocument/2006/relationships/chart" Target="../charts/chart133.xml"/><Relationship Id="rId132" Type="http://schemas.openxmlformats.org/officeDocument/2006/relationships/chart" Target="../charts/chart154.xml"/><Relationship Id="rId153" Type="http://schemas.openxmlformats.org/officeDocument/2006/relationships/chart" Target="../charts/chart17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9.xml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0.xm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chart" Target="../charts/chart19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3.xml"/><Relationship Id="rId2" Type="http://schemas.openxmlformats.org/officeDocument/2006/relationships/chart" Target="../charts/chart192.xml"/><Relationship Id="rId1" Type="http://schemas.openxmlformats.org/officeDocument/2006/relationships/image" Target="../media/image3.jpeg"/><Relationship Id="rId5" Type="http://schemas.openxmlformats.org/officeDocument/2006/relationships/chart" Target="../charts/chart195.xml"/><Relationship Id="rId4" Type="http://schemas.openxmlformats.org/officeDocument/2006/relationships/chart" Target="../charts/chart19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6.xml"/><Relationship Id="rId7" Type="http://schemas.openxmlformats.org/officeDocument/2006/relationships/image" Target="../media/image3.jpe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chart" Target="../charts/chart199.xml"/><Relationship Id="rId5" Type="http://schemas.openxmlformats.org/officeDocument/2006/relationships/chart" Target="../charts/chart198.xml"/><Relationship Id="rId4" Type="http://schemas.openxmlformats.org/officeDocument/2006/relationships/chart" Target="../charts/chart19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0.xml"/><Relationship Id="rId7" Type="http://schemas.openxmlformats.org/officeDocument/2006/relationships/image" Target="../media/image3.jpe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chart" Target="../charts/chart203.xml"/><Relationship Id="rId5" Type="http://schemas.openxmlformats.org/officeDocument/2006/relationships/chart" Target="../charts/chart202.xml"/><Relationship Id="rId4" Type="http://schemas.openxmlformats.org/officeDocument/2006/relationships/chart" Target="../charts/chart20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7.emf"/><Relationship Id="rId18" Type="http://schemas.openxmlformats.org/officeDocument/2006/relationships/image" Target="../media/image22.emf"/><Relationship Id="rId26" Type="http://schemas.openxmlformats.org/officeDocument/2006/relationships/image" Target="../media/image30.emf"/><Relationship Id="rId39" Type="http://schemas.openxmlformats.org/officeDocument/2006/relationships/image" Target="../media/image43.emf"/><Relationship Id="rId3" Type="http://schemas.openxmlformats.org/officeDocument/2006/relationships/image" Target="../media/image7.emf"/><Relationship Id="rId21" Type="http://schemas.openxmlformats.org/officeDocument/2006/relationships/image" Target="../media/image25.emf"/><Relationship Id="rId34" Type="http://schemas.openxmlformats.org/officeDocument/2006/relationships/image" Target="../media/image38.emf"/><Relationship Id="rId42" Type="http://schemas.openxmlformats.org/officeDocument/2006/relationships/image" Target="../media/image46.emf"/><Relationship Id="rId47" Type="http://schemas.openxmlformats.org/officeDocument/2006/relationships/image" Target="../media/image51.emf"/><Relationship Id="rId50" Type="http://schemas.openxmlformats.org/officeDocument/2006/relationships/image" Target="../media/image54.emf"/><Relationship Id="rId7" Type="http://schemas.openxmlformats.org/officeDocument/2006/relationships/image" Target="../media/image11.emf"/><Relationship Id="rId12" Type="http://schemas.openxmlformats.org/officeDocument/2006/relationships/image" Target="../media/image16.emf"/><Relationship Id="rId17" Type="http://schemas.openxmlformats.org/officeDocument/2006/relationships/image" Target="../media/image21.emf"/><Relationship Id="rId25" Type="http://schemas.openxmlformats.org/officeDocument/2006/relationships/image" Target="../media/image29.emf"/><Relationship Id="rId33" Type="http://schemas.openxmlformats.org/officeDocument/2006/relationships/image" Target="../media/image37.emf"/><Relationship Id="rId38" Type="http://schemas.openxmlformats.org/officeDocument/2006/relationships/image" Target="../media/image42.emf"/><Relationship Id="rId46" Type="http://schemas.openxmlformats.org/officeDocument/2006/relationships/image" Target="../media/image50.emf"/><Relationship Id="rId2" Type="http://schemas.openxmlformats.org/officeDocument/2006/relationships/image" Target="../media/image6.emf"/><Relationship Id="rId16" Type="http://schemas.openxmlformats.org/officeDocument/2006/relationships/image" Target="../media/image20.emf"/><Relationship Id="rId20" Type="http://schemas.openxmlformats.org/officeDocument/2006/relationships/image" Target="../media/image24.emf"/><Relationship Id="rId29" Type="http://schemas.openxmlformats.org/officeDocument/2006/relationships/image" Target="../media/image33.emf"/><Relationship Id="rId41" Type="http://schemas.openxmlformats.org/officeDocument/2006/relationships/image" Target="../media/image45.emf"/><Relationship Id="rId54" Type="http://schemas.openxmlformats.org/officeDocument/2006/relationships/image" Target="../media/image58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15.emf"/><Relationship Id="rId24" Type="http://schemas.openxmlformats.org/officeDocument/2006/relationships/image" Target="../media/image28.emf"/><Relationship Id="rId32" Type="http://schemas.openxmlformats.org/officeDocument/2006/relationships/image" Target="../media/image36.emf"/><Relationship Id="rId37" Type="http://schemas.openxmlformats.org/officeDocument/2006/relationships/image" Target="../media/image41.emf"/><Relationship Id="rId40" Type="http://schemas.openxmlformats.org/officeDocument/2006/relationships/image" Target="../media/image44.emf"/><Relationship Id="rId45" Type="http://schemas.openxmlformats.org/officeDocument/2006/relationships/image" Target="../media/image49.emf"/><Relationship Id="rId53" Type="http://schemas.openxmlformats.org/officeDocument/2006/relationships/image" Target="../media/image57.emf"/><Relationship Id="rId5" Type="http://schemas.openxmlformats.org/officeDocument/2006/relationships/image" Target="../media/image9.emf"/><Relationship Id="rId15" Type="http://schemas.openxmlformats.org/officeDocument/2006/relationships/image" Target="../media/image19.emf"/><Relationship Id="rId23" Type="http://schemas.openxmlformats.org/officeDocument/2006/relationships/image" Target="../media/image27.emf"/><Relationship Id="rId28" Type="http://schemas.openxmlformats.org/officeDocument/2006/relationships/image" Target="../media/image32.emf"/><Relationship Id="rId36" Type="http://schemas.openxmlformats.org/officeDocument/2006/relationships/image" Target="../media/image40.emf"/><Relationship Id="rId49" Type="http://schemas.openxmlformats.org/officeDocument/2006/relationships/image" Target="../media/image53.emf"/><Relationship Id="rId10" Type="http://schemas.openxmlformats.org/officeDocument/2006/relationships/image" Target="../media/image14.emf"/><Relationship Id="rId19" Type="http://schemas.openxmlformats.org/officeDocument/2006/relationships/image" Target="../media/image23.emf"/><Relationship Id="rId31" Type="http://schemas.openxmlformats.org/officeDocument/2006/relationships/image" Target="../media/image35.emf"/><Relationship Id="rId44" Type="http://schemas.openxmlformats.org/officeDocument/2006/relationships/image" Target="../media/image48.emf"/><Relationship Id="rId52" Type="http://schemas.openxmlformats.org/officeDocument/2006/relationships/image" Target="../media/image56.emf"/><Relationship Id="rId4" Type="http://schemas.openxmlformats.org/officeDocument/2006/relationships/image" Target="../media/image8.emf"/><Relationship Id="rId9" Type="http://schemas.openxmlformats.org/officeDocument/2006/relationships/image" Target="../media/image13.emf"/><Relationship Id="rId14" Type="http://schemas.openxmlformats.org/officeDocument/2006/relationships/image" Target="../media/image18.emf"/><Relationship Id="rId22" Type="http://schemas.openxmlformats.org/officeDocument/2006/relationships/image" Target="../media/image26.emf"/><Relationship Id="rId27" Type="http://schemas.openxmlformats.org/officeDocument/2006/relationships/image" Target="../media/image31.emf"/><Relationship Id="rId30" Type="http://schemas.openxmlformats.org/officeDocument/2006/relationships/image" Target="../media/image34.emf"/><Relationship Id="rId35" Type="http://schemas.openxmlformats.org/officeDocument/2006/relationships/image" Target="../media/image39.emf"/><Relationship Id="rId43" Type="http://schemas.openxmlformats.org/officeDocument/2006/relationships/image" Target="../media/image47.emf"/><Relationship Id="rId48" Type="http://schemas.openxmlformats.org/officeDocument/2006/relationships/image" Target="../media/image52.emf"/><Relationship Id="rId8" Type="http://schemas.openxmlformats.org/officeDocument/2006/relationships/image" Target="../media/image12.emf"/><Relationship Id="rId51" Type="http://schemas.openxmlformats.org/officeDocument/2006/relationships/image" Target="../media/image5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304800</xdr:colOff>
      <xdr:row>1386</xdr:row>
      <xdr:rowOff>95250</xdr:rowOff>
    </xdr:from>
    <xdr:to>
      <xdr:col>46</xdr:col>
      <xdr:colOff>590550</xdr:colOff>
      <xdr:row>1407</xdr:row>
      <xdr:rowOff>151210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899160</xdr:colOff>
      <xdr:row>21</xdr:row>
      <xdr:rowOff>0</xdr:rowOff>
    </xdr:from>
    <xdr:to>
      <xdr:col>8</xdr:col>
      <xdr:colOff>574767</xdr:colOff>
      <xdr:row>35</xdr:row>
      <xdr:rowOff>52252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205740</xdr:colOff>
      <xdr:row>49</xdr:row>
      <xdr:rowOff>30480</xdr:rowOff>
    </xdr:from>
    <xdr:to>
      <xdr:col>18</xdr:col>
      <xdr:colOff>419100</xdr:colOff>
      <xdr:row>74</xdr:row>
      <xdr:rowOff>25037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403860</xdr:colOff>
      <xdr:row>102</xdr:row>
      <xdr:rowOff>144780</xdr:rowOff>
    </xdr:from>
    <xdr:to>
      <xdr:col>10</xdr:col>
      <xdr:colOff>388620</xdr:colOff>
      <xdr:row>117</xdr:row>
      <xdr:rowOff>125515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571500</xdr:colOff>
      <xdr:row>113</xdr:row>
      <xdr:rowOff>106680</xdr:rowOff>
    </xdr:from>
    <xdr:to>
      <xdr:col>3</xdr:col>
      <xdr:colOff>15240</xdr:colOff>
      <xdr:row>118</xdr:row>
      <xdr:rowOff>7620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 txBox="1"/>
      </xdr:nvSpPr>
      <xdr:spPr>
        <a:xfrm>
          <a:off x="1181100" y="21061680"/>
          <a:ext cx="1615440" cy="81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4400" b="1"/>
            <a:t>0</a:t>
          </a:r>
        </a:p>
      </xdr:txBody>
    </xdr:sp>
    <xdr:clientData/>
  </xdr:twoCellAnchor>
  <xdr:twoCellAnchor>
    <xdr:from>
      <xdr:col>4</xdr:col>
      <xdr:colOff>403860</xdr:colOff>
      <xdr:row>174</xdr:row>
      <xdr:rowOff>144780</xdr:rowOff>
    </xdr:from>
    <xdr:to>
      <xdr:col>10</xdr:col>
      <xdr:colOff>388620</xdr:colOff>
      <xdr:row>189</xdr:row>
      <xdr:rowOff>125515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571500</xdr:colOff>
      <xdr:row>185</xdr:row>
      <xdr:rowOff>106680</xdr:rowOff>
    </xdr:from>
    <xdr:to>
      <xdr:col>3</xdr:col>
      <xdr:colOff>15240</xdr:colOff>
      <xdr:row>190</xdr:row>
      <xdr:rowOff>7620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 txBox="1"/>
      </xdr:nvSpPr>
      <xdr:spPr>
        <a:xfrm>
          <a:off x="1181100" y="21061680"/>
          <a:ext cx="1615440" cy="81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4400" b="1"/>
            <a:t>0</a:t>
          </a:r>
        </a:p>
      </xdr:txBody>
    </xdr:sp>
    <xdr:clientData/>
  </xdr:twoCellAnchor>
  <xdr:twoCellAnchor>
    <xdr:from>
      <xdr:col>4</xdr:col>
      <xdr:colOff>403860</xdr:colOff>
      <xdr:row>239</xdr:row>
      <xdr:rowOff>144780</xdr:rowOff>
    </xdr:from>
    <xdr:to>
      <xdr:col>10</xdr:col>
      <xdr:colOff>388620</xdr:colOff>
      <xdr:row>254</xdr:row>
      <xdr:rowOff>125515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571500</xdr:colOff>
      <xdr:row>250</xdr:row>
      <xdr:rowOff>106680</xdr:rowOff>
    </xdr:from>
    <xdr:to>
      <xdr:col>3</xdr:col>
      <xdr:colOff>15240</xdr:colOff>
      <xdr:row>255</xdr:row>
      <xdr:rowOff>7620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 txBox="1"/>
      </xdr:nvSpPr>
      <xdr:spPr>
        <a:xfrm>
          <a:off x="1181100" y="34229040"/>
          <a:ext cx="1615440" cy="81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4400" b="1"/>
            <a:t>0</a:t>
          </a:r>
        </a:p>
      </xdr:txBody>
    </xdr:sp>
    <xdr:clientData/>
  </xdr:twoCellAnchor>
  <xdr:twoCellAnchor>
    <xdr:from>
      <xdr:col>1</xdr:col>
      <xdr:colOff>411480</xdr:colOff>
      <xdr:row>258</xdr:row>
      <xdr:rowOff>114300</xdr:rowOff>
    </xdr:from>
    <xdr:to>
      <xdr:col>6</xdr:col>
      <xdr:colOff>254000</xdr:colOff>
      <xdr:row>277</xdr:row>
      <xdr:rowOff>100330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15240</xdr:colOff>
      <xdr:row>293</xdr:row>
      <xdr:rowOff>45720</xdr:rowOff>
    </xdr:from>
    <xdr:to>
      <xdr:col>10</xdr:col>
      <xdr:colOff>518160</xdr:colOff>
      <xdr:row>298</xdr:row>
      <xdr:rowOff>121920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 txBox="1"/>
      </xdr:nvSpPr>
      <xdr:spPr>
        <a:xfrm>
          <a:off x="6827520" y="53919120"/>
          <a:ext cx="1112520" cy="990600"/>
        </a:xfrm>
        <a:prstGeom prst="rect">
          <a:avLst/>
        </a:prstGeom>
        <a:solidFill>
          <a:schemeClr val="accent5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000" b="1">
              <a:solidFill>
                <a:schemeClr val="accent1">
                  <a:lumMod val="60000"/>
                  <a:lumOff val="40000"/>
                </a:schemeClr>
              </a:solidFill>
            </a:rPr>
            <a:t>2</a:t>
          </a:r>
          <a:r>
            <a:rPr lang="et-EE" sz="1600" b="1">
              <a:solidFill>
                <a:schemeClr val="accent1">
                  <a:lumMod val="60000"/>
                  <a:lumOff val="40000"/>
                </a:schemeClr>
              </a:solidFill>
            </a:rPr>
            <a:t>/</a:t>
          </a:r>
          <a:r>
            <a:rPr lang="et-EE" sz="1800" b="1">
              <a:solidFill>
                <a:schemeClr val="accent1">
                  <a:lumMod val="60000"/>
                  <a:lumOff val="40000"/>
                </a:schemeClr>
              </a:solidFill>
            </a:rPr>
            <a:t>3</a:t>
          </a:r>
          <a:r>
            <a:rPr lang="et-EE" sz="1600" b="1">
              <a:solidFill>
                <a:schemeClr val="accent1">
                  <a:lumMod val="60000"/>
                  <a:lumOff val="40000"/>
                </a:schemeClr>
              </a:solidFill>
            </a:rPr>
            <a:t>/3/</a:t>
          </a:r>
          <a:r>
            <a:rPr lang="et-EE" sz="2000" b="1">
              <a:solidFill>
                <a:schemeClr val="accent1">
                  <a:lumMod val="60000"/>
                  <a:lumOff val="40000"/>
                </a:schemeClr>
              </a:solidFill>
            </a:rPr>
            <a:t>6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513</xdr:row>
      <xdr:rowOff>126996</xdr:rowOff>
    </xdr:from>
    <xdr:to>
      <xdr:col>13</xdr:col>
      <xdr:colOff>673100</xdr:colOff>
      <xdr:row>546</xdr:row>
      <xdr:rowOff>190496</xdr:rowOff>
    </xdr:to>
    <xdr:pic>
      <xdr:nvPicPr>
        <xdr:cNvPr id="361" name="Picture 360">
          <a:extLst>
            <a:ext uri="{FF2B5EF4-FFF2-40B4-BE49-F238E27FC236}">
              <a16:creationId xmlns:a16="http://schemas.microsoft.com/office/drawing/2014/main" xmlns="" id="{F8F7BDB0-12B3-4077-A954-F6D24926D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BEBA8EAE-BF5A-486C-A8C5-ECC9F3942E4B}">
              <a14:imgProps xmlns:a14="http://schemas.microsoft.com/office/drawing/2010/main" xmlns="">
                <a14:imgLayer r:embed="rId2">
                  <a14:imgEffect>
                    <a14:artisticCrisscrossEtching/>
                  </a14:imgEffect>
                  <a14:imgEffect>
                    <a14:colorTemperature colorTemp="4700"/>
                  </a14:imgEffect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98032790"/>
          <a:ext cx="8494806" cy="6350000"/>
        </a:xfrm>
        <a:prstGeom prst="rect">
          <a:avLst/>
        </a:prstGeom>
        <a:noFill/>
        <a:ln>
          <a:noFill/>
        </a:ln>
        <a:effectLst>
          <a:outerShdw sx="1000" sy="1000" algn="tl" rotWithShape="0">
            <a:srgbClr val="333333"/>
          </a:outerShdw>
        </a:effectLst>
      </xdr:spPr>
    </xdr:pic>
    <xdr:clientData/>
  </xdr:twoCellAnchor>
  <xdr:twoCellAnchor editAs="oneCell">
    <xdr:from>
      <xdr:col>0</xdr:col>
      <xdr:colOff>0</xdr:colOff>
      <xdr:row>482</xdr:row>
      <xdr:rowOff>8217</xdr:rowOff>
    </xdr:from>
    <xdr:to>
      <xdr:col>13</xdr:col>
      <xdr:colOff>673100</xdr:colOff>
      <xdr:row>515</xdr:row>
      <xdr:rowOff>71717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BEBA8EAE-BF5A-486C-A8C5-ECC9F3942E4B}">
              <a14:imgProps xmlns:a14="http://schemas.microsoft.com/office/drawing/2010/main" xmlns="">
                <a14:imgLayer r:embed="rId2">
                  <a14:imgEffect>
                    <a14:artisticCrisscrossEtching/>
                  </a14:imgEffect>
                  <a14:imgEffect>
                    <a14:colorTemperature colorTemp="4700"/>
                  </a14:imgEffect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92008511"/>
          <a:ext cx="8494806" cy="6350000"/>
        </a:xfrm>
        <a:prstGeom prst="rect">
          <a:avLst/>
        </a:prstGeom>
        <a:noFill/>
        <a:ln>
          <a:noFill/>
        </a:ln>
        <a:effectLst>
          <a:outerShdw sx="1000" sy="1000" algn="tl" rotWithShape="0">
            <a:srgbClr val="333333"/>
          </a:outerShdw>
        </a:effectLst>
      </xdr:spPr>
    </xdr:pic>
    <xdr:clientData/>
  </xdr:twoCellAnchor>
  <xdr:twoCellAnchor editAs="oneCell">
    <xdr:from>
      <xdr:col>0</xdr:col>
      <xdr:colOff>0</xdr:colOff>
      <xdr:row>429</xdr:row>
      <xdr:rowOff>12700</xdr:rowOff>
    </xdr:from>
    <xdr:to>
      <xdr:col>13</xdr:col>
      <xdr:colOff>673100</xdr:colOff>
      <xdr:row>462</xdr:row>
      <xdr:rowOff>63500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BEBA8EAE-BF5A-486C-A8C5-ECC9F3942E4B}">
              <a14:imgProps xmlns:a14="http://schemas.microsoft.com/office/drawing/2010/main" xmlns="">
                <a14:imgLayer r:embed="rId2">
                  <a14:imgEffect>
                    <a14:artisticCrisscrossEtching/>
                  </a14:imgEffect>
                  <a14:imgEffect>
                    <a14:colorTemperature colorTemp="4700"/>
                  </a14:imgEffect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115722400"/>
          <a:ext cx="8455025" cy="6337300"/>
        </a:xfrm>
        <a:prstGeom prst="rect">
          <a:avLst/>
        </a:prstGeom>
        <a:noFill/>
        <a:ln>
          <a:noFill/>
        </a:ln>
        <a:effectLst>
          <a:outerShdw sx="1000" sy="1000" algn="tl" rotWithShape="0">
            <a:srgbClr val="333333"/>
          </a:outerShdw>
        </a:effectLst>
      </xdr:spPr>
    </xdr:pic>
    <xdr:clientData/>
  </xdr:twoCellAnchor>
  <xdr:twoCellAnchor editAs="oneCell">
    <xdr:from>
      <xdr:col>0</xdr:col>
      <xdr:colOff>0</xdr:colOff>
      <xdr:row>360</xdr:row>
      <xdr:rowOff>12700</xdr:rowOff>
    </xdr:from>
    <xdr:to>
      <xdr:col>13</xdr:col>
      <xdr:colOff>673100</xdr:colOff>
      <xdr:row>393</xdr:row>
      <xdr:rowOff>63500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BEBA8EAE-BF5A-486C-A8C5-ECC9F3942E4B}">
              <a14:imgProps xmlns:a14="http://schemas.microsoft.com/office/drawing/2010/main" xmlns="">
                <a14:imgLayer r:embed="rId2">
                  <a14:imgEffect>
                    <a14:artisticCrisscrossEtching/>
                  </a14:imgEffect>
                  <a14:imgEffect>
                    <a14:colorTemperature colorTemp="4700"/>
                  </a14:imgEffect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101625400"/>
          <a:ext cx="8455025" cy="6337300"/>
        </a:xfrm>
        <a:prstGeom prst="rect">
          <a:avLst/>
        </a:prstGeom>
        <a:noFill/>
        <a:ln>
          <a:noFill/>
        </a:ln>
        <a:effectLst>
          <a:outerShdw sx="1000" sy="1000" algn="tl" rotWithShape="0">
            <a:srgbClr val="333333"/>
          </a:outerShdw>
        </a:effectLst>
      </xdr:spPr>
    </xdr:pic>
    <xdr:clientData/>
  </xdr:twoCellAnchor>
  <xdr:twoCellAnchor editAs="oneCell">
    <xdr:from>
      <xdr:col>0</xdr:col>
      <xdr:colOff>316241</xdr:colOff>
      <xdr:row>241</xdr:row>
      <xdr:rowOff>12701</xdr:rowOff>
    </xdr:from>
    <xdr:to>
      <xdr:col>11</xdr:col>
      <xdr:colOff>537105</xdr:colOff>
      <xdr:row>265</xdr:row>
      <xdr:rowOff>179295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BEBA8EAE-BF5A-486C-A8C5-ECC9F3942E4B}">
              <a14:imgProps xmlns:a14="http://schemas.microsoft.com/office/drawing/2010/main" xmlns="">
                <a14:imgLayer r:embed="rId2">
                  <a14:imgEffect>
                    <a14:artisticCrisscrossEtching/>
                  </a14:imgEffect>
                  <a14:imgEffect>
                    <a14:colorTemperature colorTemp="4700"/>
                  </a14:imgEffect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16241" y="46292995"/>
          <a:ext cx="6753893" cy="4738594"/>
        </a:xfrm>
        <a:prstGeom prst="rect">
          <a:avLst/>
        </a:prstGeom>
        <a:noFill/>
        <a:ln>
          <a:noFill/>
        </a:ln>
        <a:effectLst>
          <a:outerShdw sx="1000" sy="1000" algn="tl" rotWithShape="0">
            <a:srgbClr val="333333"/>
          </a:outerShdw>
        </a:effectLst>
      </xdr:spPr>
    </xdr:pic>
    <xdr:clientData/>
  </xdr:twoCellAnchor>
  <xdr:twoCellAnchor editAs="oneCell">
    <xdr:from>
      <xdr:col>2</xdr:col>
      <xdr:colOff>134471</xdr:colOff>
      <xdr:row>211</xdr:row>
      <xdr:rowOff>147172</xdr:rowOff>
    </xdr:from>
    <xdr:to>
      <xdr:col>12</xdr:col>
      <xdr:colOff>96556</xdr:colOff>
      <xdr:row>234</xdr:row>
      <xdr:rowOff>168090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BEBA8EAE-BF5A-486C-A8C5-ECC9F3942E4B}">
              <a14:imgProps xmlns:a14="http://schemas.microsoft.com/office/drawing/2010/main" xmlns="">
                <a14:imgLayer r:embed="rId2">
                  <a14:imgEffect>
                    <a14:artisticCrisscrossEtching/>
                  </a14:imgEffect>
                  <a14:imgEffect>
                    <a14:colorTemperature colorTemp="4700"/>
                  </a14:imgEffect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322295" y="40712466"/>
          <a:ext cx="5901202" cy="4402418"/>
        </a:xfrm>
        <a:prstGeom prst="rect">
          <a:avLst/>
        </a:prstGeom>
        <a:noFill/>
        <a:ln>
          <a:noFill/>
        </a:ln>
        <a:effectLst>
          <a:outerShdw sx="1000" sy="1000" algn="tl" rotWithShape="0">
            <a:srgbClr val="333333"/>
          </a:outerShdw>
        </a:effectLst>
      </xdr:spPr>
    </xdr:pic>
    <xdr:clientData/>
  </xdr:twoCellAnchor>
  <xdr:twoCellAnchor editAs="oneCell">
    <xdr:from>
      <xdr:col>1</xdr:col>
      <xdr:colOff>103909</xdr:colOff>
      <xdr:row>158</xdr:row>
      <xdr:rowOff>23783</xdr:rowOff>
    </xdr:from>
    <xdr:to>
      <xdr:col>12</xdr:col>
      <xdr:colOff>644236</xdr:colOff>
      <xdr:row>198</xdr:row>
      <xdr:rowOff>69184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BEBA8EAE-BF5A-486C-A8C5-ECC9F3942E4B}">
              <a14:imgProps xmlns:a14="http://schemas.microsoft.com/office/drawing/2010/main" xmlns="">
                <a14:imgLayer r:embed="rId2">
                  <a14:imgEffect>
                    <a14:artisticCrisscrossEtching/>
                  </a14:imgEffect>
                  <a14:imgEffect>
                    <a14:colorTemperature colorTemp="4700"/>
                  </a14:imgEffect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94459" y="46010483"/>
          <a:ext cx="7036377" cy="7655876"/>
        </a:xfrm>
        <a:prstGeom prst="rect">
          <a:avLst/>
        </a:prstGeom>
        <a:noFill/>
        <a:ln>
          <a:noFill/>
        </a:ln>
        <a:effectLst>
          <a:outerShdw sx="1000" sy="1000" algn="tl" rotWithShape="0">
            <a:srgbClr val="333333"/>
          </a:outerShdw>
        </a:effectLst>
      </xdr:spPr>
    </xdr:pic>
    <xdr:clientData/>
  </xdr:twoCellAnchor>
  <xdr:twoCellAnchor>
    <xdr:from>
      <xdr:col>2</xdr:col>
      <xdr:colOff>341643</xdr:colOff>
      <xdr:row>143</xdr:row>
      <xdr:rowOff>109219</xdr:rowOff>
    </xdr:from>
    <xdr:to>
      <xdr:col>5</xdr:col>
      <xdr:colOff>207826</xdr:colOff>
      <xdr:row>149</xdr:row>
      <xdr:rowOff>41491</xdr:rowOff>
    </xdr:to>
    <xdr:sp macro="" textlink="Algandmed!AG6">
      <xdr:nvSpPr>
        <xdr:cNvPr id="27" name="TextBox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 txBox="1"/>
      </xdr:nvSpPr>
      <xdr:spPr>
        <a:xfrm>
          <a:off x="1522743" y="43238419"/>
          <a:ext cx="1637833" cy="10752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BE4D5C-5271-4BEA-A640-D4BF12185D46}" type="TxLink">
            <a:rPr lang="en-US" sz="48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t-EE" sz="239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140983</xdr:colOff>
      <xdr:row>143</xdr:row>
      <xdr:rowOff>83819</xdr:rowOff>
    </xdr:from>
    <xdr:to>
      <xdr:col>10</xdr:col>
      <xdr:colOff>7166</xdr:colOff>
      <xdr:row>149</xdr:row>
      <xdr:rowOff>16091</xdr:rowOff>
    </xdr:to>
    <xdr:sp macro="" textlink="Algandmed!AV6">
      <xdr:nvSpPr>
        <xdr:cNvPr id="28" name="TextBox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 txBox="1"/>
      </xdr:nvSpPr>
      <xdr:spPr>
        <a:xfrm>
          <a:off x="4274833" y="43213019"/>
          <a:ext cx="1637833" cy="10752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403BE57-520F-4B72-BC0D-ED0150793883}" type="TxLink">
            <a:rPr lang="en-US" sz="48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2</a:t>
          </a:fld>
          <a:endParaRPr lang="et-EE" sz="48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6</xdr:col>
      <xdr:colOff>220403</xdr:colOff>
      <xdr:row>137</xdr:row>
      <xdr:rowOff>147319</xdr:rowOff>
    </xdr:from>
    <xdr:to>
      <xdr:col>11</xdr:col>
      <xdr:colOff>443344</xdr:colOff>
      <xdr:row>145</xdr:row>
      <xdr:rowOff>79591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 txBox="1"/>
      </xdr:nvSpPr>
      <xdr:spPr>
        <a:xfrm>
          <a:off x="3763703" y="42133519"/>
          <a:ext cx="3175691" cy="14562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4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OPPONENT</a:t>
          </a:r>
          <a:endParaRPr lang="en-US" sz="48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366682</xdr:colOff>
      <xdr:row>75</xdr:row>
      <xdr:rowOff>159788</xdr:rowOff>
    </xdr:from>
    <xdr:to>
      <xdr:col>8</xdr:col>
      <xdr:colOff>483387</xdr:colOff>
      <xdr:row>83</xdr:row>
      <xdr:rowOff>20320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 txBox="1"/>
      </xdr:nvSpPr>
      <xdr:spPr>
        <a:xfrm>
          <a:off x="3319432" y="30334988"/>
          <a:ext cx="1888355" cy="1384532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600" b="1">
              <a:solidFill>
                <a:srgbClr val="4D4D4D"/>
              </a:solidFill>
              <a:latin typeface="Hanse" panose="02000000000000000000" pitchFamily="50" charset="0"/>
            </a:rPr>
            <a:t>GAMES</a:t>
          </a:r>
          <a:endParaRPr lang="en-US" sz="36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111989</xdr:colOff>
      <xdr:row>94</xdr:row>
      <xdr:rowOff>21244</xdr:rowOff>
    </xdr:from>
    <xdr:to>
      <xdr:col>5</xdr:col>
      <xdr:colOff>264391</xdr:colOff>
      <xdr:row>101</xdr:row>
      <xdr:rowOff>61884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 txBox="1"/>
      </xdr:nvSpPr>
      <xdr:spPr>
        <a:xfrm>
          <a:off x="111989" y="33815944"/>
          <a:ext cx="3105152" cy="137414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400" b="1">
              <a:solidFill>
                <a:srgbClr val="4D4D4D"/>
              </a:solidFill>
              <a:latin typeface="Hanse" panose="02000000000000000000" pitchFamily="50" charset="0"/>
            </a:rPr>
            <a:t>SCORED:CONCEDED</a:t>
          </a:r>
          <a:endParaRPr lang="en-US" sz="24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319809</xdr:colOff>
      <xdr:row>94</xdr:row>
      <xdr:rowOff>48952</xdr:rowOff>
    </xdr:from>
    <xdr:to>
      <xdr:col>8</xdr:col>
      <xdr:colOff>524893</xdr:colOff>
      <xdr:row>99</xdr:row>
      <xdr:rowOff>22412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 txBox="1"/>
      </xdr:nvSpPr>
      <xdr:spPr>
        <a:xfrm>
          <a:off x="3289368" y="17955952"/>
          <a:ext cx="1986819" cy="92596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400" b="1">
              <a:solidFill>
                <a:srgbClr val="4D4D4D"/>
              </a:solidFill>
              <a:latin typeface="Hanse" panose="02000000000000000000" pitchFamily="50" charset="0"/>
            </a:rPr>
            <a:t>AVG.</a:t>
          </a:r>
          <a:r>
            <a:rPr lang="et-EE" sz="2400" b="1" baseline="0">
              <a:solidFill>
                <a:srgbClr val="4D4D4D"/>
              </a:solidFill>
              <a:latin typeface="Hanse" panose="02000000000000000000" pitchFamily="50" charset="0"/>
            </a:rPr>
            <a:t> RESULT</a:t>
          </a:r>
          <a:endParaRPr lang="en-US" sz="24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352827</xdr:colOff>
      <xdr:row>79</xdr:row>
      <xdr:rowOff>34383</xdr:rowOff>
    </xdr:from>
    <xdr:to>
      <xdr:col>8</xdr:col>
      <xdr:colOff>469532</xdr:colOff>
      <xdr:row>86</xdr:row>
      <xdr:rowOff>93519</xdr:rowOff>
    </xdr:to>
    <xdr:sp macro="" textlink="$I$22">
      <xdr:nvSpPr>
        <xdr:cNvPr id="33" name="TextBox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 txBox="1"/>
      </xdr:nvSpPr>
      <xdr:spPr>
        <a:xfrm>
          <a:off x="3305577" y="30971583"/>
          <a:ext cx="1888355" cy="1392636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5133E5D-BA9E-46E4-AD8E-8C4B81EEBC7A}" type="TxLink">
            <a:rPr lang="en-US" sz="32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 </a:t>
          </a:fld>
          <a:endParaRPr lang="et-EE" sz="24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444498</xdr:colOff>
      <xdr:row>98</xdr:row>
      <xdr:rowOff>27709</xdr:rowOff>
    </xdr:from>
    <xdr:to>
      <xdr:col>3</xdr:col>
      <xdr:colOff>207817</xdr:colOff>
      <xdr:row>105</xdr:row>
      <xdr:rowOff>69273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 txBox="1"/>
      </xdr:nvSpPr>
      <xdr:spPr>
        <a:xfrm>
          <a:off x="1035048" y="34584409"/>
          <a:ext cx="944419" cy="1375064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200" b="1">
              <a:solidFill>
                <a:srgbClr val="4D4D4D"/>
              </a:solidFill>
              <a:latin typeface="Hanse" panose="02000000000000000000" pitchFamily="50" charset="0"/>
            </a:rPr>
            <a:t>: </a:t>
          </a:r>
          <a:endParaRPr lang="en-US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277908</xdr:colOff>
      <xdr:row>208</xdr:row>
      <xdr:rowOff>91692</xdr:rowOff>
    </xdr:from>
    <xdr:to>
      <xdr:col>12</xdr:col>
      <xdr:colOff>658908</xdr:colOff>
      <xdr:row>211</xdr:row>
      <xdr:rowOff>78450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xmlns="" id="{00000000-0008-0000-0300-000023000000}"/>
            </a:ext>
          </a:extLst>
        </xdr:cNvPr>
        <xdr:cNvSpPr txBox="1"/>
      </xdr:nvSpPr>
      <xdr:spPr>
        <a:xfrm>
          <a:off x="871820" y="40085486"/>
          <a:ext cx="6914029" cy="5582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3600" b="1" u="sng">
              <a:solidFill>
                <a:srgbClr val="4D4D4D"/>
              </a:solidFill>
              <a:effectLst>
                <a:outerShdw blurRad="38100" dist="38100" dir="2700000" algn="tl" rotWithShape="0">
                  <a:srgbClr val="000000">
                    <a:alpha val="43000"/>
                  </a:srgbClr>
                </a:outerShdw>
              </a:effectLst>
              <a:latin typeface="Hanse" panose="02000000000000000000" pitchFamily="50" charset="0"/>
              <a:ea typeface="+mn-ea"/>
              <a:cs typeface="+mn-cs"/>
            </a:rPr>
            <a:t>First goal /</a:t>
          </a:r>
          <a:r>
            <a:rPr lang="et-EE" sz="3600" b="1" u="sng" baseline="0">
              <a:solidFill>
                <a:srgbClr val="4D4D4D"/>
              </a:solidFill>
              <a:effectLst>
                <a:outerShdw blurRad="38100" dist="38100" dir="2700000" algn="tl" rotWithShape="0">
                  <a:srgbClr val="000000">
                    <a:alpha val="43000"/>
                  </a:srgbClr>
                </a:outerShdw>
              </a:effectLst>
              <a:latin typeface="Hanse" panose="02000000000000000000" pitchFamily="50" charset="0"/>
              <a:ea typeface="+mn-ea"/>
              <a:cs typeface="+mn-cs"/>
            </a:rPr>
            <a:t> </a:t>
          </a:r>
          <a:r>
            <a:rPr lang="et-EE" sz="3600" b="1" u="sng">
              <a:solidFill>
                <a:srgbClr val="4D4D4D"/>
              </a:solidFill>
              <a:effectLst>
                <a:outerShdw blurRad="38100" dist="38100" dir="2700000" algn="tl" rotWithShape="0">
                  <a:srgbClr val="000000">
                    <a:alpha val="43000"/>
                  </a:srgbClr>
                </a:outerShdw>
              </a:effectLst>
              <a:latin typeface="Hanse" panose="02000000000000000000" pitchFamily="50" charset="0"/>
              <a:ea typeface="+mn-ea"/>
              <a:cs typeface="+mn-cs"/>
            </a:rPr>
            <a:t>result</a:t>
          </a:r>
          <a:endParaRPr lang="et-EE" sz="3600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endParaRPr lang="et-EE" sz="2000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482600</xdr:colOff>
      <xdr:row>237</xdr:row>
      <xdr:rowOff>22412</xdr:rowOff>
    </xdr:from>
    <xdr:to>
      <xdr:col>12</xdr:col>
      <xdr:colOff>425824</xdr:colOff>
      <xdr:row>239</xdr:row>
      <xdr:rowOff>190499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xmlns="" id="{00000000-0008-0000-0300-000024000000}"/>
            </a:ext>
          </a:extLst>
        </xdr:cNvPr>
        <xdr:cNvSpPr txBox="1"/>
      </xdr:nvSpPr>
      <xdr:spPr>
        <a:xfrm>
          <a:off x="1076512" y="45540706"/>
          <a:ext cx="6476253" cy="5490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3600" b="1" u="sng">
              <a:solidFill>
                <a:srgbClr val="4D4D4D"/>
              </a:solidFill>
              <a:effectLst>
                <a:outerShdw blurRad="38100" dist="38100" dir="2700000" algn="tl" rotWithShape="0">
                  <a:srgbClr val="000000">
                    <a:alpha val="43000"/>
                  </a:srgbClr>
                </a:outerShdw>
              </a:effectLst>
              <a:latin typeface="Hanse" panose="02000000000000000000" pitchFamily="50" charset="0"/>
              <a:ea typeface="+mn-ea"/>
              <a:cs typeface="+mn-cs"/>
            </a:rPr>
            <a:t>Minutes</a:t>
          </a:r>
          <a:r>
            <a:rPr lang="et-EE" sz="3600" b="1" u="sng" baseline="0">
              <a:solidFill>
                <a:srgbClr val="4D4D4D"/>
              </a:solidFill>
              <a:effectLst>
                <a:outerShdw blurRad="38100" dist="38100" dir="2700000" algn="tl" rotWithShape="0">
                  <a:srgbClr val="000000">
                    <a:alpha val="43000"/>
                  </a:srgbClr>
                </a:outerShdw>
              </a:effectLst>
              <a:latin typeface="Hanse" panose="02000000000000000000" pitchFamily="50" charset="0"/>
              <a:ea typeface="+mn-ea"/>
              <a:cs typeface="+mn-cs"/>
            </a:rPr>
            <a:t> of the goals</a:t>
          </a:r>
          <a:endParaRPr lang="et-EE" sz="3600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endParaRPr lang="et-EE" sz="2000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379843</xdr:colOff>
      <xdr:row>274</xdr:row>
      <xdr:rowOff>104125</xdr:rowOff>
    </xdr:from>
    <xdr:to>
      <xdr:col>13</xdr:col>
      <xdr:colOff>278990</xdr:colOff>
      <xdr:row>283</xdr:row>
      <xdr:rowOff>121905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xmlns="" id="{00000000-0008-0000-0300-000025000000}"/>
            </a:ext>
          </a:extLst>
        </xdr:cNvPr>
        <xdr:cNvSpPr txBox="1"/>
      </xdr:nvSpPr>
      <xdr:spPr>
        <a:xfrm>
          <a:off x="1557479" y="52664807"/>
          <a:ext cx="6480056" cy="17322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4400" b="1" u="sng">
              <a:solidFill>
                <a:srgbClr val="4D4D4D"/>
              </a:solidFill>
              <a:effectLst>
                <a:outerShdw blurRad="38100" dist="38100" dir="2700000" algn="tl" rotWithShape="0">
                  <a:srgbClr val="000000">
                    <a:alpha val="43000"/>
                  </a:srgbClr>
                </a:outerShdw>
              </a:effectLst>
              <a:latin typeface="Hanse" panose="02000000000000000000" pitchFamily="50" charset="0"/>
              <a:ea typeface="+mn-ea"/>
              <a:cs typeface="+mn-cs"/>
            </a:rPr>
            <a:t>Goals and shots from main moments</a:t>
          </a:r>
          <a:endParaRPr lang="et-EE" sz="4400" b="1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endParaRPr lang="et-EE" sz="20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78740</xdr:colOff>
      <xdr:row>283</xdr:row>
      <xdr:rowOff>48260</xdr:rowOff>
    </xdr:from>
    <xdr:to>
      <xdr:col>1</xdr:col>
      <xdr:colOff>510540</xdr:colOff>
      <xdr:row>286</xdr:row>
      <xdr:rowOff>27940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xmlns="" id="{00000000-0008-0000-0300-000026000000}"/>
            </a:ext>
          </a:extLst>
        </xdr:cNvPr>
        <xdr:cNvSpPr txBox="1"/>
      </xdr:nvSpPr>
      <xdr:spPr>
        <a:xfrm>
          <a:off x="78740" y="85849460"/>
          <a:ext cx="1022350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 b="0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510540</xdr:colOff>
      <xdr:row>283</xdr:row>
      <xdr:rowOff>48260</xdr:rowOff>
    </xdr:from>
    <xdr:to>
      <xdr:col>3</xdr:col>
      <xdr:colOff>332740</xdr:colOff>
      <xdr:row>286</xdr:row>
      <xdr:rowOff>27940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xmlns="" id="{00000000-0008-0000-0300-000027000000}"/>
            </a:ext>
          </a:extLst>
        </xdr:cNvPr>
        <xdr:cNvSpPr txBox="1"/>
      </xdr:nvSpPr>
      <xdr:spPr>
        <a:xfrm>
          <a:off x="1101090" y="85849460"/>
          <a:ext cx="1003300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401E9AB-7FD8-45BB-B7AD-7D498BF3CCF0}" type="TxLink">
            <a:rPr lang="en-US" sz="1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STANDARD</a:t>
          </a:fld>
          <a:endParaRPr lang="en-US" sz="3600" b="0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332740</xdr:colOff>
      <xdr:row>283</xdr:row>
      <xdr:rowOff>48260</xdr:rowOff>
    </xdr:from>
    <xdr:to>
      <xdr:col>5</xdr:col>
      <xdr:colOff>154940</xdr:colOff>
      <xdr:row>286</xdr:row>
      <xdr:rowOff>27940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xmlns="" id="{00000000-0008-0000-0300-000028000000}"/>
            </a:ext>
          </a:extLst>
        </xdr:cNvPr>
        <xdr:cNvSpPr txBox="1"/>
      </xdr:nvSpPr>
      <xdr:spPr>
        <a:xfrm>
          <a:off x="2104390" y="85849460"/>
          <a:ext cx="1003300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453F1B-9D61-46A0-9C6A-B9BAA8282C7E}" type="TxLink">
            <a:rPr lang="en-US" sz="1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TRANSITION</a:t>
          </a:fld>
          <a:endParaRPr lang="en-US" sz="3600" b="0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154940</xdr:colOff>
      <xdr:row>283</xdr:row>
      <xdr:rowOff>48260</xdr:rowOff>
    </xdr:from>
    <xdr:to>
      <xdr:col>6</xdr:col>
      <xdr:colOff>586740</xdr:colOff>
      <xdr:row>286</xdr:row>
      <xdr:rowOff>27940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xmlns="" id="{00000000-0008-0000-0300-000029000000}"/>
            </a:ext>
          </a:extLst>
        </xdr:cNvPr>
        <xdr:cNvSpPr txBox="1"/>
      </xdr:nvSpPr>
      <xdr:spPr>
        <a:xfrm>
          <a:off x="3107690" y="85849460"/>
          <a:ext cx="1022350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74BB02-2265-4317-87B6-854D848B1852}" type="TxLink">
            <a:rPr lang="en-US" sz="1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BUILD -UP</a:t>
          </a:fld>
          <a:endParaRPr lang="en-US" sz="4000" b="0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78740</xdr:colOff>
      <xdr:row>289</xdr:row>
      <xdr:rowOff>5080</xdr:rowOff>
    </xdr:from>
    <xdr:to>
      <xdr:col>1</xdr:col>
      <xdr:colOff>510540</xdr:colOff>
      <xdr:row>291</xdr:row>
      <xdr:rowOff>162560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xmlns="" id="{00000000-0008-0000-0300-00002A000000}"/>
            </a:ext>
          </a:extLst>
        </xdr:cNvPr>
        <xdr:cNvSpPr txBox="1"/>
      </xdr:nvSpPr>
      <xdr:spPr>
        <a:xfrm>
          <a:off x="78740" y="86949280"/>
          <a:ext cx="1022350" cy="5384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GOALS</a:t>
          </a:r>
          <a:endParaRPr lang="en-US" sz="18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510540</xdr:colOff>
      <xdr:row>289</xdr:row>
      <xdr:rowOff>5080</xdr:rowOff>
    </xdr:from>
    <xdr:to>
      <xdr:col>3</xdr:col>
      <xdr:colOff>332740</xdr:colOff>
      <xdr:row>291</xdr:row>
      <xdr:rowOff>162560</xdr:rowOff>
    </xdr:to>
    <xdr:sp macro="" textlink="Algandmed!AE156">
      <xdr:nvSpPr>
        <xdr:cNvPr id="43" name="TextBox 42">
          <a:extLst>
            <a:ext uri="{FF2B5EF4-FFF2-40B4-BE49-F238E27FC236}">
              <a16:creationId xmlns:a16="http://schemas.microsoft.com/office/drawing/2014/main" xmlns="" id="{00000000-0008-0000-0300-00002B000000}"/>
            </a:ext>
          </a:extLst>
        </xdr:cNvPr>
        <xdr:cNvSpPr txBox="1"/>
      </xdr:nvSpPr>
      <xdr:spPr>
        <a:xfrm>
          <a:off x="1101090" y="86949280"/>
          <a:ext cx="1003300" cy="5384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BFB195-108D-43E9-9685-7C785E540C51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332740</xdr:colOff>
      <xdr:row>289</xdr:row>
      <xdr:rowOff>5080</xdr:rowOff>
    </xdr:from>
    <xdr:to>
      <xdr:col>5</xdr:col>
      <xdr:colOff>154940</xdr:colOff>
      <xdr:row>291</xdr:row>
      <xdr:rowOff>162560</xdr:rowOff>
    </xdr:to>
    <xdr:sp macro="" textlink="Algandmed!AF156">
      <xdr:nvSpPr>
        <xdr:cNvPr id="44" name="TextBox 43">
          <a:extLst>
            <a:ext uri="{FF2B5EF4-FFF2-40B4-BE49-F238E27FC236}">
              <a16:creationId xmlns:a16="http://schemas.microsoft.com/office/drawing/2014/main" xmlns="" id="{00000000-0008-0000-0300-00002C000000}"/>
            </a:ext>
          </a:extLst>
        </xdr:cNvPr>
        <xdr:cNvSpPr txBox="1"/>
      </xdr:nvSpPr>
      <xdr:spPr>
        <a:xfrm>
          <a:off x="2104390" y="86949280"/>
          <a:ext cx="1003300" cy="5384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7F8B9B6-7766-4C38-95A8-8CF29F2F47EF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154940</xdr:colOff>
      <xdr:row>289</xdr:row>
      <xdr:rowOff>5080</xdr:rowOff>
    </xdr:from>
    <xdr:to>
      <xdr:col>6</xdr:col>
      <xdr:colOff>586740</xdr:colOff>
      <xdr:row>291</xdr:row>
      <xdr:rowOff>162560</xdr:rowOff>
    </xdr:to>
    <xdr:sp macro="" textlink="Algandmed!AG156">
      <xdr:nvSpPr>
        <xdr:cNvPr id="45" name="TextBox 44">
          <a:extLst>
            <a:ext uri="{FF2B5EF4-FFF2-40B4-BE49-F238E27FC236}">
              <a16:creationId xmlns:a16="http://schemas.microsoft.com/office/drawing/2014/main" xmlns="" id="{00000000-0008-0000-0300-00002D000000}"/>
            </a:ext>
          </a:extLst>
        </xdr:cNvPr>
        <xdr:cNvSpPr txBox="1"/>
      </xdr:nvSpPr>
      <xdr:spPr>
        <a:xfrm>
          <a:off x="3107690" y="86949280"/>
          <a:ext cx="1022350" cy="5384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E6DFD74-BCE0-480F-AEA1-4574C6260C43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332740</xdr:colOff>
      <xdr:row>286</xdr:row>
      <xdr:rowOff>25400</xdr:rowOff>
    </xdr:from>
    <xdr:to>
      <xdr:col>5</xdr:col>
      <xdr:colOff>154940</xdr:colOff>
      <xdr:row>289</xdr:row>
      <xdr:rowOff>5080</xdr:rowOff>
    </xdr:to>
    <xdr:sp macro="" textlink="Algandmed!AF157">
      <xdr:nvSpPr>
        <xdr:cNvPr id="46" name="TextBox 45">
          <a:extLst>
            <a:ext uri="{FF2B5EF4-FFF2-40B4-BE49-F238E27FC236}">
              <a16:creationId xmlns:a16="http://schemas.microsoft.com/office/drawing/2014/main" xmlns="" id="{00000000-0008-0000-0300-00002E000000}"/>
            </a:ext>
          </a:extLst>
        </xdr:cNvPr>
        <xdr:cNvSpPr txBox="1"/>
      </xdr:nvSpPr>
      <xdr:spPr>
        <a:xfrm>
          <a:off x="2104390" y="86398100"/>
          <a:ext cx="1003300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2AD8743-87FE-420A-8C4E-498BFDC49BC4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35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510540</xdr:colOff>
      <xdr:row>286</xdr:row>
      <xdr:rowOff>25400</xdr:rowOff>
    </xdr:from>
    <xdr:to>
      <xdr:col>3</xdr:col>
      <xdr:colOff>332740</xdr:colOff>
      <xdr:row>289</xdr:row>
      <xdr:rowOff>5080</xdr:rowOff>
    </xdr:to>
    <xdr:sp macro="" textlink="Algandmed!AE157">
      <xdr:nvSpPr>
        <xdr:cNvPr id="47" name="TextBox 46">
          <a:extLst>
            <a:ext uri="{FF2B5EF4-FFF2-40B4-BE49-F238E27FC236}">
              <a16:creationId xmlns:a16="http://schemas.microsoft.com/office/drawing/2014/main" xmlns="" id="{00000000-0008-0000-0300-00002F000000}"/>
            </a:ext>
          </a:extLst>
        </xdr:cNvPr>
        <xdr:cNvSpPr txBox="1"/>
      </xdr:nvSpPr>
      <xdr:spPr>
        <a:xfrm>
          <a:off x="1101090" y="86398100"/>
          <a:ext cx="1003300" cy="551180"/>
        </a:xfrm>
        <a:prstGeom prst="rect">
          <a:avLst/>
        </a:prstGeom>
        <a:solidFill>
          <a:schemeClr val="bg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69C8944-29ED-4749-848B-AA83A13634A8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48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78740</xdr:colOff>
      <xdr:row>286</xdr:row>
      <xdr:rowOff>25400</xdr:rowOff>
    </xdr:from>
    <xdr:to>
      <xdr:col>1</xdr:col>
      <xdr:colOff>510540</xdr:colOff>
      <xdr:row>289</xdr:row>
      <xdr:rowOff>5080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xmlns="" id="{00000000-0008-0000-0300-000030000000}"/>
            </a:ext>
          </a:extLst>
        </xdr:cNvPr>
        <xdr:cNvSpPr txBox="1"/>
      </xdr:nvSpPr>
      <xdr:spPr>
        <a:xfrm>
          <a:off x="78740" y="86398100"/>
          <a:ext cx="1022350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TOTAL</a:t>
          </a:r>
          <a:endParaRPr lang="en-US" sz="48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154940</xdr:colOff>
      <xdr:row>286</xdr:row>
      <xdr:rowOff>25400</xdr:rowOff>
    </xdr:from>
    <xdr:to>
      <xdr:col>6</xdr:col>
      <xdr:colOff>586740</xdr:colOff>
      <xdr:row>289</xdr:row>
      <xdr:rowOff>5080</xdr:rowOff>
    </xdr:to>
    <xdr:sp macro="" textlink="Algandmed!AG157">
      <xdr:nvSpPr>
        <xdr:cNvPr id="49" name="TextBox 48">
          <a:extLst>
            <a:ext uri="{FF2B5EF4-FFF2-40B4-BE49-F238E27FC236}">
              <a16:creationId xmlns:a16="http://schemas.microsoft.com/office/drawing/2014/main" xmlns="" id="{00000000-0008-0000-0300-000031000000}"/>
            </a:ext>
          </a:extLst>
        </xdr:cNvPr>
        <xdr:cNvSpPr txBox="1"/>
      </xdr:nvSpPr>
      <xdr:spPr>
        <a:xfrm>
          <a:off x="3107690" y="86398100"/>
          <a:ext cx="1022350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9529510-6C63-4EEB-82A2-225F2BE08142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14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78740</xdr:colOff>
      <xdr:row>291</xdr:row>
      <xdr:rowOff>160020</xdr:rowOff>
    </xdr:from>
    <xdr:to>
      <xdr:col>1</xdr:col>
      <xdr:colOff>510540</xdr:colOff>
      <xdr:row>294</xdr:row>
      <xdr:rowOff>139700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xmlns="" id="{00000000-0008-0000-0300-000032000000}"/>
            </a:ext>
          </a:extLst>
        </xdr:cNvPr>
        <xdr:cNvSpPr txBox="1"/>
      </xdr:nvSpPr>
      <xdr:spPr>
        <a:xfrm>
          <a:off x="78740" y="87485220"/>
          <a:ext cx="1022350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12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EFFICIENCY</a:t>
          </a:r>
          <a:endParaRPr lang="et-EE" sz="1200">
            <a:solidFill>
              <a:srgbClr val="4D4D4D"/>
            </a:solidFill>
            <a:effectLst/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332740</xdr:colOff>
      <xdr:row>291</xdr:row>
      <xdr:rowOff>160020</xdr:rowOff>
    </xdr:from>
    <xdr:to>
      <xdr:col>5</xdr:col>
      <xdr:colOff>154940</xdr:colOff>
      <xdr:row>294</xdr:row>
      <xdr:rowOff>139700</xdr:rowOff>
    </xdr:to>
    <xdr:sp macro="" textlink="Algandmed!AF158">
      <xdr:nvSpPr>
        <xdr:cNvPr id="51" name="TextBox 50">
          <a:extLst>
            <a:ext uri="{FF2B5EF4-FFF2-40B4-BE49-F238E27FC236}">
              <a16:creationId xmlns:a16="http://schemas.microsoft.com/office/drawing/2014/main" xmlns="" id="{00000000-0008-0000-0300-000033000000}"/>
            </a:ext>
          </a:extLst>
        </xdr:cNvPr>
        <xdr:cNvSpPr txBox="1"/>
      </xdr:nvSpPr>
      <xdr:spPr>
        <a:xfrm>
          <a:off x="2104390" y="87485220"/>
          <a:ext cx="1003300" cy="55118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2C8138-5A93-456E-914E-B6533DC175BD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7</xdr:col>
      <xdr:colOff>139700</xdr:colOff>
      <xdr:row>283</xdr:row>
      <xdr:rowOff>48260</xdr:rowOff>
    </xdr:from>
    <xdr:to>
      <xdr:col>8</xdr:col>
      <xdr:colOff>571500</xdr:colOff>
      <xdr:row>286</xdr:row>
      <xdr:rowOff>27940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xmlns="" id="{00000000-0008-0000-0300-000034000000}"/>
            </a:ext>
          </a:extLst>
        </xdr:cNvPr>
        <xdr:cNvSpPr txBox="1"/>
      </xdr:nvSpPr>
      <xdr:spPr>
        <a:xfrm>
          <a:off x="4273550" y="85849460"/>
          <a:ext cx="1022350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US" sz="32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571500</xdr:colOff>
      <xdr:row>283</xdr:row>
      <xdr:rowOff>48260</xdr:rowOff>
    </xdr:from>
    <xdr:to>
      <xdr:col>10</xdr:col>
      <xdr:colOff>393700</xdr:colOff>
      <xdr:row>286</xdr:row>
      <xdr:rowOff>27940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xmlns="" id="{00000000-0008-0000-0300-000035000000}"/>
            </a:ext>
          </a:extLst>
        </xdr:cNvPr>
        <xdr:cNvSpPr txBox="1"/>
      </xdr:nvSpPr>
      <xdr:spPr>
        <a:xfrm>
          <a:off x="5295900" y="85849460"/>
          <a:ext cx="1003300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99FD567-F108-4BD9-8547-11FAC3EE9323}" type="TxLink">
            <a:rPr lang="en-US" sz="1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STANDARD</a:t>
          </a:fld>
          <a:endParaRPr lang="en-US" sz="36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393700</xdr:colOff>
      <xdr:row>283</xdr:row>
      <xdr:rowOff>48260</xdr:rowOff>
    </xdr:from>
    <xdr:to>
      <xdr:col>12</xdr:col>
      <xdr:colOff>215900</xdr:colOff>
      <xdr:row>286</xdr:row>
      <xdr:rowOff>27940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xmlns="" id="{00000000-0008-0000-0300-000036000000}"/>
            </a:ext>
          </a:extLst>
        </xdr:cNvPr>
        <xdr:cNvSpPr txBox="1"/>
      </xdr:nvSpPr>
      <xdr:spPr>
        <a:xfrm>
          <a:off x="6299200" y="85849460"/>
          <a:ext cx="1003300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2C2D6A-0C02-42F1-A4E3-31AAABC12EA1}" type="TxLink">
            <a:rPr lang="en-US" sz="1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TRANSITION</a:t>
          </a:fld>
          <a:endParaRPr lang="en-US" sz="36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215900</xdr:colOff>
      <xdr:row>283</xdr:row>
      <xdr:rowOff>48260</xdr:rowOff>
    </xdr:from>
    <xdr:to>
      <xdr:col>13</xdr:col>
      <xdr:colOff>546100</xdr:colOff>
      <xdr:row>286</xdr:row>
      <xdr:rowOff>27940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xmlns="" id="{00000000-0008-0000-0300-000037000000}"/>
            </a:ext>
          </a:extLst>
        </xdr:cNvPr>
        <xdr:cNvSpPr txBox="1"/>
      </xdr:nvSpPr>
      <xdr:spPr>
        <a:xfrm>
          <a:off x="7302500" y="85849460"/>
          <a:ext cx="1025525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9D5700-8A18-48CC-B6AD-8AEDA4419752}" type="TxLink">
            <a:rPr lang="en-US" sz="1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BUILD -UP</a:t>
          </a:fld>
          <a:endParaRPr lang="en-US" sz="4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139700</xdr:colOff>
      <xdr:row>289</xdr:row>
      <xdr:rowOff>5080</xdr:rowOff>
    </xdr:from>
    <xdr:to>
      <xdr:col>8</xdr:col>
      <xdr:colOff>571500</xdr:colOff>
      <xdr:row>291</xdr:row>
      <xdr:rowOff>162560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xmlns="" id="{00000000-0008-0000-0300-000038000000}"/>
            </a:ext>
          </a:extLst>
        </xdr:cNvPr>
        <xdr:cNvSpPr txBox="1"/>
      </xdr:nvSpPr>
      <xdr:spPr>
        <a:xfrm>
          <a:off x="4273550" y="86949280"/>
          <a:ext cx="1022350" cy="5384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18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GOALS</a:t>
          </a:r>
          <a:endParaRPr lang="et-EE" sz="1800" b="1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pPr algn="ctr"/>
          <a:endParaRPr lang="en-US" sz="18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571500</xdr:colOff>
      <xdr:row>289</xdr:row>
      <xdr:rowOff>5080</xdr:rowOff>
    </xdr:from>
    <xdr:to>
      <xdr:col>10</xdr:col>
      <xdr:colOff>393700</xdr:colOff>
      <xdr:row>291</xdr:row>
      <xdr:rowOff>162560</xdr:rowOff>
    </xdr:to>
    <xdr:sp macro="" textlink="Algandmed!AT156">
      <xdr:nvSpPr>
        <xdr:cNvPr id="57" name="TextBox 56">
          <a:extLst>
            <a:ext uri="{FF2B5EF4-FFF2-40B4-BE49-F238E27FC236}">
              <a16:creationId xmlns:a16="http://schemas.microsoft.com/office/drawing/2014/main" xmlns="" id="{00000000-0008-0000-0300-000039000000}"/>
            </a:ext>
          </a:extLst>
        </xdr:cNvPr>
        <xdr:cNvSpPr txBox="1"/>
      </xdr:nvSpPr>
      <xdr:spPr>
        <a:xfrm>
          <a:off x="5295900" y="86949280"/>
          <a:ext cx="1003300" cy="5384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03D1673-199F-41B1-9902-B43345C5DF71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393700</xdr:colOff>
      <xdr:row>289</xdr:row>
      <xdr:rowOff>5080</xdr:rowOff>
    </xdr:from>
    <xdr:to>
      <xdr:col>12</xdr:col>
      <xdr:colOff>215900</xdr:colOff>
      <xdr:row>291</xdr:row>
      <xdr:rowOff>162560</xdr:rowOff>
    </xdr:to>
    <xdr:sp macro="" textlink="Algandmed!AU156">
      <xdr:nvSpPr>
        <xdr:cNvPr id="58" name="TextBox 57">
          <a:extLst>
            <a:ext uri="{FF2B5EF4-FFF2-40B4-BE49-F238E27FC236}">
              <a16:creationId xmlns:a16="http://schemas.microsoft.com/office/drawing/2014/main" xmlns="" id="{00000000-0008-0000-0300-00003A000000}"/>
            </a:ext>
          </a:extLst>
        </xdr:cNvPr>
        <xdr:cNvSpPr txBox="1"/>
      </xdr:nvSpPr>
      <xdr:spPr>
        <a:xfrm>
          <a:off x="6299200" y="86949280"/>
          <a:ext cx="1003300" cy="5384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923EEA-F5AC-4127-AB35-47A803C7E5B9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215900</xdr:colOff>
      <xdr:row>289</xdr:row>
      <xdr:rowOff>5080</xdr:rowOff>
    </xdr:from>
    <xdr:to>
      <xdr:col>13</xdr:col>
      <xdr:colOff>546100</xdr:colOff>
      <xdr:row>291</xdr:row>
      <xdr:rowOff>162560</xdr:rowOff>
    </xdr:to>
    <xdr:sp macro="" textlink="Algandmed!AV156">
      <xdr:nvSpPr>
        <xdr:cNvPr id="59" name="TextBox 58">
          <a:extLst>
            <a:ext uri="{FF2B5EF4-FFF2-40B4-BE49-F238E27FC236}">
              <a16:creationId xmlns:a16="http://schemas.microsoft.com/office/drawing/2014/main" xmlns="" id="{00000000-0008-0000-0300-00003B000000}"/>
            </a:ext>
          </a:extLst>
        </xdr:cNvPr>
        <xdr:cNvSpPr txBox="1"/>
      </xdr:nvSpPr>
      <xdr:spPr>
        <a:xfrm>
          <a:off x="7302500" y="86949280"/>
          <a:ext cx="1025525" cy="5384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B21B2A-5A36-4318-AE44-163877CF0927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393700</xdr:colOff>
      <xdr:row>286</xdr:row>
      <xdr:rowOff>25400</xdr:rowOff>
    </xdr:from>
    <xdr:to>
      <xdr:col>12</xdr:col>
      <xdr:colOff>215900</xdr:colOff>
      <xdr:row>289</xdr:row>
      <xdr:rowOff>0</xdr:rowOff>
    </xdr:to>
    <xdr:sp macro="" textlink="Algandmed!AU157">
      <xdr:nvSpPr>
        <xdr:cNvPr id="60" name="TextBox 59">
          <a:extLst>
            <a:ext uri="{FF2B5EF4-FFF2-40B4-BE49-F238E27FC236}">
              <a16:creationId xmlns:a16="http://schemas.microsoft.com/office/drawing/2014/main" xmlns="" id="{00000000-0008-0000-0300-00003C000000}"/>
            </a:ext>
          </a:extLst>
        </xdr:cNvPr>
        <xdr:cNvSpPr txBox="1"/>
      </xdr:nvSpPr>
      <xdr:spPr>
        <a:xfrm>
          <a:off x="6299200" y="86398100"/>
          <a:ext cx="1003300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DA26841-8A17-4C5D-BDFB-453ABFDB44D0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47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571500</xdr:colOff>
      <xdr:row>286</xdr:row>
      <xdr:rowOff>25400</xdr:rowOff>
    </xdr:from>
    <xdr:to>
      <xdr:col>10</xdr:col>
      <xdr:colOff>393700</xdr:colOff>
      <xdr:row>289</xdr:row>
      <xdr:rowOff>0</xdr:rowOff>
    </xdr:to>
    <xdr:sp macro="" textlink="Algandmed!AT157">
      <xdr:nvSpPr>
        <xdr:cNvPr id="61" name="TextBox 60">
          <a:extLst>
            <a:ext uri="{FF2B5EF4-FFF2-40B4-BE49-F238E27FC236}">
              <a16:creationId xmlns:a16="http://schemas.microsoft.com/office/drawing/2014/main" xmlns="" id="{00000000-0008-0000-0300-00003D000000}"/>
            </a:ext>
          </a:extLst>
        </xdr:cNvPr>
        <xdr:cNvSpPr txBox="1"/>
      </xdr:nvSpPr>
      <xdr:spPr>
        <a:xfrm>
          <a:off x="5295900" y="86398100"/>
          <a:ext cx="1003300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83126A9-1EEE-489A-B794-14DA5F53E308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45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139700</xdr:colOff>
      <xdr:row>286</xdr:row>
      <xdr:rowOff>25400</xdr:rowOff>
    </xdr:from>
    <xdr:to>
      <xdr:col>8</xdr:col>
      <xdr:colOff>571500</xdr:colOff>
      <xdr:row>289</xdr:row>
      <xdr:rowOff>5080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xmlns="" id="{00000000-0008-0000-0300-00003E000000}"/>
            </a:ext>
          </a:extLst>
        </xdr:cNvPr>
        <xdr:cNvSpPr txBox="1"/>
      </xdr:nvSpPr>
      <xdr:spPr>
        <a:xfrm>
          <a:off x="4273550" y="86398100"/>
          <a:ext cx="1022350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TOTAL</a:t>
          </a:r>
          <a:endParaRPr lang="en-US" sz="48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215900</xdr:colOff>
      <xdr:row>286</xdr:row>
      <xdr:rowOff>25400</xdr:rowOff>
    </xdr:from>
    <xdr:to>
      <xdr:col>13</xdr:col>
      <xdr:colOff>546100</xdr:colOff>
      <xdr:row>289</xdr:row>
      <xdr:rowOff>0</xdr:rowOff>
    </xdr:to>
    <xdr:sp macro="" textlink="Algandmed!AV157">
      <xdr:nvSpPr>
        <xdr:cNvPr id="63" name="TextBox 62">
          <a:extLst>
            <a:ext uri="{FF2B5EF4-FFF2-40B4-BE49-F238E27FC236}">
              <a16:creationId xmlns:a16="http://schemas.microsoft.com/office/drawing/2014/main" xmlns="" id="{00000000-0008-0000-0300-00003F000000}"/>
            </a:ext>
          </a:extLst>
        </xdr:cNvPr>
        <xdr:cNvSpPr txBox="1"/>
      </xdr:nvSpPr>
      <xdr:spPr>
        <a:xfrm>
          <a:off x="7302500" y="86398100"/>
          <a:ext cx="1025525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D42452-CD45-4124-8924-3DB023F0232B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26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139700</xdr:colOff>
      <xdr:row>291</xdr:row>
      <xdr:rowOff>160020</xdr:rowOff>
    </xdr:from>
    <xdr:to>
      <xdr:col>8</xdr:col>
      <xdr:colOff>571500</xdr:colOff>
      <xdr:row>294</xdr:row>
      <xdr:rowOff>139700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xmlns="" id="{00000000-0008-0000-0300-000040000000}"/>
            </a:ext>
          </a:extLst>
        </xdr:cNvPr>
        <xdr:cNvSpPr txBox="1"/>
      </xdr:nvSpPr>
      <xdr:spPr>
        <a:xfrm>
          <a:off x="4273550" y="87485220"/>
          <a:ext cx="1022350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EFFICIENCY</a:t>
          </a:r>
          <a:endParaRPr lang="en-US" sz="12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571500</xdr:colOff>
      <xdr:row>291</xdr:row>
      <xdr:rowOff>160020</xdr:rowOff>
    </xdr:from>
    <xdr:to>
      <xdr:col>10</xdr:col>
      <xdr:colOff>393700</xdr:colOff>
      <xdr:row>294</xdr:row>
      <xdr:rowOff>139700</xdr:rowOff>
    </xdr:to>
    <xdr:sp macro="" textlink="Algandmed!AT158">
      <xdr:nvSpPr>
        <xdr:cNvPr id="65" name="TextBox 64">
          <a:extLst>
            <a:ext uri="{FF2B5EF4-FFF2-40B4-BE49-F238E27FC236}">
              <a16:creationId xmlns:a16="http://schemas.microsoft.com/office/drawing/2014/main" xmlns="" id="{00000000-0008-0000-0300-000041000000}"/>
            </a:ext>
          </a:extLst>
        </xdr:cNvPr>
        <xdr:cNvSpPr txBox="1"/>
      </xdr:nvSpPr>
      <xdr:spPr>
        <a:xfrm>
          <a:off x="5295900" y="87485220"/>
          <a:ext cx="1003300" cy="55118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C09CAE7-DE38-401D-8997-5A3C7CD2E9D4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2,2%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10</xdr:col>
      <xdr:colOff>393700</xdr:colOff>
      <xdr:row>291</xdr:row>
      <xdr:rowOff>160020</xdr:rowOff>
    </xdr:from>
    <xdr:to>
      <xdr:col>12</xdr:col>
      <xdr:colOff>215900</xdr:colOff>
      <xdr:row>294</xdr:row>
      <xdr:rowOff>139700</xdr:rowOff>
    </xdr:to>
    <xdr:sp macro="" textlink="Algandmed!AU158">
      <xdr:nvSpPr>
        <xdr:cNvPr id="66" name="TextBox 65">
          <a:extLst>
            <a:ext uri="{FF2B5EF4-FFF2-40B4-BE49-F238E27FC236}">
              <a16:creationId xmlns:a16="http://schemas.microsoft.com/office/drawing/2014/main" xmlns="" id="{00000000-0008-0000-0300-000042000000}"/>
            </a:ext>
          </a:extLst>
        </xdr:cNvPr>
        <xdr:cNvSpPr txBox="1"/>
      </xdr:nvSpPr>
      <xdr:spPr>
        <a:xfrm>
          <a:off x="6299200" y="87485220"/>
          <a:ext cx="1003300" cy="55118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410A4B6-9B99-4507-8B8D-C333995DB230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12</xdr:col>
      <xdr:colOff>215900</xdr:colOff>
      <xdr:row>291</xdr:row>
      <xdr:rowOff>160020</xdr:rowOff>
    </xdr:from>
    <xdr:to>
      <xdr:col>13</xdr:col>
      <xdr:colOff>546100</xdr:colOff>
      <xdr:row>294</xdr:row>
      <xdr:rowOff>139700</xdr:rowOff>
    </xdr:to>
    <xdr:sp macro="" textlink="Algandmed!AV158">
      <xdr:nvSpPr>
        <xdr:cNvPr id="67" name="TextBox 66">
          <a:extLst>
            <a:ext uri="{FF2B5EF4-FFF2-40B4-BE49-F238E27FC236}">
              <a16:creationId xmlns:a16="http://schemas.microsoft.com/office/drawing/2014/main" xmlns="" id="{00000000-0008-0000-0300-000043000000}"/>
            </a:ext>
          </a:extLst>
        </xdr:cNvPr>
        <xdr:cNvSpPr txBox="1"/>
      </xdr:nvSpPr>
      <xdr:spPr>
        <a:xfrm>
          <a:off x="7302500" y="87485220"/>
          <a:ext cx="1025525" cy="55118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1D06F1-33A4-4C7C-B068-2C93927DEAFF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3,8%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0</xdr:col>
      <xdr:colOff>0</xdr:colOff>
      <xdr:row>304</xdr:row>
      <xdr:rowOff>127000</xdr:rowOff>
    </xdr:from>
    <xdr:to>
      <xdr:col>7</xdr:col>
      <xdr:colOff>177800</xdr:colOff>
      <xdr:row>324</xdr:row>
      <xdr:rowOff>13968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xmlns="" id="{00000000-0008-0000-03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78740</xdr:colOff>
      <xdr:row>294</xdr:row>
      <xdr:rowOff>137160</xdr:rowOff>
    </xdr:from>
    <xdr:to>
      <xdr:col>1</xdr:col>
      <xdr:colOff>510540</xdr:colOff>
      <xdr:row>297</xdr:row>
      <xdr:rowOff>111760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xmlns="" id="{00000000-0008-0000-0300-000045000000}"/>
            </a:ext>
          </a:extLst>
        </xdr:cNvPr>
        <xdr:cNvSpPr txBox="1"/>
      </xdr:nvSpPr>
      <xdr:spPr>
        <a:xfrm>
          <a:off x="78740" y="88033860"/>
          <a:ext cx="1022350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SHOTS</a:t>
          </a:r>
          <a:endParaRPr lang="en-US" sz="18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510540</xdr:colOff>
      <xdr:row>294</xdr:row>
      <xdr:rowOff>137160</xdr:rowOff>
    </xdr:from>
    <xdr:to>
      <xdr:col>3</xdr:col>
      <xdr:colOff>332740</xdr:colOff>
      <xdr:row>297</xdr:row>
      <xdr:rowOff>111760</xdr:rowOff>
    </xdr:to>
    <xdr:sp macro="" textlink="Algandmed!AE205">
      <xdr:nvSpPr>
        <xdr:cNvPr id="70" name="TextBox 69">
          <a:extLst>
            <a:ext uri="{FF2B5EF4-FFF2-40B4-BE49-F238E27FC236}">
              <a16:creationId xmlns:a16="http://schemas.microsoft.com/office/drawing/2014/main" xmlns="" id="{00000000-0008-0000-0300-000046000000}"/>
            </a:ext>
          </a:extLst>
        </xdr:cNvPr>
        <xdr:cNvSpPr txBox="1"/>
      </xdr:nvSpPr>
      <xdr:spPr>
        <a:xfrm>
          <a:off x="1101090" y="88033860"/>
          <a:ext cx="1003300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52846C0-D073-4697-A74C-5E52D36B59A8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5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332740</xdr:colOff>
      <xdr:row>294</xdr:row>
      <xdr:rowOff>137160</xdr:rowOff>
    </xdr:from>
    <xdr:to>
      <xdr:col>5</xdr:col>
      <xdr:colOff>154940</xdr:colOff>
      <xdr:row>297</xdr:row>
      <xdr:rowOff>111760</xdr:rowOff>
    </xdr:to>
    <xdr:sp macro="" textlink="Algandmed!AF205">
      <xdr:nvSpPr>
        <xdr:cNvPr id="71" name="TextBox 70">
          <a:extLst>
            <a:ext uri="{FF2B5EF4-FFF2-40B4-BE49-F238E27FC236}">
              <a16:creationId xmlns:a16="http://schemas.microsoft.com/office/drawing/2014/main" xmlns="" id="{00000000-0008-0000-0300-000047000000}"/>
            </a:ext>
          </a:extLst>
        </xdr:cNvPr>
        <xdr:cNvSpPr txBox="1"/>
      </xdr:nvSpPr>
      <xdr:spPr>
        <a:xfrm>
          <a:off x="2104390" y="88033860"/>
          <a:ext cx="1003300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C7CCF0D-9631-4EB1-9F88-17629BF6BE69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154940</xdr:colOff>
      <xdr:row>294</xdr:row>
      <xdr:rowOff>137160</xdr:rowOff>
    </xdr:from>
    <xdr:to>
      <xdr:col>6</xdr:col>
      <xdr:colOff>586740</xdr:colOff>
      <xdr:row>297</xdr:row>
      <xdr:rowOff>111760</xdr:rowOff>
    </xdr:to>
    <xdr:sp macro="" textlink="Algandmed!AG205">
      <xdr:nvSpPr>
        <xdr:cNvPr id="72" name="TextBox 71">
          <a:extLst>
            <a:ext uri="{FF2B5EF4-FFF2-40B4-BE49-F238E27FC236}">
              <a16:creationId xmlns:a16="http://schemas.microsoft.com/office/drawing/2014/main" xmlns="" id="{00000000-0008-0000-0300-000048000000}"/>
            </a:ext>
          </a:extLst>
        </xdr:cNvPr>
        <xdr:cNvSpPr txBox="1"/>
      </xdr:nvSpPr>
      <xdr:spPr>
        <a:xfrm>
          <a:off x="3107690" y="88033860"/>
          <a:ext cx="1022350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017F657-6E5F-48C5-BCBA-5D61325CE460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78740</xdr:colOff>
      <xdr:row>297</xdr:row>
      <xdr:rowOff>114300</xdr:rowOff>
    </xdr:from>
    <xdr:to>
      <xdr:col>1</xdr:col>
      <xdr:colOff>510540</xdr:colOff>
      <xdr:row>300</xdr:row>
      <xdr:rowOff>88900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xmlns="" id="{00000000-0008-0000-0300-000049000000}"/>
            </a:ext>
          </a:extLst>
        </xdr:cNvPr>
        <xdr:cNvSpPr txBox="1"/>
      </xdr:nvSpPr>
      <xdr:spPr>
        <a:xfrm>
          <a:off x="78740" y="88582500"/>
          <a:ext cx="1022350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12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EFFICIENCY</a:t>
          </a:r>
          <a:endParaRPr lang="et-EE" sz="1200">
            <a:solidFill>
              <a:srgbClr val="4D4D4D"/>
            </a:solidFill>
            <a:effectLst/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510540</xdr:colOff>
      <xdr:row>297</xdr:row>
      <xdr:rowOff>114300</xdr:rowOff>
    </xdr:from>
    <xdr:to>
      <xdr:col>3</xdr:col>
      <xdr:colOff>332740</xdr:colOff>
      <xdr:row>300</xdr:row>
      <xdr:rowOff>88900</xdr:rowOff>
    </xdr:to>
    <xdr:sp macro="" textlink="Algandmed!AE207">
      <xdr:nvSpPr>
        <xdr:cNvPr id="74" name="TextBox 73">
          <a:extLst>
            <a:ext uri="{FF2B5EF4-FFF2-40B4-BE49-F238E27FC236}">
              <a16:creationId xmlns:a16="http://schemas.microsoft.com/office/drawing/2014/main" xmlns="" id="{00000000-0008-0000-0300-00004A000000}"/>
            </a:ext>
          </a:extLst>
        </xdr:cNvPr>
        <xdr:cNvSpPr txBox="1"/>
      </xdr:nvSpPr>
      <xdr:spPr>
        <a:xfrm>
          <a:off x="1101090" y="88582500"/>
          <a:ext cx="1003300" cy="5461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AC17259-2942-4E96-A304-1C46298EC5E0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10,4%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3</xdr:col>
      <xdr:colOff>332740</xdr:colOff>
      <xdr:row>297</xdr:row>
      <xdr:rowOff>114300</xdr:rowOff>
    </xdr:from>
    <xdr:to>
      <xdr:col>5</xdr:col>
      <xdr:colOff>154940</xdr:colOff>
      <xdr:row>300</xdr:row>
      <xdr:rowOff>88900</xdr:rowOff>
    </xdr:to>
    <xdr:sp macro="" textlink="Algandmed!AF207">
      <xdr:nvSpPr>
        <xdr:cNvPr id="75" name="TextBox 74">
          <a:extLst>
            <a:ext uri="{FF2B5EF4-FFF2-40B4-BE49-F238E27FC236}">
              <a16:creationId xmlns:a16="http://schemas.microsoft.com/office/drawing/2014/main" xmlns="" id="{00000000-0008-0000-0300-00004B000000}"/>
            </a:ext>
          </a:extLst>
        </xdr:cNvPr>
        <xdr:cNvSpPr txBox="1"/>
      </xdr:nvSpPr>
      <xdr:spPr>
        <a:xfrm>
          <a:off x="2104390" y="88582500"/>
          <a:ext cx="1003300" cy="546100"/>
        </a:xfrm>
        <a:prstGeom prst="rect">
          <a:avLst/>
        </a:prstGeom>
        <a:solidFill>
          <a:srgbClr val="FFFFFF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3988C12-E9D4-45B1-92DC-7F3D1D4803A7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5</xdr:col>
      <xdr:colOff>154940</xdr:colOff>
      <xdr:row>297</xdr:row>
      <xdr:rowOff>114300</xdr:rowOff>
    </xdr:from>
    <xdr:to>
      <xdr:col>6</xdr:col>
      <xdr:colOff>586740</xdr:colOff>
      <xdr:row>300</xdr:row>
      <xdr:rowOff>88900</xdr:rowOff>
    </xdr:to>
    <xdr:sp macro="" textlink="Algandmed!AG207">
      <xdr:nvSpPr>
        <xdr:cNvPr id="76" name="TextBox 75">
          <a:extLst>
            <a:ext uri="{FF2B5EF4-FFF2-40B4-BE49-F238E27FC236}">
              <a16:creationId xmlns:a16="http://schemas.microsoft.com/office/drawing/2014/main" xmlns="" id="{00000000-0008-0000-0300-00004C000000}"/>
            </a:ext>
          </a:extLst>
        </xdr:cNvPr>
        <xdr:cNvSpPr txBox="1"/>
      </xdr:nvSpPr>
      <xdr:spPr>
        <a:xfrm>
          <a:off x="3107690" y="88582500"/>
          <a:ext cx="1022350" cy="546100"/>
        </a:xfrm>
        <a:prstGeom prst="rect">
          <a:avLst/>
        </a:prstGeom>
        <a:solidFill>
          <a:srgbClr val="FFFFFF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81FFEDD-371B-472E-98EB-4F61E42E6E70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7</xdr:col>
      <xdr:colOff>139700</xdr:colOff>
      <xdr:row>294</xdr:row>
      <xdr:rowOff>137160</xdr:rowOff>
    </xdr:from>
    <xdr:to>
      <xdr:col>8</xdr:col>
      <xdr:colOff>571500</xdr:colOff>
      <xdr:row>297</xdr:row>
      <xdr:rowOff>111760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xmlns="" id="{00000000-0008-0000-0300-00004D000000}"/>
            </a:ext>
          </a:extLst>
        </xdr:cNvPr>
        <xdr:cNvSpPr txBox="1"/>
      </xdr:nvSpPr>
      <xdr:spPr>
        <a:xfrm>
          <a:off x="4273550" y="88033860"/>
          <a:ext cx="1022350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18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SHOTS</a:t>
          </a:r>
          <a:endParaRPr lang="et-EE" sz="1800">
            <a:solidFill>
              <a:srgbClr val="4D4D4D"/>
            </a:solidFill>
            <a:effectLst/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571500</xdr:colOff>
      <xdr:row>294</xdr:row>
      <xdr:rowOff>137160</xdr:rowOff>
    </xdr:from>
    <xdr:to>
      <xdr:col>10</xdr:col>
      <xdr:colOff>393700</xdr:colOff>
      <xdr:row>297</xdr:row>
      <xdr:rowOff>111760</xdr:rowOff>
    </xdr:to>
    <xdr:sp macro="" textlink="Algandmed!AT205">
      <xdr:nvSpPr>
        <xdr:cNvPr id="78" name="TextBox 77">
          <a:extLst>
            <a:ext uri="{FF2B5EF4-FFF2-40B4-BE49-F238E27FC236}">
              <a16:creationId xmlns:a16="http://schemas.microsoft.com/office/drawing/2014/main" xmlns="" id="{00000000-0008-0000-0300-00004E000000}"/>
            </a:ext>
          </a:extLst>
        </xdr:cNvPr>
        <xdr:cNvSpPr txBox="1"/>
      </xdr:nvSpPr>
      <xdr:spPr>
        <a:xfrm>
          <a:off x="5295900" y="88033860"/>
          <a:ext cx="1003300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3E7C946-1E1C-4A82-8282-FDF044089B8D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8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393700</xdr:colOff>
      <xdr:row>294</xdr:row>
      <xdr:rowOff>137160</xdr:rowOff>
    </xdr:from>
    <xdr:to>
      <xdr:col>12</xdr:col>
      <xdr:colOff>215900</xdr:colOff>
      <xdr:row>297</xdr:row>
      <xdr:rowOff>111760</xdr:rowOff>
    </xdr:to>
    <xdr:sp macro="" textlink="Algandmed!AU205">
      <xdr:nvSpPr>
        <xdr:cNvPr id="79" name="TextBox 78">
          <a:extLst>
            <a:ext uri="{FF2B5EF4-FFF2-40B4-BE49-F238E27FC236}">
              <a16:creationId xmlns:a16="http://schemas.microsoft.com/office/drawing/2014/main" xmlns="" id="{00000000-0008-0000-0300-00004F000000}"/>
            </a:ext>
          </a:extLst>
        </xdr:cNvPr>
        <xdr:cNvSpPr txBox="1"/>
      </xdr:nvSpPr>
      <xdr:spPr>
        <a:xfrm>
          <a:off x="6299200" y="88033860"/>
          <a:ext cx="1003300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2F86AAC-1E7C-400D-A5E5-7BF0C6B7E637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5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215900</xdr:colOff>
      <xdr:row>294</xdr:row>
      <xdr:rowOff>137160</xdr:rowOff>
    </xdr:from>
    <xdr:to>
      <xdr:col>13</xdr:col>
      <xdr:colOff>546100</xdr:colOff>
      <xdr:row>297</xdr:row>
      <xdr:rowOff>111760</xdr:rowOff>
    </xdr:to>
    <xdr:sp macro="" textlink="Algandmed!AV205">
      <xdr:nvSpPr>
        <xdr:cNvPr id="80" name="TextBox 79">
          <a:extLst>
            <a:ext uri="{FF2B5EF4-FFF2-40B4-BE49-F238E27FC236}">
              <a16:creationId xmlns:a16="http://schemas.microsoft.com/office/drawing/2014/main" xmlns="" id="{00000000-0008-0000-0300-000050000000}"/>
            </a:ext>
          </a:extLst>
        </xdr:cNvPr>
        <xdr:cNvSpPr txBox="1"/>
      </xdr:nvSpPr>
      <xdr:spPr>
        <a:xfrm>
          <a:off x="7302500" y="88033860"/>
          <a:ext cx="1025525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3412EB8-AE3A-4C25-9F34-BEF3D52FE4D1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2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139700</xdr:colOff>
      <xdr:row>297</xdr:row>
      <xdr:rowOff>114300</xdr:rowOff>
    </xdr:from>
    <xdr:to>
      <xdr:col>8</xdr:col>
      <xdr:colOff>571500</xdr:colOff>
      <xdr:row>300</xdr:row>
      <xdr:rowOff>88900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xmlns="" id="{00000000-0008-0000-0300-000051000000}"/>
            </a:ext>
          </a:extLst>
        </xdr:cNvPr>
        <xdr:cNvSpPr txBox="1"/>
      </xdr:nvSpPr>
      <xdr:spPr>
        <a:xfrm>
          <a:off x="4273550" y="88582500"/>
          <a:ext cx="1022350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EFFICIENCY</a:t>
          </a:r>
          <a:endParaRPr lang="en-US" sz="12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571500</xdr:colOff>
      <xdr:row>297</xdr:row>
      <xdr:rowOff>114300</xdr:rowOff>
    </xdr:from>
    <xdr:to>
      <xdr:col>10</xdr:col>
      <xdr:colOff>393700</xdr:colOff>
      <xdr:row>300</xdr:row>
      <xdr:rowOff>88900</xdr:rowOff>
    </xdr:to>
    <xdr:sp macro="" textlink="Algandmed!AT207">
      <xdr:nvSpPr>
        <xdr:cNvPr id="82" name="TextBox 81">
          <a:extLst>
            <a:ext uri="{FF2B5EF4-FFF2-40B4-BE49-F238E27FC236}">
              <a16:creationId xmlns:a16="http://schemas.microsoft.com/office/drawing/2014/main" xmlns="" id="{00000000-0008-0000-0300-000052000000}"/>
            </a:ext>
          </a:extLst>
        </xdr:cNvPr>
        <xdr:cNvSpPr txBox="1"/>
      </xdr:nvSpPr>
      <xdr:spPr>
        <a:xfrm>
          <a:off x="5295900" y="88582500"/>
          <a:ext cx="1003300" cy="5461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29AC59A-631A-49E7-8B5C-E3668C48B2D0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17,8%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10</xdr:col>
      <xdr:colOff>393700</xdr:colOff>
      <xdr:row>297</xdr:row>
      <xdr:rowOff>114300</xdr:rowOff>
    </xdr:from>
    <xdr:to>
      <xdr:col>12</xdr:col>
      <xdr:colOff>215900</xdr:colOff>
      <xdr:row>300</xdr:row>
      <xdr:rowOff>88900</xdr:rowOff>
    </xdr:to>
    <xdr:sp macro="" textlink="Algandmed!AU207">
      <xdr:nvSpPr>
        <xdr:cNvPr id="83" name="TextBox 82">
          <a:extLst>
            <a:ext uri="{FF2B5EF4-FFF2-40B4-BE49-F238E27FC236}">
              <a16:creationId xmlns:a16="http://schemas.microsoft.com/office/drawing/2014/main" xmlns="" id="{00000000-0008-0000-0300-000053000000}"/>
            </a:ext>
          </a:extLst>
        </xdr:cNvPr>
        <xdr:cNvSpPr txBox="1"/>
      </xdr:nvSpPr>
      <xdr:spPr>
        <a:xfrm>
          <a:off x="6299200" y="88582500"/>
          <a:ext cx="1003300" cy="5461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164AF42-EF30-4DA2-8C29-D30DA5CE63FA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10,6%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12</xdr:col>
      <xdr:colOff>215900</xdr:colOff>
      <xdr:row>297</xdr:row>
      <xdr:rowOff>114300</xdr:rowOff>
    </xdr:from>
    <xdr:to>
      <xdr:col>13</xdr:col>
      <xdr:colOff>546100</xdr:colOff>
      <xdr:row>300</xdr:row>
      <xdr:rowOff>88900</xdr:rowOff>
    </xdr:to>
    <xdr:sp macro="" textlink="Algandmed!AV207">
      <xdr:nvSpPr>
        <xdr:cNvPr id="84" name="TextBox 83">
          <a:extLst>
            <a:ext uri="{FF2B5EF4-FFF2-40B4-BE49-F238E27FC236}">
              <a16:creationId xmlns:a16="http://schemas.microsoft.com/office/drawing/2014/main" xmlns="" id="{00000000-0008-0000-0300-000054000000}"/>
            </a:ext>
          </a:extLst>
        </xdr:cNvPr>
        <xdr:cNvSpPr txBox="1"/>
      </xdr:nvSpPr>
      <xdr:spPr>
        <a:xfrm>
          <a:off x="7302500" y="88582500"/>
          <a:ext cx="1025525" cy="5461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BD3E872-12B4-44F5-82BC-3DDB3292FF47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7,7%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0</xdr:col>
      <xdr:colOff>315228</xdr:colOff>
      <xdr:row>323</xdr:row>
      <xdr:rowOff>83457</xdr:rowOff>
    </xdr:from>
    <xdr:to>
      <xdr:col>6</xdr:col>
      <xdr:colOff>191407</xdr:colOff>
      <xdr:row>341</xdr:row>
      <xdr:rowOff>13607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xmlns="" id="{00000000-0008-0000-03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27214</xdr:colOff>
      <xdr:row>322</xdr:row>
      <xdr:rowOff>114300</xdr:rowOff>
    </xdr:from>
    <xdr:to>
      <xdr:col>13</xdr:col>
      <xdr:colOff>408214</xdr:colOff>
      <xdr:row>341</xdr:row>
      <xdr:rowOff>0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xmlns="" id="{00000000-0008-0000-03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471054</xdr:colOff>
      <xdr:row>345</xdr:row>
      <xdr:rowOff>25400</xdr:rowOff>
    </xdr:from>
    <xdr:to>
      <xdr:col>13</xdr:col>
      <xdr:colOff>471054</xdr:colOff>
      <xdr:row>354</xdr:row>
      <xdr:rowOff>76200</xdr:rowOff>
    </xdr:to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xmlns="" id="{00000000-0008-0000-0300-000057000000}"/>
            </a:ext>
          </a:extLst>
        </xdr:cNvPr>
        <xdr:cNvSpPr txBox="1"/>
      </xdr:nvSpPr>
      <xdr:spPr>
        <a:xfrm>
          <a:off x="1061604" y="98780600"/>
          <a:ext cx="7191375" cy="176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4400" b="1" u="sng">
              <a:solidFill>
                <a:srgbClr val="4D4D4D"/>
              </a:solidFill>
              <a:effectLst>
                <a:outerShdw blurRad="38100" dist="38100" dir="2700000" algn="tl" rotWithShape="0">
                  <a:srgbClr val="000000">
                    <a:alpha val="43000"/>
                  </a:srgbClr>
                </a:outerShdw>
              </a:effectLst>
              <a:latin typeface="Hanse" panose="02000000000000000000" pitchFamily="50" charset="0"/>
              <a:ea typeface="+mn-ea"/>
              <a:cs typeface="+mn-cs"/>
            </a:rPr>
            <a:t>  </a:t>
          </a:r>
          <a:r>
            <a:rPr lang="et-EE" sz="4000" b="1" u="sng">
              <a:solidFill>
                <a:srgbClr val="4D4D4D"/>
              </a:solidFill>
              <a:effectLst>
                <a:outerShdw blurRad="38100" dist="38100" dir="2700000" algn="tl" rotWithShape="0">
                  <a:srgbClr val="000000">
                    <a:alpha val="43000"/>
                  </a:srgbClr>
                </a:outerShdw>
              </a:effectLst>
              <a:latin typeface="Hanse" panose="02000000000000000000" pitchFamily="50" charset="0"/>
              <a:ea typeface="+mn-ea"/>
              <a:cs typeface="+mn-cs"/>
            </a:rPr>
            <a:t>Goals and shots from standards inside last fourth</a:t>
          </a:r>
          <a:endParaRPr lang="et-EE" sz="4000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endParaRPr lang="et-EE" sz="2000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40640</xdr:colOff>
      <xdr:row>354</xdr:row>
      <xdr:rowOff>137160</xdr:rowOff>
    </xdr:from>
    <xdr:to>
      <xdr:col>1</xdr:col>
      <xdr:colOff>281940</xdr:colOff>
      <xdr:row>357</xdr:row>
      <xdr:rowOff>165814</xdr:rowOff>
    </xdr:to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xmlns="" id="{00000000-0008-0000-0300-000058000000}"/>
            </a:ext>
          </a:extLst>
        </xdr:cNvPr>
        <xdr:cNvSpPr txBox="1"/>
      </xdr:nvSpPr>
      <xdr:spPr>
        <a:xfrm>
          <a:off x="40640" y="100606860"/>
          <a:ext cx="831850" cy="60015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STANCO</a:t>
          </a:r>
          <a:endParaRPr lang="en-US" sz="4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279400</xdr:colOff>
      <xdr:row>354</xdr:row>
      <xdr:rowOff>137160</xdr:rowOff>
    </xdr:from>
    <xdr:to>
      <xdr:col>2</xdr:col>
      <xdr:colOff>520700</xdr:colOff>
      <xdr:row>357</xdr:row>
      <xdr:rowOff>165814</xdr:rowOff>
    </xdr:to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xmlns="" id="{00000000-0008-0000-0300-000059000000}"/>
            </a:ext>
          </a:extLst>
        </xdr:cNvPr>
        <xdr:cNvSpPr txBox="1"/>
      </xdr:nvSpPr>
      <xdr:spPr>
        <a:xfrm>
          <a:off x="869950" y="100606860"/>
          <a:ext cx="831850" cy="60015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</a:t>
          </a:r>
          <a:r>
            <a:rPr lang="et-EE" sz="1400" b="1" i="0" u="none" strike="noStrike" baseline="0">
              <a:solidFill>
                <a:srgbClr val="4D4D4D"/>
              </a:solidFill>
              <a:latin typeface="Hanse" panose="02000000000000000000" pitchFamily="50" charset="0"/>
            </a:rPr>
            <a:t>FK</a:t>
          </a:r>
          <a:endParaRPr lang="en-US" sz="1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518160</xdr:colOff>
      <xdr:row>354</xdr:row>
      <xdr:rowOff>137160</xdr:rowOff>
    </xdr:from>
    <xdr:to>
      <xdr:col>4</xdr:col>
      <xdr:colOff>149860</xdr:colOff>
      <xdr:row>357</xdr:row>
      <xdr:rowOff>165814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xmlns="" id="{00000000-0008-0000-0300-00005A000000}"/>
            </a:ext>
          </a:extLst>
        </xdr:cNvPr>
        <xdr:cNvSpPr txBox="1"/>
      </xdr:nvSpPr>
      <xdr:spPr>
        <a:xfrm>
          <a:off x="1699260" y="100606860"/>
          <a:ext cx="812800" cy="60015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STANTI </a:t>
          </a:r>
          <a:endParaRPr lang="en-US" sz="1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4</xdr:col>
      <xdr:colOff>147320</xdr:colOff>
      <xdr:row>354</xdr:row>
      <xdr:rowOff>137160</xdr:rowOff>
    </xdr:from>
    <xdr:to>
      <xdr:col>5</xdr:col>
      <xdr:colOff>388620</xdr:colOff>
      <xdr:row>357</xdr:row>
      <xdr:rowOff>165814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xmlns="" id="{00000000-0008-0000-0300-00005B000000}"/>
            </a:ext>
          </a:extLst>
        </xdr:cNvPr>
        <xdr:cNvSpPr txBox="1"/>
      </xdr:nvSpPr>
      <xdr:spPr>
        <a:xfrm>
          <a:off x="2509520" y="100606860"/>
          <a:ext cx="831850" cy="60015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STANPEN</a:t>
          </a:r>
          <a:endParaRPr lang="en-US" sz="12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40640</xdr:colOff>
      <xdr:row>360</xdr:row>
      <xdr:rowOff>127000</xdr:rowOff>
    </xdr:from>
    <xdr:to>
      <xdr:col>1</xdr:col>
      <xdr:colOff>281940</xdr:colOff>
      <xdr:row>363</xdr:row>
      <xdr:rowOff>86360</xdr:rowOff>
    </xdr:to>
    <xdr:sp macro="" textlink="Algandmed!AE182">
      <xdr:nvSpPr>
        <xdr:cNvPr id="92" name="TextBox 91">
          <a:extLst>
            <a:ext uri="{FF2B5EF4-FFF2-40B4-BE49-F238E27FC236}">
              <a16:creationId xmlns:a16="http://schemas.microsoft.com/office/drawing/2014/main" xmlns="" id="{00000000-0008-0000-0300-00005C000000}"/>
            </a:ext>
          </a:extLst>
        </xdr:cNvPr>
        <xdr:cNvSpPr txBox="1"/>
      </xdr:nvSpPr>
      <xdr:spPr>
        <a:xfrm>
          <a:off x="40640" y="101739700"/>
          <a:ext cx="831850" cy="53086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3C82B95-A72B-4360-A6AD-2608D684EF87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279400</xdr:colOff>
      <xdr:row>360</xdr:row>
      <xdr:rowOff>127000</xdr:rowOff>
    </xdr:from>
    <xdr:to>
      <xdr:col>2</xdr:col>
      <xdr:colOff>520700</xdr:colOff>
      <xdr:row>363</xdr:row>
      <xdr:rowOff>86360</xdr:rowOff>
    </xdr:to>
    <xdr:sp macro="" textlink="Algandmed!AF182">
      <xdr:nvSpPr>
        <xdr:cNvPr id="93" name="TextBox 92">
          <a:extLst>
            <a:ext uri="{FF2B5EF4-FFF2-40B4-BE49-F238E27FC236}">
              <a16:creationId xmlns:a16="http://schemas.microsoft.com/office/drawing/2014/main" xmlns="" id="{00000000-0008-0000-0300-00005D000000}"/>
            </a:ext>
          </a:extLst>
        </xdr:cNvPr>
        <xdr:cNvSpPr txBox="1"/>
      </xdr:nvSpPr>
      <xdr:spPr>
        <a:xfrm>
          <a:off x="869950" y="101739700"/>
          <a:ext cx="831850" cy="53086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46DEDC-F8F8-4153-8BB7-5308BEFF802A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518160</xdr:colOff>
      <xdr:row>360</xdr:row>
      <xdr:rowOff>127000</xdr:rowOff>
    </xdr:from>
    <xdr:to>
      <xdr:col>4</xdr:col>
      <xdr:colOff>149860</xdr:colOff>
      <xdr:row>363</xdr:row>
      <xdr:rowOff>86360</xdr:rowOff>
    </xdr:to>
    <xdr:sp macro="" textlink="Algandmed!AG182">
      <xdr:nvSpPr>
        <xdr:cNvPr id="94" name="TextBox 93">
          <a:extLst>
            <a:ext uri="{FF2B5EF4-FFF2-40B4-BE49-F238E27FC236}">
              <a16:creationId xmlns:a16="http://schemas.microsoft.com/office/drawing/2014/main" xmlns="" id="{00000000-0008-0000-0300-00005E000000}"/>
            </a:ext>
          </a:extLst>
        </xdr:cNvPr>
        <xdr:cNvSpPr txBox="1"/>
      </xdr:nvSpPr>
      <xdr:spPr>
        <a:xfrm>
          <a:off x="1699260" y="101739700"/>
          <a:ext cx="812800" cy="53086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C792B9-4513-43E8-B35D-BA7770CFBE2F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4</xdr:col>
      <xdr:colOff>147320</xdr:colOff>
      <xdr:row>360</xdr:row>
      <xdr:rowOff>127000</xdr:rowOff>
    </xdr:from>
    <xdr:to>
      <xdr:col>5</xdr:col>
      <xdr:colOff>388620</xdr:colOff>
      <xdr:row>363</xdr:row>
      <xdr:rowOff>86360</xdr:rowOff>
    </xdr:to>
    <xdr:sp macro="" textlink="Algandmed!AH182">
      <xdr:nvSpPr>
        <xdr:cNvPr id="95" name="TextBox 94">
          <a:extLst>
            <a:ext uri="{FF2B5EF4-FFF2-40B4-BE49-F238E27FC236}">
              <a16:creationId xmlns:a16="http://schemas.microsoft.com/office/drawing/2014/main" xmlns="" id="{00000000-0008-0000-0300-00005F000000}"/>
            </a:ext>
          </a:extLst>
        </xdr:cNvPr>
        <xdr:cNvSpPr txBox="1"/>
      </xdr:nvSpPr>
      <xdr:spPr>
        <a:xfrm>
          <a:off x="2509520" y="101739700"/>
          <a:ext cx="831850" cy="53086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B85DB4D-2E7F-4F18-9909-315F2D2991BB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198120</xdr:colOff>
      <xdr:row>354</xdr:row>
      <xdr:rowOff>124460</xdr:rowOff>
    </xdr:from>
    <xdr:to>
      <xdr:col>8</xdr:col>
      <xdr:colOff>416560</xdr:colOff>
      <xdr:row>357</xdr:row>
      <xdr:rowOff>153114</xdr:rowOff>
    </xdr:to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xmlns="" id="{00000000-0008-0000-0300-000060000000}"/>
            </a:ext>
          </a:extLst>
        </xdr:cNvPr>
        <xdr:cNvSpPr txBox="1"/>
      </xdr:nvSpPr>
      <xdr:spPr>
        <a:xfrm>
          <a:off x="4331970" y="100594160"/>
          <a:ext cx="808990" cy="60015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STANCO</a:t>
          </a:r>
          <a:endParaRPr lang="en-US" sz="4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414020</xdr:colOff>
      <xdr:row>354</xdr:row>
      <xdr:rowOff>124460</xdr:rowOff>
    </xdr:from>
    <xdr:to>
      <xdr:col>10</xdr:col>
      <xdr:colOff>45720</xdr:colOff>
      <xdr:row>357</xdr:row>
      <xdr:rowOff>153114</xdr:rowOff>
    </xdr:to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xmlns="" id="{00000000-0008-0000-0300-000061000000}"/>
            </a:ext>
          </a:extLst>
        </xdr:cNvPr>
        <xdr:cNvSpPr txBox="1"/>
      </xdr:nvSpPr>
      <xdr:spPr>
        <a:xfrm>
          <a:off x="5138420" y="100594160"/>
          <a:ext cx="812800" cy="60015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</a:t>
          </a:r>
          <a:r>
            <a:rPr lang="et-EE" sz="1400" b="1" i="0" u="none" strike="noStrike" baseline="0">
              <a:solidFill>
                <a:srgbClr val="4D4D4D"/>
              </a:solidFill>
              <a:latin typeface="Hanse" panose="02000000000000000000" pitchFamily="50" charset="0"/>
            </a:rPr>
            <a:t>FK</a:t>
          </a:r>
          <a:endParaRPr lang="en-US" sz="1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55880</xdr:colOff>
      <xdr:row>354</xdr:row>
      <xdr:rowOff>124460</xdr:rowOff>
    </xdr:from>
    <xdr:to>
      <xdr:col>11</xdr:col>
      <xdr:colOff>297180</xdr:colOff>
      <xdr:row>357</xdr:row>
      <xdr:rowOff>153114</xdr:rowOff>
    </xdr:to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xmlns="" id="{00000000-0008-0000-0300-000062000000}"/>
            </a:ext>
          </a:extLst>
        </xdr:cNvPr>
        <xdr:cNvSpPr txBox="1"/>
      </xdr:nvSpPr>
      <xdr:spPr>
        <a:xfrm>
          <a:off x="5961380" y="100594160"/>
          <a:ext cx="831850" cy="60015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STANTI </a:t>
          </a:r>
          <a:endParaRPr lang="en-US" sz="1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11</xdr:col>
      <xdr:colOff>294640</xdr:colOff>
      <xdr:row>354</xdr:row>
      <xdr:rowOff>124460</xdr:rowOff>
    </xdr:from>
    <xdr:to>
      <xdr:col>12</xdr:col>
      <xdr:colOff>535940</xdr:colOff>
      <xdr:row>357</xdr:row>
      <xdr:rowOff>153114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xmlns="" id="{00000000-0008-0000-0300-000063000000}"/>
            </a:ext>
          </a:extLst>
        </xdr:cNvPr>
        <xdr:cNvSpPr txBox="1"/>
      </xdr:nvSpPr>
      <xdr:spPr>
        <a:xfrm>
          <a:off x="6790690" y="100594160"/>
          <a:ext cx="831850" cy="60015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STANPEN</a:t>
          </a:r>
          <a:endParaRPr lang="en-US" sz="12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198120</xdr:colOff>
      <xdr:row>360</xdr:row>
      <xdr:rowOff>114300</xdr:rowOff>
    </xdr:from>
    <xdr:to>
      <xdr:col>8</xdr:col>
      <xdr:colOff>416560</xdr:colOff>
      <xdr:row>363</xdr:row>
      <xdr:rowOff>73660</xdr:rowOff>
    </xdr:to>
    <xdr:sp macro="" textlink="Algandmed!AT182">
      <xdr:nvSpPr>
        <xdr:cNvPr id="100" name="TextBox 99">
          <a:extLst>
            <a:ext uri="{FF2B5EF4-FFF2-40B4-BE49-F238E27FC236}">
              <a16:creationId xmlns:a16="http://schemas.microsoft.com/office/drawing/2014/main" xmlns="" id="{00000000-0008-0000-0300-000064000000}"/>
            </a:ext>
          </a:extLst>
        </xdr:cNvPr>
        <xdr:cNvSpPr txBox="1"/>
      </xdr:nvSpPr>
      <xdr:spPr>
        <a:xfrm>
          <a:off x="4331970" y="101727000"/>
          <a:ext cx="808990" cy="53086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88F75F4-2767-4E22-A403-0D48055E6103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414020</xdr:colOff>
      <xdr:row>360</xdr:row>
      <xdr:rowOff>114300</xdr:rowOff>
    </xdr:from>
    <xdr:to>
      <xdr:col>10</xdr:col>
      <xdr:colOff>45720</xdr:colOff>
      <xdr:row>363</xdr:row>
      <xdr:rowOff>73660</xdr:rowOff>
    </xdr:to>
    <xdr:sp macro="" textlink="Algandmed!AU182">
      <xdr:nvSpPr>
        <xdr:cNvPr id="101" name="TextBox 100">
          <a:extLst>
            <a:ext uri="{FF2B5EF4-FFF2-40B4-BE49-F238E27FC236}">
              <a16:creationId xmlns:a16="http://schemas.microsoft.com/office/drawing/2014/main" xmlns="" id="{00000000-0008-0000-0300-000065000000}"/>
            </a:ext>
          </a:extLst>
        </xdr:cNvPr>
        <xdr:cNvSpPr txBox="1"/>
      </xdr:nvSpPr>
      <xdr:spPr>
        <a:xfrm>
          <a:off x="5138420" y="101727000"/>
          <a:ext cx="812800" cy="53086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78DDBF-E37E-475B-976A-249FCC1CFCB3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55880</xdr:colOff>
      <xdr:row>360</xdr:row>
      <xdr:rowOff>114300</xdr:rowOff>
    </xdr:from>
    <xdr:to>
      <xdr:col>11</xdr:col>
      <xdr:colOff>297180</xdr:colOff>
      <xdr:row>363</xdr:row>
      <xdr:rowOff>73660</xdr:rowOff>
    </xdr:to>
    <xdr:sp macro="" textlink="Algandmed!AV182">
      <xdr:nvSpPr>
        <xdr:cNvPr id="102" name="TextBox 101">
          <a:extLst>
            <a:ext uri="{FF2B5EF4-FFF2-40B4-BE49-F238E27FC236}">
              <a16:creationId xmlns:a16="http://schemas.microsoft.com/office/drawing/2014/main" xmlns="" id="{00000000-0008-0000-0300-000066000000}"/>
            </a:ext>
          </a:extLst>
        </xdr:cNvPr>
        <xdr:cNvSpPr txBox="1"/>
      </xdr:nvSpPr>
      <xdr:spPr>
        <a:xfrm>
          <a:off x="5961380" y="101727000"/>
          <a:ext cx="831850" cy="53086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52826-8295-402C-B33D-489E1F435144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11</xdr:col>
      <xdr:colOff>294640</xdr:colOff>
      <xdr:row>360</xdr:row>
      <xdr:rowOff>114300</xdr:rowOff>
    </xdr:from>
    <xdr:to>
      <xdr:col>12</xdr:col>
      <xdr:colOff>535940</xdr:colOff>
      <xdr:row>363</xdr:row>
      <xdr:rowOff>73660</xdr:rowOff>
    </xdr:to>
    <xdr:sp macro="" textlink="Algandmed!AW182">
      <xdr:nvSpPr>
        <xdr:cNvPr id="103" name="TextBox 102">
          <a:extLst>
            <a:ext uri="{FF2B5EF4-FFF2-40B4-BE49-F238E27FC236}">
              <a16:creationId xmlns:a16="http://schemas.microsoft.com/office/drawing/2014/main" xmlns="" id="{00000000-0008-0000-0300-000067000000}"/>
            </a:ext>
          </a:extLst>
        </xdr:cNvPr>
        <xdr:cNvSpPr txBox="1"/>
      </xdr:nvSpPr>
      <xdr:spPr>
        <a:xfrm>
          <a:off x="6790690" y="101727000"/>
          <a:ext cx="831850" cy="53086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693BB0B-32FA-46C1-ADA7-FFB24460031E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6</xdr:col>
      <xdr:colOff>457200</xdr:colOff>
      <xdr:row>380</xdr:row>
      <xdr:rowOff>132081</xdr:rowOff>
    </xdr:from>
    <xdr:to>
      <xdr:col>13</xdr:col>
      <xdr:colOff>127000</xdr:colOff>
      <xdr:row>394</xdr:row>
      <xdr:rowOff>38100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xmlns="" id="{00000000-0008-0000-03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399</xdr:row>
      <xdr:rowOff>49185</xdr:rowOff>
    </xdr:from>
    <xdr:to>
      <xdr:col>7</xdr:col>
      <xdr:colOff>58420</xdr:colOff>
      <xdr:row>412</xdr:row>
      <xdr:rowOff>109185</xdr:rowOff>
    </xdr:to>
    <xdr:graphicFrame macro="">
      <xdr:nvGraphicFramePr>
        <xdr:cNvPr id="105" name="Chart 104">
          <a:extLst>
            <a:ext uri="{FF2B5EF4-FFF2-40B4-BE49-F238E27FC236}">
              <a16:creationId xmlns:a16="http://schemas.microsoft.com/office/drawing/2014/main" xmlns="" id="{00000000-0008-0000-03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58057</xdr:colOff>
      <xdr:row>399</xdr:row>
      <xdr:rowOff>49184</xdr:rowOff>
    </xdr:from>
    <xdr:to>
      <xdr:col>13</xdr:col>
      <xdr:colOff>635000</xdr:colOff>
      <xdr:row>412</xdr:row>
      <xdr:rowOff>117764</xdr:rowOff>
    </xdr:to>
    <xdr:graphicFrame macro="">
      <xdr:nvGraphicFramePr>
        <xdr:cNvPr id="106" name="Chart 105">
          <a:extLst>
            <a:ext uri="{FF2B5EF4-FFF2-40B4-BE49-F238E27FC236}">
              <a16:creationId xmlns:a16="http://schemas.microsoft.com/office/drawing/2014/main" xmlns="" id="{00000000-0008-0000-03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596900</xdr:colOff>
      <xdr:row>482</xdr:row>
      <xdr:rowOff>139700</xdr:rowOff>
    </xdr:from>
    <xdr:to>
      <xdr:col>11</xdr:col>
      <xdr:colOff>177800</xdr:colOff>
      <xdr:row>491</xdr:row>
      <xdr:rowOff>124460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xmlns="" id="{00000000-0008-0000-0300-000070000000}"/>
            </a:ext>
          </a:extLst>
        </xdr:cNvPr>
        <xdr:cNvSpPr txBox="1"/>
      </xdr:nvSpPr>
      <xdr:spPr>
        <a:xfrm>
          <a:off x="1177925" y="281965400"/>
          <a:ext cx="5495925" cy="937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4400" b="1" u="sng">
              <a:solidFill>
                <a:srgbClr val="4D4D4D"/>
              </a:solidFill>
              <a:effectLst>
                <a:outerShdw blurRad="38100" dist="38100" dir="2700000" algn="tl" rotWithShape="0">
                  <a:srgbClr val="000000">
                    <a:alpha val="43000"/>
                  </a:srgbClr>
                </a:outerShdw>
              </a:effectLst>
              <a:latin typeface="Hanse" panose="02000000000000000000" pitchFamily="50" charset="0"/>
              <a:ea typeface="+mn-ea"/>
              <a:cs typeface="+mn-cs"/>
            </a:rPr>
            <a:t>Transitions</a:t>
          </a:r>
          <a:endParaRPr lang="et-EE" sz="4400" b="1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endParaRPr lang="et-EE" sz="20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401320</xdr:colOff>
      <xdr:row>493</xdr:row>
      <xdr:rowOff>139699</xdr:rowOff>
    </xdr:from>
    <xdr:to>
      <xdr:col>2</xdr:col>
      <xdr:colOff>144780</xdr:colOff>
      <xdr:row>497</xdr:row>
      <xdr:rowOff>87768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xmlns="" id="{00000000-0008-0000-0300-000072000000}"/>
            </a:ext>
          </a:extLst>
        </xdr:cNvPr>
        <xdr:cNvSpPr txBox="1"/>
      </xdr:nvSpPr>
      <xdr:spPr>
        <a:xfrm>
          <a:off x="401320" y="283298899"/>
          <a:ext cx="924560" cy="71006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DA</a:t>
          </a:r>
          <a:endParaRPr lang="en-US" sz="32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142240</xdr:colOff>
      <xdr:row>493</xdr:row>
      <xdr:rowOff>139699</xdr:rowOff>
    </xdr:from>
    <xdr:to>
      <xdr:col>3</xdr:col>
      <xdr:colOff>495300</xdr:colOff>
      <xdr:row>497</xdr:row>
      <xdr:rowOff>87768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xmlns="" id="{00000000-0008-0000-0300-000073000000}"/>
            </a:ext>
          </a:extLst>
        </xdr:cNvPr>
        <xdr:cNvSpPr txBox="1"/>
      </xdr:nvSpPr>
      <xdr:spPr>
        <a:xfrm>
          <a:off x="1323340" y="283298899"/>
          <a:ext cx="943610" cy="71006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TOTAL</a:t>
          </a:r>
        </a:p>
        <a:p>
          <a:pPr algn="ctr"/>
          <a:r>
            <a:rPr lang="et-EE" sz="1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PRESS</a:t>
          </a:r>
          <a:r>
            <a:rPr lang="et-EE" sz="1200" b="1" i="0" u="none" strike="noStrike" baseline="0">
              <a:solidFill>
                <a:srgbClr val="4D4D4D"/>
              </a:solidFill>
              <a:latin typeface="Hanse" panose="02000000000000000000" pitchFamily="50" charset="0"/>
            </a:rPr>
            <a:t>ING MOMENT</a:t>
          </a:r>
          <a:endParaRPr lang="en-US" sz="12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238760</xdr:colOff>
      <xdr:row>493</xdr:row>
      <xdr:rowOff>139699</xdr:rowOff>
    </xdr:from>
    <xdr:to>
      <xdr:col>6</xdr:col>
      <xdr:colOff>591820</xdr:colOff>
      <xdr:row>497</xdr:row>
      <xdr:rowOff>87768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xmlns="" id="{00000000-0008-0000-0300-000074000000}"/>
            </a:ext>
          </a:extLst>
        </xdr:cNvPr>
        <xdr:cNvSpPr txBox="1"/>
      </xdr:nvSpPr>
      <xdr:spPr>
        <a:xfrm>
          <a:off x="3191510" y="283298899"/>
          <a:ext cx="943610" cy="71006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AVG. PER GAME</a:t>
          </a:r>
          <a:endParaRPr lang="en-US" sz="1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500380</xdr:colOff>
      <xdr:row>493</xdr:row>
      <xdr:rowOff>139699</xdr:rowOff>
    </xdr:from>
    <xdr:to>
      <xdr:col>5</xdr:col>
      <xdr:colOff>243840</xdr:colOff>
      <xdr:row>497</xdr:row>
      <xdr:rowOff>87768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xmlns="" id="{00000000-0008-0000-0300-000075000000}"/>
            </a:ext>
          </a:extLst>
        </xdr:cNvPr>
        <xdr:cNvSpPr txBox="1"/>
      </xdr:nvSpPr>
      <xdr:spPr>
        <a:xfrm>
          <a:off x="2272030" y="283298899"/>
          <a:ext cx="924560" cy="71006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16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TOTAL DA</a:t>
          </a:r>
          <a:endParaRPr lang="et-EE" sz="2400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pPr algn="ctr"/>
          <a:endParaRPr lang="en-US" sz="16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401320</xdr:colOff>
      <xdr:row>501</xdr:row>
      <xdr:rowOff>45720</xdr:rowOff>
    </xdr:from>
    <xdr:to>
      <xdr:col>2</xdr:col>
      <xdr:colOff>144780</xdr:colOff>
      <xdr:row>505</xdr:row>
      <xdr:rowOff>7620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xmlns="" id="{00000000-0008-0000-0300-000076000000}"/>
            </a:ext>
          </a:extLst>
        </xdr:cNvPr>
        <xdr:cNvSpPr txBox="1"/>
      </xdr:nvSpPr>
      <xdr:spPr>
        <a:xfrm>
          <a:off x="401320" y="284728920"/>
          <a:ext cx="92456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6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S1</a:t>
          </a:r>
          <a:endParaRPr lang="en-US" sz="16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238760</xdr:colOff>
      <xdr:row>501</xdr:row>
      <xdr:rowOff>45720</xdr:rowOff>
    </xdr:from>
    <xdr:to>
      <xdr:col>6</xdr:col>
      <xdr:colOff>591820</xdr:colOff>
      <xdr:row>505</xdr:row>
      <xdr:rowOff>7620</xdr:rowOff>
    </xdr:to>
    <xdr:sp macro="" textlink="Algandmed!AI22">
      <xdr:nvSpPr>
        <xdr:cNvPr id="119" name="TextBox 118">
          <a:extLst>
            <a:ext uri="{FF2B5EF4-FFF2-40B4-BE49-F238E27FC236}">
              <a16:creationId xmlns:a16="http://schemas.microsoft.com/office/drawing/2014/main" xmlns="" id="{00000000-0008-0000-0300-000077000000}"/>
            </a:ext>
          </a:extLst>
        </xdr:cNvPr>
        <xdr:cNvSpPr txBox="1"/>
      </xdr:nvSpPr>
      <xdr:spPr>
        <a:xfrm>
          <a:off x="3191510" y="284728920"/>
          <a:ext cx="94361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F69E4B-DE43-4627-92CC-E2D4508A426F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#DIV/0!</a:t>
          </a:fld>
          <a:endParaRPr lang="et-EE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500380</xdr:colOff>
      <xdr:row>501</xdr:row>
      <xdr:rowOff>45720</xdr:rowOff>
    </xdr:from>
    <xdr:to>
      <xdr:col>5</xdr:col>
      <xdr:colOff>243840</xdr:colOff>
      <xdr:row>505</xdr:row>
      <xdr:rowOff>7620</xdr:rowOff>
    </xdr:to>
    <xdr:sp macro="" textlink="Algandmed!AH22">
      <xdr:nvSpPr>
        <xdr:cNvPr id="120" name="TextBox 119">
          <a:extLst>
            <a:ext uri="{FF2B5EF4-FFF2-40B4-BE49-F238E27FC236}">
              <a16:creationId xmlns:a16="http://schemas.microsoft.com/office/drawing/2014/main" xmlns="" id="{00000000-0008-0000-0300-000078000000}"/>
            </a:ext>
          </a:extLst>
        </xdr:cNvPr>
        <xdr:cNvSpPr txBox="1"/>
      </xdr:nvSpPr>
      <xdr:spPr>
        <a:xfrm>
          <a:off x="2272030" y="284728920"/>
          <a:ext cx="92456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148620-14BF-4284-8206-C062E6506B23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17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401320</xdr:colOff>
      <xdr:row>505</xdr:row>
      <xdr:rowOff>7620</xdr:rowOff>
    </xdr:from>
    <xdr:to>
      <xdr:col>2</xdr:col>
      <xdr:colOff>144780</xdr:colOff>
      <xdr:row>508</xdr:row>
      <xdr:rowOff>147320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xmlns="" id="{00000000-0008-0000-0300-000079000000}"/>
            </a:ext>
          </a:extLst>
        </xdr:cNvPr>
        <xdr:cNvSpPr txBox="1"/>
      </xdr:nvSpPr>
      <xdr:spPr>
        <a:xfrm>
          <a:off x="401320" y="285452820"/>
          <a:ext cx="924560" cy="7112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t-EE" sz="1600" b="1" i="0">
            <a:solidFill>
              <a:srgbClr val="4D4D4D"/>
            </a:solidFill>
            <a:effectLst/>
            <a:latin typeface="Hanse" panose="02000000000000000000" pitchFamily="50" charset="0"/>
            <a:ea typeface="+mn-ea"/>
            <a:cs typeface="+mn-cs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16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S2</a:t>
          </a:r>
          <a:endParaRPr lang="et-EE" sz="1600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pPr algn="ctr"/>
          <a:endParaRPr lang="en-US" sz="1600" b="0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142240</xdr:colOff>
      <xdr:row>505</xdr:row>
      <xdr:rowOff>7620</xdr:rowOff>
    </xdr:from>
    <xdr:to>
      <xdr:col>3</xdr:col>
      <xdr:colOff>495300</xdr:colOff>
      <xdr:row>508</xdr:row>
      <xdr:rowOff>147320</xdr:rowOff>
    </xdr:to>
    <xdr:sp macro="" textlink="Algandmed!AG23">
      <xdr:nvSpPr>
        <xdr:cNvPr id="122" name="TextBox 121">
          <a:extLst>
            <a:ext uri="{FF2B5EF4-FFF2-40B4-BE49-F238E27FC236}">
              <a16:creationId xmlns:a16="http://schemas.microsoft.com/office/drawing/2014/main" xmlns="" id="{00000000-0008-0000-0300-00007A000000}"/>
            </a:ext>
          </a:extLst>
        </xdr:cNvPr>
        <xdr:cNvSpPr txBox="1"/>
      </xdr:nvSpPr>
      <xdr:spPr>
        <a:xfrm>
          <a:off x="1323340" y="285452820"/>
          <a:ext cx="943610" cy="7112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FA88098-FD17-4E25-9491-E4FF3F2F0BB1}" type="TxLink">
            <a:rPr lang="en-US" sz="2000" b="0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 </a:t>
          </a:fld>
          <a:endParaRPr lang="en-US" sz="2000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238760</xdr:colOff>
      <xdr:row>505</xdr:row>
      <xdr:rowOff>7620</xdr:rowOff>
    </xdr:from>
    <xdr:to>
      <xdr:col>6</xdr:col>
      <xdr:colOff>591820</xdr:colOff>
      <xdr:row>508</xdr:row>
      <xdr:rowOff>147320</xdr:rowOff>
    </xdr:to>
    <xdr:sp macro="" textlink="Algandmed!AI23">
      <xdr:nvSpPr>
        <xdr:cNvPr id="123" name="TextBox 122">
          <a:extLst>
            <a:ext uri="{FF2B5EF4-FFF2-40B4-BE49-F238E27FC236}">
              <a16:creationId xmlns:a16="http://schemas.microsoft.com/office/drawing/2014/main" xmlns="" id="{00000000-0008-0000-0300-00007B000000}"/>
            </a:ext>
          </a:extLst>
        </xdr:cNvPr>
        <xdr:cNvSpPr txBox="1"/>
      </xdr:nvSpPr>
      <xdr:spPr>
        <a:xfrm>
          <a:off x="3191510" y="285452820"/>
          <a:ext cx="943610" cy="7112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C756D00-C0D7-4CB5-89CD-52771A4D474B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#DIV/0!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500380</xdr:colOff>
      <xdr:row>505</xdr:row>
      <xdr:rowOff>7620</xdr:rowOff>
    </xdr:from>
    <xdr:to>
      <xdr:col>5</xdr:col>
      <xdr:colOff>243840</xdr:colOff>
      <xdr:row>508</xdr:row>
      <xdr:rowOff>147320</xdr:rowOff>
    </xdr:to>
    <xdr:sp macro="" textlink="Algandmed!AH23">
      <xdr:nvSpPr>
        <xdr:cNvPr id="124" name="TextBox 123">
          <a:extLst>
            <a:ext uri="{FF2B5EF4-FFF2-40B4-BE49-F238E27FC236}">
              <a16:creationId xmlns:a16="http://schemas.microsoft.com/office/drawing/2014/main" xmlns="" id="{00000000-0008-0000-0300-00007C000000}"/>
            </a:ext>
          </a:extLst>
        </xdr:cNvPr>
        <xdr:cNvSpPr txBox="1"/>
      </xdr:nvSpPr>
      <xdr:spPr>
        <a:xfrm>
          <a:off x="2272030" y="285452820"/>
          <a:ext cx="924560" cy="7112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373CCE-8FC3-4D85-A841-C82E0090F3BD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14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6</xdr:col>
      <xdr:colOff>596900</xdr:colOff>
      <xdr:row>493</xdr:row>
      <xdr:rowOff>139699</xdr:rowOff>
    </xdr:from>
    <xdr:to>
      <xdr:col>8</xdr:col>
      <xdr:colOff>340360</xdr:colOff>
      <xdr:row>497</xdr:row>
      <xdr:rowOff>87768</xdr:rowOff>
    </xdr:to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xmlns="" id="{00000000-0008-0000-0300-00007D000000}"/>
            </a:ext>
          </a:extLst>
        </xdr:cNvPr>
        <xdr:cNvSpPr txBox="1"/>
      </xdr:nvSpPr>
      <xdr:spPr>
        <a:xfrm>
          <a:off x="4130675" y="283298899"/>
          <a:ext cx="934085" cy="71006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6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GOAL</a:t>
          </a:r>
          <a:endParaRPr lang="et-EE" sz="2400">
            <a:solidFill>
              <a:srgbClr val="4D4D4D"/>
            </a:solidFill>
            <a:effectLst/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337820</xdr:colOff>
      <xdr:row>493</xdr:row>
      <xdr:rowOff>139699</xdr:rowOff>
    </xdr:from>
    <xdr:to>
      <xdr:col>10</xdr:col>
      <xdr:colOff>81280</xdr:colOff>
      <xdr:row>497</xdr:row>
      <xdr:rowOff>87768</xdr:rowOff>
    </xdr:to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xmlns="" id="{00000000-0008-0000-0300-00007E000000}"/>
            </a:ext>
          </a:extLst>
        </xdr:cNvPr>
        <xdr:cNvSpPr txBox="1"/>
      </xdr:nvSpPr>
      <xdr:spPr>
        <a:xfrm>
          <a:off x="5062220" y="283298899"/>
          <a:ext cx="924560" cy="71006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6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SHOTS</a:t>
          </a:r>
          <a:r>
            <a:rPr lang="et-EE" sz="1600" b="1" i="0" baseline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 TOTAL</a:t>
          </a:r>
          <a:endParaRPr lang="et-EE" sz="2400">
            <a:solidFill>
              <a:srgbClr val="4D4D4D"/>
            </a:solidFill>
            <a:effectLst/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78740</xdr:colOff>
      <xdr:row>493</xdr:row>
      <xdr:rowOff>139699</xdr:rowOff>
    </xdr:from>
    <xdr:to>
      <xdr:col>11</xdr:col>
      <xdr:colOff>431800</xdr:colOff>
      <xdr:row>497</xdr:row>
      <xdr:rowOff>87768</xdr:rowOff>
    </xdr:to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xmlns="" id="{00000000-0008-0000-0300-00007F000000}"/>
            </a:ext>
          </a:extLst>
        </xdr:cNvPr>
        <xdr:cNvSpPr txBox="1"/>
      </xdr:nvSpPr>
      <xdr:spPr>
        <a:xfrm>
          <a:off x="5984240" y="283298899"/>
          <a:ext cx="943610" cy="71006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6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%    GOAL</a:t>
          </a:r>
        </a:p>
      </xdr:txBody>
    </xdr:sp>
    <xdr:clientData/>
  </xdr:twoCellAnchor>
  <xdr:twoCellAnchor>
    <xdr:from>
      <xdr:col>6</xdr:col>
      <xdr:colOff>596900</xdr:colOff>
      <xdr:row>501</xdr:row>
      <xdr:rowOff>45720</xdr:rowOff>
    </xdr:from>
    <xdr:to>
      <xdr:col>8</xdr:col>
      <xdr:colOff>340360</xdr:colOff>
      <xdr:row>505</xdr:row>
      <xdr:rowOff>7620</xdr:rowOff>
    </xdr:to>
    <xdr:sp macro="" textlink="Algandmed!AJ22">
      <xdr:nvSpPr>
        <xdr:cNvPr id="128" name="TextBox 127">
          <a:extLst>
            <a:ext uri="{FF2B5EF4-FFF2-40B4-BE49-F238E27FC236}">
              <a16:creationId xmlns:a16="http://schemas.microsoft.com/office/drawing/2014/main" xmlns="" id="{00000000-0008-0000-0300-000080000000}"/>
            </a:ext>
          </a:extLst>
        </xdr:cNvPr>
        <xdr:cNvSpPr txBox="1"/>
      </xdr:nvSpPr>
      <xdr:spPr>
        <a:xfrm>
          <a:off x="4130675" y="284728920"/>
          <a:ext cx="934085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9A61FD-2A9F-4B23-AE80-8BC8754EAFE7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337820</xdr:colOff>
      <xdr:row>501</xdr:row>
      <xdr:rowOff>45720</xdr:rowOff>
    </xdr:from>
    <xdr:to>
      <xdr:col>10</xdr:col>
      <xdr:colOff>81280</xdr:colOff>
      <xdr:row>505</xdr:row>
      <xdr:rowOff>7620</xdr:rowOff>
    </xdr:to>
    <xdr:sp macro="" textlink="Algandmed!AO22">
      <xdr:nvSpPr>
        <xdr:cNvPr id="129" name="TextBox 128">
          <a:extLst>
            <a:ext uri="{FF2B5EF4-FFF2-40B4-BE49-F238E27FC236}">
              <a16:creationId xmlns:a16="http://schemas.microsoft.com/office/drawing/2014/main" xmlns="" id="{00000000-0008-0000-0300-000081000000}"/>
            </a:ext>
          </a:extLst>
        </xdr:cNvPr>
        <xdr:cNvSpPr txBox="1"/>
      </xdr:nvSpPr>
      <xdr:spPr>
        <a:xfrm>
          <a:off x="5062220" y="284728920"/>
          <a:ext cx="92456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16DAEC2-A4D2-4E0D-9BCC-F80A05F5FFE9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78740</xdr:colOff>
      <xdr:row>501</xdr:row>
      <xdr:rowOff>45720</xdr:rowOff>
    </xdr:from>
    <xdr:to>
      <xdr:col>11</xdr:col>
      <xdr:colOff>431800</xdr:colOff>
      <xdr:row>505</xdr:row>
      <xdr:rowOff>7620</xdr:rowOff>
    </xdr:to>
    <xdr:sp macro="" textlink="Algandmed!AK22">
      <xdr:nvSpPr>
        <xdr:cNvPr id="130" name="TextBox 129">
          <a:extLst>
            <a:ext uri="{FF2B5EF4-FFF2-40B4-BE49-F238E27FC236}">
              <a16:creationId xmlns:a16="http://schemas.microsoft.com/office/drawing/2014/main" xmlns="" id="{00000000-0008-0000-0300-000082000000}"/>
            </a:ext>
          </a:extLst>
        </xdr:cNvPr>
        <xdr:cNvSpPr txBox="1"/>
      </xdr:nvSpPr>
      <xdr:spPr>
        <a:xfrm>
          <a:off x="5984240" y="284728920"/>
          <a:ext cx="943610" cy="7239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DC2777-E500-49F0-B170-10C0929C5977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6</xdr:col>
      <xdr:colOff>596900</xdr:colOff>
      <xdr:row>505</xdr:row>
      <xdr:rowOff>7620</xdr:rowOff>
    </xdr:from>
    <xdr:to>
      <xdr:col>8</xdr:col>
      <xdr:colOff>340360</xdr:colOff>
      <xdr:row>508</xdr:row>
      <xdr:rowOff>147320</xdr:rowOff>
    </xdr:to>
    <xdr:sp macro="" textlink="Algandmed!AJ23">
      <xdr:nvSpPr>
        <xdr:cNvPr id="131" name="TextBox 130">
          <a:extLst>
            <a:ext uri="{FF2B5EF4-FFF2-40B4-BE49-F238E27FC236}">
              <a16:creationId xmlns:a16="http://schemas.microsoft.com/office/drawing/2014/main" xmlns="" id="{00000000-0008-0000-0300-000083000000}"/>
            </a:ext>
          </a:extLst>
        </xdr:cNvPr>
        <xdr:cNvSpPr txBox="1"/>
      </xdr:nvSpPr>
      <xdr:spPr>
        <a:xfrm>
          <a:off x="4130675" y="285452820"/>
          <a:ext cx="934085" cy="7112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F4324A7-D12D-4C63-A93E-EBF65CC3BA4D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337820</xdr:colOff>
      <xdr:row>505</xdr:row>
      <xdr:rowOff>7620</xdr:rowOff>
    </xdr:from>
    <xdr:to>
      <xdr:col>10</xdr:col>
      <xdr:colOff>81280</xdr:colOff>
      <xdr:row>508</xdr:row>
      <xdr:rowOff>147320</xdr:rowOff>
    </xdr:to>
    <xdr:sp macro="" textlink="Algandmed!AO23">
      <xdr:nvSpPr>
        <xdr:cNvPr id="132" name="TextBox 131">
          <a:extLst>
            <a:ext uri="{FF2B5EF4-FFF2-40B4-BE49-F238E27FC236}">
              <a16:creationId xmlns:a16="http://schemas.microsoft.com/office/drawing/2014/main" xmlns="" id="{00000000-0008-0000-0300-000084000000}"/>
            </a:ext>
          </a:extLst>
        </xdr:cNvPr>
        <xdr:cNvSpPr txBox="1"/>
      </xdr:nvSpPr>
      <xdr:spPr>
        <a:xfrm>
          <a:off x="5062220" y="285452820"/>
          <a:ext cx="924560" cy="7112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E65581-C22C-41BD-ABEC-5E0AA5802B5A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78740</xdr:colOff>
      <xdr:row>505</xdr:row>
      <xdr:rowOff>7620</xdr:rowOff>
    </xdr:from>
    <xdr:to>
      <xdr:col>11</xdr:col>
      <xdr:colOff>431800</xdr:colOff>
      <xdr:row>508</xdr:row>
      <xdr:rowOff>147320</xdr:rowOff>
    </xdr:to>
    <xdr:sp macro="" textlink="Algandmed!AK23">
      <xdr:nvSpPr>
        <xdr:cNvPr id="133" name="TextBox 132">
          <a:extLst>
            <a:ext uri="{FF2B5EF4-FFF2-40B4-BE49-F238E27FC236}">
              <a16:creationId xmlns:a16="http://schemas.microsoft.com/office/drawing/2014/main" xmlns="" id="{00000000-0008-0000-0300-000085000000}"/>
            </a:ext>
          </a:extLst>
        </xdr:cNvPr>
        <xdr:cNvSpPr txBox="1"/>
      </xdr:nvSpPr>
      <xdr:spPr>
        <a:xfrm>
          <a:off x="5984240" y="285452820"/>
          <a:ext cx="943610" cy="7112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F7192A-F63E-400C-9B23-910B49429717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0</xdr:col>
      <xdr:colOff>401320</xdr:colOff>
      <xdr:row>508</xdr:row>
      <xdr:rowOff>149860</xdr:rowOff>
    </xdr:from>
    <xdr:to>
      <xdr:col>2</xdr:col>
      <xdr:colOff>144780</xdr:colOff>
      <xdr:row>512</xdr:row>
      <xdr:rowOff>111760</xdr:rowOff>
    </xdr:to>
    <xdr:sp macro="" textlink="">
      <xdr:nvSpPr>
        <xdr:cNvPr id="134" name="TextBox 133">
          <a:extLst>
            <a:ext uri="{FF2B5EF4-FFF2-40B4-BE49-F238E27FC236}">
              <a16:creationId xmlns:a16="http://schemas.microsoft.com/office/drawing/2014/main" xmlns="" id="{00000000-0008-0000-0300-000086000000}"/>
            </a:ext>
          </a:extLst>
        </xdr:cNvPr>
        <xdr:cNvSpPr txBox="1"/>
      </xdr:nvSpPr>
      <xdr:spPr>
        <a:xfrm>
          <a:off x="401320" y="286166560"/>
          <a:ext cx="92456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t-EE" sz="1600" b="1" i="0">
            <a:solidFill>
              <a:srgbClr val="4D4D4D"/>
            </a:solidFill>
            <a:effectLst/>
            <a:latin typeface="Hanse" panose="02000000000000000000" pitchFamily="50" charset="0"/>
            <a:ea typeface="+mn-ea"/>
            <a:cs typeface="+mn-cs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16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S3</a:t>
          </a:r>
          <a:endParaRPr lang="et-EE" sz="1600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pPr algn="ctr"/>
          <a:endParaRPr lang="en-US" sz="1600" b="0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142240</xdr:colOff>
      <xdr:row>508</xdr:row>
      <xdr:rowOff>149860</xdr:rowOff>
    </xdr:from>
    <xdr:to>
      <xdr:col>3</xdr:col>
      <xdr:colOff>495300</xdr:colOff>
      <xdr:row>512</xdr:row>
      <xdr:rowOff>111760</xdr:rowOff>
    </xdr:to>
    <xdr:sp macro="" textlink="Algandmed!AG24">
      <xdr:nvSpPr>
        <xdr:cNvPr id="135" name="TextBox 134">
          <a:extLst>
            <a:ext uri="{FF2B5EF4-FFF2-40B4-BE49-F238E27FC236}">
              <a16:creationId xmlns:a16="http://schemas.microsoft.com/office/drawing/2014/main" xmlns="" id="{00000000-0008-0000-0300-000087000000}"/>
            </a:ext>
          </a:extLst>
        </xdr:cNvPr>
        <xdr:cNvSpPr txBox="1"/>
      </xdr:nvSpPr>
      <xdr:spPr>
        <a:xfrm>
          <a:off x="1323340" y="286166560"/>
          <a:ext cx="94361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65C6D28-76D3-410E-9937-A0AEF4FBFC40}" type="TxLink">
            <a:rPr lang="en-US" sz="2000" b="0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 </a:t>
          </a:fld>
          <a:endParaRPr lang="en-US" sz="2000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238760</xdr:colOff>
      <xdr:row>508</xdr:row>
      <xdr:rowOff>149860</xdr:rowOff>
    </xdr:from>
    <xdr:to>
      <xdr:col>6</xdr:col>
      <xdr:colOff>591820</xdr:colOff>
      <xdr:row>512</xdr:row>
      <xdr:rowOff>111760</xdr:rowOff>
    </xdr:to>
    <xdr:sp macro="" textlink="Algandmed!AI24">
      <xdr:nvSpPr>
        <xdr:cNvPr id="136" name="TextBox 135">
          <a:extLst>
            <a:ext uri="{FF2B5EF4-FFF2-40B4-BE49-F238E27FC236}">
              <a16:creationId xmlns:a16="http://schemas.microsoft.com/office/drawing/2014/main" xmlns="" id="{00000000-0008-0000-0300-000088000000}"/>
            </a:ext>
          </a:extLst>
        </xdr:cNvPr>
        <xdr:cNvSpPr txBox="1"/>
      </xdr:nvSpPr>
      <xdr:spPr>
        <a:xfrm>
          <a:off x="3191510" y="286166560"/>
          <a:ext cx="94361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2AFC356-00B4-4BBE-97B2-3D00352E678C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#DIV/0!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500380</xdr:colOff>
      <xdr:row>508</xdr:row>
      <xdr:rowOff>149860</xdr:rowOff>
    </xdr:from>
    <xdr:to>
      <xdr:col>5</xdr:col>
      <xdr:colOff>243840</xdr:colOff>
      <xdr:row>512</xdr:row>
      <xdr:rowOff>111760</xdr:rowOff>
    </xdr:to>
    <xdr:sp macro="" textlink="Algandmed!AH24">
      <xdr:nvSpPr>
        <xdr:cNvPr id="137" name="TextBox 136">
          <a:extLst>
            <a:ext uri="{FF2B5EF4-FFF2-40B4-BE49-F238E27FC236}">
              <a16:creationId xmlns:a16="http://schemas.microsoft.com/office/drawing/2014/main" xmlns="" id="{00000000-0008-0000-0300-000089000000}"/>
            </a:ext>
          </a:extLst>
        </xdr:cNvPr>
        <xdr:cNvSpPr txBox="1"/>
      </xdr:nvSpPr>
      <xdr:spPr>
        <a:xfrm>
          <a:off x="2272030" y="286166560"/>
          <a:ext cx="92456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6902762-44A2-4BBB-8E10-20561A7B8774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4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6</xdr:col>
      <xdr:colOff>596900</xdr:colOff>
      <xdr:row>508</xdr:row>
      <xdr:rowOff>149860</xdr:rowOff>
    </xdr:from>
    <xdr:to>
      <xdr:col>8</xdr:col>
      <xdr:colOff>340360</xdr:colOff>
      <xdr:row>512</xdr:row>
      <xdr:rowOff>111760</xdr:rowOff>
    </xdr:to>
    <xdr:sp macro="" textlink="Algandmed!AJ24">
      <xdr:nvSpPr>
        <xdr:cNvPr id="138" name="TextBox 137">
          <a:extLst>
            <a:ext uri="{FF2B5EF4-FFF2-40B4-BE49-F238E27FC236}">
              <a16:creationId xmlns:a16="http://schemas.microsoft.com/office/drawing/2014/main" xmlns="" id="{00000000-0008-0000-0300-00008A000000}"/>
            </a:ext>
          </a:extLst>
        </xdr:cNvPr>
        <xdr:cNvSpPr txBox="1"/>
      </xdr:nvSpPr>
      <xdr:spPr>
        <a:xfrm>
          <a:off x="4130675" y="286166560"/>
          <a:ext cx="934085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22436CB-7EA5-41E2-8737-7599B514C13B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337820</xdr:colOff>
      <xdr:row>508</xdr:row>
      <xdr:rowOff>149860</xdr:rowOff>
    </xdr:from>
    <xdr:to>
      <xdr:col>10</xdr:col>
      <xdr:colOff>81280</xdr:colOff>
      <xdr:row>512</xdr:row>
      <xdr:rowOff>111760</xdr:rowOff>
    </xdr:to>
    <xdr:sp macro="" textlink="Algandmed!AO24">
      <xdr:nvSpPr>
        <xdr:cNvPr id="139" name="TextBox 138">
          <a:extLst>
            <a:ext uri="{FF2B5EF4-FFF2-40B4-BE49-F238E27FC236}">
              <a16:creationId xmlns:a16="http://schemas.microsoft.com/office/drawing/2014/main" xmlns="" id="{00000000-0008-0000-0300-00008B000000}"/>
            </a:ext>
          </a:extLst>
        </xdr:cNvPr>
        <xdr:cNvSpPr txBox="1"/>
      </xdr:nvSpPr>
      <xdr:spPr>
        <a:xfrm>
          <a:off x="5062220" y="286166560"/>
          <a:ext cx="92456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B5E5FB7-C628-483E-B7F6-3D1D54FCC40A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78740</xdr:colOff>
      <xdr:row>508</xdr:row>
      <xdr:rowOff>149860</xdr:rowOff>
    </xdr:from>
    <xdr:to>
      <xdr:col>11</xdr:col>
      <xdr:colOff>431800</xdr:colOff>
      <xdr:row>512</xdr:row>
      <xdr:rowOff>111760</xdr:rowOff>
    </xdr:to>
    <xdr:sp macro="" textlink="Algandmed!AK24">
      <xdr:nvSpPr>
        <xdr:cNvPr id="140" name="TextBox 139">
          <a:extLst>
            <a:ext uri="{FF2B5EF4-FFF2-40B4-BE49-F238E27FC236}">
              <a16:creationId xmlns:a16="http://schemas.microsoft.com/office/drawing/2014/main" xmlns="" id="{00000000-0008-0000-0300-00008C000000}"/>
            </a:ext>
          </a:extLst>
        </xdr:cNvPr>
        <xdr:cNvSpPr txBox="1"/>
      </xdr:nvSpPr>
      <xdr:spPr>
        <a:xfrm>
          <a:off x="5984240" y="286166560"/>
          <a:ext cx="943610" cy="7239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2DD4CB5-0366-417C-9BDD-622130FF1A3D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0</xdr:col>
      <xdr:colOff>401320</xdr:colOff>
      <xdr:row>497</xdr:row>
      <xdr:rowOff>88900</xdr:rowOff>
    </xdr:from>
    <xdr:to>
      <xdr:col>2</xdr:col>
      <xdr:colOff>144780</xdr:colOff>
      <xdr:row>501</xdr:row>
      <xdr:rowOff>50800</xdr:rowOff>
    </xdr:to>
    <xdr:sp macro="" textlink="">
      <xdr:nvSpPr>
        <xdr:cNvPr id="141" name="TextBox 140">
          <a:extLst>
            <a:ext uri="{FF2B5EF4-FFF2-40B4-BE49-F238E27FC236}">
              <a16:creationId xmlns:a16="http://schemas.microsoft.com/office/drawing/2014/main" xmlns="" id="{00000000-0008-0000-0300-00008D000000}"/>
            </a:ext>
          </a:extLst>
        </xdr:cNvPr>
        <xdr:cNvSpPr txBox="1"/>
      </xdr:nvSpPr>
      <xdr:spPr>
        <a:xfrm>
          <a:off x="401320" y="284010100"/>
          <a:ext cx="92456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16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KOKKU</a:t>
          </a:r>
          <a:endParaRPr lang="et-EE" sz="1600">
            <a:solidFill>
              <a:srgbClr val="4D4D4D"/>
            </a:solidFill>
            <a:effectLst/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142240</xdr:colOff>
      <xdr:row>497</xdr:row>
      <xdr:rowOff>88900</xdr:rowOff>
    </xdr:from>
    <xdr:to>
      <xdr:col>3</xdr:col>
      <xdr:colOff>495300</xdr:colOff>
      <xdr:row>501</xdr:row>
      <xdr:rowOff>50800</xdr:rowOff>
    </xdr:to>
    <xdr:sp macro="" textlink="Algandmed!AG25">
      <xdr:nvSpPr>
        <xdr:cNvPr id="142" name="TextBox 141">
          <a:extLst>
            <a:ext uri="{FF2B5EF4-FFF2-40B4-BE49-F238E27FC236}">
              <a16:creationId xmlns:a16="http://schemas.microsoft.com/office/drawing/2014/main" xmlns="" id="{00000000-0008-0000-0300-00008E000000}"/>
            </a:ext>
          </a:extLst>
        </xdr:cNvPr>
        <xdr:cNvSpPr txBox="1"/>
      </xdr:nvSpPr>
      <xdr:spPr>
        <a:xfrm>
          <a:off x="1323340" y="284010100"/>
          <a:ext cx="94361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495DA47-5793-40EF-9F05-5707F434B4A7}" type="TxLink">
            <a:rPr lang="en-US" sz="2000" b="0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 </a:t>
          </a:fld>
          <a:endParaRPr lang="en-US" sz="2000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238760</xdr:colOff>
      <xdr:row>497</xdr:row>
      <xdr:rowOff>88900</xdr:rowOff>
    </xdr:from>
    <xdr:to>
      <xdr:col>6</xdr:col>
      <xdr:colOff>591820</xdr:colOff>
      <xdr:row>501</xdr:row>
      <xdr:rowOff>50800</xdr:rowOff>
    </xdr:to>
    <xdr:sp macro="" textlink="Algandmed!AI25">
      <xdr:nvSpPr>
        <xdr:cNvPr id="143" name="TextBox 142">
          <a:extLst>
            <a:ext uri="{FF2B5EF4-FFF2-40B4-BE49-F238E27FC236}">
              <a16:creationId xmlns:a16="http://schemas.microsoft.com/office/drawing/2014/main" xmlns="" id="{00000000-0008-0000-0300-00008F000000}"/>
            </a:ext>
          </a:extLst>
        </xdr:cNvPr>
        <xdr:cNvSpPr txBox="1"/>
      </xdr:nvSpPr>
      <xdr:spPr>
        <a:xfrm>
          <a:off x="3191510" y="284010100"/>
          <a:ext cx="94361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187087-3199-4159-B677-6B230E10D954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#DIV/0!</a:t>
          </a:fld>
          <a:endParaRPr lang="et-EE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500380</xdr:colOff>
      <xdr:row>497</xdr:row>
      <xdr:rowOff>88900</xdr:rowOff>
    </xdr:from>
    <xdr:to>
      <xdr:col>5</xdr:col>
      <xdr:colOff>243840</xdr:colOff>
      <xdr:row>501</xdr:row>
      <xdr:rowOff>50800</xdr:rowOff>
    </xdr:to>
    <xdr:sp macro="" textlink="Algandmed!AH25">
      <xdr:nvSpPr>
        <xdr:cNvPr id="144" name="TextBox 143">
          <a:extLst>
            <a:ext uri="{FF2B5EF4-FFF2-40B4-BE49-F238E27FC236}">
              <a16:creationId xmlns:a16="http://schemas.microsoft.com/office/drawing/2014/main" xmlns="" id="{00000000-0008-0000-0300-000090000000}"/>
            </a:ext>
          </a:extLst>
        </xdr:cNvPr>
        <xdr:cNvSpPr txBox="1"/>
      </xdr:nvSpPr>
      <xdr:spPr>
        <a:xfrm>
          <a:off x="2272030" y="284010100"/>
          <a:ext cx="92456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98F7549-7B40-4603-B2C9-2B583A9381D1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35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6</xdr:col>
      <xdr:colOff>596900</xdr:colOff>
      <xdr:row>497</xdr:row>
      <xdr:rowOff>88900</xdr:rowOff>
    </xdr:from>
    <xdr:to>
      <xdr:col>8</xdr:col>
      <xdr:colOff>340360</xdr:colOff>
      <xdr:row>501</xdr:row>
      <xdr:rowOff>50800</xdr:rowOff>
    </xdr:to>
    <xdr:sp macro="" textlink="Algandmed!AJ25">
      <xdr:nvSpPr>
        <xdr:cNvPr id="145" name="TextBox 144">
          <a:extLst>
            <a:ext uri="{FF2B5EF4-FFF2-40B4-BE49-F238E27FC236}">
              <a16:creationId xmlns:a16="http://schemas.microsoft.com/office/drawing/2014/main" xmlns="" id="{00000000-0008-0000-0300-000091000000}"/>
            </a:ext>
          </a:extLst>
        </xdr:cNvPr>
        <xdr:cNvSpPr txBox="1"/>
      </xdr:nvSpPr>
      <xdr:spPr>
        <a:xfrm>
          <a:off x="4130675" y="284010100"/>
          <a:ext cx="934085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C024767-8C62-44D8-A425-F57FD4BF6F0C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337820</xdr:colOff>
      <xdr:row>497</xdr:row>
      <xdr:rowOff>88900</xdr:rowOff>
    </xdr:from>
    <xdr:to>
      <xdr:col>10</xdr:col>
      <xdr:colOff>81280</xdr:colOff>
      <xdr:row>501</xdr:row>
      <xdr:rowOff>50800</xdr:rowOff>
    </xdr:to>
    <xdr:sp macro="" textlink="Algandmed!AO25">
      <xdr:nvSpPr>
        <xdr:cNvPr id="146" name="TextBox 145">
          <a:extLst>
            <a:ext uri="{FF2B5EF4-FFF2-40B4-BE49-F238E27FC236}">
              <a16:creationId xmlns:a16="http://schemas.microsoft.com/office/drawing/2014/main" xmlns="" id="{00000000-0008-0000-0300-000092000000}"/>
            </a:ext>
          </a:extLst>
        </xdr:cNvPr>
        <xdr:cNvSpPr txBox="1"/>
      </xdr:nvSpPr>
      <xdr:spPr>
        <a:xfrm>
          <a:off x="5062220" y="284010100"/>
          <a:ext cx="92456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A6272FB-59F1-41C6-A77C-B0CBB143DA1A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78740</xdr:colOff>
      <xdr:row>497</xdr:row>
      <xdr:rowOff>88900</xdr:rowOff>
    </xdr:from>
    <xdr:to>
      <xdr:col>11</xdr:col>
      <xdr:colOff>431800</xdr:colOff>
      <xdr:row>501</xdr:row>
      <xdr:rowOff>50800</xdr:rowOff>
    </xdr:to>
    <xdr:sp macro="" textlink="Algandmed!AK25">
      <xdr:nvSpPr>
        <xdr:cNvPr id="147" name="TextBox 146">
          <a:extLst>
            <a:ext uri="{FF2B5EF4-FFF2-40B4-BE49-F238E27FC236}">
              <a16:creationId xmlns:a16="http://schemas.microsoft.com/office/drawing/2014/main" xmlns="" id="{00000000-0008-0000-0300-000093000000}"/>
            </a:ext>
          </a:extLst>
        </xdr:cNvPr>
        <xdr:cNvSpPr txBox="1"/>
      </xdr:nvSpPr>
      <xdr:spPr>
        <a:xfrm>
          <a:off x="5984240" y="284010100"/>
          <a:ext cx="943610" cy="7239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8CF7DDB-B2F4-42A2-A90B-F2D8F0D1EF39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0</xdr:col>
      <xdr:colOff>424180</xdr:colOff>
      <xdr:row>520</xdr:row>
      <xdr:rowOff>33020</xdr:rowOff>
    </xdr:from>
    <xdr:to>
      <xdr:col>2</xdr:col>
      <xdr:colOff>157480</xdr:colOff>
      <xdr:row>523</xdr:row>
      <xdr:rowOff>163864</xdr:rowOff>
    </xdr:to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xmlns="" id="{00000000-0008-0000-0300-000094000000}"/>
            </a:ext>
          </a:extLst>
        </xdr:cNvPr>
        <xdr:cNvSpPr txBox="1"/>
      </xdr:nvSpPr>
      <xdr:spPr>
        <a:xfrm>
          <a:off x="424180" y="288335720"/>
          <a:ext cx="914400" cy="70234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AD</a:t>
          </a:r>
          <a:endParaRPr lang="en-US" sz="32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152400</xdr:colOff>
      <xdr:row>520</xdr:row>
      <xdr:rowOff>33020</xdr:rowOff>
    </xdr:from>
    <xdr:to>
      <xdr:col>3</xdr:col>
      <xdr:colOff>495300</xdr:colOff>
      <xdr:row>523</xdr:row>
      <xdr:rowOff>163864</xdr:rowOff>
    </xdr:to>
    <xdr:sp macro="" textlink="">
      <xdr:nvSpPr>
        <xdr:cNvPr id="149" name="TextBox 148">
          <a:extLst>
            <a:ext uri="{FF2B5EF4-FFF2-40B4-BE49-F238E27FC236}">
              <a16:creationId xmlns:a16="http://schemas.microsoft.com/office/drawing/2014/main" xmlns="" id="{00000000-0008-0000-0300-000095000000}"/>
            </a:ext>
          </a:extLst>
        </xdr:cNvPr>
        <xdr:cNvSpPr txBox="1"/>
      </xdr:nvSpPr>
      <xdr:spPr>
        <a:xfrm>
          <a:off x="1333500" y="288335720"/>
          <a:ext cx="933450" cy="70234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1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TOTAL</a:t>
          </a:r>
          <a:endParaRPr lang="et-EE" sz="1600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pPr algn="ctr"/>
          <a:r>
            <a:rPr lang="et-EE" sz="11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PRESS</a:t>
          </a:r>
          <a:r>
            <a:rPr lang="et-EE" sz="1100" b="1" i="0" baseline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ING MOMENT</a:t>
          </a:r>
          <a:endParaRPr lang="et-EE" sz="1600">
            <a:solidFill>
              <a:srgbClr val="4D4D4D"/>
            </a:solidFill>
            <a:effectLst/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223520</xdr:colOff>
      <xdr:row>520</xdr:row>
      <xdr:rowOff>33020</xdr:rowOff>
    </xdr:from>
    <xdr:to>
      <xdr:col>6</xdr:col>
      <xdr:colOff>566420</xdr:colOff>
      <xdr:row>523</xdr:row>
      <xdr:rowOff>163864</xdr:rowOff>
    </xdr:to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xmlns="" id="{00000000-0008-0000-0300-000096000000}"/>
            </a:ext>
          </a:extLst>
        </xdr:cNvPr>
        <xdr:cNvSpPr txBox="1"/>
      </xdr:nvSpPr>
      <xdr:spPr>
        <a:xfrm>
          <a:off x="3176270" y="288335720"/>
          <a:ext cx="933450" cy="70234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4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AVG. PER GAME</a:t>
          </a:r>
          <a:endParaRPr lang="et-EE" sz="1800">
            <a:solidFill>
              <a:srgbClr val="4D4D4D"/>
            </a:solidFill>
            <a:effectLst/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497840</xdr:colOff>
      <xdr:row>520</xdr:row>
      <xdr:rowOff>33020</xdr:rowOff>
    </xdr:from>
    <xdr:to>
      <xdr:col>5</xdr:col>
      <xdr:colOff>231140</xdr:colOff>
      <xdr:row>523</xdr:row>
      <xdr:rowOff>163864</xdr:rowOff>
    </xdr:to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xmlns="" id="{00000000-0008-0000-0300-000097000000}"/>
            </a:ext>
          </a:extLst>
        </xdr:cNvPr>
        <xdr:cNvSpPr txBox="1"/>
      </xdr:nvSpPr>
      <xdr:spPr>
        <a:xfrm>
          <a:off x="2269490" y="288335720"/>
          <a:ext cx="914400" cy="70234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6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TOTAL</a:t>
          </a:r>
          <a:r>
            <a:rPr lang="et-EE" sz="1600" b="1" i="0" u="none" strike="noStrike" baseline="0">
              <a:solidFill>
                <a:srgbClr val="4D4D4D"/>
              </a:solidFill>
              <a:latin typeface="Hanse" panose="02000000000000000000" pitchFamily="50" charset="0"/>
            </a:rPr>
            <a:t> AD</a:t>
          </a:r>
          <a:endParaRPr lang="en-US" sz="16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424180</xdr:colOff>
      <xdr:row>527</xdr:row>
      <xdr:rowOff>129539</xdr:rowOff>
    </xdr:from>
    <xdr:to>
      <xdr:col>2</xdr:col>
      <xdr:colOff>157480</xdr:colOff>
      <xdr:row>531</xdr:row>
      <xdr:rowOff>87228</xdr:rowOff>
    </xdr:to>
    <xdr:sp macro="" textlink="">
      <xdr:nvSpPr>
        <xdr:cNvPr id="152" name="TextBox 151">
          <a:extLst>
            <a:ext uri="{FF2B5EF4-FFF2-40B4-BE49-F238E27FC236}">
              <a16:creationId xmlns:a16="http://schemas.microsoft.com/office/drawing/2014/main" xmlns="" id="{00000000-0008-0000-0300-000098000000}"/>
            </a:ext>
          </a:extLst>
        </xdr:cNvPr>
        <xdr:cNvSpPr txBox="1"/>
      </xdr:nvSpPr>
      <xdr:spPr>
        <a:xfrm>
          <a:off x="424180" y="289765739"/>
          <a:ext cx="914400" cy="71968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6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S1</a:t>
          </a:r>
          <a:endParaRPr lang="en-US" sz="16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223520</xdr:colOff>
      <xdr:row>527</xdr:row>
      <xdr:rowOff>129539</xdr:rowOff>
    </xdr:from>
    <xdr:to>
      <xdr:col>6</xdr:col>
      <xdr:colOff>566420</xdr:colOff>
      <xdr:row>531</xdr:row>
      <xdr:rowOff>87228</xdr:rowOff>
    </xdr:to>
    <xdr:sp macro="" textlink="Algandmed!BA22">
      <xdr:nvSpPr>
        <xdr:cNvPr id="153" name="TextBox 152">
          <a:extLst>
            <a:ext uri="{FF2B5EF4-FFF2-40B4-BE49-F238E27FC236}">
              <a16:creationId xmlns:a16="http://schemas.microsoft.com/office/drawing/2014/main" xmlns="" id="{00000000-0008-0000-0300-000099000000}"/>
            </a:ext>
          </a:extLst>
        </xdr:cNvPr>
        <xdr:cNvSpPr txBox="1"/>
      </xdr:nvSpPr>
      <xdr:spPr>
        <a:xfrm>
          <a:off x="3176270" y="289765739"/>
          <a:ext cx="933450" cy="71968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69D3A16-0C9D-4842-95FB-56E0ED851776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#DIV/0!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497840</xdr:colOff>
      <xdr:row>527</xdr:row>
      <xdr:rowOff>129539</xdr:rowOff>
    </xdr:from>
    <xdr:to>
      <xdr:col>5</xdr:col>
      <xdr:colOff>231140</xdr:colOff>
      <xdr:row>531</xdr:row>
      <xdr:rowOff>87228</xdr:rowOff>
    </xdr:to>
    <xdr:sp macro="" textlink="Algandmed!AZ22">
      <xdr:nvSpPr>
        <xdr:cNvPr id="154" name="TextBox 153">
          <a:extLst>
            <a:ext uri="{FF2B5EF4-FFF2-40B4-BE49-F238E27FC236}">
              <a16:creationId xmlns:a16="http://schemas.microsoft.com/office/drawing/2014/main" xmlns="" id="{00000000-0008-0000-0300-00009A000000}"/>
            </a:ext>
          </a:extLst>
        </xdr:cNvPr>
        <xdr:cNvSpPr txBox="1"/>
      </xdr:nvSpPr>
      <xdr:spPr>
        <a:xfrm>
          <a:off x="2269490" y="289765739"/>
          <a:ext cx="914400" cy="71968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3C437B-CFA3-4168-B84E-F6FEBE0253B5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5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424180</xdr:colOff>
      <xdr:row>531</xdr:row>
      <xdr:rowOff>91440</xdr:rowOff>
    </xdr:from>
    <xdr:to>
      <xdr:col>2</xdr:col>
      <xdr:colOff>157480</xdr:colOff>
      <xdr:row>535</xdr:row>
      <xdr:rowOff>58420</xdr:rowOff>
    </xdr:to>
    <xdr:sp macro="" textlink="">
      <xdr:nvSpPr>
        <xdr:cNvPr id="155" name="TextBox 154">
          <a:extLst>
            <a:ext uri="{FF2B5EF4-FFF2-40B4-BE49-F238E27FC236}">
              <a16:creationId xmlns:a16="http://schemas.microsoft.com/office/drawing/2014/main" xmlns="" id="{00000000-0008-0000-0300-00009B000000}"/>
            </a:ext>
          </a:extLst>
        </xdr:cNvPr>
        <xdr:cNvSpPr txBox="1"/>
      </xdr:nvSpPr>
      <xdr:spPr>
        <a:xfrm>
          <a:off x="424180" y="290489640"/>
          <a:ext cx="91440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16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S2</a:t>
          </a:r>
          <a:endParaRPr lang="et-EE" sz="1600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pPr algn="ctr"/>
          <a:endParaRPr lang="en-US" sz="1600" b="0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152400</xdr:colOff>
      <xdr:row>531</xdr:row>
      <xdr:rowOff>91440</xdr:rowOff>
    </xdr:from>
    <xdr:to>
      <xdr:col>3</xdr:col>
      <xdr:colOff>495300</xdr:colOff>
      <xdr:row>535</xdr:row>
      <xdr:rowOff>58420</xdr:rowOff>
    </xdr:to>
    <xdr:sp macro="" textlink="Algandmed!AY23">
      <xdr:nvSpPr>
        <xdr:cNvPr id="156" name="TextBox 155">
          <a:extLst>
            <a:ext uri="{FF2B5EF4-FFF2-40B4-BE49-F238E27FC236}">
              <a16:creationId xmlns:a16="http://schemas.microsoft.com/office/drawing/2014/main" xmlns="" id="{00000000-0008-0000-0300-00009C000000}"/>
            </a:ext>
          </a:extLst>
        </xdr:cNvPr>
        <xdr:cNvSpPr txBox="1"/>
      </xdr:nvSpPr>
      <xdr:spPr>
        <a:xfrm>
          <a:off x="1333500" y="290489640"/>
          <a:ext cx="93345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94E309F-6229-4419-B919-14516B284DD6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 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223520</xdr:colOff>
      <xdr:row>531</xdr:row>
      <xdr:rowOff>91440</xdr:rowOff>
    </xdr:from>
    <xdr:to>
      <xdr:col>6</xdr:col>
      <xdr:colOff>566420</xdr:colOff>
      <xdr:row>535</xdr:row>
      <xdr:rowOff>58420</xdr:rowOff>
    </xdr:to>
    <xdr:sp macro="" textlink="Algandmed!BA23">
      <xdr:nvSpPr>
        <xdr:cNvPr id="157" name="TextBox 156">
          <a:extLst>
            <a:ext uri="{FF2B5EF4-FFF2-40B4-BE49-F238E27FC236}">
              <a16:creationId xmlns:a16="http://schemas.microsoft.com/office/drawing/2014/main" xmlns="" id="{00000000-0008-0000-0300-00009D000000}"/>
            </a:ext>
          </a:extLst>
        </xdr:cNvPr>
        <xdr:cNvSpPr txBox="1"/>
      </xdr:nvSpPr>
      <xdr:spPr>
        <a:xfrm>
          <a:off x="3176270" y="290489640"/>
          <a:ext cx="93345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9D1679-86A3-4339-A308-9F007DE7ABB0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#DIV/0!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497840</xdr:colOff>
      <xdr:row>531</xdr:row>
      <xdr:rowOff>91440</xdr:rowOff>
    </xdr:from>
    <xdr:to>
      <xdr:col>5</xdr:col>
      <xdr:colOff>231140</xdr:colOff>
      <xdr:row>535</xdr:row>
      <xdr:rowOff>58420</xdr:rowOff>
    </xdr:to>
    <xdr:sp macro="" textlink="Algandmed!AZ23">
      <xdr:nvSpPr>
        <xdr:cNvPr id="158" name="TextBox 157">
          <a:extLst>
            <a:ext uri="{FF2B5EF4-FFF2-40B4-BE49-F238E27FC236}">
              <a16:creationId xmlns:a16="http://schemas.microsoft.com/office/drawing/2014/main" xmlns="" id="{00000000-0008-0000-0300-00009E000000}"/>
            </a:ext>
          </a:extLst>
        </xdr:cNvPr>
        <xdr:cNvSpPr txBox="1"/>
      </xdr:nvSpPr>
      <xdr:spPr>
        <a:xfrm>
          <a:off x="2269490" y="290489640"/>
          <a:ext cx="91440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0FDC6D3-F5E1-4CA4-99D6-CDB96E932F85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22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6</xdr:col>
      <xdr:colOff>568960</xdr:colOff>
      <xdr:row>520</xdr:row>
      <xdr:rowOff>33020</xdr:rowOff>
    </xdr:from>
    <xdr:to>
      <xdr:col>8</xdr:col>
      <xdr:colOff>302260</xdr:colOff>
      <xdr:row>523</xdr:row>
      <xdr:rowOff>163864</xdr:rowOff>
    </xdr:to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xmlns="" id="{00000000-0008-0000-0300-00009F000000}"/>
            </a:ext>
          </a:extLst>
        </xdr:cNvPr>
        <xdr:cNvSpPr txBox="1"/>
      </xdr:nvSpPr>
      <xdr:spPr>
        <a:xfrm>
          <a:off x="4112260" y="288335720"/>
          <a:ext cx="914400" cy="70234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6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GOAL</a:t>
          </a:r>
        </a:p>
      </xdr:txBody>
    </xdr:sp>
    <xdr:clientData/>
  </xdr:twoCellAnchor>
  <xdr:twoCellAnchor>
    <xdr:from>
      <xdr:col>8</xdr:col>
      <xdr:colOff>309880</xdr:colOff>
      <xdr:row>520</xdr:row>
      <xdr:rowOff>33020</xdr:rowOff>
    </xdr:from>
    <xdr:to>
      <xdr:col>10</xdr:col>
      <xdr:colOff>43180</xdr:colOff>
      <xdr:row>523</xdr:row>
      <xdr:rowOff>163864</xdr:rowOff>
    </xdr:to>
    <xdr:sp macro="" textlink="">
      <xdr:nvSpPr>
        <xdr:cNvPr id="160" name="TextBox 159">
          <a:extLst>
            <a:ext uri="{FF2B5EF4-FFF2-40B4-BE49-F238E27FC236}">
              <a16:creationId xmlns:a16="http://schemas.microsoft.com/office/drawing/2014/main" xmlns="" id="{00000000-0008-0000-0300-0000A0000000}"/>
            </a:ext>
          </a:extLst>
        </xdr:cNvPr>
        <xdr:cNvSpPr txBox="1"/>
      </xdr:nvSpPr>
      <xdr:spPr>
        <a:xfrm>
          <a:off x="5034280" y="288335720"/>
          <a:ext cx="914400" cy="70234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6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SHOTS TOTAL</a:t>
          </a:r>
        </a:p>
      </xdr:txBody>
    </xdr:sp>
    <xdr:clientData/>
  </xdr:twoCellAnchor>
  <xdr:twoCellAnchor>
    <xdr:from>
      <xdr:col>10</xdr:col>
      <xdr:colOff>38100</xdr:colOff>
      <xdr:row>520</xdr:row>
      <xdr:rowOff>33020</xdr:rowOff>
    </xdr:from>
    <xdr:to>
      <xdr:col>11</xdr:col>
      <xdr:colOff>381000</xdr:colOff>
      <xdr:row>523</xdr:row>
      <xdr:rowOff>163864</xdr:rowOff>
    </xdr:to>
    <xdr:sp macro="" textlink="">
      <xdr:nvSpPr>
        <xdr:cNvPr id="161" name="TextBox 160">
          <a:extLst>
            <a:ext uri="{FF2B5EF4-FFF2-40B4-BE49-F238E27FC236}">
              <a16:creationId xmlns:a16="http://schemas.microsoft.com/office/drawing/2014/main" xmlns="" id="{00000000-0008-0000-0300-0000A1000000}"/>
            </a:ext>
          </a:extLst>
        </xdr:cNvPr>
        <xdr:cNvSpPr txBox="1"/>
      </xdr:nvSpPr>
      <xdr:spPr>
        <a:xfrm>
          <a:off x="5943600" y="288335720"/>
          <a:ext cx="933450" cy="70234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6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%     </a:t>
          </a:r>
        </a:p>
        <a:p>
          <a:pPr algn="ctr"/>
          <a:r>
            <a:rPr lang="et-EE" sz="16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GOAL</a:t>
          </a:r>
          <a:endParaRPr lang="en-US" sz="16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6</xdr:col>
      <xdr:colOff>568960</xdr:colOff>
      <xdr:row>527</xdr:row>
      <xdr:rowOff>129539</xdr:rowOff>
    </xdr:from>
    <xdr:to>
      <xdr:col>8</xdr:col>
      <xdr:colOff>302260</xdr:colOff>
      <xdr:row>531</xdr:row>
      <xdr:rowOff>87228</xdr:rowOff>
    </xdr:to>
    <xdr:sp macro="" textlink="Algandmed!BB22">
      <xdr:nvSpPr>
        <xdr:cNvPr id="162" name="TextBox 161">
          <a:extLst>
            <a:ext uri="{FF2B5EF4-FFF2-40B4-BE49-F238E27FC236}">
              <a16:creationId xmlns:a16="http://schemas.microsoft.com/office/drawing/2014/main" xmlns="" id="{00000000-0008-0000-0300-0000A2000000}"/>
            </a:ext>
          </a:extLst>
        </xdr:cNvPr>
        <xdr:cNvSpPr txBox="1"/>
      </xdr:nvSpPr>
      <xdr:spPr>
        <a:xfrm>
          <a:off x="4112260" y="289765739"/>
          <a:ext cx="914400" cy="71968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A5D36D-EBB6-426F-A06E-5363FF721CC5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309880</xdr:colOff>
      <xdr:row>527</xdr:row>
      <xdr:rowOff>129539</xdr:rowOff>
    </xdr:from>
    <xdr:to>
      <xdr:col>10</xdr:col>
      <xdr:colOff>43180</xdr:colOff>
      <xdr:row>531</xdr:row>
      <xdr:rowOff>87228</xdr:rowOff>
    </xdr:to>
    <xdr:sp macro="" textlink="Algandmed!BG22">
      <xdr:nvSpPr>
        <xdr:cNvPr id="163" name="TextBox 162">
          <a:extLst>
            <a:ext uri="{FF2B5EF4-FFF2-40B4-BE49-F238E27FC236}">
              <a16:creationId xmlns:a16="http://schemas.microsoft.com/office/drawing/2014/main" xmlns="" id="{00000000-0008-0000-0300-0000A3000000}"/>
            </a:ext>
          </a:extLst>
        </xdr:cNvPr>
        <xdr:cNvSpPr txBox="1"/>
      </xdr:nvSpPr>
      <xdr:spPr>
        <a:xfrm>
          <a:off x="5034280" y="289765739"/>
          <a:ext cx="914400" cy="71968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81F0789-791D-49C3-9361-BB1566293287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38100</xdr:colOff>
      <xdr:row>527</xdr:row>
      <xdr:rowOff>129539</xdr:rowOff>
    </xdr:from>
    <xdr:to>
      <xdr:col>11</xdr:col>
      <xdr:colOff>381000</xdr:colOff>
      <xdr:row>531</xdr:row>
      <xdr:rowOff>87228</xdr:rowOff>
    </xdr:to>
    <xdr:sp macro="" textlink="Algandmed!BC22">
      <xdr:nvSpPr>
        <xdr:cNvPr id="164" name="TextBox 163">
          <a:extLst>
            <a:ext uri="{FF2B5EF4-FFF2-40B4-BE49-F238E27FC236}">
              <a16:creationId xmlns:a16="http://schemas.microsoft.com/office/drawing/2014/main" xmlns="" id="{00000000-0008-0000-0300-0000A4000000}"/>
            </a:ext>
          </a:extLst>
        </xdr:cNvPr>
        <xdr:cNvSpPr txBox="1"/>
      </xdr:nvSpPr>
      <xdr:spPr>
        <a:xfrm>
          <a:off x="5943600" y="289765739"/>
          <a:ext cx="933450" cy="719689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E8B8C4B-FBA2-4A75-9051-B13E3F294AFF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6</xdr:col>
      <xdr:colOff>568960</xdr:colOff>
      <xdr:row>531</xdr:row>
      <xdr:rowOff>91440</xdr:rowOff>
    </xdr:from>
    <xdr:to>
      <xdr:col>8</xdr:col>
      <xdr:colOff>302260</xdr:colOff>
      <xdr:row>535</xdr:row>
      <xdr:rowOff>58420</xdr:rowOff>
    </xdr:to>
    <xdr:sp macro="" textlink="Algandmed!BB23">
      <xdr:nvSpPr>
        <xdr:cNvPr id="165" name="TextBox 164">
          <a:extLst>
            <a:ext uri="{FF2B5EF4-FFF2-40B4-BE49-F238E27FC236}">
              <a16:creationId xmlns:a16="http://schemas.microsoft.com/office/drawing/2014/main" xmlns="" id="{00000000-0008-0000-0300-0000A5000000}"/>
            </a:ext>
          </a:extLst>
        </xdr:cNvPr>
        <xdr:cNvSpPr txBox="1"/>
      </xdr:nvSpPr>
      <xdr:spPr>
        <a:xfrm>
          <a:off x="4112260" y="290489640"/>
          <a:ext cx="91440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3FEE7D9-1A24-4113-9A2A-77EB01DBBE43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309880</xdr:colOff>
      <xdr:row>531</xdr:row>
      <xdr:rowOff>91440</xdr:rowOff>
    </xdr:from>
    <xdr:to>
      <xdr:col>10</xdr:col>
      <xdr:colOff>43180</xdr:colOff>
      <xdr:row>535</xdr:row>
      <xdr:rowOff>58420</xdr:rowOff>
    </xdr:to>
    <xdr:sp macro="" textlink="Algandmed!BG23">
      <xdr:nvSpPr>
        <xdr:cNvPr id="166" name="TextBox 165">
          <a:extLst>
            <a:ext uri="{FF2B5EF4-FFF2-40B4-BE49-F238E27FC236}">
              <a16:creationId xmlns:a16="http://schemas.microsoft.com/office/drawing/2014/main" xmlns="" id="{00000000-0008-0000-0300-0000A6000000}"/>
            </a:ext>
          </a:extLst>
        </xdr:cNvPr>
        <xdr:cNvSpPr txBox="1"/>
      </xdr:nvSpPr>
      <xdr:spPr>
        <a:xfrm>
          <a:off x="5034280" y="290489640"/>
          <a:ext cx="91440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72D8F94-55DD-4726-8962-17463D02BCDC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38100</xdr:colOff>
      <xdr:row>531</xdr:row>
      <xdr:rowOff>91440</xdr:rowOff>
    </xdr:from>
    <xdr:to>
      <xdr:col>11</xdr:col>
      <xdr:colOff>381000</xdr:colOff>
      <xdr:row>535</xdr:row>
      <xdr:rowOff>58420</xdr:rowOff>
    </xdr:to>
    <xdr:sp macro="" textlink="Algandmed!BC23">
      <xdr:nvSpPr>
        <xdr:cNvPr id="167" name="TextBox 166">
          <a:extLst>
            <a:ext uri="{FF2B5EF4-FFF2-40B4-BE49-F238E27FC236}">
              <a16:creationId xmlns:a16="http://schemas.microsoft.com/office/drawing/2014/main" xmlns="" id="{00000000-0008-0000-0300-0000A7000000}"/>
            </a:ext>
          </a:extLst>
        </xdr:cNvPr>
        <xdr:cNvSpPr txBox="1"/>
      </xdr:nvSpPr>
      <xdr:spPr>
        <a:xfrm>
          <a:off x="5943600" y="290489640"/>
          <a:ext cx="933450" cy="72898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20629D-A74D-4F36-9FA4-11B3B04F2496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0</xdr:col>
      <xdr:colOff>424180</xdr:colOff>
      <xdr:row>535</xdr:row>
      <xdr:rowOff>68580</xdr:rowOff>
    </xdr:from>
    <xdr:to>
      <xdr:col>2</xdr:col>
      <xdr:colOff>157480</xdr:colOff>
      <xdr:row>539</xdr:row>
      <xdr:rowOff>35560</xdr:rowOff>
    </xdr:to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xmlns="" id="{00000000-0008-0000-0300-0000A8000000}"/>
            </a:ext>
          </a:extLst>
        </xdr:cNvPr>
        <xdr:cNvSpPr txBox="1"/>
      </xdr:nvSpPr>
      <xdr:spPr>
        <a:xfrm>
          <a:off x="424180" y="291228780"/>
          <a:ext cx="91440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t-EE" sz="1600" b="1" i="0">
            <a:solidFill>
              <a:srgbClr val="4D4D4D"/>
            </a:solidFill>
            <a:effectLst/>
            <a:latin typeface="Hanse" panose="02000000000000000000" pitchFamily="50" charset="0"/>
            <a:ea typeface="+mn-ea"/>
            <a:cs typeface="+mn-cs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16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S3</a:t>
          </a:r>
          <a:endParaRPr lang="et-EE" sz="1600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pPr algn="ctr"/>
          <a:endParaRPr lang="en-US" sz="1600" b="0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152400</xdr:colOff>
      <xdr:row>535</xdr:row>
      <xdr:rowOff>68580</xdr:rowOff>
    </xdr:from>
    <xdr:to>
      <xdr:col>3</xdr:col>
      <xdr:colOff>495300</xdr:colOff>
      <xdr:row>539</xdr:row>
      <xdr:rowOff>35560</xdr:rowOff>
    </xdr:to>
    <xdr:sp macro="" textlink="Algandmed!AY24">
      <xdr:nvSpPr>
        <xdr:cNvPr id="169" name="TextBox 168">
          <a:extLst>
            <a:ext uri="{FF2B5EF4-FFF2-40B4-BE49-F238E27FC236}">
              <a16:creationId xmlns:a16="http://schemas.microsoft.com/office/drawing/2014/main" xmlns="" id="{00000000-0008-0000-0300-0000A9000000}"/>
            </a:ext>
          </a:extLst>
        </xdr:cNvPr>
        <xdr:cNvSpPr txBox="1"/>
      </xdr:nvSpPr>
      <xdr:spPr>
        <a:xfrm>
          <a:off x="1333500" y="291228780"/>
          <a:ext cx="93345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C63F262-D1DD-4E0B-926B-847DFF13B799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 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223520</xdr:colOff>
      <xdr:row>535</xdr:row>
      <xdr:rowOff>68580</xdr:rowOff>
    </xdr:from>
    <xdr:to>
      <xdr:col>6</xdr:col>
      <xdr:colOff>566420</xdr:colOff>
      <xdr:row>539</xdr:row>
      <xdr:rowOff>35560</xdr:rowOff>
    </xdr:to>
    <xdr:sp macro="" textlink="Algandmed!BA24">
      <xdr:nvSpPr>
        <xdr:cNvPr id="170" name="TextBox 169">
          <a:extLst>
            <a:ext uri="{FF2B5EF4-FFF2-40B4-BE49-F238E27FC236}">
              <a16:creationId xmlns:a16="http://schemas.microsoft.com/office/drawing/2014/main" xmlns="" id="{00000000-0008-0000-0300-0000AA000000}"/>
            </a:ext>
          </a:extLst>
        </xdr:cNvPr>
        <xdr:cNvSpPr txBox="1"/>
      </xdr:nvSpPr>
      <xdr:spPr>
        <a:xfrm>
          <a:off x="3176270" y="291228780"/>
          <a:ext cx="93345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952C80-889A-4DAF-9108-6D1EC799F95C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#DIV/0!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497840</xdr:colOff>
      <xdr:row>535</xdr:row>
      <xdr:rowOff>68580</xdr:rowOff>
    </xdr:from>
    <xdr:to>
      <xdr:col>5</xdr:col>
      <xdr:colOff>231140</xdr:colOff>
      <xdr:row>539</xdr:row>
      <xdr:rowOff>35560</xdr:rowOff>
    </xdr:to>
    <xdr:sp macro="" textlink="Algandmed!AZ24">
      <xdr:nvSpPr>
        <xdr:cNvPr id="171" name="TextBox 170">
          <a:extLst>
            <a:ext uri="{FF2B5EF4-FFF2-40B4-BE49-F238E27FC236}">
              <a16:creationId xmlns:a16="http://schemas.microsoft.com/office/drawing/2014/main" xmlns="" id="{00000000-0008-0000-0300-0000AB000000}"/>
            </a:ext>
          </a:extLst>
        </xdr:cNvPr>
        <xdr:cNvSpPr txBox="1"/>
      </xdr:nvSpPr>
      <xdr:spPr>
        <a:xfrm>
          <a:off x="2269490" y="291228780"/>
          <a:ext cx="91440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9BC3705-FFB2-4629-B1E4-D53A249B5EF3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19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6</xdr:col>
      <xdr:colOff>568960</xdr:colOff>
      <xdr:row>535</xdr:row>
      <xdr:rowOff>68580</xdr:rowOff>
    </xdr:from>
    <xdr:to>
      <xdr:col>8</xdr:col>
      <xdr:colOff>302260</xdr:colOff>
      <xdr:row>539</xdr:row>
      <xdr:rowOff>35560</xdr:rowOff>
    </xdr:to>
    <xdr:sp macro="" textlink="Algandmed!BB24">
      <xdr:nvSpPr>
        <xdr:cNvPr id="172" name="TextBox 171">
          <a:extLst>
            <a:ext uri="{FF2B5EF4-FFF2-40B4-BE49-F238E27FC236}">
              <a16:creationId xmlns:a16="http://schemas.microsoft.com/office/drawing/2014/main" xmlns="" id="{00000000-0008-0000-0300-0000AC000000}"/>
            </a:ext>
          </a:extLst>
        </xdr:cNvPr>
        <xdr:cNvSpPr txBox="1"/>
      </xdr:nvSpPr>
      <xdr:spPr>
        <a:xfrm>
          <a:off x="4112260" y="291228780"/>
          <a:ext cx="91440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657C0F0-73E2-46B6-B058-68C014C29D15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309880</xdr:colOff>
      <xdr:row>535</xdr:row>
      <xdr:rowOff>68580</xdr:rowOff>
    </xdr:from>
    <xdr:to>
      <xdr:col>10</xdr:col>
      <xdr:colOff>43180</xdr:colOff>
      <xdr:row>539</xdr:row>
      <xdr:rowOff>35560</xdr:rowOff>
    </xdr:to>
    <xdr:sp macro="" textlink="Algandmed!BG24">
      <xdr:nvSpPr>
        <xdr:cNvPr id="173" name="TextBox 172">
          <a:extLst>
            <a:ext uri="{FF2B5EF4-FFF2-40B4-BE49-F238E27FC236}">
              <a16:creationId xmlns:a16="http://schemas.microsoft.com/office/drawing/2014/main" xmlns="" id="{00000000-0008-0000-0300-0000AD000000}"/>
            </a:ext>
          </a:extLst>
        </xdr:cNvPr>
        <xdr:cNvSpPr txBox="1"/>
      </xdr:nvSpPr>
      <xdr:spPr>
        <a:xfrm>
          <a:off x="5034280" y="291228780"/>
          <a:ext cx="91440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CEA33B-69AC-411D-8441-8BD5E1343227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3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38100</xdr:colOff>
      <xdr:row>535</xdr:row>
      <xdr:rowOff>68580</xdr:rowOff>
    </xdr:from>
    <xdr:to>
      <xdr:col>11</xdr:col>
      <xdr:colOff>381000</xdr:colOff>
      <xdr:row>539</xdr:row>
      <xdr:rowOff>35560</xdr:rowOff>
    </xdr:to>
    <xdr:sp macro="" textlink="Algandmed!BC24">
      <xdr:nvSpPr>
        <xdr:cNvPr id="174" name="TextBox 173">
          <a:extLst>
            <a:ext uri="{FF2B5EF4-FFF2-40B4-BE49-F238E27FC236}">
              <a16:creationId xmlns:a16="http://schemas.microsoft.com/office/drawing/2014/main" xmlns="" id="{00000000-0008-0000-0300-0000AE000000}"/>
            </a:ext>
          </a:extLst>
        </xdr:cNvPr>
        <xdr:cNvSpPr txBox="1"/>
      </xdr:nvSpPr>
      <xdr:spPr>
        <a:xfrm>
          <a:off x="5943600" y="291228780"/>
          <a:ext cx="933450" cy="72898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7875DE5-4FBB-45DC-922C-863A29D9D120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0</xdr:col>
      <xdr:colOff>424180</xdr:colOff>
      <xdr:row>523</xdr:row>
      <xdr:rowOff>160020</xdr:rowOff>
    </xdr:from>
    <xdr:to>
      <xdr:col>2</xdr:col>
      <xdr:colOff>157480</xdr:colOff>
      <xdr:row>527</xdr:row>
      <xdr:rowOff>127000</xdr:rowOff>
    </xdr:to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xmlns="" id="{00000000-0008-0000-0300-0000AF000000}"/>
            </a:ext>
          </a:extLst>
        </xdr:cNvPr>
        <xdr:cNvSpPr txBox="1"/>
      </xdr:nvSpPr>
      <xdr:spPr>
        <a:xfrm>
          <a:off x="424180" y="289034220"/>
          <a:ext cx="91440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16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KOKKU</a:t>
          </a:r>
          <a:endParaRPr lang="et-EE" sz="1600" b="0" i="0" u="none" strike="noStrike">
            <a:solidFill>
              <a:srgbClr val="4D4D4D"/>
            </a:solidFill>
            <a:effectLst/>
            <a:latin typeface="Hanse" panose="02000000000000000000" pitchFamily="50" charset="0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152400</xdr:colOff>
      <xdr:row>523</xdr:row>
      <xdr:rowOff>160020</xdr:rowOff>
    </xdr:from>
    <xdr:to>
      <xdr:col>3</xdr:col>
      <xdr:colOff>495300</xdr:colOff>
      <xdr:row>527</xdr:row>
      <xdr:rowOff>127000</xdr:rowOff>
    </xdr:to>
    <xdr:sp macro="" textlink="Algandmed!AY25">
      <xdr:nvSpPr>
        <xdr:cNvPr id="176" name="TextBox 175">
          <a:extLst>
            <a:ext uri="{FF2B5EF4-FFF2-40B4-BE49-F238E27FC236}">
              <a16:creationId xmlns:a16="http://schemas.microsoft.com/office/drawing/2014/main" xmlns="" id="{00000000-0008-0000-0300-0000B0000000}"/>
            </a:ext>
          </a:extLst>
        </xdr:cNvPr>
        <xdr:cNvSpPr txBox="1"/>
      </xdr:nvSpPr>
      <xdr:spPr>
        <a:xfrm>
          <a:off x="1333500" y="289034220"/>
          <a:ext cx="93345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235CD4E-5E7E-4052-9C4B-E5D7F6086004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 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223520</xdr:colOff>
      <xdr:row>523</xdr:row>
      <xdr:rowOff>160020</xdr:rowOff>
    </xdr:from>
    <xdr:to>
      <xdr:col>6</xdr:col>
      <xdr:colOff>566420</xdr:colOff>
      <xdr:row>527</xdr:row>
      <xdr:rowOff>127000</xdr:rowOff>
    </xdr:to>
    <xdr:sp macro="" textlink="Algandmed!BA25">
      <xdr:nvSpPr>
        <xdr:cNvPr id="177" name="TextBox 176">
          <a:extLst>
            <a:ext uri="{FF2B5EF4-FFF2-40B4-BE49-F238E27FC236}">
              <a16:creationId xmlns:a16="http://schemas.microsoft.com/office/drawing/2014/main" xmlns="" id="{00000000-0008-0000-0300-0000B1000000}"/>
            </a:ext>
          </a:extLst>
        </xdr:cNvPr>
        <xdr:cNvSpPr txBox="1"/>
      </xdr:nvSpPr>
      <xdr:spPr>
        <a:xfrm>
          <a:off x="3176270" y="289034220"/>
          <a:ext cx="93345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A8CE7A-D603-4846-A805-F806BEE9C163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#DIV/0!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497840</xdr:colOff>
      <xdr:row>523</xdr:row>
      <xdr:rowOff>160020</xdr:rowOff>
    </xdr:from>
    <xdr:to>
      <xdr:col>5</xdr:col>
      <xdr:colOff>231140</xdr:colOff>
      <xdr:row>527</xdr:row>
      <xdr:rowOff>127000</xdr:rowOff>
    </xdr:to>
    <xdr:sp macro="" textlink="Algandmed!AZ25">
      <xdr:nvSpPr>
        <xdr:cNvPr id="178" name="TextBox 177">
          <a:extLst>
            <a:ext uri="{FF2B5EF4-FFF2-40B4-BE49-F238E27FC236}">
              <a16:creationId xmlns:a16="http://schemas.microsoft.com/office/drawing/2014/main" xmlns="" id="{00000000-0008-0000-0300-0000B2000000}"/>
            </a:ext>
          </a:extLst>
        </xdr:cNvPr>
        <xdr:cNvSpPr txBox="1"/>
      </xdr:nvSpPr>
      <xdr:spPr>
        <a:xfrm>
          <a:off x="2269490" y="289034220"/>
          <a:ext cx="91440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BC34258-B253-412C-A24F-338B5DD42E79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46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6</xdr:col>
      <xdr:colOff>568960</xdr:colOff>
      <xdr:row>523</xdr:row>
      <xdr:rowOff>160020</xdr:rowOff>
    </xdr:from>
    <xdr:to>
      <xdr:col>8</xdr:col>
      <xdr:colOff>302260</xdr:colOff>
      <xdr:row>527</xdr:row>
      <xdr:rowOff>127000</xdr:rowOff>
    </xdr:to>
    <xdr:sp macro="" textlink="Algandmed!BB25">
      <xdr:nvSpPr>
        <xdr:cNvPr id="179" name="TextBox 178">
          <a:extLst>
            <a:ext uri="{FF2B5EF4-FFF2-40B4-BE49-F238E27FC236}">
              <a16:creationId xmlns:a16="http://schemas.microsoft.com/office/drawing/2014/main" xmlns="" id="{00000000-0008-0000-0300-0000B3000000}"/>
            </a:ext>
          </a:extLst>
        </xdr:cNvPr>
        <xdr:cNvSpPr txBox="1"/>
      </xdr:nvSpPr>
      <xdr:spPr>
        <a:xfrm>
          <a:off x="4112260" y="289034220"/>
          <a:ext cx="91440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2B48796-AAB1-427E-8C9B-F381B7039369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309880</xdr:colOff>
      <xdr:row>523</xdr:row>
      <xdr:rowOff>160020</xdr:rowOff>
    </xdr:from>
    <xdr:to>
      <xdr:col>10</xdr:col>
      <xdr:colOff>43180</xdr:colOff>
      <xdr:row>527</xdr:row>
      <xdr:rowOff>127000</xdr:rowOff>
    </xdr:to>
    <xdr:sp macro="" textlink="Algandmed!BG25">
      <xdr:nvSpPr>
        <xdr:cNvPr id="180" name="TextBox 179">
          <a:extLst>
            <a:ext uri="{FF2B5EF4-FFF2-40B4-BE49-F238E27FC236}">
              <a16:creationId xmlns:a16="http://schemas.microsoft.com/office/drawing/2014/main" xmlns="" id="{00000000-0008-0000-0300-0000B4000000}"/>
            </a:ext>
          </a:extLst>
        </xdr:cNvPr>
        <xdr:cNvSpPr txBox="1"/>
      </xdr:nvSpPr>
      <xdr:spPr>
        <a:xfrm>
          <a:off x="5034280" y="289034220"/>
          <a:ext cx="91440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D443601-B839-4195-A6D0-4F1AE00E7AB8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5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38100</xdr:colOff>
      <xdr:row>523</xdr:row>
      <xdr:rowOff>160020</xdr:rowOff>
    </xdr:from>
    <xdr:to>
      <xdr:col>11</xdr:col>
      <xdr:colOff>381000</xdr:colOff>
      <xdr:row>527</xdr:row>
      <xdr:rowOff>127000</xdr:rowOff>
    </xdr:to>
    <xdr:sp macro="" textlink="Algandmed!BC25">
      <xdr:nvSpPr>
        <xdr:cNvPr id="181" name="TextBox 180">
          <a:extLst>
            <a:ext uri="{FF2B5EF4-FFF2-40B4-BE49-F238E27FC236}">
              <a16:creationId xmlns:a16="http://schemas.microsoft.com/office/drawing/2014/main" xmlns="" id="{00000000-0008-0000-0300-0000B5000000}"/>
            </a:ext>
          </a:extLst>
        </xdr:cNvPr>
        <xdr:cNvSpPr txBox="1"/>
      </xdr:nvSpPr>
      <xdr:spPr>
        <a:xfrm>
          <a:off x="5943600" y="289034220"/>
          <a:ext cx="933450" cy="72898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DC2F726-B369-402D-80E2-053DE1C6BD58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2</xdr:col>
      <xdr:colOff>142240</xdr:colOff>
      <xdr:row>501</xdr:row>
      <xdr:rowOff>45720</xdr:rowOff>
    </xdr:from>
    <xdr:to>
      <xdr:col>3</xdr:col>
      <xdr:colOff>495300</xdr:colOff>
      <xdr:row>505</xdr:row>
      <xdr:rowOff>7620</xdr:rowOff>
    </xdr:to>
    <xdr:sp macro="" textlink="Algandmed!AG22">
      <xdr:nvSpPr>
        <xdr:cNvPr id="216" name="TextBox 215">
          <a:extLst>
            <a:ext uri="{FF2B5EF4-FFF2-40B4-BE49-F238E27FC236}">
              <a16:creationId xmlns:a16="http://schemas.microsoft.com/office/drawing/2014/main" xmlns="" id="{00000000-0008-0000-0300-0000D8000000}"/>
            </a:ext>
          </a:extLst>
        </xdr:cNvPr>
        <xdr:cNvSpPr txBox="1"/>
      </xdr:nvSpPr>
      <xdr:spPr>
        <a:xfrm>
          <a:off x="1323340" y="284728920"/>
          <a:ext cx="94361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89EE-F900-4D7B-9BBB-9BB9CE394E20}" type="TxLink">
            <a:rPr lang="en-US" sz="1100" b="0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 </a:t>
          </a:fld>
          <a:endParaRPr lang="en-US" sz="2000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152400</xdr:colOff>
      <xdr:row>527</xdr:row>
      <xdr:rowOff>129539</xdr:rowOff>
    </xdr:from>
    <xdr:to>
      <xdr:col>3</xdr:col>
      <xdr:colOff>495300</xdr:colOff>
      <xdr:row>531</xdr:row>
      <xdr:rowOff>87228</xdr:rowOff>
    </xdr:to>
    <xdr:sp macro="" textlink="Algandmed!AY22">
      <xdr:nvSpPr>
        <xdr:cNvPr id="217" name="TextBox 216">
          <a:extLst>
            <a:ext uri="{FF2B5EF4-FFF2-40B4-BE49-F238E27FC236}">
              <a16:creationId xmlns:a16="http://schemas.microsoft.com/office/drawing/2014/main" xmlns="" id="{00000000-0008-0000-0300-0000D9000000}"/>
            </a:ext>
          </a:extLst>
        </xdr:cNvPr>
        <xdr:cNvSpPr txBox="1"/>
      </xdr:nvSpPr>
      <xdr:spPr>
        <a:xfrm>
          <a:off x="1333500" y="289765739"/>
          <a:ext cx="933450" cy="71968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C38B4E7-E99B-4D1B-8329-7E60A1CF7C6E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 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398780</xdr:colOff>
      <xdr:row>354</xdr:row>
      <xdr:rowOff>137160</xdr:rowOff>
    </xdr:from>
    <xdr:to>
      <xdr:col>6</xdr:col>
      <xdr:colOff>596374</xdr:colOff>
      <xdr:row>357</xdr:row>
      <xdr:rowOff>165814</xdr:rowOff>
    </xdr:to>
    <xdr:sp macro="" textlink="">
      <xdr:nvSpPr>
        <xdr:cNvPr id="219" name="TextBox 218">
          <a:extLst>
            <a:ext uri="{FF2B5EF4-FFF2-40B4-BE49-F238E27FC236}">
              <a16:creationId xmlns:a16="http://schemas.microsoft.com/office/drawing/2014/main" xmlns="" id="{00000000-0008-0000-0300-0000DB000000}"/>
            </a:ext>
          </a:extLst>
        </xdr:cNvPr>
        <xdr:cNvSpPr txBox="1"/>
      </xdr:nvSpPr>
      <xdr:spPr>
        <a:xfrm>
          <a:off x="3351530" y="100606860"/>
          <a:ext cx="778619" cy="60015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STANFK DIRECT</a:t>
          </a:r>
          <a:endParaRPr lang="en-US" sz="12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398780</xdr:colOff>
      <xdr:row>360</xdr:row>
      <xdr:rowOff>127000</xdr:rowOff>
    </xdr:from>
    <xdr:to>
      <xdr:col>6</xdr:col>
      <xdr:colOff>596374</xdr:colOff>
      <xdr:row>363</xdr:row>
      <xdr:rowOff>86360</xdr:rowOff>
    </xdr:to>
    <xdr:sp macro="" textlink="Algandmed!AI182">
      <xdr:nvSpPr>
        <xdr:cNvPr id="220" name="TextBox 219">
          <a:extLst>
            <a:ext uri="{FF2B5EF4-FFF2-40B4-BE49-F238E27FC236}">
              <a16:creationId xmlns:a16="http://schemas.microsoft.com/office/drawing/2014/main" xmlns="" id="{00000000-0008-0000-0300-0000DC000000}"/>
            </a:ext>
          </a:extLst>
        </xdr:cNvPr>
        <xdr:cNvSpPr txBox="1"/>
      </xdr:nvSpPr>
      <xdr:spPr>
        <a:xfrm>
          <a:off x="3351530" y="101739700"/>
          <a:ext cx="778619" cy="53086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9E081B4-6A11-4AC4-BF9C-D9602CDCA21A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533400</xdr:colOff>
      <xdr:row>354</xdr:row>
      <xdr:rowOff>124460</xdr:rowOff>
    </xdr:from>
    <xdr:to>
      <xdr:col>13</xdr:col>
      <xdr:colOff>673100</xdr:colOff>
      <xdr:row>357</xdr:row>
      <xdr:rowOff>153114</xdr:rowOff>
    </xdr:to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xmlns="" id="{00000000-0008-0000-0300-0000DD000000}"/>
            </a:ext>
          </a:extLst>
        </xdr:cNvPr>
        <xdr:cNvSpPr txBox="1"/>
      </xdr:nvSpPr>
      <xdr:spPr>
        <a:xfrm>
          <a:off x="7620000" y="100594160"/>
          <a:ext cx="835025" cy="60015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STANFK DIRECT</a:t>
          </a:r>
          <a:endParaRPr lang="en-US" sz="12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533400</xdr:colOff>
      <xdr:row>360</xdr:row>
      <xdr:rowOff>114300</xdr:rowOff>
    </xdr:from>
    <xdr:to>
      <xdr:col>13</xdr:col>
      <xdr:colOff>673100</xdr:colOff>
      <xdr:row>363</xdr:row>
      <xdr:rowOff>73660</xdr:rowOff>
    </xdr:to>
    <xdr:sp macro="" textlink="Algandmed!AX182">
      <xdr:nvSpPr>
        <xdr:cNvPr id="222" name="TextBox 221">
          <a:extLst>
            <a:ext uri="{FF2B5EF4-FFF2-40B4-BE49-F238E27FC236}">
              <a16:creationId xmlns:a16="http://schemas.microsoft.com/office/drawing/2014/main" xmlns="" id="{00000000-0008-0000-0300-0000DE000000}"/>
            </a:ext>
          </a:extLst>
        </xdr:cNvPr>
        <xdr:cNvSpPr txBox="1"/>
      </xdr:nvSpPr>
      <xdr:spPr>
        <a:xfrm>
          <a:off x="7620000" y="101727000"/>
          <a:ext cx="835025" cy="53086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D843787-3F38-46E6-A59C-C8A01A4AFA16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76200</xdr:colOff>
      <xdr:row>381</xdr:row>
      <xdr:rowOff>15240</xdr:rowOff>
    </xdr:from>
    <xdr:to>
      <xdr:col>6</xdr:col>
      <xdr:colOff>381000</xdr:colOff>
      <xdr:row>393</xdr:row>
      <xdr:rowOff>170933</xdr:rowOff>
    </xdr:to>
    <xdr:graphicFrame macro="">
      <xdr:nvGraphicFramePr>
        <xdr:cNvPr id="223" name="Chart 222">
          <a:extLst>
            <a:ext uri="{FF2B5EF4-FFF2-40B4-BE49-F238E27FC236}">
              <a16:creationId xmlns:a16="http://schemas.microsoft.com/office/drawing/2014/main" xmlns="" id="{00000000-0008-0000-0300-0000D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38100</xdr:colOff>
      <xdr:row>366</xdr:row>
      <xdr:rowOff>48260</xdr:rowOff>
    </xdr:from>
    <xdr:to>
      <xdr:col>1</xdr:col>
      <xdr:colOff>274320</xdr:colOff>
      <xdr:row>369</xdr:row>
      <xdr:rowOff>10160</xdr:rowOff>
    </xdr:to>
    <xdr:sp macro="" textlink="Algandmed!AE232">
      <xdr:nvSpPr>
        <xdr:cNvPr id="224" name="TextBox 223">
          <a:extLst>
            <a:ext uri="{FF2B5EF4-FFF2-40B4-BE49-F238E27FC236}">
              <a16:creationId xmlns:a16="http://schemas.microsoft.com/office/drawing/2014/main" xmlns="" id="{00000000-0008-0000-0300-0000E0000000}"/>
            </a:ext>
          </a:extLst>
        </xdr:cNvPr>
        <xdr:cNvSpPr txBox="1"/>
      </xdr:nvSpPr>
      <xdr:spPr>
        <a:xfrm>
          <a:off x="38100" y="102803960"/>
          <a:ext cx="826770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23BE8CD-72F5-422A-8D8D-6A37AA94C54C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276860</xdr:colOff>
      <xdr:row>366</xdr:row>
      <xdr:rowOff>48260</xdr:rowOff>
    </xdr:from>
    <xdr:to>
      <xdr:col>2</xdr:col>
      <xdr:colOff>525780</xdr:colOff>
      <xdr:row>369</xdr:row>
      <xdr:rowOff>10160</xdr:rowOff>
    </xdr:to>
    <xdr:sp macro="" textlink="Algandmed!AF232">
      <xdr:nvSpPr>
        <xdr:cNvPr id="225" name="TextBox 224">
          <a:extLst>
            <a:ext uri="{FF2B5EF4-FFF2-40B4-BE49-F238E27FC236}">
              <a16:creationId xmlns:a16="http://schemas.microsoft.com/office/drawing/2014/main" xmlns="" id="{00000000-0008-0000-0300-0000E1000000}"/>
            </a:ext>
          </a:extLst>
        </xdr:cNvPr>
        <xdr:cNvSpPr txBox="1"/>
      </xdr:nvSpPr>
      <xdr:spPr>
        <a:xfrm>
          <a:off x="867410" y="102803960"/>
          <a:ext cx="839470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5325580-7DA4-4AE4-98EC-281D3F6963B8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515620</xdr:colOff>
      <xdr:row>366</xdr:row>
      <xdr:rowOff>48260</xdr:rowOff>
    </xdr:from>
    <xdr:to>
      <xdr:col>4</xdr:col>
      <xdr:colOff>154940</xdr:colOff>
      <xdr:row>369</xdr:row>
      <xdr:rowOff>10160</xdr:rowOff>
    </xdr:to>
    <xdr:sp macro="" textlink="Algandmed!AG232">
      <xdr:nvSpPr>
        <xdr:cNvPr id="226" name="TextBox 225">
          <a:extLst>
            <a:ext uri="{FF2B5EF4-FFF2-40B4-BE49-F238E27FC236}">
              <a16:creationId xmlns:a16="http://schemas.microsoft.com/office/drawing/2014/main" xmlns="" id="{00000000-0008-0000-0300-0000E2000000}"/>
            </a:ext>
          </a:extLst>
        </xdr:cNvPr>
        <xdr:cNvSpPr txBox="1"/>
      </xdr:nvSpPr>
      <xdr:spPr>
        <a:xfrm>
          <a:off x="1696720" y="102803960"/>
          <a:ext cx="820420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DC06E41-DE7B-4E88-85A4-B6CACB85D584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4</xdr:col>
      <xdr:colOff>157480</xdr:colOff>
      <xdr:row>366</xdr:row>
      <xdr:rowOff>48260</xdr:rowOff>
    </xdr:from>
    <xdr:to>
      <xdr:col>5</xdr:col>
      <xdr:colOff>393700</xdr:colOff>
      <xdr:row>369</xdr:row>
      <xdr:rowOff>10160</xdr:rowOff>
    </xdr:to>
    <xdr:sp macro="" textlink="Algandmed!AH232">
      <xdr:nvSpPr>
        <xdr:cNvPr id="227" name="TextBox 226">
          <a:extLst>
            <a:ext uri="{FF2B5EF4-FFF2-40B4-BE49-F238E27FC236}">
              <a16:creationId xmlns:a16="http://schemas.microsoft.com/office/drawing/2014/main" xmlns="" id="{00000000-0008-0000-0300-0000E3000000}"/>
            </a:ext>
          </a:extLst>
        </xdr:cNvPr>
        <xdr:cNvSpPr txBox="1"/>
      </xdr:nvSpPr>
      <xdr:spPr>
        <a:xfrm>
          <a:off x="2519680" y="102803960"/>
          <a:ext cx="826770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E31577-B1CB-4982-8072-1326D6CB6B5F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203200</xdr:colOff>
      <xdr:row>366</xdr:row>
      <xdr:rowOff>35560</xdr:rowOff>
    </xdr:from>
    <xdr:to>
      <xdr:col>8</xdr:col>
      <xdr:colOff>421640</xdr:colOff>
      <xdr:row>368</xdr:row>
      <xdr:rowOff>175260</xdr:rowOff>
    </xdr:to>
    <xdr:sp macro="" textlink="Algandmed!AT232">
      <xdr:nvSpPr>
        <xdr:cNvPr id="228" name="TextBox 227">
          <a:extLst>
            <a:ext uri="{FF2B5EF4-FFF2-40B4-BE49-F238E27FC236}">
              <a16:creationId xmlns:a16="http://schemas.microsoft.com/office/drawing/2014/main" xmlns="" id="{00000000-0008-0000-0300-0000E4000000}"/>
            </a:ext>
          </a:extLst>
        </xdr:cNvPr>
        <xdr:cNvSpPr txBox="1"/>
      </xdr:nvSpPr>
      <xdr:spPr>
        <a:xfrm>
          <a:off x="4337050" y="102791260"/>
          <a:ext cx="808990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2D5DC6-A81D-4671-B866-614F844DBC5D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3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419100</xdr:colOff>
      <xdr:row>366</xdr:row>
      <xdr:rowOff>35560</xdr:rowOff>
    </xdr:from>
    <xdr:to>
      <xdr:col>10</xdr:col>
      <xdr:colOff>50800</xdr:colOff>
      <xdr:row>368</xdr:row>
      <xdr:rowOff>175260</xdr:rowOff>
    </xdr:to>
    <xdr:sp macro="" textlink="Algandmed!AU232">
      <xdr:nvSpPr>
        <xdr:cNvPr id="229" name="TextBox 228">
          <a:extLst>
            <a:ext uri="{FF2B5EF4-FFF2-40B4-BE49-F238E27FC236}">
              <a16:creationId xmlns:a16="http://schemas.microsoft.com/office/drawing/2014/main" xmlns="" id="{00000000-0008-0000-0300-0000E5000000}"/>
            </a:ext>
          </a:extLst>
        </xdr:cNvPr>
        <xdr:cNvSpPr txBox="1"/>
      </xdr:nvSpPr>
      <xdr:spPr>
        <a:xfrm>
          <a:off x="5143500" y="102791260"/>
          <a:ext cx="812800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9E44AF9-FC2B-475A-B9AA-2D79D44C02F2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2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50800</xdr:colOff>
      <xdr:row>366</xdr:row>
      <xdr:rowOff>35560</xdr:rowOff>
    </xdr:from>
    <xdr:to>
      <xdr:col>11</xdr:col>
      <xdr:colOff>292100</xdr:colOff>
      <xdr:row>368</xdr:row>
      <xdr:rowOff>175260</xdr:rowOff>
    </xdr:to>
    <xdr:sp macro="" textlink="Algandmed!AV232">
      <xdr:nvSpPr>
        <xdr:cNvPr id="230" name="TextBox 229">
          <a:extLst>
            <a:ext uri="{FF2B5EF4-FFF2-40B4-BE49-F238E27FC236}">
              <a16:creationId xmlns:a16="http://schemas.microsoft.com/office/drawing/2014/main" xmlns="" id="{00000000-0008-0000-0300-0000E6000000}"/>
            </a:ext>
          </a:extLst>
        </xdr:cNvPr>
        <xdr:cNvSpPr txBox="1"/>
      </xdr:nvSpPr>
      <xdr:spPr>
        <a:xfrm>
          <a:off x="5956300" y="102791260"/>
          <a:ext cx="831850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F9FBEB-7976-4948-B6BC-273384A16027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11</xdr:col>
      <xdr:colOff>292100</xdr:colOff>
      <xdr:row>366</xdr:row>
      <xdr:rowOff>35560</xdr:rowOff>
    </xdr:from>
    <xdr:to>
      <xdr:col>12</xdr:col>
      <xdr:colOff>528320</xdr:colOff>
      <xdr:row>368</xdr:row>
      <xdr:rowOff>175260</xdr:rowOff>
    </xdr:to>
    <xdr:sp macro="" textlink="Algandmed!AW232">
      <xdr:nvSpPr>
        <xdr:cNvPr id="231" name="TextBox 230">
          <a:extLst>
            <a:ext uri="{FF2B5EF4-FFF2-40B4-BE49-F238E27FC236}">
              <a16:creationId xmlns:a16="http://schemas.microsoft.com/office/drawing/2014/main" xmlns="" id="{00000000-0008-0000-0300-0000E7000000}"/>
            </a:ext>
          </a:extLst>
        </xdr:cNvPr>
        <xdr:cNvSpPr txBox="1"/>
      </xdr:nvSpPr>
      <xdr:spPr>
        <a:xfrm>
          <a:off x="6788150" y="102791260"/>
          <a:ext cx="826770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5A50D1B-19ED-4098-A461-E7D23162DFD4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393700</xdr:colOff>
      <xdr:row>366</xdr:row>
      <xdr:rowOff>48260</xdr:rowOff>
    </xdr:from>
    <xdr:to>
      <xdr:col>6</xdr:col>
      <xdr:colOff>596900</xdr:colOff>
      <xdr:row>369</xdr:row>
      <xdr:rowOff>10160</xdr:rowOff>
    </xdr:to>
    <xdr:sp macro="" textlink="Algandmed!AI232">
      <xdr:nvSpPr>
        <xdr:cNvPr id="232" name="TextBox 231">
          <a:extLst>
            <a:ext uri="{FF2B5EF4-FFF2-40B4-BE49-F238E27FC236}">
              <a16:creationId xmlns:a16="http://schemas.microsoft.com/office/drawing/2014/main" xmlns="" id="{00000000-0008-0000-0300-0000E8000000}"/>
            </a:ext>
          </a:extLst>
        </xdr:cNvPr>
        <xdr:cNvSpPr txBox="1"/>
      </xdr:nvSpPr>
      <xdr:spPr>
        <a:xfrm>
          <a:off x="3346450" y="102803960"/>
          <a:ext cx="784225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FCD3E98-16A9-4FB8-A94E-AB12D28D569B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530860</xdr:colOff>
      <xdr:row>366</xdr:row>
      <xdr:rowOff>35560</xdr:rowOff>
    </xdr:from>
    <xdr:to>
      <xdr:col>13</xdr:col>
      <xdr:colOff>678180</xdr:colOff>
      <xdr:row>368</xdr:row>
      <xdr:rowOff>175260</xdr:rowOff>
    </xdr:to>
    <xdr:sp macro="" textlink="Algandmed!AX232">
      <xdr:nvSpPr>
        <xdr:cNvPr id="233" name="TextBox 232">
          <a:extLst>
            <a:ext uri="{FF2B5EF4-FFF2-40B4-BE49-F238E27FC236}">
              <a16:creationId xmlns:a16="http://schemas.microsoft.com/office/drawing/2014/main" xmlns="" id="{00000000-0008-0000-0300-0000E9000000}"/>
            </a:ext>
          </a:extLst>
        </xdr:cNvPr>
        <xdr:cNvSpPr txBox="1"/>
      </xdr:nvSpPr>
      <xdr:spPr>
        <a:xfrm>
          <a:off x="7617460" y="102791260"/>
          <a:ext cx="842645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AA2980-ACC0-4E93-9184-68E14E359C62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180340</xdr:colOff>
      <xdr:row>423</xdr:row>
      <xdr:rowOff>5079</xdr:rowOff>
    </xdr:from>
    <xdr:to>
      <xdr:col>1</xdr:col>
      <xdr:colOff>607060</xdr:colOff>
      <xdr:row>426</xdr:row>
      <xdr:rowOff>22188</xdr:rowOff>
    </xdr:to>
    <xdr:sp macro="" textlink="">
      <xdr:nvSpPr>
        <xdr:cNvPr id="234" name="TextBox 233">
          <a:extLst>
            <a:ext uri="{FF2B5EF4-FFF2-40B4-BE49-F238E27FC236}">
              <a16:creationId xmlns:a16="http://schemas.microsoft.com/office/drawing/2014/main" xmlns="" id="{00000000-0008-0000-0300-0000EA000000}"/>
            </a:ext>
          </a:extLst>
        </xdr:cNvPr>
        <xdr:cNvSpPr txBox="1"/>
      </xdr:nvSpPr>
      <xdr:spPr>
        <a:xfrm>
          <a:off x="180340" y="114571779"/>
          <a:ext cx="998220" cy="58860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STANFK</a:t>
          </a:r>
        </a:p>
      </xdr:txBody>
    </xdr:sp>
    <xdr:clientData/>
  </xdr:twoCellAnchor>
  <xdr:twoCellAnchor>
    <xdr:from>
      <xdr:col>2</xdr:col>
      <xdr:colOff>0</xdr:colOff>
      <xdr:row>423</xdr:row>
      <xdr:rowOff>5079</xdr:rowOff>
    </xdr:from>
    <xdr:to>
      <xdr:col>3</xdr:col>
      <xdr:colOff>426720</xdr:colOff>
      <xdr:row>426</xdr:row>
      <xdr:rowOff>22188</xdr:rowOff>
    </xdr:to>
    <xdr:sp macro="" textlink="">
      <xdr:nvSpPr>
        <xdr:cNvPr id="235" name="TextBox 234">
          <a:extLst>
            <a:ext uri="{FF2B5EF4-FFF2-40B4-BE49-F238E27FC236}">
              <a16:creationId xmlns:a16="http://schemas.microsoft.com/office/drawing/2014/main" xmlns="" id="{00000000-0008-0000-0300-0000EB000000}"/>
            </a:ext>
          </a:extLst>
        </xdr:cNvPr>
        <xdr:cNvSpPr txBox="1"/>
      </xdr:nvSpPr>
      <xdr:spPr>
        <a:xfrm>
          <a:off x="1181100" y="114571779"/>
          <a:ext cx="1017270" cy="58860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</a:t>
          </a:r>
          <a:r>
            <a:rPr lang="et-EE" sz="1800" b="1" i="0" u="none" strike="noStrike" baseline="0">
              <a:solidFill>
                <a:srgbClr val="4D4D4D"/>
              </a:solidFill>
              <a:latin typeface="Hanse" panose="02000000000000000000" pitchFamily="50" charset="0"/>
            </a:rPr>
            <a:t>TI</a:t>
          </a:r>
        </a:p>
      </xdr:txBody>
    </xdr:sp>
    <xdr:clientData/>
  </xdr:twoCellAnchor>
  <xdr:twoCellAnchor>
    <xdr:from>
      <xdr:col>3</xdr:col>
      <xdr:colOff>429260</xdr:colOff>
      <xdr:row>423</xdr:row>
      <xdr:rowOff>5079</xdr:rowOff>
    </xdr:from>
    <xdr:to>
      <xdr:col>5</xdr:col>
      <xdr:colOff>246380</xdr:colOff>
      <xdr:row>426</xdr:row>
      <xdr:rowOff>22188</xdr:rowOff>
    </xdr:to>
    <xdr:sp macro="" textlink="">
      <xdr:nvSpPr>
        <xdr:cNvPr id="236" name="TextBox 235">
          <a:extLst>
            <a:ext uri="{FF2B5EF4-FFF2-40B4-BE49-F238E27FC236}">
              <a16:creationId xmlns:a16="http://schemas.microsoft.com/office/drawing/2014/main" xmlns="" id="{00000000-0008-0000-0300-0000EC000000}"/>
            </a:ext>
          </a:extLst>
        </xdr:cNvPr>
        <xdr:cNvSpPr txBox="1"/>
      </xdr:nvSpPr>
      <xdr:spPr>
        <a:xfrm>
          <a:off x="2200910" y="114571779"/>
          <a:ext cx="998220" cy="58860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STANGK </a:t>
          </a:r>
          <a:endParaRPr lang="en-US" sz="18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236220</xdr:colOff>
      <xdr:row>423</xdr:row>
      <xdr:rowOff>5079</xdr:rowOff>
    </xdr:from>
    <xdr:to>
      <xdr:col>7</xdr:col>
      <xdr:colOff>53340</xdr:colOff>
      <xdr:row>426</xdr:row>
      <xdr:rowOff>22188</xdr:rowOff>
    </xdr:to>
    <xdr:sp macro="" textlink="">
      <xdr:nvSpPr>
        <xdr:cNvPr id="237" name="TextBox 236">
          <a:extLst>
            <a:ext uri="{FF2B5EF4-FFF2-40B4-BE49-F238E27FC236}">
              <a16:creationId xmlns:a16="http://schemas.microsoft.com/office/drawing/2014/main" xmlns="" id="{00000000-0008-0000-0300-0000ED000000}"/>
            </a:ext>
          </a:extLst>
        </xdr:cNvPr>
        <xdr:cNvSpPr txBox="1"/>
      </xdr:nvSpPr>
      <xdr:spPr>
        <a:xfrm>
          <a:off x="3188970" y="114571779"/>
          <a:ext cx="998220" cy="58860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STANGS</a:t>
          </a:r>
          <a:endParaRPr lang="en-US" sz="18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180340</xdr:colOff>
      <xdr:row>428</xdr:row>
      <xdr:rowOff>152400</xdr:rowOff>
    </xdr:from>
    <xdr:to>
      <xdr:col>1</xdr:col>
      <xdr:colOff>607060</xdr:colOff>
      <xdr:row>431</xdr:row>
      <xdr:rowOff>101600</xdr:rowOff>
    </xdr:to>
    <xdr:sp macro="" textlink="Algandmed!AE190">
      <xdr:nvSpPr>
        <xdr:cNvPr id="238" name="TextBox 237">
          <a:extLst>
            <a:ext uri="{FF2B5EF4-FFF2-40B4-BE49-F238E27FC236}">
              <a16:creationId xmlns:a16="http://schemas.microsoft.com/office/drawing/2014/main" xmlns="" id="{00000000-0008-0000-0300-0000EE000000}"/>
            </a:ext>
          </a:extLst>
        </xdr:cNvPr>
        <xdr:cNvSpPr txBox="1"/>
      </xdr:nvSpPr>
      <xdr:spPr>
        <a:xfrm>
          <a:off x="180340" y="115671600"/>
          <a:ext cx="998220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F5FDDC-FDE6-49BE-9494-6DCE8F00A71D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0</xdr:colOff>
      <xdr:row>428</xdr:row>
      <xdr:rowOff>152400</xdr:rowOff>
    </xdr:from>
    <xdr:to>
      <xdr:col>3</xdr:col>
      <xdr:colOff>426720</xdr:colOff>
      <xdr:row>431</xdr:row>
      <xdr:rowOff>101600</xdr:rowOff>
    </xdr:to>
    <xdr:sp macro="" textlink="Algandmed!AF190">
      <xdr:nvSpPr>
        <xdr:cNvPr id="239" name="TextBox 238">
          <a:extLst>
            <a:ext uri="{FF2B5EF4-FFF2-40B4-BE49-F238E27FC236}">
              <a16:creationId xmlns:a16="http://schemas.microsoft.com/office/drawing/2014/main" xmlns="" id="{00000000-0008-0000-0300-0000EF000000}"/>
            </a:ext>
          </a:extLst>
        </xdr:cNvPr>
        <xdr:cNvSpPr txBox="1"/>
      </xdr:nvSpPr>
      <xdr:spPr>
        <a:xfrm>
          <a:off x="1181100" y="115671600"/>
          <a:ext cx="1017270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482596-8F08-435C-B5D9-10337A1EA43A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429260</xdr:colOff>
      <xdr:row>428</xdr:row>
      <xdr:rowOff>152400</xdr:rowOff>
    </xdr:from>
    <xdr:to>
      <xdr:col>5</xdr:col>
      <xdr:colOff>246380</xdr:colOff>
      <xdr:row>431</xdr:row>
      <xdr:rowOff>101600</xdr:rowOff>
    </xdr:to>
    <xdr:sp macro="" textlink="Algandmed!AG190">
      <xdr:nvSpPr>
        <xdr:cNvPr id="240" name="TextBox 239">
          <a:extLst>
            <a:ext uri="{FF2B5EF4-FFF2-40B4-BE49-F238E27FC236}">
              <a16:creationId xmlns:a16="http://schemas.microsoft.com/office/drawing/2014/main" xmlns="" id="{00000000-0008-0000-0300-0000F0000000}"/>
            </a:ext>
          </a:extLst>
        </xdr:cNvPr>
        <xdr:cNvSpPr txBox="1"/>
      </xdr:nvSpPr>
      <xdr:spPr>
        <a:xfrm>
          <a:off x="2200910" y="115671600"/>
          <a:ext cx="998220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99DE33-FE35-4413-ADD3-0FBFF10BBFEE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236220</xdr:colOff>
      <xdr:row>428</xdr:row>
      <xdr:rowOff>152400</xdr:rowOff>
    </xdr:from>
    <xdr:to>
      <xdr:col>7</xdr:col>
      <xdr:colOff>53340</xdr:colOff>
      <xdr:row>431</xdr:row>
      <xdr:rowOff>101600</xdr:rowOff>
    </xdr:to>
    <xdr:sp macro="" textlink="Algandmed!AH190">
      <xdr:nvSpPr>
        <xdr:cNvPr id="241" name="TextBox 240">
          <a:extLst>
            <a:ext uri="{FF2B5EF4-FFF2-40B4-BE49-F238E27FC236}">
              <a16:creationId xmlns:a16="http://schemas.microsoft.com/office/drawing/2014/main" xmlns="" id="{00000000-0008-0000-0300-0000F1000000}"/>
            </a:ext>
          </a:extLst>
        </xdr:cNvPr>
        <xdr:cNvSpPr txBox="1"/>
      </xdr:nvSpPr>
      <xdr:spPr>
        <a:xfrm>
          <a:off x="3188970" y="115671600"/>
          <a:ext cx="998220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D56F870-B915-4AD0-B855-ECE2624256D6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177800</xdr:colOff>
      <xdr:row>447</xdr:row>
      <xdr:rowOff>38100</xdr:rowOff>
    </xdr:from>
    <xdr:to>
      <xdr:col>7</xdr:col>
      <xdr:colOff>63500</xdr:colOff>
      <xdr:row>461</xdr:row>
      <xdr:rowOff>63500</xdr:rowOff>
    </xdr:to>
    <xdr:graphicFrame macro="">
      <xdr:nvGraphicFramePr>
        <xdr:cNvPr id="242" name="Chart 241">
          <a:extLst>
            <a:ext uri="{FF2B5EF4-FFF2-40B4-BE49-F238E27FC236}">
              <a16:creationId xmlns:a16="http://schemas.microsoft.com/office/drawing/2014/main" xmlns="" id="{00000000-0008-0000-0300-0000F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468</xdr:row>
      <xdr:rowOff>48260</xdr:rowOff>
    </xdr:from>
    <xdr:to>
      <xdr:col>7</xdr:col>
      <xdr:colOff>66040</xdr:colOff>
      <xdr:row>482</xdr:row>
      <xdr:rowOff>0</xdr:rowOff>
    </xdr:to>
    <xdr:graphicFrame macro="">
      <xdr:nvGraphicFramePr>
        <xdr:cNvPr id="243" name="Chart 242">
          <a:extLst>
            <a:ext uri="{FF2B5EF4-FFF2-40B4-BE49-F238E27FC236}">
              <a16:creationId xmlns:a16="http://schemas.microsoft.com/office/drawing/2014/main" xmlns="" id="{00000000-0008-0000-0300-0000F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37737</xdr:colOff>
      <xdr:row>468</xdr:row>
      <xdr:rowOff>48260</xdr:rowOff>
    </xdr:from>
    <xdr:to>
      <xdr:col>13</xdr:col>
      <xdr:colOff>609600</xdr:colOff>
      <xdr:row>482</xdr:row>
      <xdr:rowOff>0</xdr:rowOff>
    </xdr:to>
    <xdr:graphicFrame macro="">
      <xdr:nvGraphicFramePr>
        <xdr:cNvPr id="244" name="Chart 243">
          <a:extLst>
            <a:ext uri="{FF2B5EF4-FFF2-40B4-BE49-F238E27FC236}">
              <a16:creationId xmlns:a16="http://schemas.microsoft.com/office/drawing/2014/main" xmlns="" id="{00000000-0008-0000-0300-0000F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165100</xdr:colOff>
      <xdr:row>423</xdr:row>
      <xdr:rowOff>5079</xdr:rowOff>
    </xdr:from>
    <xdr:to>
      <xdr:col>8</xdr:col>
      <xdr:colOff>591820</xdr:colOff>
      <xdr:row>426</xdr:row>
      <xdr:rowOff>22188</xdr:rowOff>
    </xdr:to>
    <xdr:sp macro="" textlink="">
      <xdr:nvSpPr>
        <xdr:cNvPr id="245" name="TextBox 244">
          <a:extLst>
            <a:ext uri="{FF2B5EF4-FFF2-40B4-BE49-F238E27FC236}">
              <a16:creationId xmlns:a16="http://schemas.microsoft.com/office/drawing/2014/main" xmlns="" id="{00000000-0008-0000-0300-0000F5000000}"/>
            </a:ext>
          </a:extLst>
        </xdr:cNvPr>
        <xdr:cNvSpPr txBox="1"/>
      </xdr:nvSpPr>
      <xdr:spPr>
        <a:xfrm>
          <a:off x="4298950" y="114571779"/>
          <a:ext cx="1017270" cy="58860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STANFK</a:t>
          </a:r>
          <a:endParaRPr lang="en-US" sz="48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594360</xdr:colOff>
      <xdr:row>423</xdr:row>
      <xdr:rowOff>5079</xdr:rowOff>
    </xdr:from>
    <xdr:to>
      <xdr:col>10</xdr:col>
      <xdr:colOff>411480</xdr:colOff>
      <xdr:row>426</xdr:row>
      <xdr:rowOff>22188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xmlns="" id="{00000000-0008-0000-0300-0000F6000000}"/>
            </a:ext>
          </a:extLst>
        </xdr:cNvPr>
        <xdr:cNvSpPr txBox="1"/>
      </xdr:nvSpPr>
      <xdr:spPr>
        <a:xfrm>
          <a:off x="5318760" y="114571779"/>
          <a:ext cx="998220" cy="58860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</a:t>
          </a:r>
          <a:r>
            <a:rPr lang="et-EE" sz="1800" b="1" i="0" u="none" strike="noStrike" baseline="0">
              <a:solidFill>
                <a:srgbClr val="4D4D4D"/>
              </a:solidFill>
              <a:latin typeface="Hanse" panose="02000000000000000000" pitchFamily="50" charset="0"/>
            </a:rPr>
            <a:t>TI</a:t>
          </a:r>
          <a:endParaRPr lang="en-US" sz="18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401320</xdr:colOff>
      <xdr:row>423</xdr:row>
      <xdr:rowOff>5079</xdr:rowOff>
    </xdr:from>
    <xdr:to>
      <xdr:col>12</xdr:col>
      <xdr:colOff>218440</xdr:colOff>
      <xdr:row>426</xdr:row>
      <xdr:rowOff>22188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xmlns="" id="{00000000-0008-0000-0300-0000F7000000}"/>
            </a:ext>
          </a:extLst>
        </xdr:cNvPr>
        <xdr:cNvSpPr txBox="1"/>
      </xdr:nvSpPr>
      <xdr:spPr>
        <a:xfrm>
          <a:off x="6306820" y="114571779"/>
          <a:ext cx="998220" cy="58860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STANGK </a:t>
          </a:r>
          <a:endParaRPr lang="en-US" sz="18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220980</xdr:colOff>
      <xdr:row>423</xdr:row>
      <xdr:rowOff>5079</xdr:rowOff>
    </xdr:from>
    <xdr:to>
      <xdr:col>13</xdr:col>
      <xdr:colOff>546100</xdr:colOff>
      <xdr:row>426</xdr:row>
      <xdr:rowOff>22188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xmlns="" id="{00000000-0008-0000-0300-0000F8000000}"/>
            </a:ext>
          </a:extLst>
        </xdr:cNvPr>
        <xdr:cNvSpPr txBox="1"/>
      </xdr:nvSpPr>
      <xdr:spPr>
        <a:xfrm>
          <a:off x="7307580" y="114571779"/>
          <a:ext cx="1020445" cy="58860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STANGS</a:t>
          </a:r>
          <a:endParaRPr lang="en-US" sz="18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165100</xdr:colOff>
      <xdr:row>428</xdr:row>
      <xdr:rowOff>152400</xdr:rowOff>
    </xdr:from>
    <xdr:to>
      <xdr:col>8</xdr:col>
      <xdr:colOff>591820</xdr:colOff>
      <xdr:row>431</xdr:row>
      <xdr:rowOff>101600</xdr:rowOff>
    </xdr:to>
    <xdr:sp macro="" textlink="Algandmed!AT190">
      <xdr:nvSpPr>
        <xdr:cNvPr id="249" name="TextBox 248">
          <a:extLst>
            <a:ext uri="{FF2B5EF4-FFF2-40B4-BE49-F238E27FC236}">
              <a16:creationId xmlns:a16="http://schemas.microsoft.com/office/drawing/2014/main" xmlns="" id="{00000000-0008-0000-0300-0000F9000000}"/>
            </a:ext>
          </a:extLst>
        </xdr:cNvPr>
        <xdr:cNvSpPr txBox="1"/>
      </xdr:nvSpPr>
      <xdr:spPr>
        <a:xfrm>
          <a:off x="4298950" y="115671600"/>
          <a:ext cx="1017270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8D348E1-27D2-4DC2-ADD5-3E209DF47DAE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594360</xdr:colOff>
      <xdr:row>428</xdr:row>
      <xdr:rowOff>152400</xdr:rowOff>
    </xdr:from>
    <xdr:to>
      <xdr:col>10</xdr:col>
      <xdr:colOff>411480</xdr:colOff>
      <xdr:row>431</xdr:row>
      <xdr:rowOff>101600</xdr:rowOff>
    </xdr:to>
    <xdr:sp macro="" textlink="Algandmed!AU190">
      <xdr:nvSpPr>
        <xdr:cNvPr id="250" name="TextBox 249">
          <a:extLst>
            <a:ext uri="{FF2B5EF4-FFF2-40B4-BE49-F238E27FC236}">
              <a16:creationId xmlns:a16="http://schemas.microsoft.com/office/drawing/2014/main" xmlns="" id="{00000000-0008-0000-0300-0000FA000000}"/>
            </a:ext>
          </a:extLst>
        </xdr:cNvPr>
        <xdr:cNvSpPr txBox="1"/>
      </xdr:nvSpPr>
      <xdr:spPr>
        <a:xfrm>
          <a:off x="5318760" y="115671600"/>
          <a:ext cx="998220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0F80129-0C9B-45CA-BFD9-9FF76FE103EC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401320</xdr:colOff>
      <xdr:row>428</xdr:row>
      <xdr:rowOff>152400</xdr:rowOff>
    </xdr:from>
    <xdr:to>
      <xdr:col>12</xdr:col>
      <xdr:colOff>218440</xdr:colOff>
      <xdr:row>431</xdr:row>
      <xdr:rowOff>101600</xdr:rowOff>
    </xdr:to>
    <xdr:sp macro="" textlink="Algandmed!AV190">
      <xdr:nvSpPr>
        <xdr:cNvPr id="251" name="TextBox 250">
          <a:extLst>
            <a:ext uri="{FF2B5EF4-FFF2-40B4-BE49-F238E27FC236}">
              <a16:creationId xmlns:a16="http://schemas.microsoft.com/office/drawing/2014/main" xmlns="" id="{00000000-0008-0000-0300-0000FB000000}"/>
            </a:ext>
          </a:extLst>
        </xdr:cNvPr>
        <xdr:cNvSpPr txBox="1"/>
      </xdr:nvSpPr>
      <xdr:spPr>
        <a:xfrm>
          <a:off x="6306820" y="115671600"/>
          <a:ext cx="998220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3DC1593-ED08-4A57-B5DF-558F6141ED2C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220980</xdr:colOff>
      <xdr:row>428</xdr:row>
      <xdr:rowOff>152400</xdr:rowOff>
    </xdr:from>
    <xdr:to>
      <xdr:col>13</xdr:col>
      <xdr:colOff>546100</xdr:colOff>
      <xdr:row>431</xdr:row>
      <xdr:rowOff>101600</xdr:rowOff>
    </xdr:to>
    <xdr:sp macro="" textlink="Algandmed!AW190">
      <xdr:nvSpPr>
        <xdr:cNvPr id="252" name="TextBox 251">
          <a:extLst>
            <a:ext uri="{FF2B5EF4-FFF2-40B4-BE49-F238E27FC236}">
              <a16:creationId xmlns:a16="http://schemas.microsoft.com/office/drawing/2014/main" xmlns="" id="{00000000-0008-0000-0300-0000FC000000}"/>
            </a:ext>
          </a:extLst>
        </xdr:cNvPr>
        <xdr:cNvSpPr txBox="1"/>
      </xdr:nvSpPr>
      <xdr:spPr>
        <a:xfrm>
          <a:off x="7307580" y="115671600"/>
          <a:ext cx="1020445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1B7C8C-3042-4323-9345-FC6CD3443FC4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180340</xdr:colOff>
      <xdr:row>434</xdr:row>
      <xdr:rowOff>45720</xdr:rowOff>
    </xdr:from>
    <xdr:to>
      <xdr:col>1</xdr:col>
      <xdr:colOff>607060</xdr:colOff>
      <xdr:row>437</xdr:row>
      <xdr:rowOff>15522</xdr:rowOff>
    </xdr:to>
    <xdr:sp macro="" textlink="Algandmed!AE240">
      <xdr:nvSpPr>
        <xdr:cNvPr id="253" name="TextBox 252">
          <a:extLst>
            <a:ext uri="{FF2B5EF4-FFF2-40B4-BE49-F238E27FC236}">
              <a16:creationId xmlns:a16="http://schemas.microsoft.com/office/drawing/2014/main" xmlns="" id="{00000000-0008-0000-0300-0000FD000000}"/>
            </a:ext>
          </a:extLst>
        </xdr:cNvPr>
        <xdr:cNvSpPr txBox="1"/>
      </xdr:nvSpPr>
      <xdr:spPr>
        <a:xfrm>
          <a:off x="180340" y="116707920"/>
          <a:ext cx="998220" cy="541302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293235-04BB-42D5-9FE6-0C9AE4C89A6C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0</xdr:colOff>
      <xdr:row>434</xdr:row>
      <xdr:rowOff>45720</xdr:rowOff>
    </xdr:from>
    <xdr:to>
      <xdr:col>3</xdr:col>
      <xdr:colOff>426720</xdr:colOff>
      <xdr:row>437</xdr:row>
      <xdr:rowOff>15522</xdr:rowOff>
    </xdr:to>
    <xdr:sp macro="" textlink="Algandmed!AF240">
      <xdr:nvSpPr>
        <xdr:cNvPr id="254" name="TextBox 253">
          <a:extLst>
            <a:ext uri="{FF2B5EF4-FFF2-40B4-BE49-F238E27FC236}">
              <a16:creationId xmlns:a16="http://schemas.microsoft.com/office/drawing/2014/main" xmlns="" id="{00000000-0008-0000-0300-0000FE000000}"/>
            </a:ext>
          </a:extLst>
        </xdr:cNvPr>
        <xdr:cNvSpPr txBox="1"/>
      </xdr:nvSpPr>
      <xdr:spPr>
        <a:xfrm>
          <a:off x="1181100" y="116707920"/>
          <a:ext cx="1017270" cy="541302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FDAE787-B1F9-43E0-83A5-68EF80C154AE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429260</xdr:colOff>
      <xdr:row>434</xdr:row>
      <xdr:rowOff>45720</xdr:rowOff>
    </xdr:from>
    <xdr:to>
      <xdr:col>5</xdr:col>
      <xdr:colOff>246380</xdr:colOff>
      <xdr:row>437</xdr:row>
      <xdr:rowOff>15522</xdr:rowOff>
    </xdr:to>
    <xdr:sp macro="" textlink="Algandmed!AG240">
      <xdr:nvSpPr>
        <xdr:cNvPr id="255" name="TextBox 254">
          <a:extLst>
            <a:ext uri="{FF2B5EF4-FFF2-40B4-BE49-F238E27FC236}">
              <a16:creationId xmlns:a16="http://schemas.microsoft.com/office/drawing/2014/main" xmlns="" id="{00000000-0008-0000-0300-0000FF000000}"/>
            </a:ext>
          </a:extLst>
        </xdr:cNvPr>
        <xdr:cNvSpPr txBox="1"/>
      </xdr:nvSpPr>
      <xdr:spPr>
        <a:xfrm>
          <a:off x="2200910" y="116707920"/>
          <a:ext cx="998220" cy="541302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A384BB-6044-4D81-B556-532F29B3803C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236220</xdr:colOff>
      <xdr:row>434</xdr:row>
      <xdr:rowOff>45720</xdr:rowOff>
    </xdr:from>
    <xdr:to>
      <xdr:col>7</xdr:col>
      <xdr:colOff>53340</xdr:colOff>
      <xdr:row>437</xdr:row>
      <xdr:rowOff>15522</xdr:rowOff>
    </xdr:to>
    <xdr:sp macro="" textlink="Algandmed!AH240">
      <xdr:nvSpPr>
        <xdr:cNvPr id="256" name="TextBox 255">
          <a:extLst>
            <a:ext uri="{FF2B5EF4-FFF2-40B4-BE49-F238E27FC236}">
              <a16:creationId xmlns:a16="http://schemas.microsoft.com/office/drawing/2014/main" xmlns="" id="{00000000-0008-0000-0300-000000010000}"/>
            </a:ext>
          </a:extLst>
        </xdr:cNvPr>
        <xdr:cNvSpPr txBox="1"/>
      </xdr:nvSpPr>
      <xdr:spPr>
        <a:xfrm>
          <a:off x="3188970" y="116707920"/>
          <a:ext cx="998220" cy="541302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0B3C228-357A-4A2A-9821-74EFA66AC772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165100</xdr:colOff>
      <xdr:row>434</xdr:row>
      <xdr:rowOff>45720</xdr:rowOff>
    </xdr:from>
    <xdr:to>
      <xdr:col>8</xdr:col>
      <xdr:colOff>591820</xdr:colOff>
      <xdr:row>437</xdr:row>
      <xdr:rowOff>15522</xdr:rowOff>
    </xdr:to>
    <xdr:sp macro="" textlink="Algandmed!AT240">
      <xdr:nvSpPr>
        <xdr:cNvPr id="257" name="TextBox 256">
          <a:extLst>
            <a:ext uri="{FF2B5EF4-FFF2-40B4-BE49-F238E27FC236}">
              <a16:creationId xmlns:a16="http://schemas.microsoft.com/office/drawing/2014/main" xmlns="" id="{00000000-0008-0000-0300-000001010000}"/>
            </a:ext>
          </a:extLst>
        </xdr:cNvPr>
        <xdr:cNvSpPr txBox="1"/>
      </xdr:nvSpPr>
      <xdr:spPr>
        <a:xfrm>
          <a:off x="4298950" y="116707920"/>
          <a:ext cx="1017270" cy="541302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924C9-7ABC-4914-9880-1AE2CCDB1EAF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594360</xdr:colOff>
      <xdr:row>434</xdr:row>
      <xdr:rowOff>45720</xdr:rowOff>
    </xdr:from>
    <xdr:to>
      <xdr:col>10</xdr:col>
      <xdr:colOff>411480</xdr:colOff>
      <xdr:row>437</xdr:row>
      <xdr:rowOff>15522</xdr:rowOff>
    </xdr:to>
    <xdr:sp macro="" textlink="Algandmed!AU240">
      <xdr:nvSpPr>
        <xdr:cNvPr id="258" name="TextBox 257">
          <a:extLst>
            <a:ext uri="{FF2B5EF4-FFF2-40B4-BE49-F238E27FC236}">
              <a16:creationId xmlns:a16="http://schemas.microsoft.com/office/drawing/2014/main" xmlns="" id="{00000000-0008-0000-0300-000002010000}"/>
            </a:ext>
          </a:extLst>
        </xdr:cNvPr>
        <xdr:cNvSpPr txBox="1"/>
      </xdr:nvSpPr>
      <xdr:spPr>
        <a:xfrm>
          <a:off x="5318760" y="116707920"/>
          <a:ext cx="998220" cy="541302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EF51EDC-087D-4030-B015-6EA7594158A5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2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401320</xdr:colOff>
      <xdr:row>434</xdr:row>
      <xdr:rowOff>45720</xdr:rowOff>
    </xdr:from>
    <xdr:to>
      <xdr:col>12</xdr:col>
      <xdr:colOff>218440</xdr:colOff>
      <xdr:row>437</xdr:row>
      <xdr:rowOff>15522</xdr:rowOff>
    </xdr:to>
    <xdr:sp macro="" textlink="Algandmed!AV240">
      <xdr:nvSpPr>
        <xdr:cNvPr id="259" name="TextBox 258">
          <a:extLst>
            <a:ext uri="{FF2B5EF4-FFF2-40B4-BE49-F238E27FC236}">
              <a16:creationId xmlns:a16="http://schemas.microsoft.com/office/drawing/2014/main" xmlns="" id="{00000000-0008-0000-0300-000003010000}"/>
            </a:ext>
          </a:extLst>
        </xdr:cNvPr>
        <xdr:cNvSpPr txBox="1"/>
      </xdr:nvSpPr>
      <xdr:spPr>
        <a:xfrm>
          <a:off x="6306820" y="116707920"/>
          <a:ext cx="998220" cy="541302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8616097-75B7-4EB0-BD09-6382868C0369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220980</xdr:colOff>
      <xdr:row>434</xdr:row>
      <xdr:rowOff>45720</xdr:rowOff>
    </xdr:from>
    <xdr:to>
      <xdr:col>13</xdr:col>
      <xdr:colOff>546100</xdr:colOff>
      <xdr:row>437</xdr:row>
      <xdr:rowOff>15522</xdr:rowOff>
    </xdr:to>
    <xdr:sp macro="" textlink="Algandmed!AW240">
      <xdr:nvSpPr>
        <xdr:cNvPr id="260" name="TextBox 259">
          <a:extLst>
            <a:ext uri="{FF2B5EF4-FFF2-40B4-BE49-F238E27FC236}">
              <a16:creationId xmlns:a16="http://schemas.microsoft.com/office/drawing/2014/main" xmlns="" id="{00000000-0008-0000-0300-000004010000}"/>
            </a:ext>
          </a:extLst>
        </xdr:cNvPr>
        <xdr:cNvSpPr txBox="1"/>
      </xdr:nvSpPr>
      <xdr:spPr>
        <a:xfrm>
          <a:off x="7307580" y="116707920"/>
          <a:ext cx="1020445" cy="541302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B929C8-4415-41AC-8DC9-61D90D429BCF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40640</xdr:colOff>
      <xdr:row>363</xdr:row>
      <xdr:rowOff>91440</xdr:rowOff>
    </xdr:from>
    <xdr:to>
      <xdr:col>1</xdr:col>
      <xdr:colOff>281940</xdr:colOff>
      <xdr:row>366</xdr:row>
      <xdr:rowOff>50800</xdr:rowOff>
    </xdr:to>
    <xdr:sp macro="" textlink="Algandmed!AE184">
      <xdr:nvSpPr>
        <xdr:cNvPr id="261" name="TextBox 260">
          <a:extLst>
            <a:ext uri="{FF2B5EF4-FFF2-40B4-BE49-F238E27FC236}">
              <a16:creationId xmlns:a16="http://schemas.microsoft.com/office/drawing/2014/main" xmlns="" id="{00000000-0008-0000-0300-000005010000}"/>
            </a:ext>
          </a:extLst>
        </xdr:cNvPr>
        <xdr:cNvSpPr txBox="1"/>
      </xdr:nvSpPr>
      <xdr:spPr>
        <a:xfrm>
          <a:off x="40640" y="102275640"/>
          <a:ext cx="831850" cy="53086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F00EB1C-3B4E-429D-A5AA-14E7D3CA7CD5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</xdr:col>
      <xdr:colOff>279400</xdr:colOff>
      <xdr:row>363</xdr:row>
      <xdr:rowOff>91440</xdr:rowOff>
    </xdr:from>
    <xdr:to>
      <xdr:col>2</xdr:col>
      <xdr:colOff>520700</xdr:colOff>
      <xdr:row>366</xdr:row>
      <xdr:rowOff>50800</xdr:rowOff>
    </xdr:to>
    <xdr:sp macro="" textlink="Algandmed!AF184">
      <xdr:nvSpPr>
        <xdr:cNvPr id="262" name="TextBox 261">
          <a:extLst>
            <a:ext uri="{FF2B5EF4-FFF2-40B4-BE49-F238E27FC236}">
              <a16:creationId xmlns:a16="http://schemas.microsoft.com/office/drawing/2014/main" xmlns="" id="{00000000-0008-0000-0300-000006010000}"/>
            </a:ext>
          </a:extLst>
        </xdr:cNvPr>
        <xdr:cNvSpPr txBox="1"/>
      </xdr:nvSpPr>
      <xdr:spPr>
        <a:xfrm>
          <a:off x="869950" y="102275640"/>
          <a:ext cx="831850" cy="53086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D3EA4D0-10FB-42BB-B97C-8F0BA3B46426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4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2</xdr:col>
      <xdr:colOff>518160</xdr:colOff>
      <xdr:row>363</xdr:row>
      <xdr:rowOff>91440</xdr:rowOff>
    </xdr:from>
    <xdr:to>
      <xdr:col>4</xdr:col>
      <xdr:colOff>149860</xdr:colOff>
      <xdr:row>366</xdr:row>
      <xdr:rowOff>50800</xdr:rowOff>
    </xdr:to>
    <xdr:sp macro="" textlink="Algandmed!AG184">
      <xdr:nvSpPr>
        <xdr:cNvPr id="263" name="TextBox 262">
          <a:extLst>
            <a:ext uri="{FF2B5EF4-FFF2-40B4-BE49-F238E27FC236}">
              <a16:creationId xmlns:a16="http://schemas.microsoft.com/office/drawing/2014/main" xmlns="" id="{00000000-0008-0000-0300-000007010000}"/>
            </a:ext>
          </a:extLst>
        </xdr:cNvPr>
        <xdr:cNvSpPr txBox="1"/>
      </xdr:nvSpPr>
      <xdr:spPr>
        <a:xfrm>
          <a:off x="1699260" y="102275640"/>
          <a:ext cx="812800" cy="53086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013813-C474-47AE-ADCC-E1A41901D853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4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4</xdr:col>
      <xdr:colOff>147320</xdr:colOff>
      <xdr:row>363</xdr:row>
      <xdr:rowOff>91440</xdr:rowOff>
    </xdr:from>
    <xdr:to>
      <xdr:col>5</xdr:col>
      <xdr:colOff>388620</xdr:colOff>
      <xdr:row>366</xdr:row>
      <xdr:rowOff>50800</xdr:rowOff>
    </xdr:to>
    <xdr:sp macro="" textlink="Algandmed!AH184">
      <xdr:nvSpPr>
        <xdr:cNvPr id="264" name="TextBox 263">
          <a:extLst>
            <a:ext uri="{FF2B5EF4-FFF2-40B4-BE49-F238E27FC236}">
              <a16:creationId xmlns:a16="http://schemas.microsoft.com/office/drawing/2014/main" xmlns="" id="{00000000-0008-0000-0300-000008010000}"/>
            </a:ext>
          </a:extLst>
        </xdr:cNvPr>
        <xdr:cNvSpPr txBox="1"/>
      </xdr:nvSpPr>
      <xdr:spPr>
        <a:xfrm>
          <a:off x="2509520" y="102275640"/>
          <a:ext cx="831850" cy="53086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327FAA2-DEDD-448D-A09A-0708C5625AAC}" type="TxLink">
            <a:rPr lang="en-US" sz="1600" b="1" i="0" u="none" strike="noStrike">
              <a:solidFill>
                <a:srgbClr val="4D4D4D"/>
              </a:solidFill>
              <a:latin typeface="+mn-lt"/>
            </a:rPr>
            <a:pPr algn="ctr"/>
            <a:t>#DIV/0!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7</xdr:col>
      <xdr:colOff>198120</xdr:colOff>
      <xdr:row>363</xdr:row>
      <xdr:rowOff>78740</xdr:rowOff>
    </xdr:from>
    <xdr:to>
      <xdr:col>8</xdr:col>
      <xdr:colOff>416560</xdr:colOff>
      <xdr:row>366</xdr:row>
      <xdr:rowOff>38100</xdr:rowOff>
    </xdr:to>
    <xdr:sp macro="" textlink="Algandmed!AT184">
      <xdr:nvSpPr>
        <xdr:cNvPr id="265" name="TextBox 264">
          <a:extLst>
            <a:ext uri="{FF2B5EF4-FFF2-40B4-BE49-F238E27FC236}">
              <a16:creationId xmlns:a16="http://schemas.microsoft.com/office/drawing/2014/main" xmlns="" id="{00000000-0008-0000-0300-000009010000}"/>
            </a:ext>
          </a:extLst>
        </xdr:cNvPr>
        <xdr:cNvSpPr txBox="1"/>
      </xdr:nvSpPr>
      <xdr:spPr>
        <a:xfrm>
          <a:off x="4331970" y="102262940"/>
          <a:ext cx="808990" cy="53086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7A131D3-EA44-4B77-B40C-D6EE55462351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20,0%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8</xdr:col>
      <xdr:colOff>414020</xdr:colOff>
      <xdr:row>363</xdr:row>
      <xdr:rowOff>78740</xdr:rowOff>
    </xdr:from>
    <xdr:to>
      <xdr:col>10</xdr:col>
      <xdr:colOff>45720</xdr:colOff>
      <xdr:row>366</xdr:row>
      <xdr:rowOff>38100</xdr:rowOff>
    </xdr:to>
    <xdr:sp macro="" textlink="Algandmed!AU184">
      <xdr:nvSpPr>
        <xdr:cNvPr id="266" name="TextBox 265">
          <a:extLst>
            <a:ext uri="{FF2B5EF4-FFF2-40B4-BE49-F238E27FC236}">
              <a16:creationId xmlns:a16="http://schemas.microsoft.com/office/drawing/2014/main" xmlns="" id="{00000000-0008-0000-0300-00000A010000}"/>
            </a:ext>
          </a:extLst>
        </xdr:cNvPr>
        <xdr:cNvSpPr txBox="1"/>
      </xdr:nvSpPr>
      <xdr:spPr>
        <a:xfrm>
          <a:off x="5138420" y="102262940"/>
          <a:ext cx="812800" cy="53086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5BA59C5-7C44-4D4E-A7FD-7EFD2BA73507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4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10</xdr:col>
      <xdr:colOff>55880</xdr:colOff>
      <xdr:row>363</xdr:row>
      <xdr:rowOff>78740</xdr:rowOff>
    </xdr:from>
    <xdr:to>
      <xdr:col>11</xdr:col>
      <xdr:colOff>297180</xdr:colOff>
      <xdr:row>366</xdr:row>
      <xdr:rowOff>38100</xdr:rowOff>
    </xdr:to>
    <xdr:sp macro="" textlink="Algandmed!AV184">
      <xdr:nvSpPr>
        <xdr:cNvPr id="267" name="TextBox 266">
          <a:extLst>
            <a:ext uri="{FF2B5EF4-FFF2-40B4-BE49-F238E27FC236}">
              <a16:creationId xmlns:a16="http://schemas.microsoft.com/office/drawing/2014/main" xmlns="" id="{00000000-0008-0000-0300-00000B010000}"/>
            </a:ext>
          </a:extLst>
        </xdr:cNvPr>
        <xdr:cNvSpPr txBox="1"/>
      </xdr:nvSpPr>
      <xdr:spPr>
        <a:xfrm>
          <a:off x="5961380" y="102262940"/>
          <a:ext cx="831850" cy="53086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CAA9FC-1967-49C7-BF6B-610ECE46E482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4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11</xdr:col>
      <xdr:colOff>294640</xdr:colOff>
      <xdr:row>363</xdr:row>
      <xdr:rowOff>78740</xdr:rowOff>
    </xdr:from>
    <xdr:to>
      <xdr:col>12</xdr:col>
      <xdr:colOff>535940</xdr:colOff>
      <xdr:row>366</xdr:row>
      <xdr:rowOff>38100</xdr:rowOff>
    </xdr:to>
    <xdr:sp macro="" textlink="Algandmed!AW184">
      <xdr:nvSpPr>
        <xdr:cNvPr id="268" name="TextBox 267">
          <a:extLst>
            <a:ext uri="{FF2B5EF4-FFF2-40B4-BE49-F238E27FC236}">
              <a16:creationId xmlns:a16="http://schemas.microsoft.com/office/drawing/2014/main" xmlns="" id="{00000000-0008-0000-0300-00000C010000}"/>
            </a:ext>
          </a:extLst>
        </xdr:cNvPr>
        <xdr:cNvSpPr txBox="1"/>
      </xdr:nvSpPr>
      <xdr:spPr>
        <a:xfrm>
          <a:off x="6790690" y="102262940"/>
          <a:ext cx="831850" cy="53086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B1D8EC7-7FFA-4F2A-9477-85B96C5220FB}" type="TxLink">
            <a:rPr lang="en-US" sz="1600" b="1" i="0" u="none" strike="noStrike">
              <a:solidFill>
                <a:srgbClr val="4D4D4D"/>
              </a:solidFill>
              <a:latin typeface="+mn-lt"/>
            </a:rPr>
            <a:pPr algn="ctr"/>
            <a:t>#DIV/0!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5</xdr:col>
      <xdr:colOff>398780</xdr:colOff>
      <xdr:row>363</xdr:row>
      <xdr:rowOff>91440</xdr:rowOff>
    </xdr:from>
    <xdr:to>
      <xdr:col>6</xdr:col>
      <xdr:colOff>596374</xdr:colOff>
      <xdr:row>366</xdr:row>
      <xdr:rowOff>50800</xdr:rowOff>
    </xdr:to>
    <xdr:sp macro="" textlink="Algandmed!AI184">
      <xdr:nvSpPr>
        <xdr:cNvPr id="269" name="TextBox 268">
          <a:extLst>
            <a:ext uri="{FF2B5EF4-FFF2-40B4-BE49-F238E27FC236}">
              <a16:creationId xmlns:a16="http://schemas.microsoft.com/office/drawing/2014/main" xmlns="" id="{00000000-0008-0000-0300-00000D010000}"/>
            </a:ext>
          </a:extLst>
        </xdr:cNvPr>
        <xdr:cNvSpPr txBox="1"/>
      </xdr:nvSpPr>
      <xdr:spPr>
        <a:xfrm>
          <a:off x="3351530" y="102275640"/>
          <a:ext cx="778619" cy="53086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3C368F-937B-43A1-B8C0-7AA0D48B0726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12</xdr:col>
      <xdr:colOff>533400</xdr:colOff>
      <xdr:row>363</xdr:row>
      <xdr:rowOff>78740</xdr:rowOff>
    </xdr:from>
    <xdr:to>
      <xdr:col>13</xdr:col>
      <xdr:colOff>673100</xdr:colOff>
      <xdr:row>366</xdr:row>
      <xdr:rowOff>38100</xdr:rowOff>
    </xdr:to>
    <xdr:sp macro="" textlink="Algandmed!AX184">
      <xdr:nvSpPr>
        <xdr:cNvPr id="270" name="TextBox 269">
          <a:extLst>
            <a:ext uri="{FF2B5EF4-FFF2-40B4-BE49-F238E27FC236}">
              <a16:creationId xmlns:a16="http://schemas.microsoft.com/office/drawing/2014/main" xmlns="" id="{00000000-0008-0000-0300-00000E010000}"/>
            </a:ext>
          </a:extLst>
        </xdr:cNvPr>
        <xdr:cNvSpPr txBox="1"/>
      </xdr:nvSpPr>
      <xdr:spPr>
        <a:xfrm>
          <a:off x="7620000" y="102262940"/>
          <a:ext cx="835025" cy="53086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83AD67-7743-47F4-9E2A-B67AA879CD1A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0</xdr:col>
      <xdr:colOff>33020</xdr:colOff>
      <xdr:row>357</xdr:row>
      <xdr:rowOff>170180</xdr:rowOff>
    </xdr:from>
    <xdr:to>
      <xdr:col>1</xdr:col>
      <xdr:colOff>281940</xdr:colOff>
      <xdr:row>360</xdr:row>
      <xdr:rowOff>132080</xdr:rowOff>
    </xdr:to>
    <xdr:sp macro="" textlink="Algandmed!AE183">
      <xdr:nvSpPr>
        <xdr:cNvPr id="271" name="TextBox 270">
          <a:extLst>
            <a:ext uri="{FF2B5EF4-FFF2-40B4-BE49-F238E27FC236}">
              <a16:creationId xmlns:a16="http://schemas.microsoft.com/office/drawing/2014/main" xmlns="" id="{00000000-0008-0000-0300-00000F010000}"/>
            </a:ext>
          </a:extLst>
        </xdr:cNvPr>
        <xdr:cNvSpPr txBox="1"/>
      </xdr:nvSpPr>
      <xdr:spPr>
        <a:xfrm>
          <a:off x="33020" y="101211380"/>
          <a:ext cx="839470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816C1F-82DE-4B32-B7E5-591D03403DFE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2</a:t>
          </a:fld>
          <a:endParaRPr lang="en-US" sz="32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284480</xdr:colOff>
      <xdr:row>357</xdr:row>
      <xdr:rowOff>170180</xdr:rowOff>
    </xdr:from>
    <xdr:to>
      <xdr:col>2</xdr:col>
      <xdr:colOff>520700</xdr:colOff>
      <xdr:row>360</xdr:row>
      <xdr:rowOff>132080</xdr:rowOff>
    </xdr:to>
    <xdr:sp macro="" textlink="Algandmed!AF183">
      <xdr:nvSpPr>
        <xdr:cNvPr id="272" name="TextBox 271">
          <a:extLst>
            <a:ext uri="{FF2B5EF4-FFF2-40B4-BE49-F238E27FC236}">
              <a16:creationId xmlns:a16="http://schemas.microsoft.com/office/drawing/2014/main" xmlns="" id="{00000000-0008-0000-0300-000010010000}"/>
            </a:ext>
          </a:extLst>
        </xdr:cNvPr>
        <xdr:cNvSpPr txBox="1"/>
      </xdr:nvSpPr>
      <xdr:spPr>
        <a:xfrm>
          <a:off x="875030" y="101211380"/>
          <a:ext cx="826770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258C16-8B02-41FD-B36F-148FD81A277B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520700</xdr:colOff>
      <xdr:row>357</xdr:row>
      <xdr:rowOff>170180</xdr:rowOff>
    </xdr:from>
    <xdr:to>
      <xdr:col>4</xdr:col>
      <xdr:colOff>152400</xdr:colOff>
      <xdr:row>360</xdr:row>
      <xdr:rowOff>132080</xdr:rowOff>
    </xdr:to>
    <xdr:sp macro="" textlink="Algandmed!AG183">
      <xdr:nvSpPr>
        <xdr:cNvPr id="273" name="TextBox 272">
          <a:extLst>
            <a:ext uri="{FF2B5EF4-FFF2-40B4-BE49-F238E27FC236}">
              <a16:creationId xmlns:a16="http://schemas.microsoft.com/office/drawing/2014/main" xmlns="" id="{00000000-0008-0000-0300-000011010000}"/>
            </a:ext>
          </a:extLst>
        </xdr:cNvPr>
        <xdr:cNvSpPr txBox="1"/>
      </xdr:nvSpPr>
      <xdr:spPr>
        <a:xfrm>
          <a:off x="1701800" y="101211380"/>
          <a:ext cx="812800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11BF260-BA5A-484F-A8BD-0F8DEFF06457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2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4</xdr:col>
      <xdr:colOff>152400</xdr:colOff>
      <xdr:row>357</xdr:row>
      <xdr:rowOff>170180</xdr:rowOff>
    </xdr:from>
    <xdr:to>
      <xdr:col>5</xdr:col>
      <xdr:colOff>393700</xdr:colOff>
      <xdr:row>360</xdr:row>
      <xdr:rowOff>132080</xdr:rowOff>
    </xdr:to>
    <xdr:sp macro="" textlink="Algandmed!AH183">
      <xdr:nvSpPr>
        <xdr:cNvPr id="274" name="TextBox 273">
          <a:extLst>
            <a:ext uri="{FF2B5EF4-FFF2-40B4-BE49-F238E27FC236}">
              <a16:creationId xmlns:a16="http://schemas.microsoft.com/office/drawing/2014/main" xmlns="" id="{00000000-0008-0000-0300-000012010000}"/>
            </a:ext>
          </a:extLst>
        </xdr:cNvPr>
        <xdr:cNvSpPr txBox="1"/>
      </xdr:nvSpPr>
      <xdr:spPr>
        <a:xfrm>
          <a:off x="2514600" y="101211380"/>
          <a:ext cx="831850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2073CDB-2689-4923-A32B-3C123431B884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198120</xdr:colOff>
      <xdr:row>357</xdr:row>
      <xdr:rowOff>157480</xdr:rowOff>
    </xdr:from>
    <xdr:to>
      <xdr:col>8</xdr:col>
      <xdr:colOff>416560</xdr:colOff>
      <xdr:row>360</xdr:row>
      <xdr:rowOff>119380</xdr:rowOff>
    </xdr:to>
    <xdr:sp macro="" textlink="Algandmed!AT183">
      <xdr:nvSpPr>
        <xdr:cNvPr id="275" name="TextBox 274">
          <a:extLst>
            <a:ext uri="{FF2B5EF4-FFF2-40B4-BE49-F238E27FC236}">
              <a16:creationId xmlns:a16="http://schemas.microsoft.com/office/drawing/2014/main" xmlns="" id="{00000000-0008-0000-0300-000013010000}"/>
            </a:ext>
          </a:extLst>
        </xdr:cNvPr>
        <xdr:cNvSpPr txBox="1"/>
      </xdr:nvSpPr>
      <xdr:spPr>
        <a:xfrm>
          <a:off x="4331970" y="101198680"/>
          <a:ext cx="808990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7DC4446-3F77-47E5-8A7C-41D495BC1AF9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5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419100</xdr:colOff>
      <xdr:row>357</xdr:row>
      <xdr:rowOff>157480</xdr:rowOff>
    </xdr:from>
    <xdr:to>
      <xdr:col>10</xdr:col>
      <xdr:colOff>50800</xdr:colOff>
      <xdr:row>360</xdr:row>
      <xdr:rowOff>119380</xdr:rowOff>
    </xdr:to>
    <xdr:sp macro="" textlink="Algandmed!AU183">
      <xdr:nvSpPr>
        <xdr:cNvPr id="276" name="TextBox 275">
          <a:extLst>
            <a:ext uri="{FF2B5EF4-FFF2-40B4-BE49-F238E27FC236}">
              <a16:creationId xmlns:a16="http://schemas.microsoft.com/office/drawing/2014/main" xmlns="" id="{00000000-0008-0000-0300-000014010000}"/>
            </a:ext>
          </a:extLst>
        </xdr:cNvPr>
        <xdr:cNvSpPr txBox="1"/>
      </xdr:nvSpPr>
      <xdr:spPr>
        <a:xfrm>
          <a:off x="5143500" y="101198680"/>
          <a:ext cx="812800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437CF3-A918-4AB9-ACA4-66A2739F59B6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4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50800</xdr:colOff>
      <xdr:row>357</xdr:row>
      <xdr:rowOff>157480</xdr:rowOff>
    </xdr:from>
    <xdr:to>
      <xdr:col>11</xdr:col>
      <xdr:colOff>292100</xdr:colOff>
      <xdr:row>360</xdr:row>
      <xdr:rowOff>119380</xdr:rowOff>
    </xdr:to>
    <xdr:sp macro="" textlink="Algandmed!AV183">
      <xdr:nvSpPr>
        <xdr:cNvPr id="277" name="TextBox 276">
          <a:extLst>
            <a:ext uri="{FF2B5EF4-FFF2-40B4-BE49-F238E27FC236}">
              <a16:creationId xmlns:a16="http://schemas.microsoft.com/office/drawing/2014/main" xmlns="" id="{00000000-0008-0000-0300-000015010000}"/>
            </a:ext>
          </a:extLst>
        </xdr:cNvPr>
        <xdr:cNvSpPr txBox="1"/>
      </xdr:nvSpPr>
      <xdr:spPr>
        <a:xfrm>
          <a:off x="5956300" y="101198680"/>
          <a:ext cx="831850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A91AF9-4F99-4281-89BC-1F533FB9EF82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3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11</xdr:col>
      <xdr:colOff>292100</xdr:colOff>
      <xdr:row>357</xdr:row>
      <xdr:rowOff>157480</xdr:rowOff>
    </xdr:from>
    <xdr:to>
      <xdr:col>12</xdr:col>
      <xdr:colOff>533400</xdr:colOff>
      <xdr:row>360</xdr:row>
      <xdr:rowOff>119380</xdr:rowOff>
    </xdr:to>
    <xdr:sp macro="" textlink="Algandmed!AW183">
      <xdr:nvSpPr>
        <xdr:cNvPr id="278" name="TextBox 277">
          <a:extLst>
            <a:ext uri="{FF2B5EF4-FFF2-40B4-BE49-F238E27FC236}">
              <a16:creationId xmlns:a16="http://schemas.microsoft.com/office/drawing/2014/main" xmlns="" id="{00000000-0008-0000-0300-000016010000}"/>
            </a:ext>
          </a:extLst>
        </xdr:cNvPr>
        <xdr:cNvSpPr txBox="1"/>
      </xdr:nvSpPr>
      <xdr:spPr>
        <a:xfrm>
          <a:off x="6788150" y="101198680"/>
          <a:ext cx="831850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D9BD80-90FE-42DF-90CE-208086F84449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393700</xdr:colOff>
      <xdr:row>357</xdr:row>
      <xdr:rowOff>170180</xdr:rowOff>
    </xdr:from>
    <xdr:to>
      <xdr:col>6</xdr:col>
      <xdr:colOff>596900</xdr:colOff>
      <xdr:row>360</xdr:row>
      <xdr:rowOff>132080</xdr:rowOff>
    </xdr:to>
    <xdr:sp macro="" textlink="Algandmed!AI183">
      <xdr:nvSpPr>
        <xdr:cNvPr id="279" name="TextBox 278">
          <a:extLst>
            <a:ext uri="{FF2B5EF4-FFF2-40B4-BE49-F238E27FC236}">
              <a16:creationId xmlns:a16="http://schemas.microsoft.com/office/drawing/2014/main" xmlns="" id="{00000000-0008-0000-0300-000017010000}"/>
            </a:ext>
          </a:extLst>
        </xdr:cNvPr>
        <xdr:cNvSpPr txBox="1"/>
      </xdr:nvSpPr>
      <xdr:spPr>
        <a:xfrm>
          <a:off x="3346450" y="101211380"/>
          <a:ext cx="784225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0442B-2615-405B-B578-5758F0DD255E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533400</xdr:colOff>
      <xdr:row>357</xdr:row>
      <xdr:rowOff>157480</xdr:rowOff>
    </xdr:from>
    <xdr:to>
      <xdr:col>13</xdr:col>
      <xdr:colOff>673100</xdr:colOff>
      <xdr:row>360</xdr:row>
      <xdr:rowOff>119380</xdr:rowOff>
    </xdr:to>
    <xdr:sp macro="" textlink="Algandmed!AX183">
      <xdr:nvSpPr>
        <xdr:cNvPr id="280" name="TextBox 279">
          <a:extLst>
            <a:ext uri="{FF2B5EF4-FFF2-40B4-BE49-F238E27FC236}">
              <a16:creationId xmlns:a16="http://schemas.microsoft.com/office/drawing/2014/main" xmlns="" id="{00000000-0008-0000-0300-000018010000}"/>
            </a:ext>
          </a:extLst>
        </xdr:cNvPr>
        <xdr:cNvSpPr txBox="1"/>
      </xdr:nvSpPr>
      <xdr:spPr>
        <a:xfrm>
          <a:off x="7620000" y="101198680"/>
          <a:ext cx="835025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98CC63A-04FA-4B47-B393-E4D71B5A4FA4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38100</xdr:colOff>
      <xdr:row>369</xdr:row>
      <xdr:rowOff>12700</xdr:rowOff>
    </xdr:from>
    <xdr:to>
      <xdr:col>1</xdr:col>
      <xdr:colOff>274320</xdr:colOff>
      <xdr:row>371</xdr:row>
      <xdr:rowOff>152400</xdr:rowOff>
    </xdr:to>
    <xdr:sp macro="" textlink="Algandmed!AE234">
      <xdr:nvSpPr>
        <xdr:cNvPr id="281" name="TextBox 280">
          <a:extLst>
            <a:ext uri="{FF2B5EF4-FFF2-40B4-BE49-F238E27FC236}">
              <a16:creationId xmlns:a16="http://schemas.microsoft.com/office/drawing/2014/main" xmlns="" id="{00000000-0008-0000-0300-000019010000}"/>
            </a:ext>
          </a:extLst>
        </xdr:cNvPr>
        <xdr:cNvSpPr txBox="1"/>
      </xdr:nvSpPr>
      <xdr:spPr>
        <a:xfrm>
          <a:off x="38100" y="103339900"/>
          <a:ext cx="826770" cy="520700"/>
        </a:xfrm>
        <a:prstGeom prst="rect">
          <a:avLst/>
        </a:prstGeom>
        <a:solidFill>
          <a:srgbClr val="FFFFFF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DD4BD4-459A-4D33-9196-B2D097C2C22D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50,0%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</xdr:col>
      <xdr:colOff>276860</xdr:colOff>
      <xdr:row>369</xdr:row>
      <xdr:rowOff>12700</xdr:rowOff>
    </xdr:from>
    <xdr:to>
      <xdr:col>2</xdr:col>
      <xdr:colOff>525780</xdr:colOff>
      <xdr:row>371</xdr:row>
      <xdr:rowOff>152400</xdr:rowOff>
    </xdr:to>
    <xdr:sp macro="" textlink="Algandmed!AF234">
      <xdr:nvSpPr>
        <xdr:cNvPr id="282" name="TextBox 281">
          <a:extLst>
            <a:ext uri="{FF2B5EF4-FFF2-40B4-BE49-F238E27FC236}">
              <a16:creationId xmlns:a16="http://schemas.microsoft.com/office/drawing/2014/main" xmlns="" id="{00000000-0008-0000-0300-00001A010000}"/>
            </a:ext>
          </a:extLst>
        </xdr:cNvPr>
        <xdr:cNvSpPr txBox="1"/>
      </xdr:nvSpPr>
      <xdr:spPr>
        <a:xfrm>
          <a:off x="867410" y="103339900"/>
          <a:ext cx="839470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78A3E9-2AAB-4E2F-8930-68B63558B076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100,0%</a:t>
          </a:fld>
          <a:endParaRPr lang="en-US" sz="24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2</xdr:col>
      <xdr:colOff>515620</xdr:colOff>
      <xdr:row>369</xdr:row>
      <xdr:rowOff>12700</xdr:rowOff>
    </xdr:from>
    <xdr:to>
      <xdr:col>4</xdr:col>
      <xdr:colOff>154940</xdr:colOff>
      <xdr:row>371</xdr:row>
      <xdr:rowOff>152400</xdr:rowOff>
    </xdr:to>
    <xdr:sp macro="" textlink="Algandmed!AG234">
      <xdr:nvSpPr>
        <xdr:cNvPr id="283" name="TextBox 282">
          <a:extLst>
            <a:ext uri="{FF2B5EF4-FFF2-40B4-BE49-F238E27FC236}">
              <a16:creationId xmlns:a16="http://schemas.microsoft.com/office/drawing/2014/main" xmlns="" id="{00000000-0008-0000-0300-00001B010000}"/>
            </a:ext>
          </a:extLst>
        </xdr:cNvPr>
        <xdr:cNvSpPr txBox="1"/>
      </xdr:nvSpPr>
      <xdr:spPr>
        <a:xfrm>
          <a:off x="1696720" y="103339900"/>
          <a:ext cx="820420" cy="5207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3C2810-5059-492A-B149-7A487F760175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4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4</xdr:col>
      <xdr:colOff>157480</xdr:colOff>
      <xdr:row>369</xdr:row>
      <xdr:rowOff>12700</xdr:rowOff>
    </xdr:from>
    <xdr:to>
      <xdr:col>5</xdr:col>
      <xdr:colOff>393700</xdr:colOff>
      <xdr:row>371</xdr:row>
      <xdr:rowOff>152400</xdr:rowOff>
    </xdr:to>
    <xdr:sp macro="" textlink="Algandmed!AH234">
      <xdr:nvSpPr>
        <xdr:cNvPr id="284" name="TextBox 283">
          <a:extLst>
            <a:ext uri="{FF2B5EF4-FFF2-40B4-BE49-F238E27FC236}">
              <a16:creationId xmlns:a16="http://schemas.microsoft.com/office/drawing/2014/main" xmlns="" id="{00000000-0008-0000-0300-00001C010000}"/>
            </a:ext>
          </a:extLst>
        </xdr:cNvPr>
        <xdr:cNvSpPr txBox="1"/>
      </xdr:nvSpPr>
      <xdr:spPr>
        <a:xfrm>
          <a:off x="2519680" y="103339900"/>
          <a:ext cx="826770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62BA094-1C07-471A-97A5-923C541CC38E}" type="TxLink">
            <a:rPr lang="en-US" sz="1600" b="1" i="0" u="none" strike="noStrike">
              <a:solidFill>
                <a:srgbClr val="4D4D4D"/>
              </a:solidFill>
              <a:latin typeface="+mn-lt"/>
            </a:rPr>
            <a:pPr algn="ctr"/>
            <a:t>#DIV/0!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7</xdr:col>
      <xdr:colOff>203200</xdr:colOff>
      <xdr:row>369</xdr:row>
      <xdr:rowOff>0</xdr:rowOff>
    </xdr:from>
    <xdr:to>
      <xdr:col>8</xdr:col>
      <xdr:colOff>421640</xdr:colOff>
      <xdr:row>371</xdr:row>
      <xdr:rowOff>139700</xdr:rowOff>
    </xdr:to>
    <xdr:sp macro="" textlink="Algandmed!AT234">
      <xdr:nvSpPr>
        <xdr:cNvPr id="285" name="TextBox 284">
          <a:extLst>
            <a:ext uri="{FF2B5EF4-FFF2-40B4-BE49-F238E27FC236}">
              <a16:creationId xmlns:a16="http://schemas.microsoft.com/office/drawing/2014/main" xmlns="" id="{00000000-0008-0000-0300-00001D010000}"/>
            </a:ext>
          </a:extLst>
        </xdr:cNvPr>
        <xdr:cNvSpPr txBox="1"/>
      </xdr:nvSpPr>
      <xdr:spPr>
        <a:xfrm>
          <a:off x="4337050" y="103327200"/>
          <a:ext cx="808990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7DA39A7-5814-4B17-90D9-6BCC0020AB0C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60,0%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8</xdr:col>
      <xdr:colOff>419100</xdr:colOff>
      <xdr:row>369</xdr:row>
      <xdr:rowOff>0</xdr:rowOff>
    </xdr:from>
    <xdr:to>
      <xdr:col>10</xdr:col>
      <xdr:colOff>50800</xdr:colOff>
      <xdr:row>371</xdr:row>
      <xdr:rowOff>139700</xdr:rowOff>
    </xdr:to>
    <xdr:sp macro="" textlink="Algandmed!AU234">
      <xdr:nvSpPr>
        <xdr:cNvPr id="286" name="TextBox 285">
          <a:extLst>
            <a:ext uri="{FF2B5EF4-FFF2-40B4-BE49-F238E27FC236}">
              <a16:creationId xmlns:a16="http://schemas.microsoft.com/office/drawing/2014/main" xmlns="" id="{00000000-0008-0000-0300-00001E010000}"/>
            </a:ext>
          </a:extLst>
        </xdr:cNvPr>
        <xdr:cNvSpPr txBox="1"/>
      </xdr:nvSpPr>
      <xdr:spPr>
        <a:xfrm>
          <a:off x="5143500" y="103327200"/>
          <a:ext cx="812800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854475-7076-4ED5-8AC2-7004AE1462F4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50,0%</a:t>
          </a:fld>
          <a:endParaRPr lang="en-US" sz="24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10</xdr:col>
      <xdr:colOff>50800</xdr:colOff>
      <xdr:row>369</xdr:row>
      <xdr:rowOff>0</xdr:rowOff>
    </xdr:from>
    <xdr:to>
      <xdr:col>11</xdr:col>
      <xdr:colOff>292100</xdr:colOff>
      <xdr:row>371</xdr:row>
      <xdr:rowOff>139700</xdr:rowOff>
    </xdr:to>
    <xdr:sp macro="" textlink="Algandmed!AV234">
      <xdr:nvSpPr>
        <xdr:cNvPr id="287" name="TextBox 286">
          <a:extLst>
            <a:ext uri="{FF2B5EF4-FFF2-40B4-BE49-F238E27FC236}">
              <a16:creationId xmlns:a16="http://schemas.microsoft.com/office/drawing/2014/main" xmlns="" id="{00000000-0008-0000-0300-00001F010000}"/>
            </a:ext>
          </a:extLst>
        </xdr:cNvPr>
        <xdr:cNvSpPr txBox="1"/>
      </xdr:nvSpPr>
      <xdr:spPr>
        <a:xfrm>
          <a:off x="5956300" y="103327200"/>
          <a:ext cx="831850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2B95326-08D6-42E9-AE85-3F42FB41CF17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4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11</xdr:col>
      <xdr:colOff>292100</xdr:colOff>
      <xdr:row>369</xdr:row>
      <xdr:rowOff>0</xdr:rowOff>
    </xdr:from>
    <xdr:to>
      <xdr:col>12</xdr:col>
      <xdr:colOff>528320</xdr:colOff>
      <xdr:row>371</xdr:row>
      <xdr:rowOff>139700</xdr:rowOff>
    </xdr:to>
    <xdr:sp macro="" textlink="Algandmed!AW234">
      <xdr:nvSpPr>
        <xdr:cNvPr id="288" name="TextBox 287">
          <a:extLst>
            <a:ext uri="{FF2B5EF4-FFF2-40B4-BE49-F238E27FC236}">
              <a16:creationId xmlns:a16="http://schemas.microsoft.com/office/drawing/2014/main" xmlns="" id="{00000000-0008-0000-0300-000020010000}"/>
            </a:ext>
          </a:extLst>
        </xdr:cNvPr>
        <xdr:cNvSpPr txBox="1"/>
      </xdr:nvSpPr>
      <xdr:spPr>
        <a:xfrm>
          <a:off x="6788150" y="103327200"/>
          <a:ext cx="826770" cy="5207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A875FC0-73C1-46AB-8EC4-E4AF2AA00B2D}" type="TxLink">
            <a:rPr lang="en-US" sz="1600" b="1" i="0" u="none" strike="noStrike">
              <a:solidFill>
                <a:srgbClr val="4D4D4D"/>
              </a:solidFill>
              <a:latin typeface="+mn-lt"/>
            </a:rPr>
            <a:pPr algn="ctr"/>
            <a:t>#DIV/0!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5</xdr:col>
      <xdr:colOff>393700</xdr:colOff>
      <xdr:row>369</xdr:row>
      <xdr:rowOff>12700</xdr:rowOff>
    </xdr:from>
    <xdr:to>
      <xdr:col>6</xdr:col>
      <xdr:colOff>596900</xdr:colOff>
      <xdr:row>371</xdr:row>
      <xdr:rowOff>152400</xdr:rowOff>
    </xdr:to>
    <xdr:sp macro="" textlink="Algandmed!AI234">
      <xdr:nvSpPr>
        <xdr:cNvPr id="289" name="TextBox 288">
          <a:extLst>
            <a:ext uri="{FF2B5EF4-FFF2-40B4-BE49-F238E27FC236}">
              <a16:creationId xmlns:a16="http://schemas.microsoft.com/office/drawing/2014/main" xmlns="" id="{00000000-0008-0000-0300-000021010000}"/>
            </a:ext>
          </a:extLst>
        </xdr:cNvPr>
        <xdr:cNvSpPr txBox="1"/>
      </xdr:nvSpPr>
      <xdr:spPr>
        <a:xfrm>
          <a:off x="3346450" y="103339900"/>
          <a:ext cx="784225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7C323-67F8-4E2D-B837-0DBEF4AEC9F0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100,0%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12</xdr:col>
      <xdr:colOff>530860</xdr:colOff>
      <xdr:row>369</xdr:row>
      <xdr:rowOff>0</xdr:rowOff>
    </xdr:from>
    <xdr:to>
      <xdr:col>13</xdr:col>
      <xdr:colOff>678180</xdr:colOff>
      <xdr:row>371</xdr:row>
      <xdr:rowOff>139700</xdr:rowOff>
    </xdr:to>
    <xdr:sp macro="" textlink="Algandmed!AX234">
      <xdr:nvSpPr>
        <xdr:cNvPr id="290" name="TextBox 289">
          <a:extLst>
            <a:ext uri="{FF2B5EF4-FFF2-40B4-BE49-F238E27FC236}">
              <a16:creationId xmlns:a16="http://schemas.microsoft.com/office/drawing/2014/main" xmlns="" id="{00000000-0008-0000-0300-000022010000}"/>
            </a:ext>
          </a:extLst>
        </xdr:cNvPr>
        <xdr:cNvSpPr txBox="1"/>
      </xdr:nvSpPr>
      <xdr:spPr>
        <a:xfrm>
          <a:off x="7617460" y="103327200"/>
          <a:ext cx="842645" cy="5207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54D9252-5337-4B6D-9555-89084D52D1CF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100,0%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0</xdr:col>
      <xdr:colOff>180340</xdr:colOff>
      <xdr:row>426</xdr:row>
      <xdr:rowOff>25400</xdr:rowOff>
    </xdr:from>
    <xdr:to>
      <xdr:col>1</xdr:col>
      <xdr:colOff>607060</xdr:colOff>
      <xdr:row>428</xdr:row>
      <xdr:rowOff>152400</xdr:rowOff>
    </xdr:to>
    <xdr:sp macro="" textlink="Algandmed!AE191">
      <xdr:nvSpPr>
        <xdr:cNvPr id="291" name="TextBox 290">
          <a:extLst>
            <a:ext uri="{FF2B5EF4-FFF2-40B4-BE49-F238E27FC236}">
              <a16:creationId xmlns:a16="http://schemas.microsoft.com/office/drawing/2014/main" xmlns="" id="{00000000-0008-0000-0300-000023010000}"/>
            </a:ext>
          </a:extLst>
        </xdr:cNvPr>
        <xdr:cNvSpPr txBox="1"/>
      </xdr:nvSpPr>
      <xdr:spPr>
        <a:xfrm>
          <a:off x="180340" y="115163600"/>
          <a:ext cx="998220" cy="508000"/>
        </a:xfrm>
        <a:prstGeom prst="rect">
          <a:avLst/>
        </a:prstGeom>
        <a:solidFill>
          <a:sysClr val="window" lastClr="FFFFFF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7B48EA9-D4E8-4238-8BAA-A0763EC0C584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0</xdr:colOff>
      <xdr:row>426</xdr:row>
      <xdr:rowOff>25400</xdr:rowOff>
    </xdr:from>
    <xdr:to>
      <xdr:col>3</xdr:col>
      <xdr:colOff>426720</xdr:colOff>
      <xdr:row>428</xdr:row>
      <xdr:rowOff>152400</xdr:rowOff>
    </xdr:to>
    <xdr:sp macro="" textlink="Algandmed!AF191">
      <xdr:nvSpPr>
        <xdr:cNvPr id="292" name="TextBox 291">
          <a:extLst>
            <a:ext uri="{FF2B5EF4-FFF2-40B4-BE49-F238E27FC236}">
              <a16:creationId xmlns:a16="http://schemas.microsoft.com/office/drawing/2014/main" xmlns="" id="{00000000-0008-0000-0300-000024010000}"/>
            </a:ext>
          </a:extLst>
        </xdr:cNvPr>
        <xdr:cNvSpPr txBox="1"/>
      </xdr:nvSpPr>
      <xdr:spPr>
        <a:xfrm>
          <a:off x="1181100" y="115163600"/>
          <a:ext cx="1017270" cy="5080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FCAF893-05EB-4ACC-BB15-21B8D7132751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17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429260</xdr:colOff>
      <xdr:row>426</xdr:row>
      <xdr:rowOff>25400</xdr:rowOff>
    </xdr:from>
    <xdr:to>
      <xdr:col>5</xdr:col>
      <xdr:colOff>246380</xdr:colOff>
      <xdr:row>428</xdr:row>
      <xdr:rowOff>152400</xdr:rowOff>
    </xdr:to>
    <xdr:sp macro="" textlink="Algandmed!AG191">
      <xdr:nvSpPr>
        <xdr:cNvPr id="293" name="TextBox 292">
          <a:extLst>
            <a:ext uri="{FF2B5EF4-FFF2-40B4-BE49-F238E27FC236}">
              <a16:creationId xmlns:a16="http://schemas.microsoft.com/office/drawing/2014/main" xmlns="" id="{00000000-0008-0000-0300-000025010000}"/>
            </a:ext>
          </a:extLst>
        </xdr:cNvPr>
        <xdr:cNvSpPr txBox="1"/>
      </xdr:nvSpPr>
      <xdr:spPr>
        <a:xfrm>
          <a:off x="2200910" y="115163600"/>
          <a:ext cx="998220" cy="5080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D5CF262-45F8-4CAC-AABD-1877285A0FBF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6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236220</xdr:colOff>
      <xdr:row>426</xdr:row>
      <xdr:rowOff>25400</xdr:rowOff>
    </xdr:from>
    <xdr:to>
      <xdr:col>7</xdr:col>
      <xdr:colOff>53340</xdr:colOff>
      <xdr:row>428</xdr:row>
      <xdr:rowOff>152400</xdr:rowOff>
    </xdr:to>
    <xdr:sp macro="" textlink="Algandmed!AH191">
      <xdr:nvSpPr>
        <xdr:cNvPr id="294" name="TextBox 293">
          <a:extLst>
            <a:ext uri="{FF2B5EF4-FFF2-40B4-BE49-F238E27FC236}">
              <a16:creationId xmlns:a16="http://schemas.microsoft.com/office/drawing/2014/main" xmlns="" id="{00000000-0008-0000-0300-000026010000}"/>
            </a:ext>
          </a:extLst>
        </xdr:cNvPr>
        <xdr:cNvSpPr txBox="1"/>
      </xdr:nvSpPr>
      <xdr:spPr>
        <a:xfrm>
          <a:off x="3188970" y="115163600"/>
          <a:ext cx="998220" cy="5080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45697A-BC5A-4EF4-A277-1C346FB12098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9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165100</xdr:colOff>
      <xdr:row>426</xdr:row>
      <xdr:rowOff>25400</xdr:rowOff>
    </xdr:from>
    <xdr:to>
      <xdr:col>8</xdr:col>
      <xdr:colOff>591820</xdr:colOff>
      <xdr:row>428</xdr:row>
      <xdr:rowOff>152400</xdr:rowOff>
    </xdr:to>
    <xdr:sp macro="" textlink="Algandmed!AT191">
      <xdr:nvSpPr>
        <xdr:cNvPr id="295" name="TextBox 294">
          <a:extLst>
            <a:ext uri="{FF2B5EF4-FFF2-40B4-BE49-F238E27FC236}">
              <a16:creationId xmlns:a16="http://schemas.microsoft.com/office/drawing/2014/main" xmlns="" id="{00000000-0008-0000-0300-000027010000}"/>
            </a:ext>
          </a:extLst>
        </xdr:cNvPr>
        <xdr:cNvSpPr txBox="1"/>
      </xdr:nvSpPr>
      <xdr:spPr>
        <a:xfrm>
          <a:off x="4298950" y="115163600"/>
          <a:ext cx="1017270" cy="5080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A26F25-51F8-4C1C-AB81-84199B916DD1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4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594360</xdr:colOff>
      <xdr:row>426</xdr:row>
      <xdr:rowOff>25400</xdr:rowOff>
    </xdr:from>
    <xdr:to>
      <xdr:col>10</xdr:col>
      <xdr:colOff>411480</xdr:colOff>
      <xdr:row>428</xdr:row>
      <xdr:rowOff>152400</xdr:rowOff>
    </xdr:to>
    <xdr:sp macro="" textlink="Algandmed!AU191">
      <xdr:nvSpPr>
        <xdr:cNvPr id="296" name="TextBox 295">
          <a:extLst>
            <a:ext uri="{FF2B5EF4-FFF2-40B4-BE49-F238E27FC236}">
              <a16:creationId xmlns:a16="http://schemas.microsoft.com/office/drawing/2014/main" xmlns="" id="{00000000-0008-0000-0300-000028010000}"/>
            </a:ext>
          </a:extLst>
        </xdr:cNvPr>
        <xdr:cNvSpPr txBox="1"/>
      </xdr:nvSpPr>
      <xdr:spPr>
        <a:xfrm>
          <a:off x="5318760" y="115163600"/>
          <a:ext cx="998220" cy="5080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420B6CD-EBC4-4293-A7D1-B3C1D1932681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19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401320</xdr:colOff>
      <xdr:row>426</xdr:row>
      <xdr:rowOff>25400</xdr:rowOff>
    </xdr:from>
    <xdr:to>
      <xdr:col>12</xdr:col>
      <xdr:colOff>218440</xdr:colOff>
      <xdr:row>428</xdr:row>
      <xdr:rowOff>152400</xdr:rowOff>
    </xdr:to>
    <xdr:sp macro="" textlink="Algandmed!AV191">
      <xdr:nvSpPr>
        <xdr:cNvPr id="297" name="TextBox 296">
          <a:extLst>
            <a:ext uri="{FF2B5EF4-FFF2-40B4-BE49-F238E27FC236}">
              <a16:creationId xmlns:a16="http://schemas.microsoft.com/office/drawing/2014/main" xmlns="" id="{00000000-0008-0000-0300-000029010000}"/>
            </a:ext>
          </a:extLst>
        </xdr:cNvPr>
        <xdr:cNvSpPr txBox="1"/>
      </xdr:nvSpPr>
      <xdr:spPr>
        <a:xfrm>
          <a:off x="6306820" y="115163600"/>
          <a:ext cx="998220" cy="5080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6F13638-397A-4869-AE68-A8A80F7A452B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5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220980</xdr:colOff>
      <xdr:row>426</xdr:row>
      <xdr:rowOff>25400</xdr:rowOff>
    </xdr:from>
    <xdr:to>
      <xdr:col>13</xdr:col>
      <xdr:colOff>546100</xdr:colOff>
      <xdr:row>428</xdr:row>
      <xdr:rowOff>152400</xdr:rowOff>
    </xdr:to>
    <xdr:sp macro="" textlink="Algandmed!AW191">
      <xdr:nvSpPr>
        <xdr:cNvPr id="298" name="TextBox 297">
          <a:extLst>
            <a:ext uri="{FF2B5EF4-FFF2-40B4-BE49-F238E27FC236}">
              <a16:creationId xmlns:a16="http://schemas.microsoft.com/office/drawing/2014/main" xmlns="" id="{00000000-0008-0000-0300-00002A010000}"/>
            </a:ext>
          </a:extLst>
        </xdr:cNvPr>
        <xdr:cNvSpPr txBox="1"/>
      </xdr:nvSpPr>
      <xdr:spPr>
        <a:xfrm>
          <a:off x="7307580" y="115163600"/>
          <a:ext cx="1020445" cy="5080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D49D7A3-421B-4B00-B0FA-1076C9E2B904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4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180340</xdr:colOff>
      <xdr:row>431</xdr:row>
      <xdr:rowOff>101600</xdr:rowOff>
    </xdr:from>
    <xdr:to>
      <xdr:col>1</xdr:col>
      <xdr:colOff>607060</xdr:colOff>
      <xdr:row>434</xdr:row>
      <xdr:rowOff>50800</xdr:rowOff>
    </xdr:to>
    <xdr:sp macro="" textlink="Algandmed!AE192">
      <xdr:nvSpPr>
        <xdr:cNvPr id="299" name="TextBox 298">
          <a:extLst>
            <a:ext uri="{FF2B5EF4-FFF2-40B4-BE49-F238E27FC236}">
              <a16:creationId xmlns:a16="http://schemas.microsoft.com/office/drawing/2014/main" xmlns="" id="{00000000-0008-0000-0300-00002B010000}"/>
            </a:ext>
          </a:extLst>
        </xdr:cNvPr>
        <xdr:cNvSpPr txBox="1"/>
      </xdr:nvSpPr>
      <xdr:spPr>
        <a:xfrm>
          <a:off x="180340" y="116192300"/>
          <a:ext cx="998220" cy="5207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D8173CE-2861-43F6-B512-E18C62ED85FF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2</xdr:col>
      <xdr:colOff>0</xdr:colOff>
      <xdr:row>431</xdr:row>
      <xdr:rowOff>101600</xdr:rowOff>
    </xdr:from>
    <xdr:to>
      <xdr:col>3</xdr:col>
      <xdr:colOff>426720</xdr:colOff>
      <xdr:row>434</xdr:row>
      <xdr:rowOff>50800</xdr:rowOff>
    </xdr:to>
    <xdr:sp macro="" textlink="Algandmed!AF192">
      <xdr:nvSpPr>
        <xdr:cNvPr id="300" name="TextBox 299">
          <a:extLst>
            <a:ext uri="{FF2B5EF4-FFF2-40B4-BE49-F238E27FC236}">
              <a16:creationId xmlns:a16="http://schemas.microsoft.com/office/drawing/2014/main" xmlns="" id="{00000000-0008-0000-0300-00002C010000}"/>
            </a:ext>
          </a:extLst>
        </xdr:cNvPr>
        <xdr:cNvSpPr txBox="1"/>
      </xdr:nvSpPr>
      <xdr:spPr>
        <a:xfrm>
          <a:off x="1181100" y="116192300"/>
          <a:ext cx="1017270" cy="5207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6CA30DE-C184-4071-86AE-459AA9038A77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3</xdr:col>
      <xdr:colOff>429260</xdr:colOff>
      <xdr:row>431</xdr:row>
      <xdr:rowOff>101600</xdr:rowOff>
    </xdr:from>
    <xdr:to>
      <xdr:col>5</xdr:col>
      <xdr:colOff>246380</xdr:colOff>
      <xdr:row>434</xdr:row>
      <xdr:rowOff>50800</xdr:rowOff>
    </xdr:to>
    <xdr:sp macro="" textlink="Algandmed!AG192">
      <xdr:nvSpPr>
        <xdr:cNvPr id="301" name="TextBox 300">
          <a:extLst>
            <a:ext uri="{FF2B5EF4-FFF2-40B4-BE49-F238E27FC236}">
              <a16:creationId xmlns:a16="http://schemas.microsoft.com/office/drawing/2014/main" xmlns="" id="{00000000-0008-0000-0300-00002D010000}"/>
            </a:ext>
          </a:extLst>
        </xdr:cNvPr>
        <xdr:cNvSpPr txBox="1"/>
      </xdr:nvSpPr>
      <xdr:spPr>
        <a:xfrm>
          <a:off x="2200910" y="116192300"/>
          <a:ext cx="998220" cy="5207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ECBCA0F-CB36-4B40-8C7E-0541D2A71716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5</xdr:col>
      <xdr:colOff>236220</xdr:colOff>
      <xdr:row>431</xdr:row>
      <xdr:rowOff>101600</xdr:rowOff>
    </xdr:from>
    <xdr:to>
      <xdr:col>7</xdr:col>
      <xdr:colOff>53340</xdr:colOff>
      <xdr:row>434</xdr:row>
      <xdr:rowOff>50800</xdr:rowOff>
    </xdr:to>
    <xdr:sp macro="" textlink="Algandmed!AH192">
      <xdr:nvSpPr>
        <xdr:cNvPr id="302" name="TextBox 301">
          <a:extLst>
            <a:ext uri="{FF2B5EF4-FFF2-40B4-BE49-F238E27FC236}">
              <a16:creationId xmlns:a16="http://schemas.microsoft.com/office/drawing/2014/main" xmlns="" id="{00000000-0008-0000-0300-00002E010000}"/>
            </a:ext>
          </a:extLst>
        </xdr:cNvPr>
        <xdr:cNvSpPr txBox="1"/>
      </xdr:nvSpPr>
      <xdr:spPr>
        <a:xfrm>
          <a:off x="3188970" y="116192300"/>
          <a:ext cx="998220" cy="5207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BB572CE-1C9E-4150-A88A-7D9DDD588FB3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7</xdr:col>
      <xdr:colOff>165100</xdr:colOff>
      <xdr:row>431</xdr:row>
      <xdr:rowOff>101600</xdr:rowOff>
    </xdr:from>
    <xdr:to>
      <xdr:col>8</xdr:col>
      <xdr:colOff>591820</xdr:colOff>
      <xdr:row>434</xdr:row>
      <xdr:rowOff>50800</xdr:rowOff>
    </xdr:to>
    <xdr:sp macro="" textlink="Algandmed!AT192">
      <xdr:nvSpPr>
        <xdr:cNvPr id="303" name="TextBox 302">
          <a:extLst>
            <a:ext uri="{FF2B5EF4-FFF2-40B4-BE49-F238E27FC236}">
              <a16:creationId xmlns:a16="http://schemas.microsoft.com/office/drawing/2014/main" xmlns="" id="{00000000-0008-0000-0300-00002F010000}"/>
            </a:ext>
          </a:extLst>
        </xdr:cNvPr>
        <xdr:cNvSpPr txBox="1"/>
      </xdr:nvSpPr>
      <xdr:spPr>
        <a:xfrm>
          <a:off x="4298950" y="116192300"/>
          <a:ext cx="1017270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438FDC9-FB37-4D93-8CF6-4A4E77D90BA4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8</xdr:col>
      <xdr:colOff>594360</xdr:colOff>
      <xdr:row>431</xdr:row>
      <xdr:rowOff>101600</xdr:rowOff>
    </xdr:from>
    <xdr:to>
      <xdr:col>10</xdr:col>
      <xdr:colOff>411480</xdr:colOff>
      <xdr:row>434</xdr:row>
      <xdr:rowOff>50800</xdr:rowOff>
    </xdr:to>
    <xdr:sp macro="" textlink="Algandmed!AU192">
      <xdr:nvSpPr>
        <xdr:cNvPr id="304" name="TextBox 303">
          <a:extLst>
            <a:ext uri="{FF2B5EF4-FFF2-40B4-BE49-F238E27FC236}">
              <a16:creationId xmlns:a16="http://schemas.microsoft.com/office/drawing/2014/main" xmlns="" id="{00000000-0008-0000-0300-000030010000}"/>
            </a:ext>
          </a:extLst>
        </xdr:cNvPr>
        <xdr:cNvSpPr txBox="1"/>
      </xdr:nvSpPr>
      <xdr:spPr>
        <a:xfrm>
          <a:off x="5318760" y="116192300"/>
          <a:ext cx="998220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30FF247-94A6-484D-83EE-15A6A4552A49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10</xdr:col>
      <xdr:colOff>401320</xdr:colOff>
      <xdr:row>431</xdr:row>
      <xdr:rowOff>101600</xdr:rowOff>
    </xdr:from>
    <xdr:to>
      <xdr:col>12</xdr:col>
      <xdr:colOff>218440</xdr:colOff>
      <xdr:row>434</xdr:row>
      <xdr:rowOff>50800</xdr:rowOff>
    </xdr:to>
    <xdr:sp macro="" textlink="Algandmed!AV192">
      <xdr:nvSpPr>
        <xdr:cNvPr id="305" name="TextBox 304">
          <a:extLst>
            <a:ext uri="{FF2B5EF4-FFF2-40B4-BE49-F238E27FC236}">
              <a16:creationId xmlns:a16="http://schemas.microsoft.com/office/drawing/2014/main" xmlns="" id="{00000000-0008-0000-0300-000031010000}"/>
            </a:ext>
          </a:extLst>
        </xdr:cNvPr>
        <xdr:cNvSpPr txBox="1"/>
      </xdr:nvSpPr>
      <xdr:spPr>
        <a:xfrm>
          <a:off x="6306820" y="116192300"/>
          <a:ext cx="998220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D7BFA0F-3924-46B7-A9CC-95842B38975F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12</xdr:col>
      <xdr:colOff>220980</xdr:colOff>
      <xdr:row>431</xdr:row>
      <xdr:rowOff>101600</xdr:rowOff>
    </xdr:from>
    <xdr:to>
      <xdr:col>13</xdr:col>
      <xdr:colOff>546100</xdr:colOff>
      <xdr:row>434</xdr:row>
      <xdr:rowOff>50800</xdr:rowOff>
    </xdr:to>
    <xdr:sp macro="" textlink="Algandmed!AW192">
      <xdr:nvSpPr>
        <xdr:cNvPr id="306" name="TextBox 305">
          <a:extLst>
            <a:ext uri="{FF2B5EF4-FFF2-40B4-BE49-F238E27FC236}">
              <a16:creationId xmlns:a16="http://schemas.microsoft.com/office/drawing/2014/main" xmlns="" id="{00000000-0008-0000-0300-000032010000}"/>
            </a:ext>
          </a:extLst>
        </xdr:cNvPr>
        <xdr:cNvSpPr txBox="1"/>
      </xdr:nvSpPr>
      <xdr:spPr>
        <a:xfrm>
          <a:off x="7307580" y="116192300"/>
          <a:ext cx="1020445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8626CB0-BCEA-4C2B-B34D-EC817785AFF0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0</xdr:col>
      <xdr:colOff>180340</xdr:colOff>
      <xdr:row>437</xdr:row>
      <xdr:rowOff>12700</xdr:rowOff>
    </xdr:from>
    <xdr:to>
      <xdr:col>1</xdr:col>
      <xdr:colOff>607060</xdr:colOff>
      <xdr:row>439</xdr:row>
      <xdr:rowOff>152400</xdr:rowOff>
    </xdr:to>
    <xdr:sp macro="" textlink="Algandmed!AE242">
      <xdr:nvSpPr>
        <xdr:cNvPr id="307" name="TextBox 306">
          <a:extLst>
            <a:ext uri="{FF2B5EF4-FFF2-40B4-BE49-F238E27FC236}">
              <a16:creationId xmlns:a16="http://schemas.microsoft.com/office/drawing/2014/main" xmlns="" id="{00000000-0008-0000-0300-000033010000}"/>
            </a:ext>
          </a:extLst>
        </xdr:cNvPr>
        <xdr:cNvSpPr txBox="1"/>
      </xdr:nvSpPr>
      <xdr:spPr>
        <a:xfrm>
          <a:off x="180340" y="117246400"/>
          <a:ext cx="998220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3F0A7CB-0105-4AFE-93D4-6A0F548C1020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10,0%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2</xdr:col>
      <xdr:colOff>0</xdr:colOff>
      <xdr:row>437</xdr:row>
      <xdr:rowOff>12700</xdr:rowOff>
    </xdr:from>
    <xdr:to>
      <xdr:col>3</xdr:col>
      <xdr:colOff>426720</xdr:colOff>
      <xdr:row>439</xdr:row>
      <xdr:rowOff>152400</xdr:rowOff>
    </xdr:to>
    <xdr:sp macro="" textlink="Algandmed!AF242">
      <xdr:nvSpPr>
        <xdr:cNvPr id="308" name="TextBox 307">
          <a:extLst>
            <a:ext uri="{FF2B5EF4-FFF2-40B4-BE49-F238E27FC236}">
              <a16:creationId xmlns:a16="http://schemas.microsoft.com/office/drawing/2014/main" xmlns="" id="{00000000-0008-0000-0300-000034010000}"/>
            </a:ext>
          </a:extLst>
        </xdr:cNvPr>
        <xdr:cNvSpPr txBox="1"/>
      </xdr:nvSpPr>
      <xdr:spPr>
        <a:xfrm>
          <a:off x="1181100" y="117246400"/>
          <a:ext cx="1017270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89AC05-CD01-4932-A15A-389D6728634D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3</xdr:col>
      <xdr:colOff>429260</xdr:colOff>
      <xdr:row>437</xdr:row>
      <xdr:rowOff>12700</xdr:rowOff>
    </xdr:from>
    <xdr:to>
      <xdr:col>5</xdr:col>
      <xdr:colOff>246380</xdr:colOff>
      <xdr:row>439</xdr:row>
      <xdr:rowOff>152400</xdr:rowOff>
    </xdr:to>
    <xdr:sp macro="" textlink="Algandmed!AG242">
      <xdr:nvSpPr>
        <xdr:cNvPr id="309" name="TextBox 308">
          <a:extLst>
            <a:ext uri="{FF2B5EF4-FFF2-40B4-BE49-F238E27FC236}">
              <a16:creationId xmlns:a16="http://schemas.microsoft.com/office/drawing/2014/main" xmlns="" id="{00000000-0008-0000-0300-000035010000}"/>
            </a:ext>
          </a:extLst>
        </xdr:cNvPr>
        <xdr:cNvSpPr txBox="1"/>
      </xdr:nvSpPr>
      <xdr:spPr>
        <a:xfrm>
          <a:off x="2200910" y="117246400"/>
          <a:ext cx="998220" cy="5207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98D06D9-934B-4462-8C47-10850ECA0158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5</xdr:col>
      <xdr:colOff>236220</xdr:colOff>
      <xdr:row>437</xdr:row>
      <xdr:rowOff>12700</xdr:rowOff>
    </xdr:from>
    <xdr:to>
      <xdr:col>7</xdr:col>
      <xdr:colOff>53340</xdr:colOff>
      <xdr:row>439</xdr:row>
      <xdr:rowOff>152400</xdr:rowOff>
    </xdr:to>
    <xdr:sp macro="" textlink="Algandmed!AH242">
      <xdr:nvSpPr>
        <xdr:cNvPr id="310" name="TextBox 309">
          <a:extLst>
            <a:ext uri="{FF2B5EF4-FFF2-40B4-BE49-F238E27FC236}">
              <a16:creationId xmlns:a16="http://schemas.microsoft.com/office/drawing/2014/main" xmlns="" id="{00000000-0008-0000-0300-000036010000}"/>
            </a:ext>
          </a:extLst>
        </xdr:cNvPr>
        <xdr:cNvSpPr txBox="1"/>
      </xdr:nvSpPr>
      <xdr:spPr>
        <a:xfrm>
          <a:off x="3188970" y="117246400"/>
          <a:ext cx="998220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CBB6376-F280-4C07-ADFB-3BF9A7729754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7</xdr:col>
      <xdr:colOff>165100</xdr:colOff>
      <xdr:row>437</xdr:row>
      <xdr:rowOff>12700</xdr:rowOff>
    </xdr:from>
    <xdr:to>
      <xdr:col>8</xdr:col>
      <xdr:colOff>591820</xdr:colOff>
      <xdr:row>439</xdr:row>
      <xdr:rowOff>152400</xdr:rowOff>
    </xdr:to>
    <xdr:sp macro="" textlink="Algandmed!AT242">
      <xdr:nvSpPr>
        <xdr:cNvPr id="311" name="TextBox 310">
          <a:extLst>
            <a:ext uri="{FF2B5EF4-FFF2-40B4-BE49-F238E27FC236}">
              <a16:creationId xmlns:a16="http://schemas.microsoft.com/office/drawing/2014/main" xmlns="" id="{00000000-0008-0000-0300-000037010000}"/>
            </a:ext>
          </a:extLst>
        </xdr:cNvPr>
        <xdr:cNvSpPr txBox="1"/>
      </xdr:nvSpPr>
      <xdr:spPr>
        <a:xfrm>
          <a:off x="4298950" y="117246400"/>
          <a:ext cx="1017270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5147307-E39D-4CB6-93A5-B38E2E2E79C3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8</xdr:col>
      <xdr:colOff>594360</xdr:colOff>
      <xdr:row>437</xdr:row>
      <xdr:rowOff>12700</xdr:rowOff>
    </xdr:from>
    <xdr:to>
      <xdr:col>10</xdr:col>
      <xdr:colOff>411480</xdr:colOff>
      <xdr:row>439</xdr:row>
      <xdr:rowOff>152400</xdr:rowOff>
    </xdr:to>
    <xdr:sp macro="" textlink="Algandmed!AU242">
      <xdr:nvSpPr>
        <xdr:cNvPr id="312" name="TextBox 311">
          <a:extLst>
            <a:ext uri="{FF2B5EF4-FFF2-40B4-BE49-F238E27FC236}">
              <a16:creationId xmlns:a16="http://schemas.microsoft.com/office/drawing/2014/main" xmlns="" id="{00000000-0008-0000-0300-000038010000}"/>
            </a:ext>
          </a:extLst>
        </xdr:cNvPr>
        <xdr:cNvSpPr txBox="1"/>
      </xdr:nvSpPr>
      <xdr:spPr>
        <a:xfrm>
          <a:off x="5318760" y="117246400"/>
          <a:ext cx="998220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258211C-7711-42CE-8F82-AFA11B9C9531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10,5%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10</xdr:col>
      <xdr:colOff>401320</xdr:colOff>
      <xdr:row>437</xdr:row>
      <xdr:rowOff>12700</xdr:rowOff>
    </xdr:from>
    <xdr:to>
      <xdr:col>12</xdr:col>
      <xdr:colOff>218440</xdr:colOff>
      <xdr:row>439</xdr:row>
      <xdr:rowOff>152400</xdr:rowOff>
    </xdr:to>
    <xdr:sp macro="" textlink="Algandmed!AV242">
      <xdr:nvSpPr>
        <xdr:cNvPr id="313" name="TextBox 312">
          <a:extLst>
            <a:ext uri="{FF2B5EF4-FFF2-40B4-BE49-F238E27FC236}">
              <a16:creationId xmlns:a16="http://schemas.microsoft.com/office/drawing/2014/main" xmlns="" id="{00000000-0008-0000-0300-000039010000}"/>
            </a:ext>
          </a:extLst>
        </xdr:cNvPr>
        <xdr:cNvSpPr txBox="1"/>
      </xdr:nvSpPr>
      <xdr:spPr>
        <a:xfrm>
          <a:off x="6306820" y="117246400"/>
          <a:ext cx="998220" cy="5207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62A3C59-69DD-479E-BFE8-7164E6865775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12</xdr:col>
      <xdr:colOff>220980</xdr:colOff>
      <xdr:row>437</xdr:row>
      <xdr:rowOff>12700</xdr:rowOff>
    </xdr:from>
    <xdr:to>
      <xdr:col>13</xdr:col>
      <xdr:colOff>546100</xdr:colOff>
      <xdr:row>439</xdr:row>
      <xdr:rowOff>152400</xdr:rowOff>
    </xdr:to>
    <xdr:sp macro="" textlink="Algandmed!AW242">
      <xdr:nvSpPr>
        <xdr:cNvPr id="314" name="TextBox 313">
          <a:extLst>
            <a:ext uri="{FF2B5EF4-FFF2-40B4-BE49-F238E27FC236}">
              <a16:creationId xmlns:a16="http://schemas.microsoft.com/office/drawing/2014/main" xmlns="" id="{00000000-0008-0000-0300-00003A010000}"/>
            </a:ext>
          </a:extLst>
        </xdr:cNvPr>
        <xdr:cNvSpPr txBox="1"/>
      </xdr:nvSpPr>
      <xdr:spPr>
        <a:xfrm>
          <a:off x="7307580" y="117246400"/>
          <a:ext cx="1020445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F077B5-8528-4A08-B5CD-DE2D7D5CB9F8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</xdr:col>
      <xdr:colOff>457200</xdr:colOff>
      <xdr:row>466</xdr:row>
      <xdr:rowOff>25400</xdr:rowOff>
    </xdr:from>
    <xdr:to>
      <xdr:col>3</xdr:col>
      <xdr:colOff>457200</xdr:colOff>
      <xdr:row>468</xdr:row>
      <xdr:rowOff>12700</xdr:rowOff>
    </xdr:to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xmlns="" id="{00000000-0008-0000-0300-00007C010000}"/>
            </a:ext>
          </a:extLst>
        </xdr:cNvPr>
        <xdr:cNvSpPr txBox="1"/>
      </xdr:nvSpPr>
      <xdr:spPr>
        <a:xfrm>
          <a:off x="1047750" y="122783600"/>
          <a:ext cx="1181100" cy="368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WE</a:t>
          </a:r>
        </a:p>
      </xdr:txBody>
    </xdr:sp>
    <xdr:clientData/>
  </xdr:twoCellAnchor>
  <xdr:twoCellAnchor>
    <xdr:from>
      <xdr:col>8</xdr:col>
      <xdr:colOff>495300</xdr:colOff>
      <xdr:row>466</xdr:row>
      <xdr:rowOff>12700</xdr:rowOff>
    </xdr:from>
    <xdr:to>
      <xdr:col>11</xdr:col>
      <xdr:colOff>127000</xdr:colOff>
      <xdr:row>468</xdr:row>
      <xdr:rowOff>25400</xdr:rowOff>
    </xdr:to>
    <xdr:sp macro="" textlink="">
      <xdr:nvSpPr>
        <xdr:cNvPr id="381" name="TextBox 380">
          <a:extLst>
            <a:ext uri="{FF2B5EF4-FFF2-40B4-BE49-F238E27FC236}">
              <a16:creationId xmlns:a16="http://schemas.microsoft.com/office/drawing/2014/main" xmlns="" id="{00000000-0008-0000-0300-00007D010000}"/>
            </a:ext>
          </a:extLst>
        </xdr:cNvPr>
        <xdr:cNvSpPr txBox="1"/>
      </xdr:nvSpPr>
      <xdr:spPr>
        <a:xfrm>
          <a:off x="5219700" y="122770900"/>
          <a:ext cx="140335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THEM</a:t>
          </a:r>
        </a:p>
      </xdr:txBody>
    </xdr:sp>
    <xdr:clientData/>
  </xdr:twoCellAnchor>
  <xdr:twoCellAnchor>
    <xdr:from>
      <xdr:col>2</xdr:col>
      <xdr:colOff>381000</xdr:colOff>
      <xdr:row>444</xdr:row>
      <xdr:rowOff>76200</xdr:rowOff>
    </xdr:from>
    <xdr:to>
      <xdr:col>4</xdr:col>
      <xdr:colOff>381000</xdr:colOff>
      <xdr:row>446</xdr:row>
      <xdr:rowOff>63500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xmlns="" id="{00000000-0008-0000-0300-00007E010000}"/>
            </a:ext>
          </a:extLst>
        </xdr:cNvPr>
        <xdr:cNvSpPr txBox="1"/>
      </xdr:nvSpPr>
      <xdr:spPr>
        <a:xfrm>
          <a:off x="1562100" y="118643400"/>
          <a:ext cx="1181100" cy="368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WE</a:t>
          </a:r>
        </a:p>
      </xdr:txBody>
    </xdr:sp>
    <xdr:clientData/>
  </xdr:twoCellAnchor>
  <xdr:twoCellAnchor>
    <xdr:from>
      <xdr:col>9</xdr:col>
      <xdr:colOff>241300</xdr:colOff>
      <xdr:row>444</xdr:row>
      <xdr:rowOff>152400</xdr:rowOff>
    </xdr:from>
    <xdr:to>
      <xdr:col>11</xdr:col>
      <xdr:colOff>482600</xdr:colOff>
      <xdr:row>446</xdr:row>
      <xdr:rowOff>165100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xmlns="" id="{00000000-0008-0000-0300-00007F010000}"/>
            </a:ext>
          </a:extLst>
        </xdr:cNvPr>
        <xdr:cNvSpPr txBox="1"/>
      </xdr:nvSpPr>
      <xdr:spPr>
        <a:xfrm>
          <a:off x="5556250" y="118719600"/>
          <a:ext cx="142240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THEM</a:t>
          </a:r>
        </a:p>
      </xdr:txBody>
    </xdr:sp>
    <xdr:clientData/>
  </xdr:twoCellAnchor>
  <xdr:twoCellAnchor>
    <xdr:from>
      <xdr:col>1</xdr:col>
      <xdr:colOff>127000</xdr:colOff>
      <xdr:row>398</xdr:row>
      <xdr:rowOff>26555</xdr:rowOff>
    </xdr:from>
    <xdr:to>
      <xdr:col>3</xdr:col>
      <xdr:colOff>127000</xdr:colOff>
      <xdr:row>399</xdr:row>
      <xdr:rowOff>82713</xdr:rowOff>
    </xdr:to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xmlns="" id="{00000000-0008-0000-0300-000080010000}"/>
            </a:ext>
          </a:extLst>
        </xdr:cNvPr>
        <xdr:cNvSpPr txBox="1"/>
      </xdr:nvSpPr>
      <xdr:spPr>
        <a:xfrm>
          <a:off x="717550" y="108878255"/>
          <a:ext cx="1181100" cy="2466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WE</a:t>
          </a:r>
        </a:p>
      </xdr:txBody>
    </xdr:sp>
    <xdr:clientData/>
  </xdr:twoCellAnchor>
  <xdr:twoCellAnchor>
    <xdr:from>
      <xdr:col>8</xdr:col>
      <xdr:colOff>165100</xdr:colOff>
      <xdr:row>398</xdr:row>
      <xdr:rowOff>13856</xdr:rowOff>
    </xdr:from>
    <xdr:to>
      <xdr:col>10</xdr:col>
      <xdr:colOff>406400</xdr:colOff>
      <xdr:row>399</xdr:row>
      <xdr:rowOff>87173</xdr:rowOff>
    </xdr:to>
    <xdr:sp macro="" textlink="">
      <xdr:nvSpPr>
        <xdr:cNvPr id="385" name="TextBox 384">
          <a:extLst>
            <a:ext uri="{FF2B5EF4-FFF2-40B4-BE49-F238E27FC236}">
              <a16:creationId xmlns:a16="http://schemas.microsoft.com/office/drawing/2014/main" xmlns="" id="{00000000-0008-0000-0300-000081010000}"/>
            </a:ext>
          </a:extLst>
        </xdr:cNvPr>
        <xdr:cNvSpPr txBox="1"/>
      </xdr:nvSpPr>
      <xdr:spPr>
        <a:xfrm>
          <a:off x="4889500" y="108865556"/>
          <a:ext cx="1422400" cy="2638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THEM</a:t>
          </a:r>
        </a:p>
      </xdr:txBody>
    </xdr:sp>
    <xdr:clientData/>
  </xdr:twoCellAnchor>
  <xdr:twoCellAnchor>
    <xdr:from>
      <xdr:col>1</xdr:col>
      <xdr:colOff>215900</xdr:colOff>
      <xdr:row>378</xdr:row>
      <xdr:rowOff>165100</xdr:rowOff>
    </xdr:from>
    <xdr:to>
      <xdr:col>3</xdr:col>
      <xdr:colOff>215900</xdr:colOff>
      <xdr:row>380</xdr:row>
      <xdr:rowOff>152400</xdr:rowOff>
    </xdr:to>
    <xdr:sp macro="" textlink="">
      <xdr:nvSpPr>
        <xdr:cNvPr id="386" name="TextBox 385">
          <a:extLst>
            <a:ext uri="{FF2B5EF4-FFF2-40B4-BE49-F238E27FC236}">
              <a16:creationId xmlns:a16="http://schemas.microsoft.com/office/drawing/2014/main" xmlns="" id="{00000000-0008-0000-0300-000082010000}"/>
            </a:ext>
          </a:extLst>
        </xdr:cNvPr>
        <xdr:cNvSpPr txBox="1"/>
      </xdr:nvSpPr>
      <xdr:spPr>
        <a:xfrm>
          <a:off x="806450" y="105206800"/>
          <a:ext cx="1181100" cy="368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WE</a:t>
          </a:r>
        </a:p>
      </xdr:txBody>
    </xdr:sp>
    <xdr:clientData/>
  </xdr:twoCellAnchor>
  <xdr:twoCellAnchor>
    <xdr:from>
      <xdr:col>8</xdr:col>
      <xdr:colOff>254000</xdr:colOff>
      <xdr:row>378</xdr:row>
      <xdr:rowOff>152400</xdr:rowOff>
    </xdr:from>
    <xdr:to>
      <xdr:col>10</xdr:col>
      <xdr:colOff>495300</xdr:colOff>
      <xdr:row>380</xdr:row>
      <xdr:rowOff>165100</xdr:rowOff>
    </xdr:to>
    <xdr:sp macro="" textlink="">
      <xdr:nvSpPr>
        <xdr:cNvPr id="387" name="TextBox 386">
          <a:extLst>
            <a:ext uri="{FF2B5EF4-FFF2-40B4-BE49-F238E27FC236}">
              <a16:creationId xmlns:a16="http://schemas.microsoft.com/office/drawing/2014/main" xmlns="" id="{00000000-0008-0000-0300-000083010000}"/>
            </a:ext>
          </a:extLst>
        </xdr:cNvPr>
        <xdr:cNvSpPr txBox="1"/>
      </xdr:nvSpPr>
      <xdr:spPr>
        <a:xfrm>
          <a:off x="4978400" y="105194100"/>
          <a:ext cx="142240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THEM</a:t>
          </a:r>
        </a:p>
      </xdr:txBody>
    </xdr:sp>
    <xdr:clientData/>
  </xdr:twoCellAnchor>
  <xdr:twoCellAnchor>
    <xdr:from>
      <xdr:col>1</xdr:col>
      <xdr:colOff>431800</xdr:colOff>
      <xdr:row>326</xdr:row>
      <xdr:rowOff>109219</xdr:rowOff>
    </xdr:from>
    <xdr:to>
      <xdr:col>3</xdr:col>
      <xdr:colOff>431800</xdr:colOff>
      <xdr:row>328</xdr:row>
      <xdr:rowOff>96519</xdr:rowOff>
    </xdr:to>
    <xdr:sp macro="" textlink="">
      <xdr:nvSpPr>
        <xdr:cNvPr id="388" name="TextBox 387">
          <a:extLst>
            <a:ext uri="{FF2B5EF4-FFF2-40B4-BE49-F238E27FC236}">
              <a16:creationId xmlns:a16="http://schemas.microsoft.com/office/drawing/2014/main" xmlns="" id="{00000000-0008-0000-0300-000084010000}"/>
            </a:ext>
          </a:extLst>
        </xdr:cNvPr>
        <xdr:cNvSpPr txBox="1"/>
      </xdr:nvSpPr>
      <xdr:spPr>
        <a:xfrm>
          <a:off x="1022350" y="94101919"/>
          <a:ext cx="1181100" cy="368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WE</a:t>
          </a:r>
        </a:p>
      </xdr:txBody>
    </xdr:sp>
    <xdr:clientData/>
  </xdr:twoCellAnchor>
  <xdr:twoCellAnchor>
    <xdr:from>
      <xdr:col>8</xdr:col>
      <xdr:colOff>431800</xdr:colOff>
      <xdr:row>326</xdr:row>
      <xdr:rowOff>160019</xdr:rowOff>
    </xdr:from>
    <xdr:to>
      <xdr:col>11</xdr:col>
      <xdr:colOff>63500</xdr:colOff>
      <xdr:row>328</xdr:row>
      <xdr:rowOff>172719</xdr:rowOff>
    </xdr:to>
    <xdr:sp macro="" textlink="">
      <xdr:nvSpPr>
        <xdr:cNvPr id="389" name="TextBox 388">
          <a:extLst>
            <a:ext uri="{FF2B5EF4-FFF2-40B4-BE49-F238E27FC236}">
              <a16:creationId xmlns:a16="http://schemas.microsoft.com/office/drawing/2014/main" xmlns="" id="{00000000-0008-0000-0300-000085010000}"/>
            </a:ext>
          </a:extLst>
        </xdr:cNvPr>
        <xdr:cNvSpPr txBox="1"/>
      </xdr:nvSpPr>
      <xdr:spPr>
        <a:xfrm>
          <a:off x="5156200" y="94152719"/>
          <a:ext cx="140335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THEM</a:t>
          </a:r>
        </a:p>
      </xdr:txBody>
    </xdr:sp>
    <xdr:clientData/>
  </xdr:twoCellAnchor>
  <xdr:twoCellAnchor>
    <xdr:from>
      <xdr:col>2</xdr:col>
      <xdr:colOff>0</xdr:colOff>
      <xdr:row>304</xdr:row>
      <xdr:rowOff>25400</xdr:rowOff>
    </xdr:from>
    <xdr:to>
      <xdr:col>4</xdr:col>
      <xdr:colOff>0</xdr:colOff>
      <xdr:row>306</xdr:row>
      <xdr:rowOff>12700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xmlns="" id="{00000000-0008-0000-0300-000086010000}"/>
            </a:ext>
          </a:extLst>
        </xdr:cNvPr>
        <xdr:cNvSpPr txBox="1"/>
      </xdr:nvSpPr>
      <xdr:spPr>
        <a:xfrm>
          <a:off x="1181100" y="89827100"/>
          <a:ext cx="1181100" cy="368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WE </a:t>
          </a:r>
        </a:p>
      </xdr:txBody>
    </xdr:sp>
    <xdr:clientData/>
  </xdr:twoCellAnchor>
  <xdr:twoCellAnchor>
    <xdr:from>
      <xdr:col>10</xdr:col>
      <xdr:colOff>63500</xdr:colOff>
      <xdr:row>304</xdr:row>
      <xdr:rowOff>0</xdr:rowOff>
    </xdr:from>
    <xdr:to>
      <xdr:col>12</xdr:col>
      <xdr:colOff>304800</xdr:colOff>
      <xdr:row>306</xdr:row>
      <xdr:rowOff>12700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xmlns="" id="{00000000-0008-0000-0300-000087010000}"/>
            </a:ext>
          </a:extLst>
        </xdr:cNvPr>
        <xdr:cNvSpPr txBox="1"/>
      </xdr:nvSpPr>
      <xdr:spPr>
        <a:xfrm>
          <a:off x="5969000" y="89801700"/>
          <a:ext cx="142240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THEM </a:t>
          </a:r>
        </a:p>
      </xdr:txBody>
    </xdr:sp>
    <xdr:clientData/>
  </xdr:twoCellAnchor>
  <xdr:twoCellAnchor>
    <xdr:from>
      <xdr:col>2</xdr:col>
      <xdr:colOff>246950</xdr:colOff>
      <xdr:row>82</xdr:row>
      <xdr:rowOff>56220</xdr:rowOff>
    </xdr:from>
    <xdr:to>
      <xdr:col>12</xdr:col>
      <xdr:colOff>23431</xdr:colOff>
      <xdr:row>86</xdr:row>
      <xdr:rowOff>38439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xmlns="" id="{00000000-0008-0000-0300-000090010000}"/>
            </a:ext>
          </a:extLst>
        </xdr:cNvPr>
        <xdr:cNvSpPr txBox="1"/>
      </xdr:nvSpPr>
      <xdr:spPr>
        <a:xfrm>
          <a:off x="1434774" y="15677220"/>
          <a:ext cx="5715598" cy="744219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WIN - DRAW - LOST</a:t>
          </a:r>
          <a:endParaRPr lang="en-US" sz="28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508000</xdr:colOff>
      <xdr:row>449</xdr:row>
      <xdr:rowOff>25400</xdr:rowOff>
    </xdr:from>
    <xdr:to>
      <xdr:col>12</xdr:col>
      <xdr:colOff>228600</xdr:colOff>
      <xdr:row>459</xdr:row>
      <xdr:rowOff>25400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xmlns="" id="{00000000-0008-0000-0300-000091010000}"/>
            </a:ext>
          </a:extLst>
        </xdr:cNvPr>
        <xdr:cNvSpPr txBox="1"/>
      </xdr:nvSpPr>
      <xdr:spPr>
        <a:xfrm>
          <a:off x="5232400" y="119545100"/>
          <a:ext cx="2082800" cy="1905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6600" b="1">
              <a:solidFill>
                <a:srgbClr val="4D4D4D"/>
              </a:solidFill>
              <a:latin typeface="Hanse" panose="02000000000000000000" pitchFamily="50" charset="0"/>
            </a:rPr>
            <a:t>0</a:t>
          </a:r>
        </a:p>
      </xdr:txBody>
    </xdr:sp>
    <xdr:clientData/>
  </xdr:twoCellAnchor>
  <xdr:twoCellAnchor>
    <xdr:from>
      <xdr:col>4</xdr:col>
      <xdr:colOff>114300</xdr:colOff>
      <xdr:row>376</xdr:row>
      <xdr:rowOff>12700</xdr:rowOff>
    </xdr:from>
    <xdr:to>
      <xdr:col>8</xdr:col>
      <xdr:colOff>0</xdr:colOff>
      <xdr:row>380</xdr:row>
      <xdr:rowOff>0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xmlns="" id="{00000000-0008-0000-0300-000092010000}"/>
            </a:ext>
          </a:extLst>
        </xdr:cNvPr>
        <xdr:cNvSpPr txBox="1"/>
      </xdr:nvSpPr>
      <xdr:spPr>
        <a:xfrm>
          <a:off x="2476500" y="104673400"/>
          <a:ext cx="2247900" cy="749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600" b="1">
              <a:solidFill>
                <a:srgbClr val="4D4D4D"/>
              </a:solidFill>
              <a:latin typeface="Hanse" panose="02000000000000000000" pitchFamily="50" charset="0"/>
            </a:rPr>
            <a:t>GOALS</a:t>
          </a:r>
        </a:p>
      </xdr:txBody>
    </xdr:sp>
    <xdr:clientData/>
  </xdr:twoCellAnchor>
  <xdr:twoCellAnchor>
    <xdr:from>
      <xdr:col>4</xdr:col>
      <xdr:colOff>12700</xdr:colOff>
      <xdr:row>394</xdr:row>
      <xdr:rowOff>130464</xdr:rowOff>
    </xdr:from>
    <xdr:to>
      <xdr:col>7</xdr:col>
      <xdr:colOff>508000</xdr:colOff>
      <xdr:row>398</xdr:row>
      <xdr:rowOff>117764</xdr:rowOff>
    </xdr:to>
    <xdr:sp macro="" textlink="">
      <xdr:nvSpPr>
        <xdr:cNvPr id="403" name="TextBox 402">
          <a:extLst>
            <a:ext uri="{FF2B5EF4-FFF2-40B4-BE49-F238E27FC236}">
              <a16:creationId xmlns:a16="http://schemas.microsoft.com/office/drawing/2014/main" xmlns="" id="{00000000-0008-0000-0300-000093010000}"/>
            </a:ext>
          </a:extLst>
        </xdr:cNvPr>
        <xdr:cNvSpPr txBox="1"/>
      </xdr:nvSpPr>
      <xdr:spPr>
        <a:xfrm>
          <a:off x="2374900" y="108220164"/>
          <a:ext cx="2266950" cy="749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600" b="1">
              <a:solidFill>
                <a:srgbClr val="4D4D4D"/>
              </a:solidFill>
              <a:latin typeface="Hanse" panose="02000000000000000000" pitchFamily="50" charset="0"/>
            </a:rPr>
            <a:t>SHOTS</a:t>
          </a:r>
        </a:p>
      </xdr:txBody>
    </xdr:sp>
    <xdr:clientData/>
  </xdr:twoCellAnchor>
  <xdr:twoCellAnchor>
    <xdr:from>
      <xdr:col>1</xdr:col>
      <xdr:colOff>531986</xdr:colOff>
      <xdr:row>241</xdr:row>
      <xdr:rowOff>49306</xdr:rowOff>
    </xdr:from>
    <xdr:to>
      <xdr:col>12</xdr:col>
      <xdr:colOff>102378</xdr:colOff>
      <xdr:row>264</xdr:row>
      <xdr:rowOff>145677</xdr:rowOff>
    </xdr:to>
    <xdr:graphicFrame macro="">
      <xdr:nvGraphicFramePr>
        <xdr:cNvPr id="405" name="Chart 404">
          <a:extLst>
            <a:ext uri="{FF2B5EF4-FFF2-40B4-BE49-F238E27FC236}">
              <a16:creationId xmlns:a16="http://schemas.microsoft.com/office/drawing/2014/main" xmlns="" id="{00000000-0008-0000-0300-00009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154940</xdr:colOff>
      <xdr:row>291</xdr:row>
      <xdr:rowOff>160020</xdr:rowOff>
    </xdr:from>
    <xdr:to>
      <xdr:col>6</xdr:col>
      <xdr:colOff>586740</xdr:colOff>
      <xdr:row>294</xdr:row>
      <xdr:rowOff>139700</xdr:rowOff>
    </xdr:to>
    <xdr:sp macro="" textlink="Algandmed!AG158">
      <xdr:nvSpPr>
        <xdr:cNvPr id="406" name="TextBox 405">
          <a:extLst>
            <a:ext uri="{FF2B5EF4-FFF2-40B4-BE49-F238E27FC236}">
              <a16:creationId xmlns:a16="http://schemas.microsoft.com/office/drawing/2014/main" xmlns="" id="{00000000-0008-0000-0300-000096010000}"/>
            </a:ext>
          </a:extLst>
        </xdr:cNvPr>
        <xdr:cNvSpPr txBox="1"/>
      </xdr:nvSpPr>
      <xdr:spPr>
        <a:xfrm>
          <a:off x="3107690" y="87485220"/>
          <a:ext cx="1022350" cy="55118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803A0A0-2A92-4370-8F85-66D5F3768AFB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</xdr:col>
      <xdr:colOff>510540</xdr:colOff>
      <xdr:row>291</xdr:row>
      <xdr:rowOff>160020</xdr:rowOff>
    </xdr:from>
    <xdr:to>
      <xdr:col>3</xdr:col>
      <xdr:colOff>332740</xdr:colOff>
      <xdr:row>294</xdr:row>
      <xdr:rowOff>139700</xdr:rowOff>
    </xdr:to>
    <xdr:sp macro="" textlink="Algandmed!AE158">
      <xdr:nvSpPr>
        <xdr:cNvPr id="407" name="TextBox 406">
          <a:extLst>
            <a:ext uri="{FF2B5EF4-FFF2-40B4-BE49-F238E27FC236}">
              <a16:creationId xmlns:a16="http://schemas.microsoft.com/office/drawing/2014/main" xmlns="" id="{00000000-0008-0000-0300-000097010000}"/>
            </a:ext>
          </a:extLst>
        </xdr:cNvPr>
        <xdr:cNvSpPr txBox="1"/>
      </xdr:nvSpPr>
      <xdr:spPr>
        <a:xfrm>
          <a:off x="1101090" y="87485220"/>
          <a:ext cx="1003300" cy="55118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A826C6F-B478-450B-B980-BC635B4EBD4E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5</xdr:col>
      <xdr:colOff>406400</xdr:colOff>
      <xdr:row>301</xdr:row>
      <xdr:rowOff>152400</xdr:rowOff>
    </xdr:from>
    <xdr:to>
      <xdr:col>9</xdr:col>
      <xdr:colOff>190500</xdr:colOff>
      <xdr:row>307</xdr:row>
      <xdr:rowOff>12700</xdr:rowOff>
    </xdr:to>
    <xdr:sp macro="" textlink="">
      <xdr:nvSpPr>
        <xdr:cNvPr id="408" name="TextBox 407">
          <a:extLst>
            <a:ext uri="{FF2B5EF4-FFF2-40B4-BE49-F238E27FC236}">
              <a16:creationId xmlns:a16="http://schemas.microsoft.com/office/drawing/2014/main" xmlns="" id="{00000000-0008-0000-0300-000098010000}"/>
            </a:ext>
          </a:extLst>
        </xdr:cNvPr>
        <xdr:cNvSpPr txBox="1"/>
      </xdr:nvSpPr>
      <xdr:spPr>
        <a:xfrm>
          <a:off x="3359150" y="89382600"/>
          <a:ext cx="2146300" cy="1003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4400" b="1">
              <a:solidFill>
                <a:srgbClr val="4D4D4D"/>
              </a:solidFill>
              <a:latin typeface="Hanse" panose="02000000000000000000" pitchFamily="50" charset="0"/>
            </a:rPr>
            <a:t>GOALS</a:t>
          </a:r>
        </a:p>
        <a:p>
          <a:endParaRPr lang="et-EE" sz="1100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101600</xdr:colOff>
      <xdr:row>320</xdr:row>
      <xdr:rowOff>80736</xdr:rowOff>
    </xdr:from>
    <xdr:to>
      <xdr:col>8</xdr:col>
      <xdr:colOff>495300</xdr:colOff>
      <xdr:row>325</xdr:row>
      <xdr:rowOff>118836</xdr:rowOff>
    </xdr:to>
    <xdr:sp macro="" textlink="">
      <xdr:nvSpPr>
        <xdr:cNvPr id="409" name="TextBox 408">
          <a:extLst>
            <a:ext uri="{FF2B5EF4-FFF2-40B4-BE49-F238E27FC236}">
              <a16:creationId xmlns:a16="http://schemas.microsoft.com/office/drawing/2014/main" xmlns="" id="{00000000-0008-0000-0300-000099010000}"/>
            </a:ext>
          </a:extLst>
        </xdr:cNvPr>
        <xdr:cNvSpPr txBox="1"/>
      </xdr:nvSpPr>
      <xdr:spPr>
        <a:xfrm>
          <a:off x="3299279" y="61435343"/>
          <a:ext cx="2312307" cy="990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4400" b="1">
              <a:solidFill>
                <a:srgbClr val="4D4D4D"/>
              </a:solidFill>
              <a:latin typeface="Hanse" panose="02000000000000000000" pitchFamily="50" charset="0"/>
            </a:rPr>
            <a:t>SHOTS</a:t>
          </a:r>
        </a:p>
        <a:p>
          <a:endParaRPr lang="et-EE" sz="1100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25400</xdr:colOff>
      <xdr:row>447</xdr:row>
      <xdr:rowOff>12700</xdr:rowOff>
    </xdr:from>
    <xdr:to>
      <xdr:col>13</xdr:col>
      <xdr:colOff>419100</xdr:colOff>
      <xdr:row>461</xdr:row>
      <xdr:rowOff>38100</xdr:rowOff>
    </xdr:to>
    <xdr:graphicFrame macro="">
      <xdr:nvGraphicFramePr>
        <xdr:cNvPr id="410" name="Chart 409">
          <a:extLst>
            <a:ext uri="{FF2B5EF4-FFF2-40B4-BE49-F238E27FC236}">
              <a16:creationId xmlns:a16="http://schemas.microsoft.com/office/drawing/2014/main" xmlns="" id="{00000000-0008-0000-0300-00009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</xdr:col>
      <xdr:colOff>434340</xdr:colOff>
      <xdr:row>493</xdr:row>
      <xdr:rowOff>139700</xdr:rowOff>
    </xdr:from>
    <xdr:to>
      <xdr:col>13</xdr:col>
      <xdr:colOff>76200</xdr:colOff>
      <xdr:row>497</xdr:row>
      <xdr:rowOff>87769</xdr:rowOff>
    </xdr:to>
    <xdr:sp macro="" textlink="">
      <xdr:nvSpPr>
        <xdr:cNvPr id="727" name="TextBox 726">
          <a:extLst>
            <a:ext uri="{FF2B5EF4-FFF2-40B4-BE49-F238E27FC236}">
              <a16:creationId xmlns:a16="http://schemas.microsoft.com/office/drawing/2014/main" xmlns="" id="{00000000-0008-0000-0300-0000D7020000}"/>
            </a:ext>
          </a:extLst>
        </xdr:cNvPr>
        <xdr:cNvSpPr txBox="1"/>
      </xdr:nvSpPr>
      <xdr:spPr>
        <a:xfrm>
          <a:off x="6930390" y="283298900"/>
          <a:ext cx="927735" cy="71006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6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%    SHOT</a:t>
          </a:r>
          <a:endParaRPr lang="en-US" sz="16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11</xdr:col>
      <xdr:colOff>434340</xdr:colOff>
      <xdr:row>501</xdr:row>
      <xdr:rowOff>45721</xdr:rowOff>
    </xdr:from>
    <xdr:to>
      <xdr:col>13</xdr:col>
      <xdr:colOff>76200</xdr:colOff>
      <xdr:row>505</xdr:row>
      <xdr:rowOff>7621</xdr:rowOff>
    </xdr:to>
    <xdr:sp macro="" textlink="Algandmed!AP22">
      <xdr:nvSpPr>
        <xdr:cNvPr id="728" name="TextBox 727">
          <a:extLst>
            <a:ext uri="{FF2B5EF4-FFF2-40B4-BE49-F238E27FC236}">
              <a16:creationId xmlns:a16="http://schemas.microsoft.com/office/drawing/2014/main" xmlns="" id="{00000000-0008-0000-0300-0000D8020000}"/>
            </a:ext>
          </a:extLst>
        </xdr:cNvPr>
        <xdr:cNvSpPr txBox="1"/>
      </xdr:nvSpPr>
      <xdr:spPr>
        <a:xfrm>
          <a:off x="6930390" y="284728921"/>
          <a:ext cx="927735" cy="7239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9602AB-82FB-47B3-BD3A-236E6AD4718B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11</xdr:col>
      <xdr:colOff>434340</xdr:colOff>
      <xdr:row>505</xdr:row>
      <xdr:rowOff>7621</xdr:rowOff>
    </xdr:from>
    <xdr:to>
      <xdr:col>13</xdr:col>
      <xdr:colOff>76200</xdr:colOff>
      <xdr:row>508</xdr:row>
      <xdr:rowOff>147321</xdr:rowOff>
    </xdr:to>
    <xdr:sp macro="" textlink="Algandmed!AP23">
      <xdr:nvSpPr>
        <xdr:cNvPr id="729" name="TextBox 728">
          <a:extLst>
            <a:ext uri="{FF2B5EF4-FFF2-40B4-BE49-F238E27FC236}">
              <a16:creationId xmlns:a16="http://schemas.microsoft.com/office/drawing/2014/main" xmlns="" id="{00000000-0008-0000-0300-0000D9020000}"/>
            </a:ext>
          </a:extLst>
        </xdr:cNvPr>
        <xdr:cNvSpPr txBox="1"/>
      </xdr:nvSpPr>
      <xdr:spPr>
        <a:xfrm>
          <a:off x="6930390" y="285452821"/>
          <a:ext cx="927735" cy="7112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746EE0-3997-4BEA-B0CF-ECCA182D4ACA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11</xdr:col>
      <xdr:colOff>434340</xdr:colOff>
      <xdr:row>508</xdr:row>
      <xdr:rowOff>149861</xdr:rowOff>
    </xdr:from>
    <xdr:to>
      <xdr:col>13</xdr:col>
      <xdr:colOff>76200</xdr:colOff>
      <xdr:row>512</xdr:row>
      <xdr:rowOff>111761</xdr:rowOff>
    </xdr:to>
    <xdr:sp macro="" textlink="Algandmed!AP24">
      <xdr:nvSpPr>
        <xdr:cNvPr id="730" name="TextBox 729">
          <a:extLst>
            <a:ext uri="{FF2B5EF4-FFF2-40B4-BE49-F238E27FC236}">
              <a16:creationId xmlns:a16="http://schemas.microsoft.com/office/drawing/2014/main" xmlns="" id="{00000000-0008-0000-0300-0000DA020000}"/>
            </a:ext>
          </a:extLst>
        </xdr:cNvPr>
        <xdr:cNvSpPr txBox="1"/>
      </xdr:nvSpPr>
      <xdr:spPr>
        <a:xfrm>
          <a:off x="6930390" y="286166561"/>
          <a:ext cx="927735" cy="7239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F2E92BE-865F-4E0F-B2FB-31EC108505D2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11</xdr:col>
      <xdr:colOff>434340</xdr:colOff>
      <xdr:row>497</xdr:row>
      <xdr:rowOff>88901</xdr:rowOff>
    </xdr:from>
    <xdr:to>
      <xdr:col>13</xdr:col>
      <xdr:colOff>76200</xdr:colOff>
      <xdr:row>501</xdr:row>
      <xdr:rowOff>50801</xdr:rowOff>
    </xdr:to>
    <xdr:sp macro="" textlink="Algandmed!AP25">
      <xdr:nvSpPr>
        <xdr:cNvPr id="731" name="TextBox 730">
          <a:extLst>
            <a:ext uri="{FF2B5EF4-FFF2-40B4-BE49-F238E27FC236}">
              <a16:creationId xmlns:a16="http://schemas.microsoft.com/office/drawing/2014/main" xmlns="" id="{00000000-0008-0000-0300-0000DB020000}"/>
            </a:ext>
          </a:extLst>
        </xdr:cNvPr>
        <xdr:cNvSpPr txBox="1"/>
      </xdr:nvSpPr>
      <xdr:spPr>
        <a:xfrm>
          <a:off x="6930390" y="284010101"/>
          <a:ext cx="927735" cy="723900"/>
        </a:xfrm>
        <a:prstGeom prst="rect">
          <a:avLst/>
        </a:prstGeom>
        <a:solidFill>
          <a:srgbClr val="FFFFFF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CABD47E-693C-4C77-82C5-8DD24A8F2A4F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11</xdr:col>
      <xdr:colOff>383540</xdr:colOff>
      <xdr:row>520</xdr:row>
      <xdr:rowOff>38100</xdr:rowOff>
    </xdr:from>
    <xdr:to>
      <xdr:col>13</xdr:col>
      <xdr:colOff>25400</xdr:colOff>
      <xdr:row>523</xdr:row>
      <xdr:rowOff>163969</xdr:rowOff>
    </xdr:to>
    <xdr:sp macro="" textlink="">
      <xdr:nvSpPr>
        <xdr:cNvPr id="732" name="TextBox 731">
          <a:extLst>
            <a:ext uri="{FF2B5EF4-FFF2-40B4-BE49-F238E27FC236}">
              <a16:creationId xmlns:a16="http://schemas.microsoft.com/office/drawing/2014/main" xmlns="" id="{00000000-0008-0000-0300-0000DC020000}"/>
            </a:ext>
          </a:extLst>
        </xdr:cNvPr>
        <xdr:cNvSpPr txBox="1"/>
      </xdr:nvSpPr>
      <xdr:spPr>
        <a:xfrm>
          <a:off x="6879590" y="288340800"/>
          <a:ext cx="927735" cy="69736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6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%    SHOT</a:t>
          </a:r>
          <a:endParaRPr lang="en-US" sz="16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11</xdr:col>
      <xdr:colOff>383540</xdr:colOff>
      <xdr:row>527</xdr:row>
      <xdr:rowOff>121921</xdr:rowOff>
    </xdr:from>
    <xdr:to>
      <xdr:col>13</xdr:col>
      <xdr:colOff>25400</xdr:colOff>
      <xdr:row>531</xdr:row>
      <xdr:rowOff>83821</xdr:rowOff>
    </xdr:to>
    <xdr:sp macro="" textlink="Algandmed!BH22">
      <xdr:nvSpPr>
        <xdr:cNvPr id="733" name="TextBox 732">
          <a:extLst>
            <a:ext uri="{FF2B5EF4-FFF2-40B4-BE49-F238E27FC236}">
              <a16:creationId xmlns:a16="http://schemas.microsoft.com/office/drawing/2014/main" xmlns="" id="{00000000-0008-0000-0300-0000DD020000}"/>
            </a:ext>
          </a:extLst>
        </xdr:cNvPr>
        <xdr:cNvSpPr txBox="1"/>
      </xdr:nvSpPr>
      <xdr:spPr>
        <a:xfrm>
          <a:off x="6879590" y="289758121"/>
          <a:ext cx="927735" cy="7239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3A755CC-B63B-41F0-997F-2AF3D2CA33D4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20,0%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11</xdr:col>
      <xdr:colOff>383540</xdr:colOff>
      <xdr:row>531</xdr:row>
      <xdr:rowOff>83820</xdr:rowOff>
    </xdr:from>
    <xdr:to>
      <xdr:col>13</xdr:col>
      <xdr:colOff>25400</xdr:colOff>
      <xdr:row>535</xdr:row>
      <xdr:rowOff>60959</xdr:rowOff>
    </xdr:to>
    <xdr:sp macro="" textlink="Algandmed!BH23">
      <xdr:nvSpPr>
        <xdr:cNvPr id="734" name="TextBox 733">
          <a:extLst>
            <a:ext uri="{FF2B5EF4-FFF2-40B4-BE49-F238E27FC236}">
              <a16:creationId xmlns:a16="http://schemas.microsoft.com/office/drawing/2014/main" xmlns="" id="{00000000-0008-0000-0300-0000DE020000}"/>
            </a:ext>
          </a:extLst>
        </xdr:cNvPr>
        <xdr:cNvSpPr txBox="1"/>
      </xdr:nvSpPr>
      <xdr:spPr>
        <a:xfrm>
          <a:off x="6879590" y="290482020"/>
          <a:ext cx="927735" cy="739139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DED9040-E634-4CB5-BEF7-29892A7EF891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4,5%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11</xdr:col>
      <xdr:colOff>383540</xdr:colOff>
      <xdr:row>535</xdr:row>
      <xdr:rowOff>60960</xdr:rowOff>
    </xdr:from>
    <xdr:to>
      <xdr:col>13</xdr:col>
      <xdr:colOff>25400</xdr:colOff>
      <xdr:row>539</xdr:row>
      <xdr:rowOff>38099</xdr:rowOff>
    </xdr:to>
    <xdr:sp macro="" textlink="Algandmed!BH24">
      <xdr:nvSpPr>
        <xdr:cNvPr id="735" name="TextBox 734">
          <a:extLst>
            <a:ext uri="{FF2B5EF4-FFF2-40B4-BE49-F238E27FC236}">
              <a16:creationId xmlns:a16="http://schemas.microsoft.com/office/drawing/2014/main" xmlns="" id="{00000000-0008-0000-0300-0000DF020000}"/>
            </a:ext>
          </a:extLst>
        </xdr:cNvPr>
        <xdr:cNvSpPr txBox="1"/>
      </xdr:nvSpPr>
      <xdr:spPr>
        <a:xfrm>
          <a:off x="6879590" y="291221160"/>
          <a:ext cx="927735" cy="739139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D1985EC-EFC6-40CF-8FD3-A5EF7E2BF694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15,8%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11</xdr:col>
      <xdr:colOff>383540</xdr:colOff>
      <xdr:row>523</xdr:row>
      <xdr:rowOff>165101</xdr:rowOff>
    </xdr:from>
    <xdr:to>
      <xdr:col>13</xdr:col>
      <xdr:colOff>25400</xdr:colOff>
      <xdr:row>527</xdr:row>
      <xdr:rowOff>127001</xdr:rowOff>
    </xdr:to>
    <xdr:sp macro="" textlink="Algandmed!BH25">
      <xdr:nvSpPr>
        <xdr:cNvPr id="736" name="TextBox 735">
          <a:extLst>
            <a:ext uri="{FF2B5EF4-FFF2-40B4-BE49-F238E27FC236}">
              <a16:creationId xmlns:a16="http://schemas.microsoft.com/office/drawing/2014/main" xmlns="" id="{00000000-0008-0000-0300-0000E0020000}"/>
            </a:ext>
          </a:extLst>
        </xdr:cNvPr>
        <xdr:cNvSpPr txBox="1"/>
      </xdr:nvSpPr>
      <xdr:spPr>
        <a:xfrm>
          <a:off x="6879590" y="289039301"/>
          <a:ext cx="927735" cy="7239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02887E5-8285-4FEF-9E03-87C01EB79D58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10,9%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7</xdr:col>
      <xdr:colOff>88900</xdr:colOff>
      <xdr:row>302</xdr:row>
      <xdr:rowOff>76200</xdr:rowOff>
    </xdr:from>
    <xdr:to>
      <xdr:col>13</xdr:col>
      <xdr:colOff>469900</xdr:colOff>
      <xdr:row>326</xdr:row>
      <xdr:rowOff>38100</xdr:rowOff>
    </xdr:to>
    <xdr:graphicFrame macro="">
      <xdr:nvGraphicFramePr>
        <xdr:cNvPr id="863" name="Chart 862">
          <a:extLst>
            <a:ext uri="{FF2B5EF4-FFF2-40B4-BE49-F238E27FC236}">
              <a16:creationId xmlns:a16="http://schemas.microsoft.com/office/drawing/2014/main" xmlns="" id="{00000000-0008-0000-0300-00005F03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484909</xdr:colOff>
      <xdr:row>98</xdr:row>
      <xdr:rowOff>27708</xdr:rowOff>
    </xdr:from>
    <xdr:to>
      <xdr:col>2</xdr:col>
      <xdr:colOff>193965</xdr:colOff>
      <xdr:row>105</xdr:row>
      <xdr:rowOff>69272</xdr:rowOff>
    </xdr:to>
    <xdr:sp macro="" textlink="Algandmed!AG6">
      <xdr:nvSpPr>
        <xdr:cNvPr id="864" name="TextBox 863">
          <a:extLst>
            <a:ext uri="{FF2B5EF4-FFF2-40B4-BE49-F238E27FC236}">
              <a16:creationId xmlns:a16="http://schemas.microsoft.com/office/drawing/2014/main" xmlns="" id="{00000000-0008-0000-0300-000060030000}"/>
            </a:ext>
          </a:extLst>
        </xdr:cNvPr>
        <xdr:cNvSpPr txBox="1"/>
      </xdr:nvSpPr>
      <xdr:spPr>
        <a:xfrm>
          <a:off x="484909" y="34584408"/>
          <a:ext cx="890156" cy="1375064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85AE2A-05E4-4788-8CF1-F7E948E03287}" type="TxLink">
            <a:rPr lang="en-US" sz="32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444498</xdr:colOff>
      <xdr:row>98</xdr:row>
      <xdr:rowOff>27708</xdr:rowOff>
    </xdr:from>
    <xdr:to>
      <xdr:col>4</xdr:col>
      <xdr:colOff>207817</xdr:colOff>
      <xdr:row>105</xdr:row>
      <xdr:rowOff>69272</xdr:rowOff>
    </xdr:to>
    <xdr:sp macro="" textlink="Algandmed!AV6">
      <xdr:nvSpPr>
        <xdr:cNvPr id="865" name="TextBox 864">
          <a:extLst>
            <a:ext uri="{FF2B5EF4-FFF2-40B4-BE49-F238E27FC236}">
              <a16:creationId xmlns:a16="http://schemas.microsoft.com/office/drawing/2014/main" xmlns="" id="{00000000-0008-0000-0300-000061030000}"/>
            </a:ext>
          </a:extLst>
        </xdr:cNvPr>
        <xdr:cNvSpPr txBox="1"/>
      </xdr:nvSpPr>
      <xdr:spPr>
        <a:xfrm>
          <a:off x="1625598" y="34584408"/>
          <a:ext cx="944419" cy="1375064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0C88EE-C672-4632-8EBE-03F4148281FA}" type="TxLink">
            <a:rPr lang="en-US" sz="32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2</a:t>
          </a:fld>
          <a:endParaRPr lang="en-US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263237</xdr:colOff>
      <xdr:row>98</xdr:row>
      <xdr:rowOff>27708</xdr:rowOff>
    </xdr:from>
    <xdr:to>
      <xdr:col>6</xdr:col>
      <xdr:colOff>471055</xdr:colOff>
      <xdr:row>105</xdr:row>
      <xdr:rowOff>55418</xdr:rowOff>
    </xdr:to>
    <xdr:sp macro="" textlink="Algandmed!AG1444">
      <xdr:nvSpPr>
        <xdr:cNvPr id="866" name="TextBox 865">
          <a:extLst>
            <a:ext uri="{FF2B5EF4-FFF2-40B4-BE49-F238E27FC236}">
              <a16:creationId xmlns:a16="http://schemas.microsoft.com/office/drawing/2014/main" xmlns="" id="{00000000-0008-0000-0300-000062030000}"/>
            </a:ext>
          </a:extLst>
        </xdr:cNvPr>
        <xdr:cNvSpPr txBox="1"/>
      </xdr:nvSpPr>
      <xdr:spPr>
        <a:xfrm>
          <a:off x="3215987" y="34584408"/>
          <a:ext cx="798368" cy="136121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11B0DA-C376-4CBE-9DFE-DBE798C47E40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0,0</a:t>
          </a:fld>
          <a:endParaRPr lang="en-US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6</xdr:col>
      <xdr:colOff>263237</xdr:colOff>
      <xdr:row>98</xdr:row>
      <xdr:rowOff>27708</xdr:rowOff>
    </xdr:from>
    <xdr:to>
      <xdr:col>7</xdr:col>
      <xdr:colOff>471055</xdr:colOff>
      <xdr:row>105</xdr:row>
      <xdr:rowOff>55418</xdr:rowOff>
    </xdr:to>
    <xdr:sp macro="" textlink="">
      <xdr:nvSpPr>
        <xdr:cNvPr id="867" name="TextBox 866">
          <a:extLst>
            <a:ext uri="{FF2B5EF4-FFF2-40B4-BE49-F238E27FC236}">
              <a16:creationId xmlns:a16="http://schemas.microsoft.com/office/drawing/2014/main" xmlns="" id="{00000000-0008-0000-0300-000063030000}"/>
            </a:ext>
          </a:extLst>
        </xdr:cNvPr>
        <xdr:cNvSpPr txBox="1"/>
      </xdr:nvSpPr>
      <xdr:spPr>
        <a:xfrm>
          <a:off x="3806537" y="34584408"/>
          <a:ext cx="798368" cy="136121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200" b="1">
              <a:solidFill>
                <a:srgbClr val="4D4D4D"/>
              </a:solidFill>
              <a:latin typeface="Hanse" panose="02000000000000000000" pitchFamily="50" charset="0"/>
            </a:rPr>
            <a:t>: </a:t>
          </a:r>
          <a:endParaRPr lang="en-US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277091</xdr:colOff>
      <xdr:row>98</xdr:row>
      <xdr:rowOff>27708</xdr:rowOff>
    </xdr:from>
    <xdr:to>
      <xdr:col>8</xdr:col>
      <xdr:colOff>484909</xdr:colOff>
      <xdr:row>105</xdr:row>
      <xdr:rowOff>55418</xdr:rowOff>
    </xdr:to>
    <xdr:sp macro="" textlink="Algandmed!AI1444">
      <xdr:nvSpPr>
        <xdr:cNvPr id="868" name="TextBox 867">
          <a:extLst>
            <a:ext uri="{FF2B5EF4-FFF2-40B4-BE49-F238E27FC236}">
              <a16:creationId xmlns:a16="http://schemas.microsoft.com/office/drawing/2014/main" xmlns="" id="{00000000-0008-0000-0300-000064030000}"/>
            </a:ext>
          </a:extLst>
        </xdr:cNvPr>
        <xdr:cNvSpPr txBox="1"/>
      </xdr:nvSpPr>
      <xdr:spPr>
        <a:xfrm>
          <a:off x="4410941" y="34584408"/>
          <a:ext cx="798368" cy="136121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8D0B691-E0A8-4C60-B6DA-D973DC4D68D0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0,7</a:t>
          </a:fld>
          <a:endParaRPr lang="en-US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4</xdr:col>
      <xdr:colOff>471054</xdr:colOff>
      <xdr:row>87</xdr:row>
      <xdr:rowOff>96981</xdr:rowOff>
    </xdr:from>
    <xdr:to>
      <xdr:col>6</xdr:col>
      <xdr:colOff>180110</xdr:colOff>
      <xdr:row>94</xdr:row>
      <xdr:rowOff>138545</xdr:rowOff>
    </xdr:to>
    <xdr:sp macro="" textlink="Algandmed!AC1444">
      <xdr:nvSpPr>
        <xdr:cNvPr id="869" name="TextBox 868">
          <a:extLst>
            <a:ext uri="{FF2B5EF4-FFF2-40B4-BE49-F238E27FC236}">
              <a16:creationId xmlns:a16="http://schemas.microsoft.com/office/drawing/2014/main" xmlns="" id="{00000000-0008-0000-0300-000065030000}"/>
            </a:ext>
          </a:extLst>
        </xdr:cNvPr>
        <xdr:cNvSpPr txBox="1"/>
      </xdr:nvSpPr>
      <xdr:spPr>
        <a:xfrm>
          <a:off x="2833254" y="32558181"/>
          <a:ext cx="890156" cy="1375064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F91A6D8-133C-4899-BA70-552D49ACB341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</a:t>
          </a:fld>
          <a:endParaRPr lang="en-US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6</xdr:col>
      <xdr:colOff>208970</xdr:colOff>
      <xdr:row>87</xdr:row>
      <xdr:rowOff>110836</xdr:rowOff>
    </xdr:from>
    <xdr:to>
      <xdr:col>7</xdr:col>
      <xdr:colOff>581889</xdr:colOff>
      <xdr:row>94</xdr:row>
      <xdr:rowOff>152400</xdr:rowOff>
    </xdr:to>
    <xdr:sp macro="" textlink="Algandmed!AD1444">
      <xdr:nvSpPr>
        <xdr:cNvPr id="870" name="TextBox 869">
          <a:extLst>
            <a:ext uri="{FF2B5EF4-FFF2-40B4-BE49-F238E27FC236}">
              <a16:creationId xmlns:a16="http://schemas.microsoft.com/office/drawing/2014/main" xmlns="" id="{00000000-0008-0000-0300-000066030000}"/>
            </a:ext>
          </a:extLst>
        </xdr:cNvPr>
        <xdr:cNvSpPr txBox="1"/>
      </xdr:nvSpPr>
      <xdr:spPr>
        <a:xfrm>
          <a:off x="3752270" y="32572036"/>
          <a:ext cx="963469" cy="1375064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77567A0-CA04-4539-B824-9BE1024FA2DC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</a:t>
          </a:fld>
          <a:endParaRPr lang="en-US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110836</xdr:colOff>
      <xdr:row>87</xdr:row>
      <xdr:rowOff>110835</xdr:rowOff>
    </xdr:from>
    <xdr:to>
      <xdr:col>9</xdr:col>
      <xdr:colOff>318654</xdr:colOff>
      <xdr:row>94</xdr:row>
      <xdr:rowOff>138545</xdr:rowOff>
    </xdr:to>
    <xdr:sp macro="" textlink="Algandmed!AE1444">
      <xdr:nvSpPr>
        <xdr:cNvPr id="871" name="TextBox 870">
          <a:extLst>
            <a:ext uri="{FF2B5EF4-FFF2-40B4-BE49-F238E27FC236}">
              <a16:creationId xmlns:a16="http://schemas.microsoft.com/office/drawing/2014/main" xmlns="" id="{00000000-0008-0000-0300-000067030000}"/>
            </a:ext>
          </a:extLst>
        </xdr:cNvPr>
        <xdr:cNvSpPr txBox="1"/>
      </xdr:nvSpPr>
      <xdr:spPr>
        <a:xfrm>
          <a:off x="4835236" y="32572035"/>
          <a:ext cx="798368" cy="136121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C1F1509-362C-4436-ABF0-1ED99341D44C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</a:t>
          </a:fld>
          <a:endParaRPr lang="en-US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 editAs="oneCell">
    <xdr:from>
      <xdr:col>0</xdr:col>
      <xdr:colOff>41561</xdr:colOff>
      <xdr:row>69</xdr:row>
      <xdr:rowOff>41562</xdr:rowOff>
    </xdr:from>
    <xdr:to>
      <xdr:col>5</xdr:col>
      <xdr:colOff>294022</xdr:colOff>
      <xdr:row>79</xdr:row>
      <xdr:rowOff>96980</xdr:rowOff>
    </xdr:to>
    <xdr:pic>
      <xdr:nvPicPr>
        <xdr:cNvPr id="872" name="Picture 871">
          <a:extLst>
            <a:ext uri="{FF2B5EF4-FFF2-40B4-BE49-F238E27FC236}">
              <a16:creationId xmlns:a16="http://schemas.microsoft.com/office/drawing/2014/main" xmlns="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41561" y="13186062"/>
          <a:ext cx="3222020" cy="1960418"/>
        </a:xfrm>
        <a:prstGeom prst="rect">
          <a:avLst/>
        </a:prstGeom>
      </xdr:spPr>
    </xdr:pic>
    <xdr:clientData/>
  </xdr:twoCellAnchor>
  <xdr:twoCellAnchor>
    <xdr:from>
      <xdr:col>10</xdr:col>
      <xdr:colOff>70427</xdr:colOff>
      <xdr:row>94</xdr:row>
      <xdr:rowOff>62807</xdr:rowOff>
    </xdr:from>
    <xdr:to>
      <xdr:col>13</xdr:col>
      <xdr:colOff>164675</xdr:colOff>
      <xdr:row>101</xdr:row>
      <xdr:rowOff>103447</xdr:rowOff>
    </xdr:to>
    <xdr:sp macro="" textlink="">
      <xdr:nvSpPr>
        <xdr:cNvPr id="873" name="TextBox 872">
          <a:extLst>
            <a:ext uri="{FF2B5EF4-FFF2-40B4-BE49-F238E27FC236}">
              <a16:creationId xmlns:a16="http://schemas.microsoft.com/office/drawing/2014/main" xmlns="" id="{00000000-0008-0000-0300-000069030000}"/>
            </a:ext>
          </a:extLst>
        </xdr:cNvPr>
        <xdr:cNvSpPr txBox="1"/>
      </xdr:nvSpPr>
      <xdr:spPr>
        <a:xfrm>
          <a:off x="5975927" y="33857507"/>
          <a:ext cx="1970673" cy="137414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400" b="1">
              <a:solidFill>
                <a:srgbClr val="4D4D4D"/>
              </a:solidFill>
              <a:latin typeface="Hanse" panose="02000000000000000000" pitchFamily="50" charset="0"/>
            </a:rPr>
            <a:t>EXP.</a:t>
          </a:r>
          <a:r>
            <a:rPr lang="et-EE" sz="2400" b="1" baseline="0">
              <a:solidFill>
                <a:srgbClr val="4D4D4D"/>
              </a:solidFill>
              <a:latin typeface="Hanse" panose="02000000000000000000" pitchFamily="50" charset="0"/>
            </a:rPr>
            <a:t> RESULT</a:t>
          </a:r>
          <a:endParaRPr lang="en-US" sz="24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13854</xdr:colOff>
      <xdr:row>98</xdr:row>
      <xdr:rowOff>55417</xdr:rowOff>
    </xdr:from>
    <xdr:to>
      <xdr:col>11</xdr:col>
      <xdr:colOff>221672</xdr:colOff>
      <xdr:row>105</xdr:row>
      <xdr:rowOff>83127</xdr:rowOff>
    </xdr:to>
    <xdr:sp macro="" textlink="'ATT '!F3">
      <xdr:nvSpPr>
        <xdr:cNvPr id="874" name="TextBox 873">
          <a:extLst>
            <a:ext uri="{FF2B5EF4-FFF2-40B4-BE49-F238E27FC236}">
              <a16:creationId xmlns:a16="http://schemas.microsoft.com/office/drawing/2014/main" xmlns="" id="{00000000-0008-0000-0300-00006A030000}"/>
            </a:ext>
          </a:extLst>
        </xdr:cNvPr>
        <xdr:cNvSpPr txBox="1"/>
      </xdr:nvSpPr>
      <xdr:spPr>
        <a:xfrm>
          <a:off x="5952972" y="18724417"/>
          <a:ext cx="801729" cy="136121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AFC9722-61EA-4AFC-8B70-BBCD24A9DC51}" type="TxLink">
            <a:rPr lang="en-US" sz="32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Hanse" panose="02000000000000000000" pitchFamily="50" charset="0"/>
              <a:cs typeface="Calibri"/>
            </a:rPr>
            <a:pPr algn="ctr"/>
            <a:t>0,0</a:t>
          </a:fld>
          <a:endParaRPr lang="en-US" sz="3200" b="1">
            <a:solidFill>
              <a:schemeClr val="tx1">
                <a:lumMod val="75000"/>
                <a:lumOff val="25000"/>
              </a:schemeClr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11</xdr:col>
      <xdr:colOff>13854</xdr:colOff>
      <xdr:row>98</xdr:row>
      <xdr:rowOff>55417</xdr:rowOff>
    </xdr:from>
    <xdr:to>
      <xdr:col>12</xdr:col>
      <xdr:colOff>221672</xdr:colOff>
      <xdr:row>105</xdr:row>
      <xdr:rowOff>83127</xdr:rowOff>
    </xdr:to>
    <xdr:sp macro="" textlink="">
      <xdr:nvSpPr>
        <xdr:cNvPr id="875" name="TextBox 874">
          <a:extLst>
            <a:ext uri="{FF2B5EF4-FFF2-40B4-BE49-F238E27FC236}">
              <a16:creationId xmlns:a16="http://schemas.microsoft.com/office/drawing/2014/main" xmlns="" id="{00000000-0008-0000-0300-00006B030000}"/>
            </a:ext>
          </a:extLst>
        </xdr:cNvPr>
        <xdr:cNvSpPr txBox="1"/>
      </xdr:nvSpPr>
      <xdr:spPr>
        <a:xfrm>
          <a:off x="6509904" y="34612117"/>
          <a:ext cx="798368" cy="136121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200" b="1">
              <a:solidFill>
                <a:srgbClr val="4D4D4D"/>
              </a:solidFill>
              <a:latin typeface="Hanse" panose="02000000000000000000" pitchFamily="50" charset="0"/>
            </a:rPr>
            <a:t>: </a:t>
          </a:r>
          <a:endParaRPr lang="en-US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27708</xdr:colOff>
      <xdr:row>98</xdr:row>
      <xdr:rowOff>55417</xdr:rowOff>
    </xdr:from>
    <xdr:to>
      <xdr:col>13</xdr:col>
      <xdr:colOff>124690</xdr:colOff>
      <xdr:row>105</xdr:row>
      <xdr:rowOff>83127</xdr:rowOff>
    </xdr:to>
    <xdr:sp macro="" textlink="'ATT '!H3">
      <xdr:nvSpPr>
        <xdr:cNvPr id="876" name="TextBox 875">
          <a:extLst>
            <a:ext uri="{FF2B5EF4-FFF2-40B4-BE49-F238E27FC236}">
              <a16:creationId xmlns:a16="http://schemas.microsoft.com/office/drawing/2014/main" xmlns="" id="{00000000-0008-0000-0300-00006C030000}"/>
            </a:ext>
          </a:extLst>
        </xdr:cNvPr>
        <xdr:cNvSpPr txBox="1"/>
      </xdr:nvSpPr>
      <xdr:spPr>
        <a:xfrm>
          <a:off x="7154649" y="18724417"/>
          <a:ext cx="791747" cy="136121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3A913A-65FC-442C-BDF4-466874A7F374}" type="TxLink">
            <a:rPr lang="en-US" sz="32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Hanse" panose="02000000000000000000" pitchFamily="50" charset="0"/>
              <a:cs typeface="Calibri"/>
            </a:rPr>
            <a:pPr algn="ctr"/>
            <a:t>0,9</a:t>
          </a:fld>
          <a:endParaRPr lang="en-US" sz="3200" b="1">
            <a:solidFill>
              <a:schemeClr val="tx1">
                <a:lumMod val="75000"/>
                <a:lumOff val="25000"/>
              </a:schemeClr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4</xdr:col>
      <xdr:colOff>484909</xdr:colOff>
      <xdr:row>105</xdr:row>
      <xdr:rowOff>48952</xdr:rowOff>
    </xdr:from>
    <xdr:to>
      <xdr:col>9</xdr:col>
      <xdr:colOff>193963</xdr:colOff>
      <xdr:row>112</xdr:row>
      <xdr:rowOff>89592</xdr:rowOff>
    </xdr:to>
    <xdr:sp macro="" textlink="">
      <xdr:nvSpPr>
        <xdr:cNvPr id="877" name="TextBox 876">
          <a:extLst>
            <a:ext uri="{FF2B5EF4-FFF2-40B4-BE49-F238E27FC236}">
              <a16:creationId xmlns:a16="http://schemas.microsoft.com/office/drawing/2014/main" xmlns="" id="{00000000-0008-0000-0300-00006D030000}"/>
            </a:ext>
          </a:extLst>
        </xdr:cNvPr>
        <xdr:cNvSpPr txBox="1"/>
      </xdr:nvSpPr>
      <xdr:spPr>
        <a:xfrm>
          <a:off x="2847109" y="35939152"/>
          <a:ext cx="2661804" cy="137414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600" b="1">
              <a:solidFill>
                <a:srgbClr val="4D4D4D"/>
              </a:solidFill>
              <a:latin typeface="Hanse" panose="02000000000000000000" pitchFamily="50" charset="0"/>
            </a:rPr>
            <a:t>ATTEMPTS</a:t>
          </a:r>
          <a:endParaRPr lang="en-US" sz="36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124690</xdr:colOff>
      <xdr:row>113</xdr:row>
      <xdr:rowOff>152399</xdr:rowOff>
    </xdr:from>
    <xdr:to>
      <xdr:col>2</xdr:col>
      <xdr:colOff>166255</xdr:colOff>
      <xdr:row>119</xdr:row>
      <xdr:rowOff>89591</xdr:rowOff>
    </xdr:to>
    <xdr:sp macro="" textlink="">
      <xdr:nvSpPr>
        <xdr:cNvPr id="878" name="TextBox 877">
          <a:extLst>
            <a:ext uri="{FF2B5EF4-FFF2-40B4-BE49-F238E27FC236}">
              <a16:creationId xmlns:a16="http://schemas.microsoft.com/office/drawing/2014/main" xmlns="" id="{00000000-0008-0000-0300-00006E030000}"/>
            </a:ext>
          </a:extLst>
        </xdr:cNvPr>
        <xdr:cNvSpPr txBox="1"/>
      </xdr:nvSpPr>
      <xdr:spPr>
        <a:xfrm>
          <a:off x="124690" y="37566599"/>
          <a:ext cx="1222665" cy="1080192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400" b="1">
              <a:solidFill>
                <a:srgbClr val="4D4D4D"/>
              </a:solidFill>
              <a:latin typeface="Hanse" panose="02000000000000000000" pitchFamily="50" charset="0"/>
            </a:rPr>
            <a:t>BIG</a:t>
          </a:r>
          <a:endParaRPr lang="en-US" sz="24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221672</xdr:colOff>
      <xdr:row>113</xdr:row>
      <xdr:rowOff>152397</xdr:rowOff>
    </xdr:from>
    <xdr:to>
      <xdr:col>4</xdr:col>
      <xdr:colOff>263237</xdr:colOff>
      <xdr:row>119</xdr:row>
      <xdr:rowOff>89589</xdr:rowOff>
    </xdr:to>
    <xdr:sp macro="" textlink="">
      <xdr:nvSpPr>
        <xdr:cNvPr id="879" name="TextBox 878">
          <a:extLst>
            <a:ext uri="{FF2B5EF4-FFF2-40B4-BE49-F238E27FC236}">
              <a16:creationId xmlns:a16="http://schemas.microsoft.com/office/drawing/2014/main" xmlns="" id="{00000000-0008-0000-0300-00006F030000}"/>
            </a:ext>
          </a:extLst>
        </xdr:cNvPr>
        <xdr:cNvSpPr txBox="1"/>
      </xdr:nvSpPr>
      <xdr:spPr>
        <a:xfrm>
          <a:off x="1402772" y="37566597"/>
          <a:ext cx="1222665" cy="1080192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400" b="1">
              <a:solidFill>
                <a:srgbClr val="4D4D4D"/>
              </a:solidFill>
              <a:latin typeface="Hanse" panose="02000000000000000000" pitchFamily="50" charset="0"/>
            </a:rPr>
            <a:t>MIDDLE</a:t>
          </a:r>
          <a:endParaRPr lang="en-US" sz="24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4</xdr:col>
      <xdr:colOff>387926</xdr:colOff>
      <xdr:row>113</xdr:row>
      <xdr:rowOff>138545</xdr:rowOff>
    </xdr:from>
    <xdr:to>
      <xdr:col>6</xdr:col>
      <xdr:colOff>429491</xdr:colOff>
      <xdr:row>119</xdr:row>
      <xdr:rowOff>75737</xdr:rowOff>
    </xdr:to>
    <xdr:sp macro="" textlink="">
      <xdr:nvSpPr>
        <xdr:cNvPr id="880" name="TextBox 879">
          <a:extLst>
            <a:ext uri="{FF2B5EF4-FFF2-40B4-BE49-F238E27FC236}">
              <a16:creationId xmlns:a16="http://schemas.microsoft.com/office/drawing/2014/main" xmlns="" id="{00000000-0008-0000-0300-000070030000}"/>
            </a:ext>
          </a:extLst>
        </xdr:cNvPr>
        <xdr:cNvSpPr txBox="1"/>
      </xdr:nvSpPr>
      <xdr:spPr>
        <a:xfrm>
          <a:off x="2750126" y="37552745"/>
          <a:ext cx="1222665" cy="1080192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400" b="1">
              <a:solidFill>
                <a:srgbClr val="4D4D4D"/>
              </a:solidFill>
              <a:latin typeface="Hanse" panose="02000000000000000000" pitchFamily="50" charset="0"/>
            </a:rPr>
            <a:t>SMALL</a:t>
          </a:r>
          <a:endParaRPr lang="en-US" sz="24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4</xdr:col>
      <xdr:colOff>512618</xdr:colOff>
      <xdr:row>116</xdr:row>
      <xdr:rowOff>41563</xdr:rowOff>
    </xdr:from>
    <xdr:to>
      <xdr:col>6</xdr:col>
      <xdr:colOff>221674</xdr:colOff>
      <xdr:row>123</xdr:row>
      <xdr:rowOff>83126</xdr:rowOff>
    </xdr:to>
    <xdr:sp macro="" textlink="'ATT '!H17">
      <xdr:nvSpPr>
        <xdr:cNvPr id="881" name="TextBox 880">
          <a:extLst>
            <a:ext uri="{FF2B5EF4-FFF2-40B4-BE49-F238E27FC236}">
              <a16:creationId xmlns:a16="http://schemas.microsoft.com/office/drawing/2014/main" xmlns="" id="{00000000-0008-0000-0300-000071030000}"/>
            </a:ext>
          </a:extLst>
        </xdr:cNvPr>
        <xdr:cNvSpPr txBox="1"/>
      </xdr:nvSpPr>
      <xdr:spPr>
        <a:xfrm>
          <a:off x="2874818" y="38027263"/>
          <a:ext cx="890156" cy="1375063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3BFD2D6-CE2E-4822-B7E5-9F13411520CA}" type="TxLink">
            <a:rPr lang="en-US" sz="3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3200" b="1">
            <a:solidFill>
              <a:schemeClr val="tx1">
                <a:lumMod val="65000"/>
                <a:lumOff val="35000"/>
              </a:schemeClr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263236</xdr:colOff>
      <xdr:row>116</xdr:row>
      <xdr:rowOff>41563</xdr:rowOff>
    </xdr:from>
    <xdr:to>
      <xdr:col>3</xdr:col>
      <xdr:colOff>581892</xdr:colOff>
      <xdr:row>123</xdr:row>
      <xdr:rowOff>83126</xdr:rowOff>
    </xdr:to>
    <xdr:sp macro="" textlink="'ATT '!G17">
      <xdr:nvSpPr>
        <xdr:cNvPr id="882" name="TextBox 881">
          <a:extLst>
            <a:ext uri="{FF2B5EF4-FFF2-40B4-BE49-F238E27FC236}">
              <a16:creationId xmlns:a16="http://schemas.microsoft.com/office/drawing/2014/main" xmlns="" id="{00000000-0008-0000-0300-000072030000}"/>
            </a:ext>
          </a:extLst>
        </xdr:cNvPr>
        <xdr:cNvSpPr txBox="1"/>
      </xdr:nvSpPr>
      <xdr:spPr>
        <a:xfrm>
          <a:off x="1444336" y="38027263"/>
          <a:ext cx="909206" cy="1375063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6E0DEB-EDBC-4D23-9224-0C50E4AEB796}" type="TxLink">
            <a:rPr lang="en-US" sz="3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3200" b="1">
            <a:solidFill>
              <a:schemeClr val="tx1">
                <a:lumMod val="65000"/>
                <a:lumOff val="35000"/>
              </a:schemeClr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277090</xdr:colOff>
      <xdr:row>116</xdr:row>
      <xdr:rowOff>41564</xdr:rowOff>
    </xdr:from>
    <xdr:to>
      <xdr:col>1</xdr:col>
      <xdr:colOff>595746</xdr:colOff>
      <xdr:row>123</xdr:row>
      <xdr:rowOff>83127</xdr:rowOff>
    </xdr:to>
    <xdr:sp macro="" textlink="'ATT '!F17">
      <xdr:nvSpPr>
        <xdr:cNvPr id="883" name="TextBox 882">
          <a:extLst>
            <a:ext uri="{FF2B5EF4-FFF2-40B4-BE49-F238E27FC236}">
              <a16:creationId xmlns:a16="http://schemas.microsoft.com/office/drawing/2014/main" xmlns="" id="{00000000-0008-0000-0300-000073030000}"/>
            </a:ext>
          </a:extLst>
        </xdr:cNvPr>
        <xdr:cNvSpPr txBox="1"/>
      </xdr:nvSpPr>
      <xdr:spPr>
        <a:xfrm>
          <a:off x="277090" y="38027264"/>
          <a:ext cx="899681" cy="1375063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AFBDED9-6ADD-46BC-A022-0E82BF37304D}" type="TxLink">
            <a:rPr lang="en-US" sz="3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Hanse" panose="02000000000000000000" pitchFamily="50" charset="0"/>
              <a:cs typeface="Calibri"/>
            </a:rPr>
            <a:pPr algn="ctr"/>
            <a:t>2</a:t>
          </a:fld>
          <a:endParaRPr lang="en-US" sz="3200" b="1">
            <a:solidFill>
              <a:schemeClr val="tx1">
                <a:lumMod val="65000"/>
                <a:lumOff val="35000"/>
              </a:schemeClr>
            </a:solidFill>
            <a:latin typeface="Hanse" panose="02000000000000000000" pitchFamily="50" charset="0"/>
          </a:endParaRPr>
        </a:p>
      </xdr:txBody>
    </xdr:sp>
    <xdr:clientData/>
  </xdr:twoCellAnchor>
  <xdr:twoCellAnchor editAs="oneCell">
    <xdr:from>
      <xdr:col>2</xdr:col>
      <xdr:colOff>457200</xdr:colOff>
      <xdr:row>110</xdr:row>
      <xdr:rowOff>85724</xdr:rowOff>
    </xdr:from>
    <xdr:to>
      <xdr:col>5</xdr:col>
      <xdr:colOff>27709</xdr:colOff>
      <xdr:row>114</xdr:row>
      <xdr:rowOff>152399</xdr:rowOff>
    </xdr:to>
    <xdr:pic>
      <xdr:nvPicPr>
        <xdr:cNvPr id="884" name="Picture 883">
          <a:extLst>
            <a:ext uri="{FF2B5EF4-FFF2-40B4-BE49-F238E27FC236}">
              <a16:creationId xmlns:a16="http://schemas.microsoft.com/office/drawing/2014/main" xmlns="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638300" y="36928424"/>
          <a:ext cx="1342159" cy="828675"/>
        </a:xfrm>
        <a:prstGeom prst="rect">
          <a:avLst/>
        </a:prstGeom>
      </xdr:spPr>
    </xdr:pic>
    <xdr:clientData/>
  </xdr:twoCellAnchor>
  <xdr:twoCellAnchor>
    <xdr:from>
      <xdr:col>7</xdr:col>
      <xdr:colOff>484909</xdr:colOff>
      <xdr:row>113</xdr:row>
      <xdr:rowOff>152399</xdr:rowOff>
    </xdr:from>
    <xdr:to>
      <xdr:col>9</xdr:col>
      <xdr:colOff>526474</xdr:colOff>
      <xdr:row>119</xdr:row>
      <xdr:rowOff>89591</xdr:rowOff>
    </xdr:to>
    <xdr:sp macro="" textlink="">
      <xdr:nvSpPr>
        <xdr:cNvPr id="885" name="TextBox 884">
          <a:extLst>
            <a:ext uri="{FF2B5EF4-FFF2-40B4-BE49-F238E27FC236}">
              <a16:creationId xmlns:a16="http://schemas.microsoft.com/office/drawing/2014/main" xmlns="" id="{00000000-0008-0000-0300-000075030000}"/>
            </a:ext>
          </a:extLst>
        </xdr:cNvPr>
        <xdr:cNvSpPr txBox="1"/>
      </xdr:nvSpPr>
      <xdr:spPr>
        <a:xfrm>
          <a:off x="4618759" y="37566599"/>
          <a:ext cx="1222665" cy="1080192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400" b="1">
              <a:solidFill>
                <a:srgbClr val="4D4D4D"/>
              </a:solidFill>
              <a:latin typeface="Hanse" panose="02000000000000000000" pitchFamily="50" charset="0"/>
            </a:rPr>
            <a:t>BIG</a:t>
          </a:r>
          <a:endParaRPr lang="en-US" sz="24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9</xdr:col>
      <xdr:colOff>581891</xdr:colOff>
      <xdr:row>113</xdr:row>
      <xdr:rowOff>152397</xdr:rowOff>
    </xdr:from>
    <xdr:to>
      <xdr:col>12</xdr:col>
      <xdr:colOff>13856</xdr:colOff>
      <xdr:row>119</xdr:row>
      <xdr:rowOff>89589</xdr:rowOff>
    </xdr:to>
    <xdr:sp macro="" textlink="">
      <xdr:nvSpPr>
        <xdr:cNvPr id="886" name="TextBox 885">
          <a:extLst>
            <a:ext uri="{FF2B5EF4-FFF2-40B4-BE49-F238E27FC236}">
              <a16:creationId xmlns:a16="http://schemas.microsoft.com/office/drawing/2014/main" xmlns="" id="{00000000-0008-0000-0300-000076030000}"/>
            </a:ext>
          </a:extLst>
        </xdr:cNvPr>
        <xdr:cNvSpPr txBox="1"/>
      </xdr:nvSpPr>
      <xdr:spPr>
        <a:xfrm>
          <a:off x="5896841" y="37566597"/>
          <a:ext cx="1203615" cy="1080192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400" b="1">
              <a:solidFill>
                <a:srgbClr val="4D4D4D"/>
              </a:solidFill>
              <a:latin typeface="Hanse" panose="02000000000000000000" pitchFamily="50" charset="0"/>
            </a:rPr>
            <a:t>MIDDLE</a:t>
          </a:r>
          <a:endParaRPr lang="en-US" sz="24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138545</xdr:colOff>
      <xdr:row>113</xdr:row>
      <xdr:rowOff>138545</xdr:rowOff>
    </xdr:from>
    <xdr:to>
      <xdr:col>13</xdr:col>
      <xdr:colOff>678874</xdr:colOff>
      <xdr:row>119</xdr:row>
      <xdr:rowOff>75737</xdr:rowOff>
    </xdr:to>
    <xdr:sp macro="" textlink="">
      <xdr:nvSpPr>
        <xdr:cNvPr id="887" name="TextBox 886">
          <a:extLst>
            <a:ext uri="{FF2B5EF4-FFF2-40B4-BE49-F238E27FC236}">
              <a16:creationId xmlns:a16="http://schemas.microsoft.com/office/drawing/2014/main" xmlns="" id="{00000000-0008-0000-0300-000077030000}"/>
            </a:ext>
          </a:extLst>
        </xdr:cNvPr>
        <xdr:cNvSpPr txBox="1"/>
      </xdr:nvSpPr>
      <xdr:spPr>
        <a:xfrm>
          <a:off x="7225145" y="37552745"/>
          <a:ext cx="1235654" cy="1080192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400" b="1">
              <a:solidFill>
                <a:srgbClr val="4D4D4D"/>
              </a:solidFill>
              <a:latin typeface="Hanse" panose="02000000000000000000" pitchFamily="50" charset="0"/>
            </a:rPr>
            <a:t>SMALL</a:t>
          </a:r>
          <a:endParaRPr lang="en-US" sz="24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263237</xdr:colOff>
      <xdr:row>116</xdr:row>
      <xdr:rowOff>41563</xdr:rowOff>
    </xdr:from>
    <xdr:to>
      <xdr:col>13</xdr:col>
      <xdr:colOff>471057</xdr:colOff>
      <xdr:row>123</xdr:row>
      <xdr:rowOff>83126</xdr:rowOff>
    </xdr:to>
    <xdr:sp macro="" textlink="'ATT '!H19">
      <xdr:nvSpPr>
        <xdr:cNvPr id="888" name="TextBox 887">
          <a:extLst>
            <a:ext uri="{FF2B5EF4-FFF2-40B4-BE49-F238E27FC236}">
              <a16:creationId xmlns:a16="http://schemas.microsoft.com/office/drawing/2014/main" xmlns="" id="{00000000-0008-0000-0300-000078030000}"/>
            </a:ext>
          </a:extLst>
        </xdr:cNvPr>
        <xdr:cNvSpPr txBox="1"/>
      </xdr:nvSpPr>
      <xdr:spPr>
        <a:xfrm>
          <a:off x="7349837" y="38027263"/>
          <a:ext cx="903145" cy="1375063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6D951ED-EE93-48F8-85C8-7C86BE27B067}" type="TxLink">
            <a:rPr lang="en-US" sz="3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Hanse" panose="02000000000000000000" pitchFamily="50" charset="0"/>
              <a:cs typeface="Calibri"/>
            </a:rPr>
            <a:pPr algn="ctr"/>
            <a:t>6</a:t>
          </a:fld>
          <a:endParaRPr lang="en-US" sz="3200" b="1">
            <a:solidFill>
              <a:schemeClr val="tx1">
                <a:lumMod val="65000"/>
                <a:lumOff val="35000"/>
              </a:schemeClr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13855</xdr:colOff>
      <xdr:row>116</xdr:row>
      <xdr:rowOff>41563</xdr:rowOff>
    </xdr:from>
    <xdr:to>
      <xdr:col>11</xdr:col>
      <xdr:colOff>332511</xdr:colOff>
      <xdr:row>123</xdr:row>
      <xdr:rowOff>83126</xdr:rowOff>
    </xdr:to>
    <xdr:sp macro="" textlink="'ATT '!G19">
      <xdr:nvSpPr>
        <xdr:cNvPr id="889" name="TextBox 888">
          <a:extLst>
            <a:ext uri="{FF2B5EF4-FFF2-40B4-BE49-F238E27FC236}">
              <a16:creationId xmlns:a16="http://schemas.microsoft.com/office/drawing/2014/main" xmlns="" id="{00000000-0008-0000-0300-000079030000}"/>
            </a:ext>
          </a:extLst>
        </xdr:cNvPr>
        <xdr:cNvSpPr txBox="1"/>
      </xdr:nvSpPr>
      <xdr:spPr>
        <a:xfrm>
          <a:off x="5919355" y="38027263"/>
          <a:ext cx="909206" cy="1375063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AFE13DF-25F2-4F64-9C4F-E8CE9050D444}" type="TxLink">
            <a:rPr lang="en-US" sz="3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Hanse" panose="02000000000000000000" pitchFamily="50" charset="0"/>
              <a:cs typeface="Calibri"/>
            </a:rPr>
            <a:pPr algn="ctr"/>
            <a:t>4</a:t>
          </a:fld>
          <a:endParaRPr lang="en-US" sz="3200" b="1">
            <a:solidFill>
              <a:schemeClr val="tx1">
                <a:lumMod val="65000"/>
                <a:lumOff val="35000"/>
              </a:schemeClr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27709</xdr:colOff>
      <xdr:row>116</xdr:row>
      <xdr:rowOff>41564</xdr:rowOff>
    </xdr:from>
    <xdr:to>
      <xdr:col>9</xdr:col>
      <xdr:colOff>346365</xdr:colOff>
      <xdr:row>123</xdr:row>
      <xdr:rowOff>83127</xdr:rowOff>
    </xdr:to>
    <xdr:sp macro="" textlink="'ATT '!F19">
      <xdr:nvSpPr>
        <xdr:cNvPr id="890" name="TextBox 889">
          <a:extLst>
            <a:ext uri="{FF2B5EF4-FFF2-40B4-BE49-F238E27FC236}">
              <a16:creationId xmlns:a16="http://schemas.microsoft.com/office/drawing/2014/main" xmlns="" id="{00000000-0008-0000-0300-00007A030000}"/>
            </a:ext>
          </a:extLst>
        </xdr:cNvPr>
        <xdr:cNvSpPr txBox="1"/>
      </xdr:nvSpPr>
      <xdr:spPr>
        <a:xfrm>
          <a:off x="4752109" y="38027264"/>
          <a:ext cx="909206" cy="1375063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A79FE0E-E88E-426D-BD6C-C3AC7704AC66}" type="TxLink">
            <a:rPr lang="en-US" sz="3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Hanse" panose="02000000000000000000" pitchFamily="50" charset="0"/>
              <a:cs typeface="Calibri"/>
            </a:rPr>
            <a:pPr algn="ctr"/>
            <a:t>3</a:t>
          </a:fld>
          <a:endParaRPr lang="en-US" sz="3200" b="1">
            <a:solidFill>
              <a:schemeClr val="tx1">
                <a:lumMod val="65000"/>
                <a:lumOff val="35000"/>
              </a:schemeClr>
            </a:solidFill>
            <a:latin typeface="Hanse" panose="02000000000000000000" pitchFamily="50" charset="0"/>
          </a:endParaRPr>
        </a:p>
      </xdr:txBody>
    </xdr:sp>
    <xdr:clientData/>
  </xdr:twoCellAnchor>
  <xdr:twoCellAnchor editAs="oneCell">
    <xdr:from>
      <xdr:col>2</xdr:col>
      <xdr:colOff>491836</xdr:colOff>
      <xdr:row>139</xdr:row>
      <xdr:rowOff>99753</xdr:rowOff>
    </xdr:from>
    <xdr:to>
      <xdr:col>5</xdr:col>
      <xdr:colOff>62345</xdr:colOff>
      <xdr:row>143</xdr:row>
      <xdr:rowOff>166427</xdr:rowOff>
    </xdr:to>
    <xdr:pic>
      <xdr:nvPicPr>
        <xdr:cNvPr id="891" name="Picture 890">
          <a:extLst>
            <a:ext uri="{FF2B5EF4-FFF2-40B4-BE49-F238E27FC236}">
              <a16:creationId xmlns:a16="http://schemas.microsoft.com/office/drawing/2014/main" xmlns="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672936" y="42466953"/>
          <a:ext cx="1342159" cy="828674"/>
        </a:xfrm>
        <a:prstGeom prst="rect">
          <a:avLst/>
        </a:prstGeom>
      </xdr:spPr>
    </xdr:pic>
    <xdr:clientData/>
  </xdr:twoCellAnchor>
  <xdr:twoCellAnchor editAs="oneCell">
    <xdr:from>
      <xdr:col>0</xdr:col>
      <xdr:colOff>103909</xdr:colOff>
      <xdr:row>274</xdr:row>
      <xdr:rowOff>124691</xdr:rowOff>
    </xdr:from>
    <xdr:to>
      <xdr:col>2</xdr:col>
      <xdr:colOff>284018</xdr:colOff>
      <xdr:row>279</xdr:row>
      <xdr:rowOff>865</xdr:rowOff>
    </xdr:to>
    <xdr:pic>
      <xdr:nvPicPr>
        <xdr:cNvPr id="892" name="Picture 891">
          <a:extLst>
            <a:ext uri="{FF2B5EF4-FFF2-40B4-BE49-F238E27FC236}">
              <a16:creationId xmlns:a16="http://schemas.microsoft.com/office/drawing/2014/main" xmlns="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03909" y="52685373"/>
          <a:ext cx="1357745" cy="828674"/>
        </a:xfrm>
        <a:prstGeom prst="rect">
          <a:avLst/>
        </a:prstGeom>
      </xdr:spPr>
    </xdr:pic>
    <xdr:clientData/>
  </xdr:twoCellAnchor>
  <xdr:twoCellAnchor editAs="oneCell">
    <xdr:from>
      <xdr:col>0</xdr:col>
      <xdr:colOff>55418</xdr:colOff>
      <xdr:row>344</xdr:row>
      <xdr:rowOff>41564</xdr:rowOff>
    </xdr:from>
    <xdr:to>
      <xdr:col>2</xdr:col>
      <xdr:colOff>235527</xdr:colOff>
      <xdr:row>348</xdr:row>
      <xdr:rowOff>108238</xdr:rowOff>
    </xdr:to>
    <xdr:pic>
      <xdr:nvPicPr>
        <xdr:cNvPr id="893" name="Picture 892">
          <a:extLst>
            <a:ext uri="{FF2B5EF4-FFF2-40B4-BE49-F238E27FC236}">
              <a16:creationId xmlns:a16="http://schemas.microsoft.com/office/drawing/2014/main" xmlns="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55418" y="98606264"/>
          <a:ext cx="1361209" cy="828674"/>
        </a:xfrm>
        <a:prstGeom prst="rect">
          <a:avLst/>
        </a:prstGeom>
      </xdr:spPr>
    </xdr:pic>
    <xdr:clientData/>
  </xdr:twoCellAnchor>
  <xdr:twoCellAnchor editAs="oneCell">
    <xdr:from>
      <xdr:col>0</xdr:col>
      <xdr:colOff>55418</xdr:colOff>
      <xdr:row>413</xdr:row>
      <xdr:rowOff>27709</xdr:rowOff>
    </xdr:from>
    <xdr:to>
      <xdr:col>2</xdr:col>
      <xdr:colOff>235527</xdr:colOff>
      <xdr:row>417</xdr:row>
      <xdr:rowOff>94384</xdr:rowOff>
    </xdr:to>
    <xdr:pic>
      <xdr:nvPicPr>
        <xdr:cNvPr id="894" name="Picture 893">
          <a:extLst>
            <a:ext uri="{FF2B5EF4-FFF2-40B4-BE49-F238E27FC236}">
              <a16:creationId xmlns:a16="http://schemas.microsoft.com/office/drawing/2014/main" xmlns="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55418" y="112689409"/>
          <a:ext cx="1361209" cy="828675"/>
        </a:xfrm>
        <a:prstGeom prst="rect">
          <a:avLst/>
        </a:prstGeom>
      </xdr:spPr>
    </xdr:pic>
    <xdr:clientData/>
  </xdr:twoCellAnchor>
  <xdr:twoCellAnchor editAs="oneCell">
    <xdr:from>
      <xdr:col>0</xdr:col>
      <xdr:colOff>72349</xdr:colOff>
      <xdr:row>482</xdr:row>
      <xdr:rowOff>0</xdr:rowOff>
    </xdr:from>
    <xdr:to>
      <xdr:col>2</xdr:col>
      <xdr:colOff>374073</xdr:colOff>
      <xdr:row>486</xdr:row>
      <xdr:rowOff>145473</xdr:rowOff>
    </xdr:to>
    <xdr:pic>
      <xdr:nvPicPr>
        <xdr:cNvPr id="895" name="Picture 894">
          <a:extLst>
            <a:ext uri="{FF2B5EF4-FFF2-40B4-BE49-F238E27FC236}">
              <a16:creationId xmlns:a16="http://schemas.microsoft.com/office/drawing/2014/main" xmlns="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72349" y="140734472"/>
          <a:ext cx="1482824" cy="907473"/>
        </a:xfrm>
        <a:prstGeom prst="rect">
          <a:avLst/>
        </a:prstGeom>
      </xdr:spPr>
    </xdr:pic>
    <xdr:clientData/>
  </xdr:twoCellAnchor>
  <xdr:twoCellAnchor>
    <xdr:from>
      <xdr:col>1</xdr:col>
      <xdr:colOff>498764</xdr:colOff>
      <xdr:row>413</xdr:row>
      <xdr:rowOff>138545</xdr:rowOff>
    </xdr:from>
    <xdr:to>
      <xdr:col>13</xdr:col>
      <xdr:colOff>498764</xdr:colOff>
      <xdr:row>423</xdr:row>
      <xdr:rowOff>9236</xdr:rowOff>
    </xdr:to>
    <xdr:sp macro="" textlink="">
      <xdr:nvSpPr>
        <xdr:cNvPr id="909" name="TextBox 908">
          <a:extLst>
            <a:ext uri="{FF2B5EF4-FFF2-40B4-BE49-F238E27FC236}">
              <a16:creationId xmlns:a16="http://schemas.microsoft.com/office/drawing/2014/main" xmlns="" id="{00000000-0008-0000-0300-00008D030000}"/>
            </a:ext>
          </a:extLst>
        </xdr:cNvPr>
        <xdr:cNvSpPr txBox="1"/>
      </xdr:nvSpPr>
      <xdr:spPr>
        <a:xfrm>
          <a:off x="1089314" y="112800245"/>
          <a:ext cx="7191375" cy="17756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4400" b="1" u="sng">
              <a:solidFill>
                <a:srgbClr val="4D4D4D"/>
              </a:solidFill>
              <a:effectLst>
                <a:outerShdw blurRad="38100" dist="38100" dir="2700000" algn="tl" rotWithShape="0">
                  <a:srgbClr val="000000">
                    <a:alpha val="43000"/>
                  </a:srgbClr>
                </a:outerShdw>
              </a:effectLst>
              <a:latin typeface="Hanse" panose="02000000000000000000" pitchFamily="50" charset="0"/>
              <a:ea typeface="+mn-ea"/>
              <a:cs typeface="+mn-cs"/>
            </a:rPr>
            <a:t>  </a:t>
          </a:r>
          <a:r>
            <a:rPr lang="et-EE" sz="4000" b="1" u="sng">
              <a:solidFill>
                <a:srgbClr val="4D4D4D"/>
              </a:solidFill>
              <a:effectLst>
                <a:outerShdw blurRad="38100" dist="38100" dir="2700000" algn="tl" rotWithShape="0">
                  <a:srgbClr val="000000">
                    <a:alpha val="43000"/>
                  </a:srgbClr>
                </a:outerShdw>
              </a:effectLst>
              <a:latin typeface="Hanse" panose="02000000000000000000" pitchFamily="50" charset="0"/>
              <a:ea typeface="+mn-ea"/>
              <a:cs typeface="+mn-cs"/>
            </a:rPr>
            <a:t>Goals and shots from standards outside last fourth</a:t>
          </a:r>
          <a:endParaRPr lang="et-EE" sz="4000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endParaRPr lang="et-EE" sz="2000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387927</xdr:colOff>
      <xdr:row>161</xdr:row>
      <xdr:rowOff>0</xdr:rowOff>
    </xdr:from>
    <xdr:to>
      <xdr:col>3</xdr:col>
      <xdr:colOff>0</xdr:colOff>
      <xdr:row>165</xdr:row>
      <xdr:rowOff>0</xdr:rowOff>
    </xdr:to>
    <xdr:sp macro="" textlink="Algandmed!AH8">
      <xdr:nvSpPr>
        <xdr:cNvPr id="912" name="TextBox 911">
          <a:extLst>
            <a:ext uri="{FF2B5EF4-FFF2-40B4-BE49-F238E27FC236}">
              <a16:creationId xmlns:a16="http://schemas.microsoft.com/office/drawing/2014/main" xmlns="" id="{00000000-0008-0000-0300-000090030000}"/>
            </a:ext>
          </a:extLst>
        </xdr:cNvPr>
        <xdr:cNvSpPr txBox="1"/>
      </xdr:nvSpPr>
      <xdr:spPr>
        <a:xfrm>
          <a:off x="978477" y="46558200"/>
          <a:ext cx="793173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DEB359F-C957-419B-8C84-C48CCCFA3EAE}" type="TxLink">
            <a:rPr lang="en-US" sz="36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5</a:t>
          </a:fld>
          <a:endParaRPr lang="et-EE" sz="36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11</xdr:col>
      <xdr:colOff>1</xdr:colOff>
      <xdr:row>161</xdr:row>
      <xdr:rowOff>-1</xdr:rowOff>
    </xdr:from>
    <xdr:to>
      <xdr:col>12</xdr:col>
      <xdr:colOff>533400</xdr:colOff>
      <xdr:row>164</xdr:row>
      <xdr:rowOff>180108</xdr:rowOff>
    </xdr:to>
    <xdr:sp macro="" textlink="Algandmed!AW8">
      <xdr:nvSpPr>
        <xdr:cNvPr id="913" name="TextBox 912">
          <a:extLst>
            <a:ext uri="{FF2B5EF4-FFF2-40B4-BE49-F238E27FC236}">
              <a16:creationId xmlns:a16="http://schemas.microsoft.com/office/drawing/2014/main" xmlns="" id="{00000000-0008-0000-0300-000091030000}"/>
            </a:ext>
          </a:extLst>
        </xdr:cNvPr>
        <xdr:cNvSpPr txBox="1"/>
      </xdr:nvSpPr>
      <xdr:spPr>
        <a:xfrm>
          <a:off x="6496051" y="46558199"/>
          <a:ext cx="1123949" cy="7516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E7BF6-71B9-4A84-8EE0-CC0B998FEA44}" type="TxLink">
            <a:rPr lang="en-US" sz="36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15</a:t>
          </a:fld>
          <a:endParaRPr lang="et-EE" sz="36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387927</xdr:colOff>
      <xdr:row>173</xdr:row>
      <xdr:rowOff>0</xdr:rowOff>
    </xdr:from>
    <xdr:to>
      <xdr:col>4</xdr:col>
      <xdr:colOff>0</xdr:colOff>
      <xdr:row>177</xdr:row>
      <xdr:rowOff>0</xdr:rowOff>
    </xdr:to>
    <xdr:sp macro="" textlink="'ATT '!F17">
      <xdr:nvSpPr>
        <xdr:cNvPr id="914" name="TextBox 913">
          <a:extLst>
            <a:ext uri="{FF2B5EF4-FFF2-40B4-BE49-F238E27FC236}">
              <a16:creationId xmlns:a16="http://schemas.microsoft.com/office/drawing/2014/main" xmlns="" id="{00000000-0008-0000-0300-000092030000}"/>
            </a:ext>
          </a:extLst>
        </xdr:cNvPr>
        <xdr:cNvSpPr txBox="1"/>
      </xdr:nvSpPr>
      <xdr:spPr>
        <a:xfrm>
          <a:off x="1569027" y="48844200"/>
          <a:ext cx="793173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2D500DB-D7A0-490A-8729-9795261A33A8}" type="TxLink">
            <a:rPr lang="en-US" sz="3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Hanse" panose="02000000000000000000" pitchFamily="50" charset="0"/>
              <a:cs typeface="Calibri"/>
            </a:rPr>
            <a:pPr algn="ctr"/>
            <a:t>2</a:t>
          </a:fld>
          <a:endParaRPr lang="et-EE" sz="3200" b="1">
            <a:solidFill>
              <a:schemeClr val="tx1">
                <a:lumMod val="65000"/>
                <a:lumOff val="35000"/>
              </a:schemeClr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13856</xdr:colOff>
      <xdr:row>173</xdr:row>
      <xdr:rowOff>-1</xdr:rowOff>
    </xdr:from>
    <xdr:to>
      <xdr:col>11</xdr:col>
      <xdr:colOff>235529</xdr:colOff>
      <xdr:row>176</xdr:row>
      <xdr:rowOff>180108</xdr:rowOff>
    </xdr:to>
    <xdr:sp macro="" textlink="'ATT '!F19">
      <xdr:nvSpPr>
        <xdr:cNvPr id="915" name="TextBox 914">
          <a:extLst>
            <a:ext uri="{FF2B5EF4-FFF2-40B4-BE49-F238E27FC236}">
              <a16:creationId xmlns:a16="http://schemas.microsoft.com/office/drawing/2014/main" xmlns="" id="{00000000-0008-0000-0300-000093030000}"/>
            </a:ext>
          </a:extLst>
        </xdr:cNvPr>
        <xdr:cNvSpPr txBox="1"/>
      </xdr:nvSpPr>
      <xdr:spPr>
        <a:xfrm>
          <a:off x="5919356" y="48844199"/>
          <a:ext cx="812223" cy="7516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E4DF50-50CD-4008-8ED7-4042B4067383}" type="TxLink">
            <a:rPr lang="en-US" sz="3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Hanse" panose="02000000000000000000" pitchFamily="50" charset="0"/>
              <a:cs typeface="Calibri"/>
            </a:rPr>
            <a:pPr algn="ctr"/>
            <a:t>3</a:t>
          </a:fld>
          <a:endParaRPr lang="et-EE" sz="3200" b="1">
            <a:solidFill>
              <a:schemeClr val="tx1">
                <a:lumMod val="65000"/>
                <a:lumOff val="35000"/>
              </a:schemeClr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387927</xdr:colOff>
      <xdr:row>167</xdr:row>
      <xdr:rowOff>3</xdr:rowOff>
    </xdr:from>
    <xdr:to>
      <xdr:col>3</xdr:col>
      <xdr:colOff>0</xdr:colOff>
      <xdr:row>171</xdr:row>
      <xdr:rowOff>2</xdr:rowOff>
    </xdr:to>
    <xdr:sp macro="" textlink="Algandmed!AG8">
      <xdr:nvSpPr>
        <xdr:cNvPr id="916" name="TextBox 915">
          <a:extLst>
            <a:ext uri="{FF2B5EF4-FFF2-40B4-BE49-F238E27FC236}">
              <a16:creationId xmlns:a16="http://schemas.microsoft.com/office/drawing/2014/main" xmlns="" id="{00000000-0008-0000-0300-000094030000}"/>
            </a:ext>
          </a:extLst>
        </xdr:cNvPr>
        <xdr:cNvSpPr txBox="1"/>
      </xdr:nvSpPr>
      <xdr:spPr>
        <a:xfrm>
          <a:off x="978477" y="47701203"/>
          <a:ext cx="793173" cy="761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5245F3-8489-4C73-86E1-B244F7FF2199}" type="TxLink">
            <a:rPr lang="en-US" sz="32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t-EE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11</xdr:col>
      <xdr:colOff>1</xdr:colOff>
      <xdr:row>167</xdr:row>
      <xdr:rowOff>2</xdr:rowOff>
    </xdr:from>
    <xdr:to>
      <xdr:col>12</xdr:col>
      <xdr:colOff>518160</xdr:colOff>
      <xdr:row>171</xdr:row>
      <xdr:rowOff>1</xdr:rowOff>
    </xdr:to>
    <xdr:sp macro="" textlink="Algandmed!AV8">
      <xdr:nvSpPr>
        <xdr:cNvPr id="917" name="TextBox 916">
          <a:extLst>
            <a:ext uri="{FF2B5EF4-FFF2-40B4-BE49-F238E27FC236}">
              <a16:creationId xmlns:a16="http://schemas.microsoft.com/office/drawing/2014/main" xmlns="" id="{00000000-0008-0000-0300-000095030000}"/>
            </a:ext>
          </a:extLst>
        </xdr:cNvPr>
        <xdr:cNvSpPr txBox="1"/>
      </xdr:nvSpPr>
      <xdr:spPr>
        <a:xfrm>
          <a:off x="6496051" y="47701202"/>
          <a:ext cx="1108709" cy="761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FEFA7C5-39A7-4955-9BCE-9ED2AA914733}" type="TxLink">
            <a:rPr lang="en-US" sz="32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8</a:t>
          </a:fld>
          <a:endParaRPr lang="et-EE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593911</xdr:colOff>
      <xdr:row>160</xdr:row>
      <xdr:rowOff>190499</xdr:rowOff>
    </xdr:from>
    <xdr:to>
      <xdr:col>10</xdr:col>
      <xdr:colOff>0</xdr:colOff>
      <xdr:row>166</xdr:row>
      <xdr:rowOff>100852</xdr:rowOff>
    </xdr:to>
    <xdr:sp macro="" textlink="">
      <xdr:nvSpPr>
        <xdr:cNvPr id="918" name="TextBox 917">
          <a:extLst>
            <a:ext uri="{FF2B5EF4-FFF2-40B4-BE49-F238E27FC236}">
              <a16:creationId xmlns:a16="http://schemas.microsoft.com/office/drawing/2014/main" xmlns="" id="{00000000-0008-0000-0300-000096030000}"/>
            </a:ext>
          </a:extLst>
        </xdr:cNvPr>
        <xdr:cNvSpPr txBox="1"/>
      </xdr:nvSpPr>
      <xdr:spPr>
        <a:xfrm>
          <a:off x="2375646" y="30670499"/>
          <a:ext cx="3563472" cy="10533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600">
              <a:solidFill>
                <a:srgbClr val="4D4D4D"/>
              </a:solidFill>
              <a:latin typeface="Hanse" panose="02000000000000000000" pitchFamily="50" charset="0"/>
            </a:rPr>
            <a:t>Total attempts</a:t>
          </a:r>
        </a:p>
      </xdr:txBody>
    </xdr:sp>
    <xdr:clientData/>
  </xdr:twoCellAnchor>
  <xdr:twoCellAnchor>
    <xdr:from>
      <xdr:col>5</xdr:col>
      <xdr:colOff>-1</xdr:colOff>
      <xdr:row>173</xdr:row>
      <xdr:rowOff>-1</xdr:rowOff>
    </xdr:from>
    <xdr:to>
      <xdr:col>9</xdr:col>
      <xdr:colOff>27710</xdr:colOff>
      <xdr:row>176</xdr:row>
      <xdr:rowOff>180108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xmlns="" id="{00000000-0008-0000-0300-000097030000}"/>
            </a:ext>
          </a:extLst>
        </xdr:cNvPr>
        <xdr:cNvSpPr txBox="1"/>
      </xdr:nvSpPr>
      <xdr:spPr>
        <a:xfrm>
          <a:off x="2952749" y="48844199"/>
          <a:ext cx="2389911" cy="7516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600">
              <a:solidFill>
                <a:srgbClr val="4D4D4D"/>
              </a:solidFill>
              <a:latin typeface="Hanse" panose="02000000000000000000" pitchFamily="50" charset="0"/>
            </a:rPr>
            <a:t>BIG</a:t>
          </a:r>
        </a:p>
      </xdr:txBody>
    </xdr:sp>
    <xdr:clientData/>
  </xdr:twoCellAnchor>
  <xdr:twoCellAnchor>
    <xdr:from>
      <xdr:col>4</xdr:col>
      <xdr:colOff>0</xdr:colOff>
      <xdr:row>167</xdr:row>
      <xdr:rowOff>1</xdr:rowOff>
    </xdr:from>
    <xdr:to>
      <xdr:col>10</xdr:col>
      <xdr:colOff>0</xdr:colOff>
      <xdr:row>172</xdr:row>
      <xdr:rowOff>168088</xdr:rowOff>
    </xdr:to>
    <xdr:sp macro="" textlink="">
      <xdr:nvSpPr>
        <xdr:cNvPr id="920" name="TextBox 919">
          <a:extLst>
            <a:ext uri="{FF2B5EF4-FFF2-40B4-BE49-F238E27FC236}">
              <a16:creationId xmlns:a16="http://schemas.microsoft.com/office/drawing/2014/main" xmlns="" id="{00000000-0008-0000-0300-000098030000}"/>
            </a:ext>
          </a:extLst>
        </xdr:cNvPr>
        <xdr:cNvSpPr txBox="1"/>
      </xdr:nvSpPr>
      <xdr:spPr>
        <a:xfrm>
          <a:off x="2375647" y="31813501"/>
          <a:ext cx="3563471" cy="11205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200">
              <a:solidFill>
                <a:srgbClr val="4D4D4D"/>
              </a:solidFill>
              <a:latin typeface="Hanse" panose="02000000000000000000" pitchFamily="50" charset="0"/>
            </a:rPr>
            <a:t>Attempts</a:t>
          </a:r>
          <a:r>
            <a:rPr lang="et-EE" sz="3200" baseline="0">
              <a:solidFill>
                <a:srgbClr val="4D4D4D"/>
              </a:solidFill>
              <a:latin typeface="Hanse" panose="02000000000000000000" pitchFamily="50" charset="0"/>
            </a:rPr>
            <a:t> on goal</a:t>
          </a:r>
          <a:endParaRPr lang="et-EE" sz="3200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387926</xdr:colOff>
      <xdr:row>155</xdr:row>
      <xdr:rowOff>0</xdr:rowOff>
    </xdr:from>
    <xdr:to>
      <xdr:col>3</xdr:col>
      <xdr:colOff>-1</xdr:colOff>
      <xdr:row>159</xdr:row>
      <xdr:rowOff>-1</xdr:rowOff>
    </xdr:to>
    <xdr:sp macro="" textlink="Algandmed!AM7">
      <xdr:nvSpPr>
        <xdr:cNvPr id="921" name="TextBox 920">
          <a:extLst>
            <a:ext uri="{FF2B5EF4-FFF2-40B4-BE49-F238E27FC236}">
              <a16:creationId xmlns:a16="http://schemas.microsoft.com/office/drawing/2014/main" xmlns="" id="{00000000-0008-0000-0300-000099030000}"/>
            </a:ext>
          </a:extLst>
        </xdr:cNvPr>
        <xdr:cNvSpPr txBox="1"/>
      </xdr:nvSpPr>
      <xdr:spPr>
        <a:xfrm>
          <a:off x="978476" y="45415200"/>
          <a:ext cx="793173" cy="761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F165E79-1401-4BBC-8B55-6213C12EA44C}" type="TxLink">
            <a:rPr lang="en-US" sz="36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23</a:t>
          </a:fld>
          <a:endParaRPr lang="et-EE" sz="36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11</xdr:col>
      <xdr:colOff>0</xdr:colOff>
      <xdr:row>154</xdr:row>
      <xdr:rowOff>180108</xdr:rowOff>
    </xdr:from>
    <xdr:to>
      <xdr:col>12</xdr:col>
      <xdr:colOff>609600</xdr:colOff>
      <xdr:row>158</xdr:row>
      <xdr:rowOff>180107</xdr:rowOff>
    </xdr:to>
    <xdr:sp macro="" textlink="Algandmed!BB7">
      <xdr:nvSpPr>
        <xdr:cNvPr id="922" name="TextBox 921">
          <a:extLst>
            <a:ext uri="{FF2B5EF4-FFF2-40B4-BE49-F238E27FC236}">
              <a16:creationId xmlns:a16="http://schemas.microsoft.com/office/drawing/2014/main" xmlns="" id="{00000000-0008-0000-0300-00009A030000}"/>
            </a:ext>
          </a:extLst>
        </xdr:cNvPr>
        <xdr:cNvSpPr txBox="1"/>
      </xdr:nvSpPr>
      <xdr:spPr>
        <a:xfrm>
          <a:off x="6496050" y="45404808"/>
          <a:ext cx="1200150" cy="761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CD1DCB2-ADA7-4E97-9824-2CF64B4C75B7}" type="TxLink">
            <a:rPr lang="en-US" sz="36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37</a:t>
          </a:fld>
          <a:endParaRPr lang="et-EE" sz="36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228600</xdr:colOff>
      <xdr:row>181</xdr:row>
      <xdr:rowOff>15240</xdr:rowOff>
    </xdr:from>
    <xdr:to>
      <xdr:col>3</xdr:col>
      <xdr:colOff>121920</xdr:colOff>
      <xdr:row>185</xdr:row>
      <xdr:rowOff>15240</xdr:rowOff>
    </xdr:to>
    <xdr:sp macro="" textlink="Algandmed!AI8">
      <xdr:nvSpPr>
        <xdr:cNvPr id="923" name="TextBox 922">
          <a:extLst>
            <a:ext uri="{FF2B5EF4-FFF2-40B4-BE49-F238E27FC236}">
              <a16:creationId xmlns:a16="http://schemas.microsoft.com/office/drawing/2014/main" xmlns="" id="{00000000-0008-0000-0300-00009B030000}"/>
            </a:ext>
          </a:extLst>
        </xdr:cNvPr>
        <xdr:cNvSpPr txBox="1"/>
      </xdr:nvSpPr>
      <xdr:spPr>
        <a:xfrm>
          <a:off x="819150" y="50383440"/>
          <a:ext cx="1074420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6485C00-23AD-4B0F-934F-B49E4AD3B08C}" type="TxLink">
            <a:rPr lang="en-US" sz="2800" b="0" i="0" u="none" strike="noStrike">
              <a:solidFill>
                <a:srgbClr val="4D4D4D"/>
              </a:solidFill>
              <a:latin typeface="Calibri"/>
              <a:cs typeface="Calibri"/>
            </a:rPr>
            <a:pPr algn="ctr"/>
            <a:t>20,0%</a:t>
          </a:fld>
          <a:endParaRPr lang="et-EE" sz="2800" b="0">
            <a:solidFill>
              <a:srgbClr val="4D4D4D"/>
            </a:solidFill>
          </a:endParaRPr>
        </a:p>
      </xdr:txBody>
    </xdr:sp>
    <xdr:clientData/>
  </xdr:twoCellAnchor>
  <xdr:twoCellAnchor>
    <xdr:from>
      <xdr:col>10</xdr:col>
      <xdr:colOff>518160</xdr:colOff>
      <xdr:row>181</xdr:row>
      <xdr:rowOff>15239</xdr:rowOff>
    </xdr:from>
    <xdr:to>
      <xdr:col>12</xdr:col>
      <xdr:colOff>426720</xdr:colOff>
      <xdr:row>185</xdr:row>
      <xdr:rowOff>12468</xdr:rowOff>
    </xdr:to>
    <xdr:sp macro="" textlink="Algandmed!AX8">
      <xdr:nvSpPr>
        <xdr:cNvPr id="924" name="TextBox 923">
          <a:extLst>
            <a:ext uri="{FF2B5EF4-FFF2-40B4-BE49-F238E27FC236}">
              <a16:creationId xmlns:a16="http://schemas.microsoft.com/office/drawing/2014/main" xmlns="" id="{00000000-0008-0000-0300-00009C030000}"/>
            </a:ext>
          </a:extLst>
        </xdr:cNvPr>
        <xdr:cNvSpPr txBox="1"/>
      </xdr:nvSpPr>
      <xdr:spPr>
        <a:xfrm>
          <a:off x="6423660" y="50383439"/>
          <a:ext cx="1089660" cy="7592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2099148-5E5F-49D8-823D-E3C9866FD214}" type="TxLink">
            <a:rPr lang="en-US" sz="2800" b="0" i="0" u="none" strike="noStrike">
              <a:solidFill>
                <a:srgbClr val="4D4D4D"/>
              </a:solidFill>
              <a:latin typeface="Calibri"/>
              <a:cs typeface="Calibri"/>
            </a:rPr>
            <a:pPr algn="ctr"/>
            <a:t>40,0%</a:t>
          </a:fld>
          <a:endParaRPr lang="et-EE" sz="2800" b="0">
            <a:solidFill>
              <a:srgbClr val="4D4D4D"/>
            </a:solidFill>
          </a:endParaRPr>
        </a:p>
      </xdr:txBody>
    </xdr:sp>
    <xdr:clientData/>
  </xdr:twoCellAnchor>
  <xdr:twoCellAnchor>
    <xdr:from>
      <xdr:col>1</xdr:col>
      <xdr:colOff>213360</xdr:colOff>
      <xdr:row>187</xdr:row>
      <xdr:rowOff>15241</xdr:rowOff>
    </xdr:from>
    <xdr:to>
      <xdr:col>3</xdr:col>
      <xdr:colOff>137160</xdr:colOff>
      <xdr:row>189</xdr:row>
      <xdr:rowOff>134471</xdr:rowOff>
    </xdr:to>
    <xdr:sp macro="" textlink="Algandmed!AJ8">
      <xdr:nvSpPr>
        <xdr:cNvPr id="925" name="TextBox 924">
          <a:extLst>
            <a:ext uri="{FF2B5EF4-FFF2-40B4-BE49-F238E27FC236}">
              <a16:creationId xmlns:a16="http://schemas.microsoft.com/office/drawing/2014/main" xmlns="" id="{00000000-0008-0000-0300-00009D030000}"/>
            </a:ext>
          </a:extLst>
        </xdr:cNvPr>
        <xdr:cNvSpPr txBox="1"/>
      </xdr:nvSpPr>
      <xdr:spPr>
        <a:xfrm>
          <a:off x="807272" y="35638741"/>
          <a:ext cx="1111623" cy="5002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E45BCF-EA1A-4118-97C3-2E46068CAA55}" type="TxLink">
            <a:rPr lang="en-US" sz="2800" b="0" i="0" u="none" strike="noStrike">
              <a:solidFill>
                <a:srgbClr val="4D4D4D"/>
              </a:solidFill>
              <a:latin typeface="Calibri"/>
              <a:cs typeface="Calibri"/>
            </a:rPr>
            <a:pPr algn="ctr"/>
            <a:t>0,0%</a:t>
          </a:fld>
          <a:endParaRPr lang="et-EE" sz="2800" b="0">
            <a:solidFill>
              <a:srgbClr val="4D4D4D"/>
            </a:solidFill>
          </a:endParaRPr>
        </a:p>
      </xdr:txBody>
    </xdr:sp>
    <xdr:clientData/>
  </xdr:twoCellAnchor>
  <xdr:twoCellAnchor>
    <xdr:from>
      <xdr:col>10</xdr:col>
      <xdr:colOff>502920</xdr:colOff>
      <xdr:row>187</xdr:row>
      <xdr:rowOff>15240</xdr:rowOff>
    </xdr:from>
    <xdr:to>
      <xdr:col>12</xdr:col>
      <xdr:colOff>411480</xdr:colOff>
      <xdr:row>189</xdr:row>
      <xdr:rowOff>112059</xdr:rowOff>
    </xdr:to>
    <xdr:sp macro="" textlink="Algandmed!AY8">
      <xdr:nvSpPr>
        <xdr:cNvPr id="926" name="TextBox 925">
          <a:extLst>
            <a:ext uri="{FF2B5EF4-FFF2-40B4-BE49-F238E27FC236}">
              <a16:creationId xmlns:a16="http://schemas.microsoft.com/office/drawing/2014/main" xmlns="" id="{00000000-0008-0000-0300-00009E030000}"/>
            </a:ext>
          </a:extLst>
        </xdr:cNvPr>
        <xdr:cNvSpPr txBox="1"/>
      </xdr:nvSpPr>
      <xdr:spPr>
        <a:xfrm>
          <a:off x="6442038" y="35638740"/>
          <a:ext cx="1096383" cy="4778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0ED7D8F-879E-4D5A-8A02-5217206AF974}" type="TxLink">
            <a:rPr lang="en-US" sz="2800" b="0" i="0" u="none" strike="noStrike">
              <a:solidFill>
                <a:srgbClr val="4D4D4D"/>
              </a:solidFill>
              <a:latin typeface="Calibri"/>
              <a:cs typeface="Calibri"/>
            </a:rPr>
            <a:pPr algn="ctr"/>
            <a:t>13,3%</a:t>
          </a:fld>
          <a:endParaRPr lang="et-EE" sz="2800" b="0">
            <a:solidFill>
              <a:srgbClr val="4D4D4D"/>
            </a:solidFill>
          </a:endParaRPr>
        </a:p>
      </xdr:txBody>
    </xdr:sp>
    <xdr:clientData/>
  </xdr:twoCellAnchor>
  <xdr:twoCellAnchor>
    <xdr:from>
      <xdr:col>3</xdr:col>
      <xdr:colOff>609598</xdr:colOff>
      <xdr:row>154</xdr:row>
      <xdr:rowOff>180108</xdr:rowOff>
    </xdr:from>
    <xdr:to>
      <xdr:col>10</xdr:col>
      <xdr:colOff>-1</xdr:colOff>
      <xdr:row>158</xdr:row>
      <xdr:rowOff>180107</xdr:rowOff>
    </xdr:to>
    <xdr:sp macro="" textlink="">
      <xdr:nvSpPr>
        <xdr:cNvPr id="927" name="TextBox 926">
          <a:extLst>
            <a:ext uri="{FF2B5EF4-FFF2-40B4-BE49-F238E27FC236}">
              <a16:creationId xmlns:a16="http://schemas.microsoft.com/office/drawing/2014/main" xmlns="" id="{00000000-0008-0000-0300-00009F030000}"/>
            </a:ext>
          </a:extLst>
        </xdr:cNvPr>
        <xdr:cNvSpPr txBox="1"/>
      </xdr:nvSpPr>
      <xdr:spPr>
        <a:xfrm>
          <a:off x="2362198" y="45404808"/>
          <a:ext cx="3543301" cy="761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600">
              <a:solidFill>
                <a:srgbClr val="4D4D4D"/>
              </a:solidFill>
              <a:latin typeface="Hanse" panose="02000000000000000000" pitchFamily="50" charset="0"/>
            </a:rPr>
            <a:t>ENTRIES</a:t>
          </a:r>
        </a:p>
      </xdr:txBody>
    </xdr:sp>
    <xdr:clientData/>
  </xdr:twoCellAnchor>
  <xdr:twoCellAnchor>
    <xdr:from>
      <xdr:col>3</xdr:col>
      <xdr:colOff>332509</xdr:colOff>
      <xdr:row>181</xdr:row>
      <xdr:rowOff>15239</xdr:rowOff>
    </xdr:from>
    <xdr:to>
      <xdr:col>10</xdr:col>
      <xdr:colOff>318654</xdr:colOff>
      <xdr:row>185</xdr:row>
      <xdr:rowOff>12468</xdr:rowOff>
    </xdr:to>
    <xdr:sp macro="" textlink="">
      <xdr:nvSpPr>
        <xdr:cNvPr id="928" name="TextBox 927">
          <a:extLst>
            <a:ext uri="{FF2B5EF4-FFF2-40B4-BE49-F238E27FC236}">
              <a16:creationId xmlns:a16="http://schemas.microsoft.com/office/drawing/2014/main" xmlns="" id="{00000000-0008-0000-0300-0000A0030000}"/>
            </a:ext>
          </a:extLst>
        </xdr:cNvPr>
        <xdr:cNvSpPr txBox="1"/>
      </xdr:nvSpPr>
      <xdr:spPr>
        <a:xfrm>
          <a:off x="2104159" y="50383439"/>
          <a:ext cx="4119995" cy="7592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>
              <a:solidFill>
                <a:srgbClr val="4D4D4D"/>
              </a:solidFill>
              <a:latin typeface="Hanse" panose="02000000000000000000" pitchFamily="50" charset="0"/>
            </a:rPr>
            <a:t>Shot/shot</a:t>
          </a:r>
          <a:r>
            <a:rPr lang="et-EE" sz="2800" baseline="0">
              <a:solidFill>
                <a:srgbClr val="4D4D4D"/>
              </a:solidFill>
              <a:latin typeface="Hanse" panose="02000000000000000000" pitchFamily="50" charset="0"/>
            </a:rPr>
            <a:t> on goal ratio</a:t>
          </a:r>
          <a:endParaRPr lang="et-EE" sz="2800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590548</xdr:colOff>
      <xdr:row>187</xdr:row>
      <xdr:rowOff>12468</xdr:rowOff>
    </xdr:from>
    <xdr:to>
      <xdr:col>9</xdr:col>
      <xdr:colOff>593911</xdr:colOff>
      <xdr:row>189</xdr:row>
      <xdr:rowOff>145676</xdr:rowOff>
    </xdr:to>
    <xdr:sp macro="" textlink="">
      <xdr:nvSpPr>
        <xdr:cNvPr id="929" name="TextBox 928">
          <a:extLst>
            <a:ext uri="{FF2B5EF4-FFF2-40B4-BE49-F238E27FC236}">
              <a16:creationId xmlns:a16="http://schemas.microsoft.com/office/drawing/2014/main" xmlns="" id="{00000000-0008-0000-0300-0000A1030000}"/>
            </a:ext>
          </a:extLst>
        </xdr:cNvPr>
        <xdr:cNvSpPr txBox="1"/>
      </xdr:nvSpPr>
      <xdr:spPr>
        <a:xfrm>
          <a:off x="2372283" y="35635968"/>
          <a:ext cx="3566834" cy="514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>
              <a:solidFill>
                <a:srgbClr val="4D4D4D"/>
              </a:solidFill>
              <a:latin typeface="Hanse" panose="02000000000000000000" pitchFamily="50" charset="0"/>
            </a:rPr>
            <a:t>Shot/goal</a:t>
          </a:r>
          <a:r>
            <a:rPr lang="et-EE" sz="2800" baseline="0">
              <a:solidFill>
                <a:srgbClr val="4D4D4D"/>
              </a:solidFill>
              <a:latin typeface="Hanse" panose="02000000000000000000" pitchFamily="50" charset="0"/>
            </a:rPr>
            <a:t> ratio</a:t>
          </a:r>
          <a:endParaRPr lang="et-EE" sz="2800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217247</xdr:colOff>
      <xdr:row>212</xdr:row>
      <xdr:rowOff>177424</xdr:rowOff>
    </xdr:from>
    <xdr:to>
      <xdr:col>11</xdr:col>
      <xdr:colOff>579617</xdr:colOff>
      <xdr:row>235</xdr:row>
      <xdr:rowOff>156883</xdr:rowOff>
    </xdr:to>
    <xdr:graphicFrame macro="">
      <xdr:nvGraphicFramePr>
        <xdr:cNvPr id="945" name="Chart 944">
          <a:extLst>
            <a:ext uri="{FF2B5EF4-FFF2-40B4-BE49-F238E27FC236}">
              <a16:creationId xmlns:a16="http://schemas.microsoft.com/office/drawing/2014/main" xmlns="" id="{00000000-0008-0000-0300-0000B103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oneCellAnchor>
    <xdr:from>
      <xdr:col>0</xdr:col>
      <xdr:colOff>0</xdr:colOff>
      <xdr:row>24</xdr:row>
      <xdr:rowOff>38793</xdr:rowOff>
    </xdr:from>
    <xdr:ext cx="8494806" cy="6340071"/>
    <xdr:pic>
      <xdr:nvPicPr>
        <xdr:cNvPr id="946" name="Picture 945">
          <a:extLst>
            <a:ext uri="{FF2B5EF4-FFF2-40B4-BE49-F238E27FC236}">
              <a16:creationId xmlns:a16="http://schemas.microsoft.com/office/drawing/2014/main" xmlns="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BEBA8EAE-BF5A-486C-A8C5-ECC9F3942E4B}">
              <a14:imgProps xmlns:a14="http://schemas.microsoft.com/office/drawing/2010/main" xmlns="">
                <a14:imgLayer r:embed="rId2">
                  <a14:imgEffect>
                    <a14:artisticCrisscrossEtching/>
                  </a14:imgEffect>
                  <a14:imgEffect>
                    <a14:colorTemperature colorTemp="4700"/>
                  </a14:imgEffect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116949764"/>
          <a:ext cx="8494806" cy="6340071"/>
        </a:xfrm>
        <a:prstGeom prst="rect">
          <a:avLst/>
        </a:prstGeom>
        <a:noFill/>
        <a:ln>
          <a:noFill/>
        </a:ln>
        <a:effectLst>
          <a:outerShdw sx="1000" sy="1000" algn="tl" rotWithShape="0">
            <a:srgbClr val="333333"/>
          </a:outerShdw>
        </a:effectLst>
      </xdr:spPr>
    </xdr:pic>
    <xdr:clientData/>
  </xdr:oneCellAnchor>
  <xdr:twoCellAnchor>
    <xdr:from>
      <xdr:col>1</xdr:col>
      <xdr:colOff>242455</xdr:colOff>
      <xdr:row>2</xdr:row>
      <xdr:rowOff>80818</xdr:rowOff>
    </xdr:from>
    <xdr:to>
      <xdr:col>13</xdr:col>
      <xdr:colOff>331355</xdr:colOff>
      <xdr:row>8</xdr:row>
      <xdr:rowOff>96982</xdr:rowOff>
    </xdr:to>
    <xdr:sp macro="" textlink="">
      <xdr:nvSpPr>
        <xdr:cNvPr id="947" name="TextBox 946">
          <a:extLst>
            <a:ext uri="{FF2B5EF4-FFF2-40B4-BE49-F238E27FC236}">
              <a16:creationId xmlns:a16="http://schemas.microsoft.com/office/drawing/2014/main" xmlns="" id="{00000000-0008-0000-0300-0000B3030000}"/>
            </a:ext>
          </a:extLst>
        </xdr:cNvPr>
        <xdr:cNvSpPr txBox="1"/>
      </xdr:nvSpPr>
      <xdr:spPr>
        <a:xfrm>
          <a:off x="836367" y="112800789"/>
          <a:ext cx="7316694" cy="1159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4400" b="1" u="sng">
              <a:solidFill>
                <a:srgbClr val="4D4D4D"/>
              </a:solidFill>
              <a:effectLst>
                <a:outerShdw blurRad="38100" dist="38100" dir="2700000" algn="tl" rotWithShape="0">
                  <a:srgbClr val="000000">
                    <a:alpha val="43000"/>
                  </a:srgbClr>
                </a:outerShdw>
              </a:effectLst>
              <a:latin typeface="Hanse" panose="02000000000000000000" pitchFamily="50" charset="0"/>
              <a:ea typeface="+mn-ea"/>
              <a:cs typeface="+mn-cs"/>
            </a:rPr>
            <a:t>Momentum</a:t>
          </a:r>
          <a:endParaRPr lang="et-EE" sz="4400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0</xdr:colOff>
      <xdr:row>24</xdr:row>
      <xdr:rowOff>38793</xdr:rowOff>
    </xdr:from>
    <xdr:to>
      <xdr:col>13</xdr:col>
      <xdr:colOff>670560</xdr:colOff>
      <xdr:row>57</xdr:row>
      <xdr:rowOff>152400</xdr:rowOff>
    </xdr:to>
    <xdr:graphicFrame macro="">
      <xdr:nvGraphicFramePr>
        <xdr:cNvPr id="948" name="Chart 947">
          <a:extLst>
            <a:ext uri="{FF2B5EF4-FFF2-40B4-BE49-F238E27FC236}">
              <a16:creationId xmlns:a16="http://schemas.microsoft.com/office/drawing/2014/main" xmlns="" id="{00000000-0008-0000-0300-0000B403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25057</xdr:colOff>
      <xdr:row>72</xdr:row>
      <xdr:rowOff>146898</xdr:rowOff>
    </xdr:from>
    <xdr:to>
      <xdr:col>3</xdr:col>
      <xdr:colOff>232876</xdr:colOff>
      <xdr:row>79</xdr:row>
      <xdr:rowOff>174608</xdr:rowOff>
    </xdr:to>
    <xdr:sp macro="" textlink="$U$8">
      <xdr:nvSpPr>
        <xdr:cNvPr id="347" name="TextBox 346">
          <a:extLst>
            <a:ext uri="{FF2B5EF4-FFF2-40B4-BE49-F238E27FC236}">
              <a16:creationId xmlns="" xmlns:a16="http://schemas.microsoft.com/office/drawing/2014/main" id="{00000000-0008-0000-0200-0000A3030000}"/>
            </a:ext>
          </a:extLst>
        </xdr:cNvPr>
        <xdr:cNvSpPr txBox="1"/>
      </xdr:nvSpPr>
      <xdr:spPr>
        <a:xfrm>
          <a:off x="1212881" y="13862898"/>
          <a:ext cx="801730" cy="136121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9C31BF1-3FE7-46ED-8B85-AEA97E639C49}" type="TxLink">
            <a:rPr lang="en-US" sz="32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 </a:t>
          </a:fld>
          <a:endParaRPr lang="en-US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435427</xdr:colOff>
      <xdr:row>7</xdr:row>
      <xdr:rowOff>165174</xdr:rowOff>
    </xdr:from>
    <xdr:to>
      <xdr:col>9</xdr:col>
      <xdr:colOff>520912</xdr:colOff>
      <xdr:row>19</xdr:row>
      <xdr:rowOff>128708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32657</xdr:colOff>
      <xdr:row>114</xdr:row>
      <xdr:rowOff>146990</xdr:rowOff>
    </xdr:from>
    <xdr:to>
      <xdr:col>6</xdr:col>
      <xdr:colOff>141515</xdr:colOff>
      <xdr:row>129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264792</xdr:colOff>
      <xdr:row>114</xdr:row>
      <xdr:rowOff>177727</xdr:rowOff>
    </xdr:from>
    <xdr:to>
      <xdr:col>11</xdr:col>
      <xdr:colOff>552259</xdr:colOff>
      <xdr:row>129</xdr:row>
      <xdr:rowOff>84771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24938</xdr:colOff>
      <xdr:row>130</xdr:row>
      <xdr:rowOff>34098</xdr:rowOff>
    </xdr:from>
    <xdr:to>
      <xdr:col>6</xdr:col>
      <xdr:colOff>132382</xdr:colOff>
      <xdr:row>143</xdr:row>
      <xdr:rowOff>141515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54430</xdr:colOff>
      <xdr:row>313</xdr:row>
      <xdr:rowOff>172251</xdr:rowOff>
    </xdr:from>
    <xdr:to>
      <xdr:col>6</xdr:col>
      <xdr:colOff>49306</xdr:colOff>
      <xdr:row>328</xdr:row>
      <xdr:rowOff>43711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103096</xdr:colOff>
      <xdr:row>328</xdr:row>
      <xdr:rowOff>163287</xdr:rowOff>
    </xdr:from>
    <xdr:to>
      <xdr:col>6</xdr:col>
      <xdr:colOff>97972</xdr:colOff>
      <xdr:row>343</xdr:row>
      <xdr:rowOff>56352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284310</xdr:colOff>
      <xdr:row>314</xdr:row>
      <xdr:rowOff>7043</xdr:rowOff>
    </xdr:from>
    <xdr:to>
      <xdr:col>11</xdr:col>
      <xdr:colOff>582066</xdr:colOff>
      <xdr:row>328</xdr:row>
      <xdr:rowOff>63560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279187</xdr:colOff>
      <xdr:row>328</xdr:row>
      <xdr:rowOff>150479</xdr:rowOff>
    </xdr:from>
    <xdr:to>
      <xdr:col>11</xdr:col>
      <xdr:colOff>576943</xdr:colOff>
      <xdr:row>343</xdr:row>
      <xdr:rowOff>43543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65314</xdr:colOff>
      <xdr:row>64</xdr:row>
      <xdr:rowOff>54430</xdr:rowOff>
    </xdr:from>
    <xdr:to>
      <xdr:col>6</xdr:col>
      <xdr:colOff>174170</xdr:colOff>
      <xdr:row>79</xdr:row>
      <xdr:rowOff>54430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261258</xdr:colOff>
      <xdr:row>64</xdr:row>
      <xdr:rowOff>65316</xdr:rowOff>
    </xdr:from>
    <xdr:to>
      <xdr:col>11</xdr:col>
      <xdr:colOff>555171</xdr:colOff>
      <xdr:row>79</xdr:row>
      <xdr:rowOff>65316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54426</xdr:colOff>
      <xdr:row>80</xdr:row>
      <xdr:rowOff>1</xdr:rowOff>
    </xdr:from>
    <xdr:to>
      <xdr:col>9</xdr:col>
      <xdr:colOff>0</xdr:colOff>
      <xdr:row>94</xdr:row>
      <xdr:rowOff>163286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32656</xdr:colOff>
      <xdr:row>165</xdr:row>
      <xdr:rowOff>4932</xdr:rowOff>
    </xdr:from>
    <xdr:to>
      <xdr:col>6</xdr:col>
      <xdr:colOff>141513</xdr:colOff>
      <xdr:row>179</xdr:row>
      <xdr:rowOff>88196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32657</xdr:colOff>
      <xdr:row>214</xdr:row>
      <xdr:rowOff>87086</xdr:rowOff>
    </xdr:from>
    <xdr:to>
      <xdr:col>6</xdr:col>
      <xdr:colOff>97968</xdr:colOff>
      <xdr:row>229</xdr:row>
      <xdr:rowOff>97970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34401</xdr:colOff>
      <xdr:row>263</xdr:row>
      <xdr:rowOff>119746</xdr:rowOff>
    </xdr:from>
    <xdr:to>
      <xdr:col>6</xdr:col>
      <xdr:colOff>119743</xdr:colOff>
      <xdr:row>278</xdr:row>
      <xdr:rowOff>1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174590</xdr:colOff>
      <xdr:row>412</xdr:row>
      <xdr:rowOff>40245</xdr:rowOff>
    </xdr:from>
    <xdr:to>
      <xdr:col>8</xdr:col>
      <xdr:colOff>337458</xdr:colOff>
      <xdr:row>423</xdr:row>
      <xdr:rowOff>19256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163926</xdr:colOff>
      <xdr:row>455</xdr:row>
      <xdr:rowOff>128708</xdr:rowOff>
    </xdr:from>
    <xdr:to>
      <xdr:col>6</xdr:col>
      <xdr:colOff>130628</xdr:colOff>
      <xdr:row>469</xdr:row>
      <xdr:rowOff>356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xmlns="" id="{00000000-0008-0000-04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357310</xdr:colOff>
      <xdr:row>497</xdr:row>
      <xdr:rowOff>30738</xdr:rowOff>
    </xdr:from>
    <xdr:to>
      <xdr:col>10</xdr:col>
      <xdr:colOff>0</xdr:colOff>
      <xdr:row>511</xdr:row>
      <xdr:rowOff>130629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10886</xdr:colOff>
      <xdr:row>521</xdr:row>
      <xdr:rowOff>105261</xdr:rowOff>
    </xdr:from>
    <xdr:to>
      <xdr:col>10</xdr:col>
      <xdr:colOff>468086</xdr:colOff>
      <xdr:row>535</xdr:row>
      <xdr:rowOff>119743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420700</xdr:colOff>
      <xdr:row>645</xdr:row>
      <xdr:rowOff>0</xdr:rowOff>
    </xdr:from>
    <xdr:to>
      <xdr:col>9</xdr:col>
      <xdr:colOff>431586</xdr:colOff>
      <xdr:row>660</xdr:row>
      <xdr:rowOff>1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61473</xdr:colOff>
      <xdr:row>798</xdr:row>
      <xdr:rowOff>10885</xdr:rowOff>
    </xdr:from>
    <xdr:to>
      <xdr:col>9</xdr:col>
      <xdr:colOff>348343</xdr:colOff>
      <xdr:row>812</xdr:row>
      <xdr:rowOff>163286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xmlns="" id="{00000000-0008-0000-04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291992</xdr:colOff>
      <xdr:row>944</xdr:row>
      <xdr:rowOff>172249</xdr:rowOff>
    </xdr:from>
    <xdr:to>
      <xdr:col>10</xdr:col>
      <xdr:colOff>43542</xdr:colOff>
      <xdr:row>961</xdr:row>
      <xdr:rowOff>174171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54431</xdr:colOff>
      <xdr:row>1002</xdr:row>
      <xdr:rowOff>163286</xdr:rowOff>
    </xdr:from>
    <xdr:to>
      <xdr:col>6</xdr:col>
      <xdr:colOff>87086</xdr:colOff>
      <xdr:row>1018</xdr:row>
      <xdr:rowOff>65315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228601</xdr:colOff>
      <xdr:row>553</xdr:row>
      <xdr:rowOff>7043</xdr:rowOff>
    </xdr:from>
    <xdr:to>
      <xdr:col>11</xdr:col>
      <xdr:colOff>434492</xdr:colOff>
      <xdr:row>567</xdr:row>
      <xdr:rowOff>40317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xmlns="" id="{00000000-0008-0000-04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74279</xdr:colOff>
      <xdr:row>702</xdr:row>
      <xdr:rowOff>141515</xdr:rowOff>
    </xdr:from>
    <xdr:to>
      <xdr:col>6</xdr:col>
      <xdr:colOff>137237</xdr:colOff>
      <xdr:row>717</xdr:row>
      <xdr:rowOff>54430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xmlns="" id="{00000000-0008-0000-04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32657</xdr:colOff>
      <xdr:row>749</xdr:row>
      <xdr:rowOff>170330</xdr:rowOff>
    </xdr:from>
    <xdr:to>
      <xdr:col>6</xdr:col>
      <xdr:colOff>102895</xdr:colOff>
      <xdr:row>764</xdr:row>
      <xdr:rowOff>76200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xmlns="" id="{00000000-0008-0000-04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43542</xdr:colOff>
      <xdr:row>599</xdr:row>
      <xdr:rowOff>152400</xdr:rowOff>
    </xdr:from>
    <xdr:to>
      <xdr:col>6</xdr:col>
      <xdr:colOff>73322</xdr:colOff>
      <xdr:row>614</xdr:row>
      <xdr:rowOff>152400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32658</xdr:colOff>
      <xdr:row>853</xdr:row>
      <xdr:rowOff>119743</xdr:rowOff>
    </xdr:from>
    <xdr:to>
      <xdr:col>6</xdr:col>
      <xdr:colOff>76200</xdr:colOff>
      <xdr:row>869</xdr:row>
      <xdr:rowOff>22028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xmlns="" id="{00000000-0008-0000-04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32657</xdr:colOff>
      <xdr:row>900</xdr:row>
      <xdr:rowOff>1</xdr:rowOff>
    </xdr:from>
    <xdr:to>
      <xdr:col>6</xdr:col>
      <xdr:colOff>51991</xdr:colOff>
      <xdr:row>915</xdr:row>
      <xdr:rowOff>1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xmlns="" id="{00000000-0008-0000-04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13</xdr:col>
      <xdr:colOff>14727</xdr:colOff>
      <xdr:row>7</xdr:row>
      <xdr:rowOff>181216</xdr:rowOff>
    </xdr:from>
    <xdr:to>
      <xdr:col>19</xdr:col>
      <xdr:colOff>529077</xdr:colOff>
      <xdr:row>19</xdr:row>
      <xdr:rowOff>144748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xmlns="" id="{00000000-0008-0000-04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12</xdr:col>
      <xdr:colOff>76199</xdr:colOff>
      <xdr:row>64</xdr:row>
      <xdr:rowOff>76200</xdr:rowOff>
    </xdr:from>
    <xdr:to>
      <xdr:col>17</xdr:col>
      <xdr:colOff>533400</xdr:colOff>
      <xdr:row>79</xdr:row>
      <xdr:rowOff>76200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18</xdr:col>
      <xdr:colOff>119743</xdr:colOff>
      <xdr:row>64</xdr:row>
      <xdr:rowOff>65314</xdr:rowOff>
    </xdr:from>
    <xdr:to>
      <xdr:col>23</xdr:col>
      <xdr:colOff>566057</xdr:colOff>
      <xdr:row>79</xdr:row>
      <xdr:rowOff>65314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15</xdr:col>
      <xdr:colOff>10884</xdr:colOff>
      <xdr:row>79</xdr:row>
      <xdr:rowOff>152399</xdr:rowOff>
    </xdr:from>
    <xdr:to>
      <xdr:col>20</xdr:col>
      <xdr:colOff>315686</xdr:colOff>
      <xdr:row>94</xdr:row>
      <xdr:rowOff>152399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12</xdr:col>
      <xdr:colOff>65890</xdr:colOff>
      <xdr:row>115</xdr:row>
      <xdr:rowOff>21771</xdr:rowOff>
    </xdr:from>
    <xdr:to>
      <xdr:col>17</xdr:col>
      <xdr:colOff>458375</xdr:colOff>
      <xdr:row>129</xdr:row>
      <xdr:rowOff>87086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18</xdr:col>
      <xdr:colOff>43543</xdr:colOff>
      <xdr:row>115</xdr:row>
      <xdr:rowOff>7043</xdr:rowOff>
    </xdr:from>
    <xdr:to>
      <xdr:col>23</xdr:col>
      <xdr:colOff>566057</xdr:colOff>
      <xdr:row>129</xdr:row>
      <xdr:rowOff>76035</xdr:rowOff>
    </xdr:to>
    <xdr:graphicFrame macro="">
      <xdr:nvGraphicFramePr>
        <xdr:cNvPr id="94" name="Chart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12</xdr:col>
      <xdr:colOff>76200</xdr:colOff>
      <xdr:row>130</xdr:row>
      <xdr:rowOff>55517</xdr:rowOff>
    </xdr:from>
    <xdr:to>
      <xdr:col>17</xdr:col>
      <xdr:colOff>468685</xdr:colOff>
      <xdr:row>143</xdr:row>
      <xdr:rowOff>146924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xmlns="" id="{00000000-0008-0000-04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18</xdr:col>
      <xdr:colOff>48921</xdr:colOff>
      <xdr:row>130</xdr:row>
      <xdr:rowOff>47898</xdr:rowOff>
    </xdr:from>
    <xdr:to>
      <xdr:col>23</xdr:col>
      <xdr:colOff>566057</xdr:colOff>
      <xdr:row>143</xdr:row>
      <xdr:rowOff>146621</xdr:rowOff>
    </xdr:to>
    <xdr:graphicFrame macro="">
      <xdr:nvGraphicFramePr>
        <xdr:cNvPr id="96" name="Chart 95">
          <a:extLst>
            <a:ext uri="{FF2B5EF4-FFF2-40B4-BE49-F238E27FC236}">
              <a16:creationId xmlns:a16="http://schemas.microsoft.com/office/drawing/2014/main" xmlns="" id="{00000000-0008-0000-04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12</xdr:col>
      <xdr:colOff>25102</xdr:colOff>
      <xdr:row>165</xdr:row>
      <xdr:rowOff>3778</xdr:rowOff>
    </xdr:from>
    <xdr:to>
      <xdr:col>17</xdr:col>
      <xdr:colOff>550782</xdr:colOff>
      <xdr:row>179</xdr:row>
      <xdr:rowOff>114556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xmlns="" id="{00000000-0008-0000-04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12</xdr:col>
      <xdr:colOff>32659</xdr:colOff>
      <xdr:row>214</xdr:row>
      <xdr:rowOff>97971</xdr:rowOff>
    </xdr:from>
    <xdr:to>
      <xdr:col>17</xdr:col>
      <xdr:colOff>551232</xdr:colOff>
      <xdr:row>229</xdr:row>
      <xdr:rowOff>97970</xdr:rowOff>
    </xdr:to>
    <xdr:graphicFrame macro="">
      <xdr:nvGraphicFramePr>
        <xdr:cNvPr id="101" name="Chart 100">
          <a:extLst>
            <a:ext uri="{FF2B5EF4-FFF2-40B4-BE49-F238E27FC236}">
              <a16:creationId xmlns:a16="http://schemas.microsoft.com/office/drawing/2014/main" xmlns="" id="{00000000-0008-0000-04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12</xdr:col>
      <xdr:colOff>108855</xdr:colOff>
      <xdr:row>263</xdr:row>
      <xdr:rowOff>130629</xdr:rowOff>
    </xdr:from>
    <xdr:to>
      <xdr:col>18</xdr:col>
      <xdr:colOff>46620</xdr:colOff>
      <xdr:row>278</xdr:row>
      <xdr:rowOff>10885</xdr:rowOff>
    </xdr:to>
    <xdr:graphicFrame macro="">
      <xdr:nvGraphicFramePr>
        <xdr:cNvPr id="105" name="Chart 104">
          <a:extLst>
            <a:ext uri="{FF2B5EF4-FFF2-40B4-BE49-F238E27FC236}">
              <a16:creationId xmlns:a16="http://schemas.microsoft.com/office/drawing/2014/main" xmlns="" id="{00000000-0008-0000-04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12</xdr:col>
      <xdr:colOff>21772</xdr:colOff>
      <xdr:row>314</xdr:row>
      <xdr:rowOff>10886</xdr:rowOff>
    </xdr:from>
    <xdr:to>
      <xdr:col>17</xdr:col>
      <xdr:colOff>565050</xdr:colOff>
      <xdr:row>328</xdr:row>
      <xdr:rowOff>78121</xdr:rowOff>
    </xdr:to>
    <xdr:graphicFrame macro="">
      <xdr:nvGraphicFramePr>
        <xdr:cNvPr id="109" name="Chart 108">
          <a:extLst>
            <a:ext uri="{FF2B5EF4-FFF2-40B4-BE49-F238E27FC236}">
              <a16:creationId xmlns:a16="http://schemas.microsoft.com/office/drawing/2014/main" xmlns="" id="{00000000-0008-0000-0400-00006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12</xdr:col>
      <xdr:colOff>59552</xdr:colOff>
      <xdr:row>328</xdr:row>
      <xdr:rowOff>137673</xdr:rowOff>
    </xdr:from>
    <xdr:to>
      <xdr:col>17</xdr:col>
      <xdr:colOff>602830</xdr:colOff>
      <xdr:row>343</xdr:row>
      <xdr:rowOff>44897</xdr:rowOff>
    </xdr:to>
    <xdr:graphicFrame macro="">
      <xdr:nvGraphicFramePr>
        <xdr:cNvPr id="110" name="Chart 109">
          <a:extLst>
            <a:ext uri="{FF2B5EF4-FFF2-40B4-BE49-F238E27FC236}">
              <a16:creationId xmlns:a16="http://schemas.microsoft.com/office/drawing/2014/main" xmlns="" id="{00000000-0008-0000-0400-00006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18</xdr:col>
      <xdr:colOff>70440</xdr:colOff>
      <xdr:row>313</xdr:row>
      <xdr:rowOff>183136</xdr:rowOff>
    </xdr:from>
    <xdr:to>
      <xdr:col>23</xdr:col>
      <xdr:colOff>555172</xdr:colOff>
      <xdr:row>328</xdr:row>
      <xdr:rowOff>65314</xdr:rowOff>
    </xdr:to>
    <xdr:graphicFrame macro="">
      <xdr:nvGraphicFramePr>
        <xdr:cNvPr id="111" name="Chart 110">
          <a:extLst>
            <a:ext uri="{FF2B5EF4-FFF2-40B4-BE49-F238E27FC236}">
              <a16:creationId xmlns:a16="http://schemas.microsoft.com/office/drawing/2014/main" xmlns="" id="{00000000-0008-0000-0400-00006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18</xdr:col>
      <xdr:colOff>54431</xdr:colOff>
      <xdr:row>328</xdr:row>
      <xdr:rowOff>141515</xdr:rowOff>
    </xdr:from>
    <xdr:to>
      <xdr:col>23</xdr:col>
      <xdr:colOff>582706</xdr:colOff>
      <xdr:row>343</xdr:row>
      <xdr:rowOff>48739</xdr:rowOff>
    </xdr:to>
    <xdr:graphicFrame macro="">
      <xdr:nvGraphicFramePr>
        <xdr:cNvPr id="112" name="Chart 111">
          <a:extLst>
            <a:ext uri="{FF2B5EF4-FFF2-40B4-BE49-F238E27FC236}">
              <a16:creationId xmlns:a16="http://schemas.microsoft.com/office/drawing/2014/main" xmlns="" id="{00000000-0008-0000-0400-00007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12</xdr:col>
      <xdr:colOff>185057</xdr:colOff>
      <xdr:row>412</xdr:row>
      <xdr:rowOff>43544</xdr:rowOff>
    </xdr:from>
    <xdr:to>
      <xdr:col>20</xdr:col>
      <xdr:colOff>348342</xdr:colOff>
      <xdr:row>423</xdr:row>
      <xdr:rowOff>54429</xdr:rowOff>
    </xdr:to>
    <xdr:graphicFrame macro="">
      <xdr:nvGraphicFramePr>
        <xdr:cNvPr id="113" name="Chart 112">
          <a:extLst>
            <a:ext uri="{FF2B5EF4-FFF2-40B4-BE49-F238E27FC236}">
              <a16:creationId xmlns:a16="http://schemas.microsoft.com/office/drawing/2014/main" xmlns="" id="{00000000-0008-0000-0400-00007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12</xdr:col>
      <xdr:colOff>21771</xdr:colOff>
      <xdr:row>455</xdr:row>
      <xdr:rowOff>152400</xdr:rowOff>
    </xdr:from>
    <xdr:to>
      <xdr:col>17</xdr:col>
      <xdr:colOff>522573</xdr:colOff>
      <xdr:row>469</xdr:row>
      <xdr:rowOff>30160</xdr:rowOff>
    </xdr:to>
    <xdr:graphicFrame macro="">
      <xdr:nvGraphicFramePr>
        <xdr:cNvPr id="114" name="Chart 113">
          <a:extLst>
            <a:ext uri="{FF2B5EF4-FFF2-40B4-BE49-F238E27FC236}">
              <a16:creationId xmlns:a16="http://schemas.microsoft.com/office/drawing/2014/main" xmlns="" id="{00000000-0008-0000-0400-00007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13</xdr:col>
      <xdr:colOff>21771</xdr:colOff>
      <xdr:row>497</xdr:row>
      <xdr:rowOff>32659</xdr:rowOff>
    </xdr:from>
    <xdr:to>
      <xdr:col>21</xdr:col>
      <xdr:colOff>250372</xdr:colOff>
      <xdr:row>511</xdr:row>
      <xdr:rowOff>130629</xdr:rowOff>
    </xdr:to>
    <xdr:graphicFrame macro="">
      <xdr:nvGraphicFramePr>
        <xdr:cNvPr id="118" name="Chart 117">
          <a:extLst>
            <a:ext uri="{FF2B5EF4-FFF2-40B4-BE49-F238E27FC236}">
              <a16:creationId xmlns:a16="http://schemas.microsoft.com/office/drawing/2014/main" xmlns="" id="{00000000-0008-0000-04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14</xdr:col>
      <xdr:colOff>0</xdr:colOff>
      <xdr:row>521</xdr:row>
      <xdr:rowOff>108858</xdr:rowOff>
    </xdr:from>
    <xdr:to>
      <xdr:col>22</xdr:col>
      <xdr:colOff>272143</xdr:colOff>
      <xdr:row>535</xdr:row>
      <xdr:rowOff>130630</xdr:rowOff>
    </xdr:to>
    <xdr:graphicFrame macro="">
      <xdr:nvGraphicFramePr>
        <xdr:cNvPr id="119" name="Chart 118">
          <a:extLst>
            <a:ext uri="{FF2B5EF4-FFF2-40B4-BE49-F238E27FC236}">
              <a16:creationId xmlns:a16="http://schemas.microsoft.com/office/drawing/2014/main" xmlns="" id="{00000000-0008-0000-04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12</xdr:col>
      <xdr:colOff>119742</xdr:colOff>
      <xdr:row>552</xdr:row>
      <xdr:rowOff>174171</xdr:rowOff>
    </xdr:from>
    <xdr:to>
      <xdr:col>17</xdr:col>
      <xdr:colOff>521032</xdr:colOff>
      <xdr:row>567</xdr:row>
      <xdr:rowOff>22387</xdr:rowOff>
    </xdr:to>
    <xdr:graphicFrame macro="">
      <xdr:nvGraphicFramePr>
        <xdr:cNvPr id="120" name="Chart 119">
          <a:extLst>
            <a:ext uri="{FF2B5EF4-FFF2-40B4-BE49-F238E27FC236}">
              <a16:creationId xmlns:a16="http://schemas.microsoft.com/office/drawing/2014/main" xmlns="" id="{00000000-0008-0000-0400-00007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12</xdr:col>
      <xdr:colOff>43542</xdr:colOff>
      <xdr:row>599</xdr:row>
      <xdr:rowOff>152400</xdr:rowOff>
    </xdr:from>
    <xdr:to>
      <xdr:col>18</xdr:col>
      <xdr:colOff>25038</xdr:colOff>
      <xdr:row>614</xdr:row>
      <xdr:rowOff>149287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xmlns="" id="{00000000-0008-0000-04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13</xdr:col>
      <xdr:colOff>130628</xdr:colOff>
      <xdr:row>645</xdr:row>
      <xdr:rowOff>-1</xdr:rowOff>
    </xdr:from>
    <xdr:to>
      <xdr:col>21</xdr:col>
      <xdr:colOff>239485</xdr:colOff>
      <xdr:row>660</xdr:row>
      <xdr:rowOff>87085</xdr:rowOff>
    </xdr:to>
    <xdr:graphicFrame macro="">
      <xdr:nvGraphicFramePr>
        <xdr:cNvPr id="127" name="Chart 126">
          <a:extLst>
            <a:ext uri="{FF2B5EF4-FFF2-40B4-BE49-F238E27FC236}">
              <a16:creationId xmlns:a16="http://schemas.microsoft.com/office/drawing/2014/main" xmlns="" id="{00000000-0008-0000-04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12</xdr:col>
      <xdr:colOff>87086</xdr:colOff>
      <xdr:row>702</xdr:row>
      <xdr:rowOff>152400</xdr:rowOff>
    </xdr:from>
    <xdr:to>
      <xdr:col>17</xdr:col>
      <xdr:colOff>499188</xdr:colOff>
      <xdr:row>717</xdr:row>
      <xdr:rowOff>73930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xmlns="" id="{00000000-0008-0000-04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12</xdr:col>
      <xdr:colOff>43543</xdr:colOff>
      <xdr:row>749</xdr:row>
      <xdr:rowOff>163286</xdr:rowOff>
    </xdr:from>
    <xdr:to>
      <xdr:col>17</xdr:col>
      <xdr:colOff>515982</xdr:colOff>
      <xdr:row>764</xdr:row>
      <xdr:rowOff>87087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xmlns="" id="{00000000-0008-0000-0400-00008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13</xdr:col>
      <xdr:colOff>43543</xdr:colOff>
      <xdr:row>797</xdr:row>
      <xdr:rowOff>163285</xdr:rowOff>
    </xdr:from>
    <xdr:to>
      <xdr:col>21</xdr:col>
      <xdr:colOff>152400</xdr:colOff>
      <xdr:row>812</xdr:row>
      <xdr:rowOff>163286</xdr:rowOff>
    </xdr:to>
    <xdr:graphicFrame macro="">
      <xdr:nvGraphicFramePr>
        <xdr:cNvPr id="135" name="Chart 134">
          <a:extLst>
            <a:ext uri="{FF2B5EF4-FFF2-40B4-BE49-F238E27FC236}">
              <a16:creationId xmlns:a16="http://schemas.microsoft.com/office/drawing/2014/main" xmlns="" id="{00000000-0008-0000-0400-00008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12</xdr:col>
      <xdr:colOff>32657</xdr:colOff>
      <xdr:row>853</xdr:row>
      <xdr:rowOff>119742</xdr:rowOff>
    </xdr:from>
    <xdr:to>
      <xdr:col>17</xdr:col>
      <xdr:colOff>524381</xdr:colOff>
      <xdr:row>869</xdr:row>
      <xdr:rowOff>21772</xdr:rowOff>
    </xdr:to>
    <xdr:graphicFrame macro="">
      <xdr:nvGraphicFramePr>
        <xdr:cNvPr id="136" name="Chart 135">
          <a:extLst>
            <a:ext uri="{FF2B5EF4-FFF2-40B4-BE49-F238E27FC236}">
              <a16:creationId xmlns:a16="http://schemas.microsoft.com/office/drawing/2014/main" xmlns="" id="{00000000-0008-0000-0400-00008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12</xdr:col>
      <xdr:colOff>32656</xdr:colOff>
      <xdr:row>900</xdr:row>
      <xdr:rowOff>1</xdr:rowOff>
    </xdr:from>
    <xdr:to>
      <xdr:col>17</xdr:col>
      <xdr:colOff>568546</xdr:colOff>
      <xdr:row>915</xdr:row>
      <xdr:rowOff>0</xdr:rowOff>
    </xdr:to>
    <xdr:graphicFrame macro="">
      <xdr:nvGraphicFramePr>
        <xdr:cNvPr id="140" name="Chart 139">
          <a:extLst>
            <a:ext uri="{FF2B5EF4-FFF2-40B4-BE49-F238E27FC236}">
              <a16:creationId xmlns:a16="http://schemas.microsoft.com/office/drawing/2014/main" xmlns="" id="{00000000-0008-0000-0400-00008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13</xdr:col>
      <xdr:colOff>21770</xdr:colOff>
      <xdr:row>945</xdr:row>
      <xdr:rowOff>32658</xdr:rowOff>
    </xdr:from>
    <xdr:to>
      <xdr:col>21</xdr:col>
      <xdr:colOff>402770</xdr:colOff>
      <xdr:row>961</xdr:row>
      <xdr:rowOff>87086</xdr:rowOff>
    </xdr:to>
    <xdr:graphicFrame macro="">
      <xdr:nvGraphicFramePr>
        <xdr:cNvPr id="143" name="Chart 142">
          <a:extLst>
            <a:ext uri="{FF2B5EF4-FFF2-40B4-BE49-F238E27FC236}">
              <a16:creationId xmlns:a16="http://schemas.microsoft.com/office/drawing/2014/main" xmlns="" id="{00000000-0008-0000-04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12</xdr:col>
      <xdr:colOff>65314</xdr:colOff>
      <xdr:row>1002</xdr:row>
      <xdr:rowOff>163286</xdr:rowOff>
    </xdr:from>
    <xdr:to>
      <xdr:col>18</xdr:col>
      <xdr:colOff>36234</xdr:colOff>
      <xdr:row>1018</xdr:row>
      <xdr:rowOff>10887</xdr:rowOff>
    </xdr:to>
    <xdr:graphicFrame macro="">
      <xdr:nvGraphicFramePr>
        <xdr:cNvPr id="144" name="Chart 143">
          <a:extLst>
            <a:ext uri="{FF2B5EF4-FFF2-40B4-BE49-F238E27FC236}">
              <a16:creationId xmlns:a16="http://schemas.microsoft.com/office/drawing/2014/main" xmlns="" id="{00000000-0008-0000-04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</xdr:col>
      <xdr:colOff>424541</xdr:colOff>
      <xdr:row>425</xdr:row>
      <xdr:rowOff>22541</xdr:rowOff>
    </xdr:from>
    <xdr:to>
      <xdr:col>11</xdr:col>
      <xdr:colOff>217712</xdr:colOff>
      <xdr:row>435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12</xdr:col>
      <xdr:colOff>10885</xdr:colOff>
      <xdr:row>425</xdr:row>
      <xdr:rowOff>54429</xdr:rowOff>
    </xdr:from>
    <xdr:to>
      <xdr:col>21</xdr:col>
      <xdr:colOff>206828</xdr:colOff>
      <xdr:row>435</xdr:row>
      <xdr:rowOff>85944</xdr:rowOff>
    </xdr:to>
    <xdr:graphicFrame macro="">
      <xdr:nvGraphicFramePr>
        <xdr:cNvPr id="149" name="Chart 148">
          <a:extLst>
            <a:ext uri="{FF2B5EF4-FFF2-40B4-BE49-F238E27FC236}">
              <a16:creationId xmlns:a16="http://schemas.microsoft.com/office/drawing/2014/main" xmlns="" id="{00000000-0008-0000-04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174171</xdr:colOff>
      <xdr:row>32</xdr:row>
      <xdr:rowOff>81642</xdr:rowOff>
    </xdr:from>
    <xdr:to>
      <xdr:col>5</xdr:col>
      <xdr:colOff>359228</xdr:colOff>
      <xdr:row>44</xdr:row>
      <xdr:rowOff>163286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6</xdr:col>
      <xdr:colOff>179614</xdr:colOff>
      <xdr:row>32</xdr:row>
      <xdr:rowOff>87087</xdr:rowOff>
    </xdr:from>
    <xdr:to>
      <xdr:col>11</xdr:col>
      <xdr:colOff>185057</xdr:colOff>
      <xdr:row>44</xdr:row>
      <xdr:rowOff>163287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12</xdr:col>
      <xdr:colOff>217714</xdr:colOff>
      <xdr:row>32</xdr:row>
      <xdr:rowOff>87086</xdr:rowOff>
    </xdr:from>
    <xdr:to>
      <xdr:col>17</xdr:col>
      <xdr:colOff>370114</xdr:colOff>
      <xdr:row>45</xdr:row>
      <xdr:rowOff>10886</xdr:rowOff>
    </xdr:to>
    <xdr:graphicFrame macro="">
      <xdr:nvGraphicFramePr>
        <xdr:cNvPr id="154" name="Chart 153">
          <a:extLst>
            <a:ext uri="{FF2B5EF4-FFF2-40B4-BE49-F238E27FC236}">
              <a16:creationId xmlns:a16="http://schemas.microsoft.com/office/drawing/2014/main" xmlns="" id="{00000000-0008-0000-0400-00009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18</xdr:col>
      <xdr:colOff>10887</xdr:colOff>
      <xdr:row>32</xdr:row>
      <xdr:rowOff>76200</xdr:rowOff>
    </xdr:from>
    <xdr:to>
      <xdr:col>23</xdr:col>
      <xdr:colOff>293916</xdr:colOff>
      <xdr:row>45</xdr:row>
      <xdr:rowOff>0</xdr:rowOff>
    </xdr:to>
    <xdr:graphicFrame macro="">
      <xdr:nvGraphicFramePr>
        <xdr:cNvPr id="155" name="Chart 154">
          <a:extLst>
            <a:ext uri="{FF2B5EF4-FFF2-40B4-BE49-F238E27FC236}">
              <a16:creationId xmlns:a16="http://schemas.microsoft.com/office/drawing/2014/main" xmlns="" id="{00000000-0008-0000-0400-00009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</xdr:col>
      <xdr:colOff>38099</xdr:colOff>
      <xdr:row>1047</xdr:row>
      <xdr:rowOff>5442</xdr:rowOff>
    </xdr:from>
    <xdr:to>
      <xdr:col>7</xdr:col>
      <xdr:colOff>446314</xdr:colOff>
      <xdr:row>1056</xdr:row>
      <xdr:rowOff>152400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13</xdr:col>
      <xdr:colOff>0</xdr:colOff>
      <xdr:row>1047</xdr:row>
      <xdr:rowOff>0</xdr:rowOff>
    </xdr:from>
    <xdr:to>
      <xdr:col>19</xdr:col>
      <xdr:colOff>234043</xdr:colOff>
      <xdr:row>1056</xdr:row>
      <xdr:rowOff>146958</xdr:rowOff>
    </xdr:to>
    <xdr:graphicFrame macro="">
      <xdr:nvGraphicFramePr>
        <xdr:cNvPr id="157" name="Chart 156">
          <a:extLst>
            <a:ext uri="{FF2B5EF4-FFF2-40B4-BE49-F238E27FC236}">
              <a16:creationId xmlns:a16="http://schemas.microsoft.com/office/drawing/2014/main" xmlns="" id="{00000000-0008-0000-0400-00009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</xdr:col>
      <xdr:colOff>16329</xdr:colOff>
      <xdr:row>1066</xdr:row>
      <xdr:rowOff>5442</xdr:rowOff>
    </xdr:from>
    <xdr:to>
      <xdr:col>7</xdr:col>
      <xdr:colOff>533400</xdr:colOff>
      <xdr:row>1076</xdr:row>
      <xdr:rowOff>21772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12</xdr:col>
      <xdr:colOff>462642</xdr:colOff>
      <xdr:row>1066</xdr:row>
      <xdr:rowOff>27214</xdr:rowOff>
    </xdr:from>
    <xdr:to>
      <xdr:col>19</xdr:col>
      <xdr:colOff>544286</xdr:colOff>
      <xdr:row>1076</xdr:row>
      <xdr:rowOff>87086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1</xdr:col>
      <xdr:colOff>5443</xdr:colOff>
      <xdr:row>1094</xdr:row>
      <xdr:rowOff>59872</xdr:rowOff>
    </xdr:from>
    <xdr:to>
      <xdr:col>8</xdr:col>
      <xdr:colOff>76201</xdr:colOff>
      <xdr:row>1105</xdr:row>
      <xdr:rowOff>54430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13</xdr:col>
      <xdr:colOff>5442</xdr:colOff>
      <xdr:row>1094</xdr:row>
      <xdr:rowOff>48985</xdr:rowOff>
    </xdr:from>
    <xdr:to>
      <xdr:col>20</xdr:col>
      <xdr:colOff>130629</xdr:colOff>
      <xdr:row>1105</xdr:row>
      <xdr:rowOff>97972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1</xdr:col>
      <xdr:colOff>38099</xdr:colOff>
      <xdr:row>1116</xdr:row>
      <xdr:rowOff>5442</xdr:rowOff>
    </xdr:from>
    <xdr:to>
      <xdr:col>8</xdr:col>
      <xdr:colOff>130629</xdr:colOff>
      <xdr:row>1126</xdr:row>
      <xdr:rowOff>119742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13</xdr:col>
      <xdr:colOff>21772</xdr:colOff>
      <xdr:row>1116</xdr:row>
      <xdr:rowOff>21772</xdr:rowOff>
    </xdr:from>
    <xdr:to>
      <xdr:col>20</xdr:col>
      <xdr:colOff>97971</xdr:colOff>
      <xdr:row>1126</xdr:row>
      <xdr:rowOff>97972</xdr:rowOff>
    </xdr:to>
    <xdr:graphicFrame macro="">
      <xdr:nvGraphicFramePr>
        <xdr:cNvPr id="158" name="Chart 157">
          <a:extLst>
            <a:ext uri="{FF2B5EF4-FFF2-40B4-BE49-F238E27FC236}">
              <a16:creationId xmlns:a16="http://schemas.microsoft.com/office/drawing/2014/main" xmlns="" id="{00000000-0008-0000-0400-00009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1</xdr:col>
      <xdr:colOff>38099</xdr:colOff>
      <xdr:row>1144</xdr:row>
      <xdr:rowOff>48984</xdr:rowOff>
    </xdr:from>
    <xdr:to>
      <xdr:col>8</xdr:col>
      <xdr:colOff>174172</xdr:colOff>
      <xdr:row>1155</xdr:row>
      <xdr:rowOff>76199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13</xdr:col>
      <xdr:colOff>10885</xdr:colOff>
      <xdr:row>1144</xdr:row>
      <xdr:rowOff>54428</xdr:rowOff>
    </xdr:from>
    <xdr:to>
      <xdr:col>19</xdr:col>
      <xdr:colOff>582386</xdr:colOff>
      <xdr:row>1155</xdr:row>
      <xdr:rowOff>81643</xdr:rowOff>
    </xdr:to>
    <xdr:graphicFrame macro="">
      <xdr:nvGraphicFramePr>
        <xdr:cNvPr id="159" name="Chart 158">
          <a:extLst>
            <a:ext uri="{FF2B5EF4-FFF2-40B4-BE49-F238E27FC236}">
              <a16:creationId xmlns:a16="http://schemas.microsoft.com/office/drawing/2014/main" xmlns="" id="{00000000-0008-0000-0400-00009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1</xdr:col>
      <xdr:colOff>38099</xdr:colOff>
      <xdr:row>1195</xdr:row>
      <xdr:rowOff>5442</xdr:rowOff>
    </xdr:from>
    <xdr:to>
      <xdr:col>7</xdr:col>
      <xdr:colOff>446314</xdr:colOff>
      <xdr:row>1204</xdr:row>
      <xdr:rowOff>152400</xdr:rowOff>
    </xdr:to>
    <xdr:graphicFrame macro="">
      <xdr:nvGraphicFramePr>
        <xdr:cNvPr id="161" name="Chart 160">
          <a:extLst>
            <a:ext uri="{FF2B5EF4-FFF2-40B4-BE49-F238E27FC236}">
              <a16:creationId xmlns:a16="http://schemas.microsoft.com/office/drawing/2014/main" xmlns="" id="{00000000-0008-0000-0400-0000A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13</xdr:col>
      <xdr:colOff>0</xdr:colOff>
      <xdr:row>1195</xdr:row>
      <xdr:rowOff>0</xdr:rowOff>
    </xdr:from>
    <xdr:to>
      <xdr:col>19</xdr:col>
      <xdr:colOff>234043</xdr:colOff>
      <xdr:row>1204</xdr:row>
      <xdr:rowOff>146958</xdr:rowOff>
    </xdr:to>
    <xdr:graphicFrame macro="">
      <xdr:nvGraphicFramePr>
        <xdr:cNvPr id="162" name="Chart 161">
          <a:extLst>
            <a:ext uri="{FF2B5EF4-FFF2-40B4-BE49-F238E27FC236}">
              <a16:creationId xmlns:a16="http://schemas.microsoft.com/office/drawing/2014/main" xmlns="" id="{00000000-0008-0000-0400-0000A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1</xdr:col>
      <xdr:colOff>0</xdr:colOff>
      <xdr:row>1214</xdr:row>
      <xdr:rowOff>0</xdr:rowOff>
    </xdr:from>
    <xdr:to>
      <xdr:col>7</xdr:col>
      <xdr:colOff>408215</xdr:colOff>
      <xdr:row>1223</xdr:row>
      <xdr:rowOff>146957</xdr:rowOff>
    </xdr:to>
    <xdr:graphicFrame macro="">
      <xdr:nvGraphicFramePr>
        <xdr:cNvPr id="173" name="Chart 172">
          <a:extLst>
            <a:ext uri="{FF2B5EF4-FFF2-40B4-BE49-F238E27FC236}">
              <a16:creationId xmlns:a16="http://schemas.microsoft.com/office/drawing/2014/main" xmlns="" id="{00000000-0008-0000-04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13</xdr:col>
      <xdr:colOff>0</xdr:colOff>
      <xdr:row>1214</xdr:row>
      <xdr:rowOff>0</xdr:rowOff>
    </xdr:from>
    <xdr:to>
      <xdr:col>19</xdr:col>
      <xdr:colOff>234043</xdr:colOff>
      <xdr:row>1223</xdr:row>
      <xdr:rowOff>146957</xdr:rowOff>
    </xdr:to>
    <xdr:graphicFrame macro="">
      <xdr:nvGraphicFramePr>
        <xdr:cNvPr id="174" name="Chart 173">
          <a:extLst>
            <a:ext uri="{FF2B5EF4-FFF2-40B4-BE49-F238E27FC236}">
              <a16:creationId xmlns:a16="http://schemas.microsoft.com/office/drawing/2014/main" xmlns="" id="{00000000-0008-0000-04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1</xdr:col>
      <xdr:colOff>0</xdr:colOff>
      <xdr:row>1242</xdr:row>
      <xdr:rowOff>0</xdr:rowOff>
    </xdr:from>
    <xdr:to>
      <xdr:col>7</xdr:col>
      <xdr:colOff>408215</xdr:colOff>
      <xdr:row>1251</xdr:row>
      <xdr:rowOff>146957</xdr:rowOff>
    </xdr:to>
    <xdr:graphicFrame macro="">
      <xdr:nvGraphicFramePr>
        <xdr:cNvPr id="175" name="Chart 174">
          <a:extLst>
            <a:ext uri="{FF2B5EF4-FFF2-40B4-BE49-F238E27FC236}">
              <a16:creationId xmlns:a16="http://schemas.microsoft.com/office/drawing/2014/main" xmlns="" id="{00000000-0008-0000-0400-0000A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13</xdr:col>
      <xdr:colOff>0</xdr:colOff>
      <xdr:row>1242</xdr:row>
      <xdr:rowOff>0</xdr:rowOff>
    </xdr:from>
    <xdr:to>
      <xdr:col>19</xdr:col>
      <xdr:colOff>234043</xdr:colOff>
      <xdr:row>1251</xdr:row>
      <xdr:rowOff>146957</xdr:rowOff>
    </xdr:to>
    <xdr:graphicFrame macro="">
      <xdr:nvGraphicFramePr>
        <xdr:cNvPr id="176" name="Chart 175">
          <a:extLst>
            <a:ext uri="{FF2B5EF4-FFF2-40B4-BE49-F238E27FC236}">
              <a16:creationId xmlns:a16="http://schemas.microsoft.com/office/drawing/2014/main" xmlns="" id="{00000000-0008-0000-04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1</xdr:col>
      <xdr:colOff>0</xdr:colOff>
      <xdr:row>1262</xdr:row>
      <xdr:rowOff>0</xdr:rowOff>
    </xdr:from>
    <xdr:to>
      <xdr:col>7</xdr:col>
      <xdr:colOff>408215</xdr:colOff>
      <xdr:row>1271</xdr:row>
      <xdr:rowOff>146958</xdr:rowOff>
    </xdr:to>
    <xdr:graphicFrame macro="">
      <xdr:nvGraphicFramePr>
        <xdr:cNvPr id="177" name="Chart 176">
          <a:extLst>
            <a:ext uri="{FF2B5EF4-FFF2-40B4-BE49-F238E27FC236}">
              <a16:creationId xmlns:a16="http://schemas.microsoft.com/office/drawing/2014/main" xmlns="" id="{00000000-0008-0000-04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13</xdr:col>
      <xdr:colOff>0</xdr:colOff>
      <xdr:row>1262</xdr:row>
      <xdr:rowOff>0</xdr:rowOff>
    </xdr:from>
    <xdr:to>
      <xdr:col>19</xdr:col>
      <xdr:colOff>234043</xdr:colOff>
      <xdr:row>1271</xdr:row>
      <xdr:rowOff>146958</xdr:rowOff>
    </xdr:to>
    <xdr:graphicFrame macro="">
      <xdr:nvGraphicFramePr>
        <xdr:cNvPr id="178" name="Chart 177">
          <a:extLst>
            <a:ext uri="{FF2B5EF4-FFF2-40B4-BE49-F238E27FC236}">
              <a16:creationId xmlns:a16="http://schemas.microsoft.com/office/drawing/2014/main" xmlns="" id="{00000000-0008-0000-04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1</xdr:col>
      <xdr:colOff>0</xdr:colOff>
      <xdr:row>1292</xdr:row>
      <xdr:rowOff>0</xdr:rowOff>
    </xdr:from>
    <xdr:to>
      <xdr:col>7</xdr:col>
      <xdr:colOff>408215</xdr:colOff>
      <xdr:row>1301</xdr:row>
      <xdr:rowOff>146958</xdr:rowOff>
    </xdr:to>
    <xdr:graphicFrame macro="">
      <xdr:nvGraphicFramePr>
        <xdr:cNvPr id="179" name="Chart 178">
          <a:extLst>
            <a:ext uri="{FF2B5EF4-FFF2-40B4-BE49-F238E27FC236}">
              <a16:creationId xmlns:a16="http://schemas.microsoft.com/office/drawing/2014/main" xmlns="" id="{00000000-0008-0000-04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13</xdr:col>
      <xdr:colOff>0</xdr:colOff>
      <xdr:row>1292</xdr:row>
      <xdr:rowOff>0</xdr:rowOff>
    </xdr:from>
    <xdr:to>
      <xdr:col>19</xdr:col>
      <xdr:colOff>234043</xdr:colOff>
      <xdr:row>1301</xdr:row>
      <xdr:rowOff>146958</xdr:rowOff>
    </xdr:to>
    <xdr:graphicFrame macro="">
      <xdr:nvGraphicFramePr>
        <xdr:cNvPr id="180" name="Chart 179">
          <a:extLst>
            <a:ext uri="{FF2B5EF4-FFF2-40B4-BE49-F238E27FC236}">
              <a16:creationId xmlns:a16="http://schemas.microsoft.com/office/drawing/2014/main" xmlns="" id="{00000000-0008-0000-04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1</xdr:col>
      <xdr:colOff>16328</xdr:colOff>
      <xdr:row>1343</xdr:row>
      <xdr:rowOff>27215</xdr:rowOff>
    </xdr:from>
    <xdr:to>
      <xdr:col>6</xdr:col>
      <xdr:colOff>598715</xdr:colOff>
      <xdr:row>1352</xdr:row>
      <xdr:rowOff>10887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13</xdr:col>
      <xdr:colOff>0</xdr:colOff>
      <xdr:row>1343</xdr:row>
      <xdr:rowOff>0</xdr:rowOff>
    </xdr:from>
    <xdr:to>
      <xdr:col>19</xdr:col>
      <xdr:colOff>76200</xdr:colOff>
      <xdr:row>1351</xdr:row>
      <xdr:rowOff>152400</xdr:rowOff>
    </xdr:to>
    <xdr:graphicFrame macro="">
      <xdr:nvGraphicFramePr>
        <xdr:cNvPr id="184" name="Chart 183">
          <a:extLst>
            <a:ext uri="{FF2B5EF4-FFF2-40B4-BE49-F238E27FC236}">
              <a16:creationId xmlns:a16="http://schemas.microsoft.com/office/drawing/2014/main" xmlns="" id="{00000000-0008-0000-04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1</xdr:col>
      <xdr:colOff>27213</xdr:colOff>
      <xdr:row>1362</xdr:row>
      <xdr:rowOff>27215</xdr:rowOff>
    </xdr:from>
    <xdr:to>
      <xdr:col>7</xdr:col>
      <xdr:colOff>587829</xdr:colOff>
      <xdr:row>1372</xdr:row>
      <xdr:rowOff>32657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13</xdr:col>
      <xdr:colOff>0</xdr:colOff>
      <xdr:row>1362</xdr:row>
      <xdr:rowOff>0</xdr:rowOff>
    </xdr:from>
    <xdr:to>
      <xdr:col>20</xdr:col>
      <xdr:colOff>0</xdr:colOff>
      <xdr:row>1372</xdr:row>
      <xdr:rowOff>10886</xdr:rowOff>
    </xdr:to>
    <xdr:graphicFrame macro="">
      <xdr:nvGraphicFramePr>
        <xdr:cNvPr id="185" name="Chart 184">
          <a:extLst>
            <a:ext uri="{FF2B5EF4-FFF2-40B4-BE49-F238E27FC236}">
              <a16:creationId xmlns:a16="http://schemas.microsoft.com/office/drawing/2014/main" xmlns="" id="{00000000-0008-0000-04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1</xdr:col>
      <xdr:colOff>0</xdr:colOff>
      <xdr:row>1390</xdr:row>
      <xdr:rowOff>0</xdr:rowOff>
    </xdr:from>
    <xdr:to>
      <xdr:col>7</xdr:col>
      <xdr:colOff>560616</xdr:colOff>
      <xdr:row>1400</xdr:row>
      <xdr:rowOff>5443</xdr:rowOff>
    </xdr:to>
    <xdr:graphicFrame macro="">
      <xdr:nvGraphicFramePr>
        <xdr:cNvPr id="186" name="Chart 185">
          <a:extLst>
            <a:ext uri="{FF2B5EF4-FFF2-40B4-BE49-F238E27FC236}">
              <a16:creationId xmlns:a16="http://schemas.microsoft.com/office/drawing/2014/main" xmlns="" id="{00000000-0008-0000-04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13</xdr:col>
      <xdr:colOff>0</xdr:colOff>
      <xdr:row>1390</xdr:row>
      <xdr:rowOff>0</xdr:rowOff>
    </xdr:from>
    <xdr:to>
      <xdr:col>20</xdr:col>
      <xdr:colOff>0</xdr:colOff>
      <xdr:row>1400</xdr:row>
      <xdr:rowOff>10887</xdr:rowOff>
    </xdr:to>
    <xdr:graphicFrame macro="">
      <xdr:nvGraphicFramePr>
        <xdr:cNvPr id="187" name="Chart 186">
          <a:extLst>
            <a:ext uri="{FF2B5EF4-FFF2-40B4-BE49-F238E27FC236}">
              <a16:creationId xmlns:a16="http://schemas.microsoft.com/office/drawing/2014/main" xmlns="" id="{00000000-0008-0000-04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1</xdr:col>
      <xdr:colOff>0</xdr:colOff>
      <xdr:row>1410</xdr:row>
      <xdr:rowOff>0</xdr:rowOff>
    </xdr:from>
    <xdr:to>
      <xdr:col>7</xdr:col>
      <xdr:colOff>560616</xdr:colOff>
      <xdr:row>1420</xdr:row>
      <xdr:rowOff>5442</xdr:rowOff>
    </xdr:to>
    <xdr:graphicFrame macro="">
      <xdr:nvGraphicFramePr>
        <xdr:cNvPr id="188" name="Chart 187">
          <a:extLst>
            <a:ext uri="{FF2B5EF4-FFF2-40B4-BE49-F238E27FC236}">
              <a16:creationId xmlns:a16="http://schemas.microsoft.com/office/drawing/2014/main" xmlns="" id="{00000000-0008-0000-04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13</xdr:col>
      <xdr:colOff>0</xdr:colOff>
      <xdr:row>1410</xdr:row>
      <xdr:rowOff>0</xdr:rowOff>
    </xdr:from>
    <xdr:to>
      <xdr:col>20</xdr:col>
      <xdr:colOff>0</xdr:colOff>
      <xdr:row>1420</xdr:row>
      <xdr:rowOff>10886</xdr:rowOff>
    </xdr:to>
    <xdr:graphicFrame macro="">
      <xdr:nvGraphicFramePr>
        <xdr:cNvPr id="189" name="Chart 188">
          <a:extLst>
            <a:ext uri="{FF2B5EF4-FFF2-40B4-BE49-F238E27FC236}">
              <a16:creationId xmlns:a16="http://schemas.microsoft.com/office/drawing/2014/main" xmlns="" id="{00000000-0008-0000-04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1</xdr:col>
      <xdr:colOff>0</xdr:colOff>
      <xdr:row>1440</xdr:row>
      <xdr:rowOff>0</xdr:rowOff>
    </xdr:from>
    <xdr:to>
      <xdr:col>7</xdr:col>
      <xdr:colOff>560616</xdr:colOff>
      <xdr:row>1450</xdr:row>
      <xdr:rowOff>5443</xdr:rowOff>
    </xdr:to>
    <xdr:graphicFrame macro="">
      <xdr:nvGraphicFramePr>
        <xdr:cNvPr id="190" name="Chart 189">
          <a:extLst>
            <a:ext uri="{FF2B5EF4-FFF2-40B4-BE49-F238E27FC236}">
              <a16:creationId xmlns:a16="http://schemas.microsoft.com/office/drawing/2014/main" xmlns="" id="{00000000-0008-0000-04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13</xdr:col>
      <xdr:colOff>0</xdr:colOff>
      <xdr:row>1440</xdr:row>
      <xdr:rowOff>0</xdr:rowOff>
    </xdr:from>
    <xdr:to>
      <xdr:col>20</xdr:col>
      <xdr:colOff>0</xdr:colOff>
      <xdr:row>1450</xdr:row>
      <xdr:rowOff>10887</xdr:rowOff>
    </xdr:to>
    <xdr:graphicFrame macro="">
      <xdr:nvGraphicFramePr>
        <xdr:cNvPr id="191" name="Chart 190">
          <a:extLst>
            <a:ext uri="{FF2B5EF4-FFF2-40B4-BE49-F238E27FC236}">
              <a16:creationId xmlns:a16="http://schemas.microsoft.com/office/drawing/2014/main" xmlns="" id="{00000000-0008-0000-04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576942</xdr:colOff>
      <xdr:row>1459</xdr:row>
      <xdr:rowOff>185056</xdr:rowOff>
    </xdr:from>
    <xdr:to>
      <xdr:col>8</xdr:col>
      <xdr:colOff>293914</xdr:colOff>
      <xdr:row>1472</xdr:row>
      <xdr:rowOff>130628</xdr:rowOff>
    </xdr:to>
    <xdr:graphicFrame macro="">
      <xdr:nvGraphicFramePr>
        <xdr:cNvPr id="192" name="Chart 191">
          <a:extLst>
            <a:ext uri="{FF2B5EF4-FFF2-40B4-BE49-F238E27FC236}">
              <a16:creationId xmlns:a16="http://schemas.microsoft.com/office/drawing/2014/main" xmlns="" id="{00000000-0008-0000-04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6</xdr:col>
      <xdr:colOff>239486</xdr:colOff>
      <xdr:row>130</xdr:row>
      <xdr:rowOff>32657</xdr:rowOff>
    </xdr:from>
    <xdr:to>
      <xdr:col>11</xdr:col>
      <xdr:colOff>553758</xdr:colOff>
      <xdr:row>143</xdr:row>
      <xdr:rowOff>140074</xdr:rowOff>
    </xdr:to>
    <xdr:graphicFrame macro="">
      <xdr:nvGraphicFramePr>
        <xdr:cNvPr id="163" name="Chart 162">
          <a:extLst>
            <a:ext uri="{FF2B5EF4-FFF2-40B4-BE49-F238E27FC236}">
              <a16:creationId xmlns:a16="http://schemas.microsoft.com/office/drawing/2014/main" xmlns="" id="{00000000-0008-0000-0400-0000A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6</xdr:col>
      <xdr:colOff>228601</xdr:colOff>
      <xdr:row>165</xdr:row>
      <xdr:rowOff>0</xdr:rowOff>
    </xdr:from>
    <xdr:to>
      <xdr:col>11</xdr:col>
      <xdr:colOff>544286</xdr:colOff>
      <xdr:row>179</xdr:row>
      <xdr:rowOff>83264</xdr:rowOff>
    </xdr:to>
    <xdr:graphicFrame macro="">
      <xdr:nvGraphicFramePr>
        <xdr:cNvPr id="164" name="Chart 163">
          <a:extLst>
            <a:ext uri="{FF2B5EF4-FFF2-40B4-BE49-F238E27FC236}">
              <a16:creationId xmlns:a16="http://schemas.microsoft.com/office/drawing/2014/main" xmlns="" id="{00000000-0008-0000-0400-0000A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32657</xdr:colOff>
      <xdr:row>179</xdr:row>
      <xdr:rowOff>163286</xdr:rowOff>
    </xdr:from>
    <xdr:to>
      <xdr:col>6</xdr:col>
      <xdr:colOff>141514</xdr:colOff>
      <xdr:row>194</xdr:row>
      <xdr:rowOff>61493</xdr:rowOff>
    </xdr:to>
    <xdr:graphicFrame macro="">
      <xdr:nvGraphicFramePr>
        <xdr:cNvPr id="165" name="Chart 164">
          <a:extLst>
            <a:ext uri="{FF2B5EF4-FFF2-40B4-BE49-F238E27FC236}">
              <a16:creationId xmlns:a16="http://schemas.microsoft.com/office/drawing/2014/main" xmlns="" id="{00000000-0008-0000-04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6</xdr:col>
      <xdr:colOff>239486</xdr:colOff>
      <xdr:row>179</xdr:row>
      <xdr:rowOff>163286</xdr:rowOff>
    </xdr:from>
    <xdr:to>
      <xdr:col>11</xdr:col>
      <xdr:colOff>555171</xdr:colOff>
      <xdr:row>194</xdr:row>
      <xdr:rowOff>61493</xdr:rowOff>
    </xdr:to>
    <xdr:graphicFrame macro="">
      <xdr:nvGraphicFramePr>
        <xdr:cNvPr id="166" name="Chart 165">
          <a:extLst>
            <a:ext uri="{FF2B5EF4-FFF2-40B4-BE49-F238E27FC236}">
              <a16:creationId xmlns:a16="http://schemas.microsoft.com/office/drawing/2014/main" xmlns="" id="{00000000-0008-0000-04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18</xdr:col>
      <xdr:colOff>130628</xdr:colOff>
      <xdr:row>165</xdr:row>
      <xdr:rowOff>0</xdr:rowOff>
    </xdr:from>
    <xdr:to>
      <xdr:col>23</xdr:col>
      <xdr:colOff>321028</xdr:colOff>
      <xdr:row>179</xdr:row>
      <xdr:rowOff>110778</xdr:rowOff>
    </xdr:to>
    <xdr:graphicFrame macro="">
      <xdr:nvGraphicFramePr>
        <xdr:cNvPr id="167" name="Chart 166">
          <a:extLst>
            <a:ext uri="{FF2B5EF4-FFF2-40B4-BE49-F238E27FC236}">
              <a16:creationId xmlns:a16="http://schemas.microsoft.com/office/drawing/2014/main" xmlns="" id="{00000000-0008-0000-04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12</xdr:col>
      <xdr:colOff>21771</xdr:colOff>
      <xdr:row>180</xdr:row>
      <xdr:rowOff>0</xdr:rowOff>
    </xdr:from>
    <xdr:to>
      <xdr:col>17</xdr:col>
      <xdr:colOff>516971</xdr:colOff>
      <xdr:row>194</xdr:row>
      <xdr:rowOff>110778</xdr:rowOff>
    </xdr:to>
    <xdr:graphicFrame macro="">
      <xdr:nvGraphicFramePr>
        <xdr:cNvPr id="168" name="Chart 167">
          <a:extLst>
            <a:ext uri="{FF2B5EF4-FFF2-40B4-BE49-F238E27FC236}">
              <a16:creationId xmlns:a16="http://schemas.microsoft.com/office/drawing/2014/main" xmlns="" id="{00000000-0008-0000-04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18</xdr:col>
      <xdr:colOff>119743</xdr:colOff>
      <xdr:row>180</xdr:row>
      <xdr:rowOff>0</xdr:rowOff>
    </xdr:from>
    <xdr:to>
      <xdr:col>23</xdr:col>
      <xdr:colOff>310143</xdr:colOff>
      <xdr:row>194</xdr:row>
      <xdr:rowOff>110778</xdr:rowOff>
    </xdr:to>
    <xdr:graphicFrame macro="">
      <xdr:nvGraphicFramePr>
        <xdr:cNvPr id="169" name="Chart 168">
          <a:extLst>
            <a:ext uri="{FF2B5EF4-FFF2-40B4-BE49-F238E27FC236}">
              <a16:creationId xmlns:a16="http://schemas.microsoft.com/office/drawing/2014/main" xmlns="" id="{00000000-0008-0000-0400-0000A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6</xdr:col>
      <xdr:colOff>228601</xdr:colOff>
      <xdr:row>214</xdr:row>
      <xdr:rowOff>108857</xdr:rowOff>
    </xdr:from>
    <xdr:to>
      <xdr:col>11</xdr:col>
      <xdr:colOff>500740</xdr:colOff>
      <xdr:row>229</xdr:row>
      <xdr:rowOff>119741</xdr:rowOff>
    </xdr:to>
    <xdr:graphicFrame macro="">
      <xdr:nvGraphicFramePr>
        <xdr:cNvPr id="170" name="Chart 169">
          <a:extLst>
            <a:ext uri="{FF2B5EF4-FFF2-40B4-BE49-F238E27FC236}">
              <a16:creationId xmlns:a16="http://schemas.microsoft.com/office/drawing/2014/main" xmlns="" id="{00000000-0008-0000-0400-0000A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32657</xdr:colOff>
      <xdr:row>230</xdr:row>
      <xdr:rowOff>54428</xdr:rowOff>
    </xdr:from>
    <xdr:to>
      <xdr:col>6</xdr:col>
      <xdr:colOff>97968</xdr:colOff>
      <xdr:row>245</xdr:row>
      <xdr:rowOff>65312</xdr:rowOff>
    </xdr:to>
    <xdr:graphicFrame macro="">
      <xdr:nvGraphicFramePr>
        <xdr:cNvPr id="171" name="Chart 170">
          <a:extLst>
            <a:ext uri="{FF2B5EF4-FFF2-40B4-BE49-F238E27FC236}">
              <a16:creationId xmlns:a16="http://schemas.microsoft.com/office/drawing/2014/main" xmlns="" id="{00000000-0008-0000-04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6</xdr:col>
      <xdr:colOff>217715</xdr:colOff>
      <xdr:row>230</xdr:row>
      <xdr:rowOff>54429</xdr:rowOff>
    </xdr:from>
    <xdr:to>
      <xdr:col>11</xdr:col>
      <xdr:colOff>489854</xdr:colOff>
      <xdr:row>245</xdr:row>
      <xdr:rowOff>65313</xdr:rowOff>
    </xdr:to>
    <xdr:graphicFrame macro="">
      <xdr:nvGraphicFramePr>
        <xdr:cNvPr id="172" name="Chart 171">
          <a:extLst>
            <a:ext uri="{FF2B5EF4-FFF2-40B4-BE49-F238E27FC236}">
              <a16:creationId xmlns:a16="http://schemas.microsoft.com/office/drawing/2014/main" xmlns="" id="{00000000-0008-0000-04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18</xdr:col>
      <xdr:colOff>152400</xdr:colOff>
      <xdr:row>214</xdr:row>
      <xdr:rowOff>97972</xdr:rowOff>
    </xdr:from>
    <xdr:to>
      <xdr:col>23</xdr:col>
      <xdr:colOff>335693</xdr:colOff>
      <xdr:row>229</xdr:row>
      <xdr:rowOff>97971</xdr:rowOff>
    </xdr:to>
    <xdr:graphicFrame macro="">
      <xdr:nvGraphicFramePr>
        <xdr:cNvPr id="183" name="Chart 182">
          <a:extLst>
            <a:ext uri="{FF2B5EF4-FFF2-40B4-BE49-F238E27FC236}">
              <a16:creationId xmlns:a16="http://schemas.microsoft.com/office/drawing/2014/main" xmlns="" id="{00000000-0008-0000-04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12</xdr:col>
      <xdr:colOff>32657</xdr:colOff>
      <xdr:row>230</xdr:row>
      <xdr:rowOff>54429</xdr:rowOff>
    </xdr:from>
    <xdr:to>
      <xdr:col>17</xdr:col>
      <xdr:colOff>520750</xdr:colOff>
      <xdr:row>245</xdr:row>
      <xdr:rowOff>54428</xdr:rowOff>
    </xdr:to>
    <xdr:graphicFrame macro="">
      <xdr:nvGraphicFramePr>
        <xdr:cNvPr id="194" name="Chart 193">
          <a:extLst>
            <a:ext uri="{FF2B5EF4-FFF2-40B4-BE49-F238E27FC236}">
              <a16:creationId xmlns:a16="http://schemas.microsoft.com/office/drawing/2014/main" xmlns="" id="{00000000-0008-0000-04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18</xdr:col>
      <xdr:colOff>152400</xdr:colOff>
      <xdr:row>230</xdr:row>
      <xdr:rowOff>43543</xdr:rowOff>
    </xdr:from>
    <xdr:to>
      <xdr:col>23</xdr:col>
      <xdr:colOff>335693</xdr:colOff>
      <xdr:row>245</xdr:row>
      <xdr:rowOff>43542</xdr:rowOff>
    </xdr:to>
    <xdr:graphicFrame macro="">
      <xdr:nvGraphicFramePr>
        <xdr:cNvPr id="195" name="Chart 194">
          <a:extLst>
            <a:ext uri="{FF2B5EF4-FFF2-40B4-BE49-F238E27FC236}">
              <a16:creationId xmlns:a16="http://schemas.microsoft.com/office/drawing/2014/main" xmlns="" id="{00000000-0008-0000-04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6</xdr:col>
      <xdr:colOff>217714</xdr:colOff>
      <xdr:row>263</xdr:row>
      <xdr:rowOff>119742</xdr:rowOff>
    </xdr:from>
    <xdr:to>
      <xdr:col>11</xdr:col>
      <xdr:colOff>509884</xdr:colOff>
      <xdr:row>277</xdr:row>
      <xdr:rowOff>185054</xdr:rowOff>
    </xdr:to>
    <xdr:graphicFrame macro="">
      <xdr:nvGraphicFramePr>
        <xdr:cNvPr id="196" name="Chart 195">
          <a:extLst>
            <a:ext uri="{FF2B5EF4-FFF2-40B4-BE49-F238E27FC236}">
              <a16:creationId xmlns:a16="http://schemas.microsoft.com/office/drawing/2014/main" xmlns="" id="{00000000-0008-0000-04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32658</xdr:colOff>
      <xdr:row>278</xdr:row>
      <xdr:rowOff>76200</xdr:rowOff>
    </xdr:from>
    <xdr:to>
      <xdr:col>6</xdr:col>
      <xdr:colOff>118000</xdr:colOff>
      <xdr:row>292</xdr:row>
      <xdr:rowOff>141512</xdr:rowOff>
    </xdr:to>
    <xdr:graphicFrame macro="">
      <xdr:nvGraphicFramePr>
        <xdr:cNvPr id="197" name="Chart 196">
          <a:extLst>
            <a:ext uri="{FF2B5EF4-FFF2-40B4-BE49-F238E27FC236}">
              <a16:creationId xmlns:a16="http://schemas.microsoft.com/office/drawing/2014/main" xmlns="" id="{00000000-0008-0000-04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6</xdr:col>
      <xdr:colOff>217714</xdr:colOff>
      <xdr:row>278</xdr:row>
      <xdr:rowOff>76200</xdr:rowOff>
    </xdr:from>
    <xdr:to>
      <xdr:col>11</xdr:col>
      <xdr:colOff>509884</xdr:colOff>
      <xdr:row>292</xdr:row>
      <xdr:rowOff>141512</xdr:rowOff>
    </xdr:to>
    <xdr:graphicFrame macro="">
      <xdr:nvGraphicFramePr>
        <xdr:cNvPr id="198" name="Chart 197">
          <a:extLst>
            <a:ext uri="{FF2B5EF4-FFF2-40B4-BE49-F238E27FC236}">
              <a16:creationId xmlns:a16="http://schemas.microsoft.com/office/drawing/2014/main" xmlns="" id="{00000000-0008-0000-04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18</xdr:col>
      <xdr:colOff>195942</xdr:colOff>
      <xdr:row>263</xdr:row>
      <xdr:rowOff>141515</xdr:rowOff>
    </xdr:from>
    <xdr:to>
      <xdr:col>23</xdr:col>
      <xdr:colOff>351421</xdr:colOff>
      <xdr:row>278</xdr:row>
      <xdr:rowOff>21771</xdr:rowOff>
    </xdr:to>
    <xdr:graphicFrame macro="">
      <xdr:nvGraphicFramePr>
        <xdr:cNvPr id="199" name="Chart 198">
          <a:extLst>
            <a:ext uri="{FF2B5EF4-FFF2-40B4-BE49-F238E27FC236}">
              <a16:creationId xmlns:a16="http://schemas.microsoft.com/office/drawing/2014/main" xmlns="" id="{00000000-0008-0000-04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12</xdr:col>
      <xdr:colOff>108857</xdr:colOff>
      <xdr:row>278</xdr:row>
      <xdr:rowOff>87086</xdr:rowOff>
    </xdr:from>
    <xdr:to>
      <xdr:col>18</xdr:col>
      <xdr:colOff>46622</xdr:colOff>
      <xdr:row>292</xdr:row>
      <xdr:rowOff>152399</xdr:rowOff>
    </xdr:to>
    <xdr:graphicFrame macro="">
      <xdr:nvGraphicFramePr>
        <xdr:cNvPr id="200" name="Chart 199">
          <a:extLst>
            <a:ext uri="{FF2B5EF4-FFF2-40B4-BE49-F238E27FC236}">
              <a16:creationId xmlns:a16="http://schemas.microsoft.com/office/drawing/2014/main" xmlns="" id="{00000000-0008-0000-04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18</xdr:col>
      <xdr:colOff>206828</xdr:colOff>
      <xdr:row>278</xdr:row>
      <xdr:rowOff>87085</xdr:rowOff>
    </xdr:from>
    <xdr:to>
      <xdr:col>23</xdr:col>
      <xdr:colOff>362307</xdr:colOff>
      <xdr:row>292</xdr:row>
      <xdr:rowOff>152398</xdr:rowOff>
    </xdr:to>
    <xdr:graphicFrame macro="">
      <xdr:nvGraphicFramePr>
        <xdr:cNvPr id="201" name="Chart 200">
          <a:extLst>
            <a:ext uri="{FF2B5EF4-FFF2-40B4-BE49-F238E27FC236}">
              <a16:creationId xmlns:a16="http://schemas.microsoft.com/office/drawing/2014/main" xmlns="" id="{00000000-0008-0000-04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6</xdr:col>
      <xdr:colOff>250372</xdr:colOff>
      <xdr:row>455</xdr:row>
      <xdr:rowOff>141515</xdr:rowOff>
    </xdr:from>
    <xdr:to>
      <xdr:col>11</xdr:col>
      <xdr:colOff>423902</xdr:colOff>
      <xdr:row>469</xdr:row>
      <xdr:rowOff>13163</xdr:rowOff>
    </xdr:to>
    <xdr:graphicFrame macro="">
      <xdr:nvGraphicFramePr>
        <xdr:cNvPr id="202" name="Chart 201">
          <a:extLst>
            <a:ext uri="{FF2B5EF4-FFF2-40B4-BE49-F238E27FC236}">
              <a16:creationId xmlns:a16="http://schemas.microsoft.com/office/drawing/2014/main" xmlns="" id="{00000000-0008-0000-04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152400</xdr:colOff>
      <xdr:row>469</xdr:row>
      <xdr:rowOff>119742</xdr:rowOff>
    </xdr:from>
    <xdr:to>
      <xdr:col>6</xdr:col>
      <xdr:colOff>119102</xdr:colOff>
      <xdr:row>482</xdr:row>
      <xdr:rowOff>176448</xdr:rowOff>
    </xdr:to>
    <xdr:graphicFrame macro="">
      <xdr:nvGraphicFramePr>
        <xdr:cNvPr id="203" name="Chart 202">
          <a:extLst>
            <a:ext uri="{FF2B5EF4-FFF2-40B4-BE49-F238E27FC236}">
              <a16:creationId xmlns:a16="http://schemas.microsoft.com/office/drawing/2014/main" xmlns="" id="{00000000-0008-0000-04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6</xdr:col>
      <xdr:colOff>250372</xdr:colOff>
      <xdr:row>469</xdr:row>
      <xdr:rowOff>130628</xdr:rowOff>
    </xdr:from>
    <xdr:to>
      <xdr:col>11</xdr:col>
      <xdr:colOff>423902</xdr:colOff>
      <xdr:row>483</xdr:row>
      <xdr:rowOff>2276</xdr:rowOff>
    </xdr:to>
    <xdr:graphicFrame macro="">
      <xdr:nvGraphicFramePr>
        <xdr:cNvPr id="204" name="Chart 203">
          <a:extLst>
            <a:ext uri="{FF2B5EF4-FFF2-40B4-BE49-F238E27FC236}">
              <a16:creationId xmlns:a16="http://schemas.microsoft.com/office/drawing/2014/main" xmlns="" id="{00000000-0008-0000-04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18</xdr:col>
      <xdr:colOff>152399</xdr:colOff>
      <xdr:row>455</xdr:row>
      <xdr:rowOff>152400</xdr:rowOff>
    </xdr:from>
    <xdr:to>
      <xdr:col>23</xdr:col>
      <xdr:colOff>340781</xdr:colOff>
      <xdr:row>469</xdr:row>
      <xdr:rowOff>30160</xdr:rowOff>
    </xdr:to>
    <xdr:graphicFrame macro="">
      <xdr:nvGraphicFramePr>
        <xdr:cNvPr id="205" name="Chart 204">
          <a:extLst>
            <a:ext uri="{FF2B5EF4-FFF2-40B4-BE49-F238E27FC236}">
              <a16:creationId xmlns:a16="http://schemas.microsoft.com/office/drawing/2014/main" xmlns="" id="{00000000-0008-0000-04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12</xdr:col>
      <xdr:colOff>21772</xdr:colOff>
      <xdr:row>469</xdr:row>
      <xdr:rowOff>163286</xdr:rowOff>
    </xdr:from>
    <xdr:to>
      <xdr:col>17</xdr:col>
      <xdr:colOff>514954</xdr:colOff>
      <xdr:row>483</xdr:row>
      <xdr:rowOff>41046</xdr:rowOff>
    </xdr:to>
    <xdr:graphicFrame macro="">
      <xdr:nvGraphicFramePr>
        <xdr:cNvPr id="206" name="Chart 205">
          <a:extLst>
            <a:ext uri="{FF2B5EF4-FFF2-40B4-BE49-F238E27FC236}">
              <a16:creationId xmlns:a16="http://schemas.microsoft.com/office/drawing/2014/main" xmlns="" id="{00000000-0008-0000-04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18</xdr:col>
      <xdr:colOff>141514</xdr:colOff>
      <xdr:row>469</xdr:row>
      <xdr:rowOff>163286</xdr:rowOff>
    </xdr:from>
    <xdr:to>
      <xdr:col>23</xdr:col>
      <xdr:colOff>329896</xdr:colOff>
      <xdr:row>483</xdr:row>
      <xdr:rowOff>41046</xdr:rowOff>
    </xdr:to>
    <xdr:graphicFrame macro="">
      <xdr:nvGraphicFramePr>
        <xdr:cNvPr id="207" name="Chart 206">
          <a:extLst>
            <a:ext uri="{FF2B5EF4-FFF2-40B4-BE49-F238E27FC236}">
              <a16:creationId xmlns:a16="http://schemas.microsoft.com/office/drawing/2014/main" xmlns="" id="{00000000-0008-0000-04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97971</xdr:colOff>
      <xdr:row>553</xdr:row>
      <xdr:rowOff>0</xdr:rowOff>
    </xdr:from>
    <xdr:to>
      <xdr:col>6</xdr:col>
      <xdr:colOff>97034</xdr:colOff>
      <xdr:row>567</xdr:row>
      <xdr:rowOff>33274</xdr:rowOff>
    </xdr:to>
    <xdr:graphicFrame macro="">
      <xdr:nvGraphicFramePr>
        <xdr:cNvPr id="208" name="Chart 207">
          <a:extLst>
            <a:ext uri="{FF2B5EF4-FFF2-40B4-BE49-F238E27FC236}">
              <a16:creationId xmlns:a16="http://schemas.microsoft.com/office/drawing/2014/main" xmlns="" id="{00000000-0008-0000-04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97972</xdr:colOff>
      <xdr:row>567</xdr:row>
      <xdr:rowOff>141514</xdr:rowOff>
    </xdr:from>
    <xdr:to>
      <xdr:col>6</xdr:col>
      <xdr:colOff>97035</xdr:colOff>
      <xdr:row>581</xdr:row>
      <xdr:rowOff>174788</xdr:rowOff>
    </xdr:to>
    <xdr:graphicFrame macro="">
      <xdr:nvGraphicFramePr>
        <xdr:cNvPr id="209" name="Chart 208">
          <a:extLst>
            <a:ext uri="{FF2B5EF4-FFF2-40B4-BE49-F238E27FC236}">
              <a16:creationId xmlns:a16="http://schemas.microsoft.com/office/drawing/2014/main" xmlns="" id="{00000000-0008-0000-04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6</xdr:col>
      <xdr:colOff>228600</xdr:colOff>
      <xdr:row>567</xdr:row>
      <xdr:rowOff>152400</xdr:rowOff>
    </xdr:from>
    <xdr:to>
      <xdr:col>11</xdr:col>
      <xdr:colOff>434491</xdr:colOff>
      <xdr:row>582</xdr:row>
      <xdr:rowOff>617</xdr:rowOff>
    </xdr:to>
    <xdr:graphicFrame macro="">
      <xdr:nvGraphicFramePr>
        <xdr:cNvPr id="210" name="Chart 209">
          <a:extLst>
            <a:ext uri="{FF2B5EF4-FFF2-40B4-BE49-F238E27FC236}">
              <a16:creationId xmlns:a16="http://schemas.microsoft.com/office/drawing/2014/main" xmlns="" id="{00000000-0008-0000-04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18</xdr:col>
      <xdr:colOff>163285</xdr:colOff>
      <xdr:row>552</xdr:row>
      <xdr:rowOff>174171</xdr:rowOff>
    </xdr:from>
    <xdr:to>
      <xdr:col>23</xdr:col>
      <xdr:colOff>259775</xdr:colOff>
      <xdr:row>567</xdr:row>
      <xdr:rowOff>22387</xdr:rowOff>
    </xdr:to>
    <xdr:graphicFrame macro="">
      <xdr:nvGraphicFramePr>
        <xdr:cNvPr id="211" name="Chart 210">
          <a:extLst>
            <a:ext uri="{FF2B5EF4-FFF2-40B4-BE49-F238E27FC236}">
              <a16:creationId xmlns:a16="http://schemas.microsoft.com/office/drawing/2014/main" xmlns="" id="{00000000-0008-0000-04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12</xdr:col>
      <xdr:colOff>119742</xdr:colOff>
      <xdr:row>567</xdr:row>
      <xdr:rowOff>152400</xdr:rowOff>
    </xdr:from>
    <xdr:to>
      <xdr:col>17</xdr:col>
      <xdr:colOff>521032</xdr:colOff>
      <xdr:row>582</xdr:row>
      <xdr:rowOff>616</xdr:rowOff>
    </xdr:to>
    <xdr:graphicFrame macro="">
      <xdr:nvGraphicFramePr>
        <xdr:cNvPr id="212" name="Chart 211">
          <a:extLst>
            <a:ext uri="{FF2B5EF4-FFF2-40B4-BE49-F238E27FC236}">
              <a16:creationId xmlns:a16="http://schemas.microsoft.com/office/drawing/2014/main" xmlns="" id="{00000000-0008-0000-0400-0000D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18</xdr:col>
      <xdr:colOff>163286</xdr:colOff>
      <xdr:row>567</xdr:row>
      <xdr:rowOff>130628</xdr:rowOff>
    </xdr:from>
    <xdr:to>
      <xdr:col>23</xdr:col>
      <xdr:colOff>259776</xdr:colOff>
      <xdr:row>581</xdr:row>
      <xdr:rowOff>163901</xdr:rowOff>
    </xdr:to>
    <xdr:graphicFrame macro="">
      <xdr:nvGraphicFramePr>
        <xdr:cNvPr id="213" name="Chart 212">
          <a:extLst>
            <a:ext uri="{FF2B5EF4-FFF2-40B4-BE49-F238E27FC236}">
              <a16:creationId xmlns:a16="http://schemas.microsoft.com/office/drawing/2014/main" xmlns="" id="{00000000-0008-0000-0400-0000D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6</xdr:col>
      <xdr:colOff>261258</xdr:colOff>
      <xdr:row>599</xdr:row>
      <xdr:rowOff>163285</xdr:rowOff>
    </xdr:from>
    <xdr:to>
      <xdr:col>11</xdr:col>
      <xdr:colOff>497866</xdr:colOff>
      <xdr:row>614</xdr:row>
      <xdr:rowOff>163285</xdr:rowOff>
    </xdr:to>
    <xdr:graphicFrame macro="">
      <xdr:nvGraphicFramePr>
        <xdr:cNvPr id="214" name="Chart 213">
          <a:extLst>
            <a:ext uri="{FF2B5EF4-FFF2-40B4-BE49-F238E27FC236}">
              <a16:creationId xmlns:a16="http://schemas.microsoft.com/office/drawing/2014/main" xmlns="" id="{00000000-0008-0000-0400-0000D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3</xdr:col>
      <xdr:colOff>21771</xdr:colOff>
      <xdr:row>616</xdr:row>
      <xdr:rowOff>10886</xdr:rowOff>
    </xdr:from>
    <xdr:to>
      <xdr:col>8</xdr:col>
      <xdr:colOff>595836</xdr:colOff>
      <xdr:row>631</xdr:row>
      <xdr:rowOff>10886</xdr:rowOff>
    </xdr:to>
    <xdr:graphicFrame macro="">
      <xdr:nvGraphicFramePr>
        <xdr:cNvPr id="215" name="Chart 214">
          <a:extLst>
            <a:ext uri="{FF2B5EF4-FFF2-40B4-BE49-F238E27FC236}">
              <a16:creationId xmlns:a16="http://schemas.microsoft.com/office/drawing/2014/main" xmlns="" id="{00000000-0008-0000-0400-0000D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18</xdr:col>
      <xdr:colOff>130629</xdr:colOff>
      <xdr:row>599</xdr:row>
      <xdr:rowOff>152400</xdr:rowOff>
    </xdr:from>
    <xdr:to>
      <xdr:col>23</xdr:col>
      <xdr:colOff>329839</xdr:colOff>
      <xdr:row>614</xdr:row>
      <xdr:rowOff>149287</xdr:rowOff>
    </xdr:to>
    <xdr:graphicFrame macro="">
      <xdr:nvGraphicFramePr>
        <xdr:cNvPr id="216" name="Chart 215">
          <a:extLst>
            <a:ext uri="{FF2B5EF4-FFF2-40B4-BE49-F238E27FC236}">
              <a16:creationId xmlns:a16="http://schemas.microsoft.com/office/drawing/2014/main" xmlns="" id="{00000000-0008-0000-0400-0000D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15</xdr:col>
      <xdr:colOff>141514</xdr:colOff>
      <xdr:row>616</xdr:row>
      <xdr:rowOff>10885</xdr:rowOff>
    </xdr:from>
    <xdr:to>
      <xdr:col>20</xdr:col>
      <xdr:colOff>623753</xdr:colOff>
      <xdr:row>631</xdr:row>
      <xdr:rowOff>7772</xdr:rowOff>
    </xdr:to>
    <xdr:graphicFrame macro="">
      <xdr:nvGraphicFramePr>
        <xdr:cNvPr id="217" name="Chart 216">
          <a:extLst>
            <a:ext uri="{FF2B5EF4-FFF2-40B4-BE49-F238E27FC236}">
              <a16:creationId xmlns:a16="http://schemas.microsoft.com/office/drawing/2014/main" xmlns="" id="{00000000-0008-0000-0400-0000D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6</xdr:col>
      <xdr:colOff>272143</xdr:colOff>
      <xdr:row>702</xdr:row>
      <xdr:rowOff>141514</xdr:rowOff>
    </xdr:from>
    <xdr:to>
      <xdr:col>11</xdr:col>
      <xdr:colOff>541929</xdr:colOff>
      <xdr:row>717</xdr:row>
      <xdr:rowOff>54429</xdr:rowOff>
    </xdr:to>
    <xdr:graphicFrame macro="">
      <xdr:nvGraphicFramePr>
        <xdr:cNvPr id="218" name="Chart 217">
          <a:extLst>
            <a:ext uri="{FF2B5EF4-FFF2-40B4-BE49-F238E27FC236}">
              <a16:creationId xmlns:a16="http://schemas.microsoft.com/office/drawing/2014/main" xmlns="" id="{00000000-0008-0000-0400-0000D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87086</xdr:colOff>
      <xdr:row>718</xdr:row>
      <xdr:rowOff>10885</xdr:rowOff>
    </xdr:from>
    <xdr:to>
      <xdr:col>6</xdr:col>
      <xdr:colOff>150044</xdr:colOff>
      <xdr:row>732</xdr:row>
      <xdr:rowOff>108857</xdr:rowOff>
    </xdr:to>
    <xdr:graphicFrame macro="">
      <xdr:nvGraphicFramePr>
        <xdr:cNvPr id="219" name="Chart 218">
          <a:extLst>
            <a:ext uri="{FF2B5EF4-FFF2-40B4-BE49-F238E27FC236}">
              <a16:creationId xmlns:a16="http://schemas.microsoft.com/office/drawing/2014/main" xmlns="" id="{00000000-0008-0000-0400-0000D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6</xdr:col>
      <xdr:colOff>272143</xdr:colOff>
      <xdr:row>718</xdr:row>
      <xdr:rowOff>0</xdr:rowOff>
    </xdr:from>
    <xdr:to>
      <xdr:col>11</xdr:col>
      <xdr:colOff>541929</xdr:colOff>
      <xdr:row>732</xdr:row>
      <xdr:rowOff>97972</xdr:rowOff>
    </xdr:to>
    <xdr:graphicFrame macro="">
      <xdr:nvGraphicFramePr>
        <xdr:cNvPr id="220" name="Chart 219">
          <a:extLst>
            <a:ext uri="{FF2B5EF4-FFF2-40B4-BE49-F238E27FC236}">
              <a16:creationId xmlns:a16="http://schemas.microsoft.com/office/drawing/2014/main" xmlns="" id="{00000000-0008-0000-0400-0000D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>
    <xdr:from>
      <xdr:col>18</xdr:col>
      <xdr:colOff>108857</xdr:colOff>
      <xdr:row>702</xdr:row>
      <xdr:rowOff>152400</xdr:rowOff>
    </xdr:from>
    <xdr:to>
      <xdr:col>23</xdr:col>
      <xdr:colOff>216159</xdr:colOff>
      <xdr:row>717</xdr:row>
      <xdr:rowOff>73930</xdr:rowOff>
    </xdr:to>
    <xdr:graphicFrame macro="">
      <xdr:nvGraphicFramePr>
        <xdr:cNvPr id="221" name="Chart 220">
          <a:extLst>
            <a:ext uri="{FF2B5EF4-FFF2-40B4-BE49-F238E27FC236}">
              <a16:creationId xmlns:a16="http://schemas.microsoft.com/office/drawing/2014/main" xmlns="" id="{00000000-0008-0000-0400-0000D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12</xdr:col>
      <xdr:colOff>87085</xdr:colOff>
      <xdr:row>718</xdr:row>
      <xdr:rowOff>0</xdr:rowOff>
    </xdr:from>
    <xdr:to>
      <xdr:col>17</xdr:col>
      <xdr:colOff>499187</xdr:colOff>
      <xdr:row>732</xdr:row>
      <xdr:rowOff>106587</xdr:rowOff>
    </xdr:to>
    <xdr:graphicFrame macro="">
      <xdr:nvGraphicFramePr>
        <xdr:cNvPr id="222" name="Chart 221">
          <a:extLst>
            <a:ext uri="{FF2B5EF4-FFF2-40B4-BE49-F238E27FC236}">
              <a16:creationId xmlns:a16="http://schemas.microsoft.com/office/drawing/2014/main" xmlns="" id="{00000000-0008-0000-0400-0000D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18</xdr:col>
      <xdr:colOff>119742</xdr:colOff>
      <xdr:row>718</xdr:row>
      <xdr:rowOff>0</xdr:rowOff>
    </xdr:from>
    <xdr:to>
      <xdr:col>23</xdr:col>
      <xdr:colOff>227044</xdr:colOff>
      <xdr:row>732</xdr:row>
      <xdr:rowOff>106587</xdr:rowOff>
    </xdr:to>
    <xdr:graphicFrame macro="">
      <xdr:nvGraphicFramePr>
        <xdr:cNvPr id="223" name="Chart 222">
          <a:extLst>
            <a:ext uri="{FF2B5EF4-FFF2-40B4-BE49-F238E27FC236}">
              <a16:creationId xmlns:a16="http://schemas.microsoft.com/office/drawing/2014/main" xmlns="" id="{00000000-0008-0000-0400-0000D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twoCellAnchor>
    <xdr:from>
      <xdr:col>6</xdr:col>
      <xdr:colOff>206829</xdr:colOff>
      <xdr:row>750</xdr:row>
      <xdr:rowOff>0</xdr:rowOff>
    </xdr:from>
    <xdr:to>
      <xdr:col>11</xdr:col>
      <xdr:colOff>483895</xdr:colOff>
      <xdr:row>764</xdr:row>
      <xdr:rowOff>90927</xdr:rowOff>
    </xdr:to>
    <xdr:graphicFrame macro="">
      <xdr:nvGraphicFramePr>
        <xdr:cNvPr id="224" name="Chart 223">
          <a:extLst>
            <a:ext uri="{FF2B5EF4-FFF2-40B4-BE49-F238E27FC236}">
              <a16:creationId xmlns:a16="http://schemas.microsoft.com/office/drawing/2014/main" xmlns="" id="{00000000-0008-0000-0400-0000E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twoCellAnchor>
  <xdr:twoCellAnchor>
    <xdr:from>
      <xdr:col>3</xdr:col>
      <xdr:colOff>0</xdr:colOff>
      <xdr:row>765</xdr:row>
      <xdr:rowOff>1</xdr:rowOff>
    </xdr:from>
    <xdr:to>
      <xdr:col>9</xdr:col>
      <xdr:colOff>4923</xdr:colOff>
      <xdr:row>779</xdr:row>
      <xdr:rowOff>90928</xdr:rowOff>
    </xdr:to>
    <xdr:graphicFrame macro="">
      <xdr:nvGraphicFramePr>
        <xdr:cNvPr id="225" name="Chart 224">
          <a:extLst>
            <a:ext uri="{FF2B5EF4-FFF2-40B4-BE49-F238E27FC236}">
              <a16:creationId xmlns:a16="http://schemas.microsoft.com/office/drawing/2014/main" xmlns="" id="{00000000-0008-0000-0400-0000E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twoCellAnchor>
  <xdr:twoCellAnchor>
    <xdr:from>
      <xdr:col>18</xdr:col>
      <xdr:colOff>152399</xdr:colOff>
      <xdr:row>749</xdr:row>
      <xdr:rowOff>163285</xdr:rowOff>
    </xdr:from>
    <xdr:to>
      <xdr:col>23</xdr:col>
      <xdr:colOff>320038</xdr:colOff>
      <xdr:row>764</xdr:row>
      <xdr:rowOff>87086</xdr:rowOff>
    </xdr:to>
    <xdr:graphicFrame macro="">
      <xdr:nvGraphicFramePr>
        <xdr:cNvPr id="227" name="Chart 226">
          <a:extLst>
            <a:ext uri="{FF2B5EF4-FFF2-40B4-BE49-F238E27FC236}">
              <a16:creationId xmlns:a16="http://schemas.microsoft.com/office/drawing/2014/main" xmlns="" id="{00000000-0008-0000-0400-0000E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twoCellAnchor>
  <xdr:twoCellAnchor>
    <xdr:from>
      <xdr:col>15</xdr:col>
      <xdr:colOff>43543</xdr:colOff>
      <xdr:row>765</xdr:row>
      <xdr:rowOff>10885</xdr:rowOff>
    </xdr:from>
    <xdr:to>
      <xdr:col>20</xdr:col>
      <xdr:colOff>494211</xdr:colOff>
      <xdr:row>779</xdr:row>
      <xdr:rowOff>119743</xdr:rowOff>
    </xdr:to>
    <xdr:graphicFrame macro="">
      <xdr:nvGraphicFramePr>
        <xdr:cNvPr id="228" name="Chart 227">
          <a:extLst>
            <a:ext uri="{FF2B5EF4-FFF2-40B4-BE49-F238E27FC236}">
              <a16:creationId xmlns:a16="http://schemas.microsoft.com/office/drawing/2014/main" xmlns="" id="{00000000-0008-0000-0400-0000E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6</xdr:col>
      <xdr:colOff>239486</xdr:colOff>
      <xdr:row>853</xdr:row>
      <xdr:rowOff>119743</xdr:rowOff>
    </xdr:from>
    <xdr:to>
      <xdr:col>11</xdr:col>
      <xdr:colOff>489856</xdr:colOff>
      <xdr:row>869</xdr:row>
      <xdr:rowOff>22028</xdr:rowOff>
    </xdr:to>
    <xdr:graphicFrame macro="">
      <xdr:nvGraphicFramePr>
        <xdr:cNvPr id="236" name="Chart 235">
          <a:extLst>
            <a:ext uri="{FF2B5EF4-FFF2-40B4-BE49-F238E27FC236}">
              <a16:creationId xmlns:a16="http://schemas.microsoft.com/office/drawing/2014/main" xmlns="" id="{00000000-0008-0000-0400-0000E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twoCellAnchor>
    <xdr:from>
      <xdr:col>0</xdr:col>
      <xdr:colOff>32657</xdr:colOff>
      <xdr:row>869</xdr:row>
      <xdr:rowOff>152399</xdr:rowOff>
    </xdr:from>
    <xdr:to>
      <xdr:col>6</xdr:col>
      <xdr:colOff>76199</xdr:colOff>
      <xdr:row>885</xdr:row>
      <xdr:rowOff>54683</xdr:rowOff>
    </xdr:to>
    <xdr:graphicFrame macro="">
      <xdr:nvGraphicFramePr>
        <xdr:cNvPr id="237" name="Chart 236">
          <a:extLst>
            <a:ext uri="{FF2B5EF4-FFF2-40B4-BE49-F238E27FC236}">
              <a16:creationId xmlns:a16="http://schemas.microsoft.com/office/drawing/2014/main" xmlns="" id="{00000000-0008-0000-0400-0000E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twoCellAnchor>
  <xdr:twoCellAnchor>
    <xdr:from>
      <xdr:col>6</xdr:col>
      <xdr:colOff>228600</xdr:colOff>
      <xdr:row>869</xdr:row>
      <xdr:rowOff>163285</xdr:rowOff>
    </xdr:from>
    <xdr:to>
      <xdr:col>11</xdr:col>
      <xdr:colOff>478970</xdr:colOff>
      <xdr:row>885</xdr:row>
      <xdr:rowOff>65569</xdr:rowOff>
    </xdr:to>
    <xdr:graphicFrame macro="">
      <xdr:nvGraphicFramePr>
        <xdr:cNvPr id="238" name="Chart 237">
          <a:extLst>
            <a:ext uri="{FF2B5EF4-FFF2-40B4-BE49-F238E27FC236}">
              <a16:creationId xmlns:a16="http://schemas.microsoft.com/office/drawing/2014/main" xmlns="" id="{00000000-0008-0000-0400-0000E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twoCellAnchor>
  <xdr:twoCellAnchor>
    <xdr:from>
      <xdr:col>18</xdr:col>
      <xdr:colOff>174171</xdr:colOff>
      <xdr:row>853</xdr:row>
      <xdr:rowOff>130628</xdr:rowOff>
    </xdr:from>
    <xdr:to>
      <xdr:col>23</xdr:col>
      <xdr:colOff>353475</xdr:colOff>
      <xdr:row>869</xdr:row>
      <xdr:rowOff>32658</xdr:rowOff>
    </xdr:to>
    <xdr:graphicFrame macro="">
      <xdr:nvGraphicFramePr>
        <xdr:cNvPr id="239" name="Chart 238">
          <a:extLst>
            <a:ext uri="{FF2B5EF4-FFF2-40B4-BE49-F238E27FC236}">
              <a16:creationId xmlns:a16="http://schemas.microsoft.com/office/drawing/2014/main" xmlns="" id="{00000000-0008-0000-0400-0000E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twoCellAnchor>
  <xdr:twoCellAnchor>
    <xdr:from>
      <xdr:col>12</xdr:col>
      <xdr:colOff>32657</xdr:colOff>
      <xdr:row>870</xdr:row>
      <xdr:rowOff>10887</xdr:rowOff>
    </xdr:from>
    <xdr:to>
      <xdr:col>17</xdr:col>
      <xdr:colOff>516761</xdr:colOff>
      <xdr:row>885</xdr:row>
      <xdr:rowOff>97973</xdr:rowOff>
    </xdr:to>
    <xdr:graphicFrame macro="">
      <xdr:nvGraphicFramePr>
        <xdr:cNvPr id="240" name="Chart 239">
          <a:extLst>
            <a:ext uri="{FF2B5EF4-FFF2-40B4-BE49-F238E27FC236}">
              <a16:creationId xmlns:a16="http://schemas.microsoft.com/office/drawing/2014/main" xmlns="" id="{00000000-0008-0000-0400-0000F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twoCellAnchor>
  <xdr:twoCellAnchor>
    <xdr:from>
      <xdr:col>18</xdr:col>
      <xdr:colOff>174171</xdr:colOff>
      <xdr:row>870</xdr:row>
      <xdr:rowOff>10887</xdr:rowOff>
    </xdr:from>
    <xdr:to>
      <xdr:col>23</xdr:col>
      <xdr:colOff>353475</xdr:colOff>
      <xdr:row>885</xdr:row>
      <xdr:rowOff>97973</xdr:rowOff>
    </xdr:to>
    <xdr:graphicFrame macro="">
      <xdr:nvGraphicFramePr>
        <xdr:cNvPr id="241" name="Chart 240">
          <a:extLst>
            <a:ext uri="{FF2B5EF4-FFF2-40B4-BE49-F238E27FC236}">
              <a16:creationId xmlns:a16="http://schemas.microsoft.com/office/drawing/2014/main" xmlns="" id="{00000000-0008-0000-0400-0000F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twoCellAnchor>
    <xdr:from>
      <xdr:col>6</xdr:col>
      <xdr:colOff>185058</xdr:colOff>
      <xdr:row>900</xdr:row>
      <xdr:rowOff>10886</xdr:rowOff>
    </xdr:from>
    <xdr:to>
      <xdr:col>11</xdr:col>
      <xdr:colOff>411220</xdr:colOff>
      <xdr:row>915</xdr:row>
      <xdr:rowOff>10886</xdr:rowOff>
    </xdr:to>
    <xdr:graphicFrame macro="">
      <xdr:nvGraphicFramePr>
        <xdr:cNvPr id="246" name="Chart 245">
          <a:extLst>
            <a:ext uri="{FF2B5EF4-FFF2-40B4-BE49-F238E27FC236}">
              <a16:creationId xmlns:a16="http://schemas.microsoft.com/office/drawing/2014/main" xmlns="" id="{00000000-0008-0000-0400-0000F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twoCellAnchor>
  <xdr:twoCellAnchor>
    <xdr:from>
      <xdr:col>3</xdr:col>
      <xdr:colOff>1</xdr:colOff>
      <xdr:row>916</xdr:row>
      <xdr:rowOff>0</xdr:rowOff>
    </xdr:from>
    <xdr:to>
      <xdr:col>8</xdr:col>
      <xdr:colOff>563620</xdr:colOff>
      <xdr:row>931</xdr:row>
      <xdr:rowOff>0</xdr:rowOff>
    </xdr:to>
    <xdr:graphicFrame macro="">
      <xdr:nvGraphicFramePr>
        <xdr:cNvPr id="247" name="Chart 246">
          <a:extLst>
            <a:ext uri="{FF2B5EF4-FFF2-40B4-BE49-F238E27FC236}">
              <a16:creationId xmlns:a16="http://schemas.microsoft.com/office/drawing/2014/main" xmlns="" id="{00000000-0008-0000-0400-0000F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twoCellAnchor>
  <xdr:twoCellAnchor>
    <xdr:from>
      <xdr:col>18</xdr:col>
      <xdr:colOff>163285</xdr:colOff>
      <xdr:row>900</xdr:row>
      <xdr:rowOff>0</xdr:rowOff>
    </xdr:from>
    <xdr:to>
      <xdr:col>23</xdr:col>
      <xdr:colOff>341035</xdr:colOff>
      <xdr:row>914</xdr:row>
      <xdr:rowOff>185056</xdr:rowOff>
    </xdr:to>
    <xdr:graphicFrame macro="">
      <xdr:nvGraphicFramePr>
        <xdr:cNvPr id="248" name="Chart 247">
          <a:extLst>
            <a:ext uri="{FF2B5EF4-FFF2-40B4-BE49-F238E27FC236}">
              <a16:creationId xmlns:a16="http://schemas.microsoft.com/office/drawing/2014/main" xmlns="" id="{00000000-0008-0000-0400-0000F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15</xdr:col>
      <xdr:colOff>32657</xdr:colOff>
      <xdr:row>916</xdr:row>
      <xdr:rowOff>0</xdr:rowOff>
    </xdr:from>
    <xdr:to>
      <xdr:col>20</xdr:col>
      <xdr:colOff>493436</xdr:colOff>
      <xdr:row>930</xdr:row>
      <xdr:rowOff>185056</xdr:rowOff>
    </xdr:to>
    <xdr:graphicFrame macro="">
      <xdr:nvGraphicFramePr>
        <xdr:cNvPr id="249" name="Chart 248">
          <a:extLst>
            <a:ext uri="{FF2B5EF4-FFF2-40B4-BE49-F238E27FC236}">
              <a16:creationId xmlns:a16="http://schemas.microsoft.com/office/drawing/2014/main" xmlns="" id="{00000000-0008-0000-0400-0000F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twoCellAnchor>
    <xdr:from>
      <xdr:col>6</xdr:col>
      <xdr:colOff>228600</xdr:colOff>
      <xdr:row>1002</xdr:row>
      <xdr:rowOff>163286</xdr:rowOff>
    </xdr:from>
    <xdr:to>
      <xdr:col>11</xdr:col>
      <xdr:colOff>468083</xdr:colOff>
      <xdr:row>1018</xdr:row>
      <xdr:rowOff>65315</xdr:rowOff>
    </xdr:to>
    <xdr:graphicFrame macro="">
      <xdr:nvGraphicFramePr>
        <xdr:cNvPr id="252" name="Chart 251">
          <a:extLst>
            <a:ext uri="{FF2B5EF4-FFF2-40B4-BE49-F238E27FC236}">
              <a16:creationId xmlns:a16="http://schemas.microsoft.com/office/drawing/2014/main" xmlns="" id="{00000000-0008-0000-0400-0000F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twoCellAnchor>
  <xdr:twoCellAnchor>
    <xdr:from>
      <xdr:col>0</xdr:col>
      <xdr:colOff>54429</xdr:colOff>
      <xdr:row>1019</xdr:row>
      <xdr:rowOff>0</xdr:rowOff>
    </xdr:from>
    <xdr:to>
      <xdr:col>6</xdr:col>
      <xdr:colOff>87084</xdr:colOff>
      <xdr:row>1034</xdr:row>
      <xdr:rowOff>87086</xdr:rowOff>
    </xdr:to>
    <xdr:graphicFrame macro="">
      <xdr:nvGraphicFramePr>
        <xdr:cNvPr id="253" name="Chart 252">
          <a:extLst>
            <a:ext uri="{FF2B5EF4-FFF2-40B4-BE49-F238E27FC236}">
              <a16:creationId xmlns:a16="http://schemas.microsoft.com/office/drawing/2014/main" xmlns="" id="{00000000-0008-0000-0400-0000F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6</xdr:col>
      <xdr:colOff>228601</xdr:colOff>
      <xdr:row>1019</xdr:row>
      <xdr:rowOff>0</xdr:rowOff>
    </xdr:from>
    <xdr:to>
      <xdr:col>11</xdr:col>
      <xdr:colOff>468084</xdr:colOff>
      <xdr:row>1034</xdr:row>
      <xdr:rowOff>87086</xdr:rowOff>
    </xdr:to>
    <xdr:graphicFrame macro="">
      <xdr:nvGraphicFramePr>
        <xdr:cNvPr id="254" name="Chart 253">
          <a:extLst>
            <a:ext uri="{FF2B5EF4-FFF2-40B4-BE49-F238E27FC236}">
              <a16:creationId xmlns:a16="http://schemas.microsoft.com/office/drawing/2014/main" xmlns="" id="{00000000-0008-0000-0400-0000F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xdr:twoCellAnchor>
    <xdr:from>
      <xdr:col>18</xdr:col>
      <xdr:colOff>195943</xdr:colOff>
      <xdr:row>1002</xdr:row>
      <xdr:rowOff>163285</xdr:rowOff>
    </xdr:from>
    <xdr:to>
      <xdr:col>23</xdr:col>
      <xdr:colOff>384577</xdr:colOff>
      <xdr:row>1018</xdr:row>
      <xdr:rowOff>10886</xdr:rowOff>
    </xdr:to>
    <xdr:graphicFrame macro="">
      <xdr:nvGraphicFramePr>
        <xdr:cNvPr id="255" name="Chart 254">
          <a:extLst>
            <a:ext uri="{FF2B5EF4-FFF2-40B4-BE49-F238E27FC236}">
              <a16:creationId xmlns:a16="http://schemas.microsoft.com/office/drawing/2014/main" xmlns="" id="{00000000-0008-0000-0400-0000F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3"/>
        </a:graphicData>
      </a:graphic>
    </xdr:graphicFrame>
    <xdr:clientData/>
  </xdr:twoCellAnchor>
  <xdr:twoCellAnchor>
    <xdr:from>
      <xdr:col>12</xdr:col>
      <xdr:colOff>65313</xdr:colOff>
      <xdr:row>1019</xdr:row>
      <xdr:rowOff>0</xdr:rowOff>
    </xdr:from>
    <xdr:to>
      <xdr:col>18</xdr:col>
      <xdr:colOff>36233</xdr:colOff>
      <xdr:row>1034</xdr:row>
      <xdr:rowOff>32658</xdr:rowOff>
    </xdr:to>
    <xdr:graphicFrame macro="">
      <xdr:nvGraphicFramePr>
        <xdr:cNvPr id="256" name="Chart 255">
          <a:extLst>
            <a:ext uri="{FF2B5EF4-FFF2-40B4-BE49-F238E27FC236}">
              <a16:creationId xmlns:a16="http://schemas.microsoft.com/office/drawing/2014/main" xmlns="" id="{00000000-0008-0000-0400-00000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4"/>
        </a:graphicData>
      </a:graphic>
    </xdr:graphicFrame>
    <xdr:clientData/>
  </xdr:twoCellAnchor>
  <xdr:twoCellAnchor>
    <xdr:from>
      <xdr:col>18</xdr:col>
      <xdr:colOff>185057</xdr:colOff>
      <xdr:row>1019</xdr:row>
      <xdr:rowOff>10886</xdr:rowOff>
    </xdr:from>
    <xdr:to>
      <xdr:col>23</xdr:col>
      <xdr:colOff>373691</xdr:colOff>
      <xdr:row>1034</xdr:row>
      <xdr:rowOff>43544</xdr:rowOff>
    </xdr:to>
    <xdr:graphicFrame macro="">
      <xdr:nvGraphicFramePr>
        <xdr:cNvPr id="257" name="Chart 256">
          <a:extLst>
            <a:ext uri="{FF2B5EF4-FFF2-40B4-BE49-F238E27FC236}">
              <a16:creationId xmlns:a16="http://schemas.microsoft.com/office/drawing/2014/main" xmlns="" id="{00000000-0008-0000-0400-00000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5"/>
        </a:graphicData>
      </a:graphic>
    </xdr:graphicFrame>
    <xdr:clientData/>
  </xdr:twoCellAnchor>
  <xdr:twoCellAnchor>
    <xdr:from>
      <xdr:col>13</xdr:col>
      <xdr:colOff>0</xdr:colOff>
      <xdr:row>1460</xdr:row>
      <xdr:rowOff>0</xdr:rowOff>
    </xdr:from>
    <xdr:to>
      <xdr:col>20</xdr:col>
      <xdr:colOff>217715</xdr:colOff>
      <xdr:row>1472</xdr:row>
      <xdr:rowOff>130629</xdr:rowOff>
    </xdr:to>
    <xdr:graphicFrame macro="">
      <xdr:nvGraphicFramePr>
        <xdr:cNvPr id="258" name="Chart 257">
          <a:extLst>
            <a:ext uri="{FF2B5EF4-FFF2-40B4-BE49-F238E27FC236}">
              <a16:creationId xmlns:a16="http://schemas.microsoft.com/office/drawing/2014/main" xmlns="" id="{00000000-0008-0000-0400-00000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6"/>
        </a:graphicData>
      </a:graphic>
    </xdr:graphicFrame>
    <xdr:clientData/>
  </xdr:twoCellAnchor>
  <xdr:twoCellAnchor>
    <xdr:from>
      <xdr:col>1</xdr:col>
      <xdr:colOff>0</xdr:colOff>
      <xdr:row>1312</xdr:row>
      <xdr:rowOff>0</xdr:rowOff>
    </xdr:from>
    <xdr:to>
      <xdr:col>8</xdr:col>
      <xdr:colOff>293915</xdr:colOff>
      <xdr:row>1324</xdr:row>
      <xdr:rowOff>130629</xdr:rowOff>
    </xdr:to>
    <xdr:graphicFrame macro="">
      <xdr:nvGraphicFramePr>
        <xdr:cNvPr id="259" name="Chart 258">
          <a:extLst>
            <a:ext uri="{FF2B5EF4-FFF2-40B4-BE49-F238E27FC236}">
              <a16:creationId xmlns:a16="http://schemas.microsoft.com/office/drawing/2014/main" xmlns="" id="{00000000-0008-0000-0400-00000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7"/>
        </a:graphicData>
      </a:graphic>
    </xdr:graphicFrame>
    <xdr:clientData/>
  </xdr:twoCellAnchor>
  <xdr:twoCellAnchor>
    <xdr:from>
      <xdr:col>13</xdr:col>
      <xdr:colOff>0</xdr:colOff>
      <xdr:row>1312</xdr:row>
      <xdr:rowOff>0</xdr:rowOff>
    </xdr:from>
    <xdr:to>
      <xdr:col>20</xdr:col>
      <xdr:colOff>217715</xdr:colOff>
      <xdr:row>1324</xdr:row>
      <xdr:rowOff>130629</xdr:rowOff>
    </xdr:to>
    <xdr:graphicFrame macro="">
      <xdr:nvGraphicFramePr>
        <xdr:cNvPr id="261" name="Chart 260">
          <a:extLst>
            <a:ext uri="{FF2B5EF4-FFF2-40B4-BE49-F238E27FC236}">
              <a16:creationId xmlns:a16="http://schemas.microsoft.com/office/drawing/2014/main" xmlns="" id="{00000000-0008-0000-0400-00000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8"/>
        </a:graphicData>
      </a:graphic>
    </xdr:graphicFrame>
    <xdr:clientData/>
  </xdr:twoCellAnchor>
  <xdr:twoCellAnchor>
    <xdr:from>
      <xdr:col>1</xdr:col>
      <xdr:colOff>0</xdr:colOff>
      <xdr:row>1166</xdr:row>
      <xdr:rowOff>0</xdr:rowOff>
    </xdr:from>
    <xdr:to>
      <xdr:col>8</xdr:col>
      <xdr:colOff>293915</xdr:colOff>
      <xdr:row>1178</xdr:row>
      <xdr:rowOff>130630</xdr:rowOff>
    </xdr:to>
    <xdr:graphicFrame macro="">
      <xdr:nvGraphicFramePr>
        <xdr:cNvPr id="262" name="Chart 261">
          <a:extLst>
            <a:ext uri="{FF2B5EF4-FFF2-40B4-BE49-F238E27FC236}">
              <a16:creationId xmlns:a16="http://schemas.microsoft.com/office/drawing/2014/main" xmlns="" id="{00000000-0008-0000-0400-00000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9"/>
        </a:graphicData>
      </a:graphic>
    </xdr:graphicFrame>
    <xdr:clientData/>
  </xdr:twoCellAnchor>
  <xdr:twoCellAnchor>
    <xdr:from>
      <xdr:col>13</xdr:col>
      <xdr:colOff>0</xdr:colOff>
      <xdr:row>1166</xdr:row>
      <xdr:rowOff>0</xdr:rowOff>
    </xdr:from>
    <xdr:to>
      <xdr:col>20</xdr:col>
      <xdr:colOff>217715</xdr:colOff>
      <xdr:row>1178</xdr:row>
      <xdr:rowOff>130630</xdr:rowOff>
    </xdr:to>
    <xdr:graphicFrame macro="">
      <xdr:nvGraphicFramePr>
        <xdr:cNvPr id="263" name="Chart 262">
          <a:extLst>
            <a:ext uri="{FF2B5EF4-FFF2-40B4-BE49-F238E27FC236}">
              <a16:creationId xmlns:a16="http://schemas.microsoft.com/office/drawing/2014/main" xmlns="" id="{00000000-0008-0000-0400-00000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0"/>
        </a:graphicData>
      </a:graphic>
    </xdr:graphicFrame>
    <xdr:clientData/>
  </xdr:twoCellAnchor>
  <xdr:twoCellAnchor>
    <xdr:from>
      <xdr:col>0</xdr:col>
      <xdr:colOff>54429</xdr:colOff>
      <xdr:row>359</xdr:row>
      <xdr:rowOff>119742</xdr:rowOff>
    </xdr:from>
    <xdr:to>
      <xdr:col>6</xdr:col>
      <xdr:colOff>49305</xdr:colOff>
      <xdr:row>373</xdr:row>
      <xdr:rowOff>176259</xdr:rowOff>
    </xdr:to>
    <xdr:graphicFrame macro="">
      <xdr:nvGraphicFramePr>
        <xdr:cNvPr id="270" name="Chart 269">
          <a:extLst>
            <a:ext uri="{FF2B5EF4-FFF2-40B4-BE49-F238E27FC236}">
              <a16:creationId xmlns:a16="http://schemas.microsoft.com/office/drawing/2014/main" xmlns="" id="{00000000-0008-0000-0400-00000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1"/>
        </a:graphicData>
      </a:graphic>
    </xdr:graphicFrame>
    <xdr:clientData/>
  </xdr:twoCellAnchor>
  <xdr:twoCellAnchor>
    <xdr:from>
      <xdr:col>3</xdr:col>
      <xdr:colOff>59552</xdr:colOff>
      <xdr:row>374</xdr:row>
      <xdr:rowOff>89006</xdr:rowOff>
    </xdr:from>
    <xdr:to>
      <xdr:col>8</xdr:col>
      <xdr:colOff>598713</xdr:colOff>
      <xdr:row>388</xdr:row>
      <xdr:rowOff>167128</xdr:rowOff>
    </xdr:to>
    <xdr:graphicFrame macro="">
      <xdr:nvGraphicFramePr>
        <xdr:cNvPr id="271" name="Chart 270">
          <a:extLst>
            <a:ext uri="{FF2B5EF4-FFF2-40B4-BE49-F238E27FC236}">
              <a16:creationId xmlns:a16="http://schemas.microsoft.com/office/drawing/2014/main" xmlns="" id="{00000000-0008-0000-0400-00000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2"/>
        </a:graphicData>
      </a:graphic>
    </xdr:graphicFrame>
    <xdr:clientData/>
  </xdr:twoCellAnchor>
  <xdr:twoCellAnchor>
    <xdr:from>
      <xdr:col>6</xdr:col>
      <xdr:colOff>284309</xdr:colOff>
      <xdr:row>359</xdr:row>
      <xdr:rowOff>139591</xdr:rowOff>
    </xdr:from>
    <xdr:to>
      <xdr:col>11</xdr:col>
      <xdr:colOff>582065</xdr:colOff>
      <xdr:row>374</xdr:row>
      <xdr:rowOff>11051</xdr:rowOff>
    </xdr:to>
    <xdr:graphicFrame macro="">
      <xdr:nvGraphicFramePr>
        <xdr:cNvPr id="272" name="Chart 271">
          <a:extLst>
            <a:ext uri="{FF2B5EF4-FFF2-40B4-BE49-F238E27FC236}">
              <a16:creationId xmlns:a16="http://schemas.microsoft.com/office/drawing/2014/main" xmlns="" id="{00000000-0008-0000-0400-00001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3"/>
        </a:graphicData>
      </a:graphic>
    </xdr:graphicFrame>
    <xdr:clientData/>
  </xdr:twoCellAnchor>
  <xdr:twoCellAnchor>
    <xdr:from>
      <xdr:col>12</xdr:col>
      <xdr:colOff>65314</xdr:colOff>
      <xdr:row>359</xdr:row>
      <xdr:rowOff>132548</xdr:rowOff>
    </xdr:from>
    <xdr:to>
      <xdr:col>18</xdr:col>
      <xdr:colOff>40358</xdr:colOff>
      <xdr:row>374</xdr:row>
      <xdr:rowOff>14726</xdr:rowOff>
    </xdr:to>
    <xdr:graphicFrame macro="">
      <xdr:nvGraphicFramePr>
        <xdr:cNvPr id="274" name="Chart 273">
          <a:extLst>
            <a:ext uri="{FF2B5EF4-FFF2-40B4-BE49-F238E27FC236}">
              <a16:creationId xmlns:a16="http://schemas.microsoft.com/office/drawing/2014/main" xmlns="" id="{00000000-0008-0000-0400-00001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4"/>
        </a:graphicData>
      </a:graphic>
    </xdr:graphicFrame>
    <xdr:clientData/>
  </xdr:twoCellAnchor>
  <xdr:twoCellAnchor>
    <xdr:from>
      <xdr:col>15</xdr:col>
      <xdr:colOff>37780</xdr:colOff>
      <xdr:row>374</xdr:row>
      <xdr:rowOff>106935</xdr:rowOff>
    </xdr:from>
    <xdr:to>
      <xdr:col>20</xdr:col>
      <xdr:colOff>475467</xdr:colOff>
      <xdr:row>389</xdr:row>
      <xdr:rowOff>14159</xdr:rowOff>
    </xdr:to>
    <xdr:graphicFrame macro="">
      <xdr:nvGraphicFramePr>
        <xdr:cNvPr id="275" name="Chart 274">
          <a:extLst>
            <a:ext uri="{FF2B5EF4-FFF2-40B4-BE49-F238E27FC236}">
              <a16:creationId xmlns:a16="http://schemas.microsoft.com/office/drawing/2014/main" xmlns="" id="{00000000-0008-0000-0400-00001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5"/>
        </a:graphicData>
      </a:graphic>
    </xdr:graphicFrame>
    <xdr:clientData/>
  </xdr:twoCellAnchor>
  <xdr:twoCellAnchor>
    <xdr:from>
      <xdr:col>18</xdr:col>
      <xdr:colOff>113982</xdr:colOff>
      <xdr:row>359</xdr:row>
      <xdr:rowOff>119741</xdr:rowOff>
    </xdr:from>
    <xdr:to>
      <xdr:col>23</xdr:col>
      <xdr:colOff>598714</xdr:colOff>
      <xdr:row>374</xdr:row>
      <xdr:rowOff>1919</xdr:rowOff>
    </xdr:to>
    <xdr:graphicFrame macro="">
      <xdr:nvGraphicFramePr>
        <xdr:cNvPr id="276" name="Chart 275">
          <a:extLst>
            <a:ext uri="{FF2B5EF4-FFF2-40B4-BE49-F238E27FC236}">
              <a16:creationId xmlns:a16="http://schemas.microsoft.com/office/drawing/2014/main" xmlns="" id="{00000000-0008-0000-0400-00001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329045</xdr:colOff>
      <xdr:row>13</xdr:row>
      <xdr:rowOff>106622</xdr:rowOff>
    </xdr:from>
    <xdr:ext cx="8763000" cy="6630151"/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BEBA8EAE-BF5A-486C-A8C5-ECC9F3942E4B}">
              <a14:imgProps xmlns:a14="http://schemas.microsoft.com/office/drawing/2010/main" xmlns="">
                <a14:imgLayer r:embed="rId2">
                  <a14:imgEffect>
                    <a14:artisticCrisscrossEtching/>
                  </a14:imgEffect>
                  <a14:imgEffect>
                    <a14:colorTemperature colorTemp="4700"/>
                  </a14:imgEffect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29045" y="2583122"/>
          <a:ext cx="8763000" cy="6630151"/>
        </a:xfrm>
        <a:prstGeom prst="rect">
          <a:avLst/>
        </a:prstGeom>
        <a:noFill/>
        <a:ln>
          <a:noFill/>
        </a:ln>
        <a:effectLst>
          <a:outerShdw sx="1000" sy="1000" algn="tl" rotWithShape="0">
            <a:srgbClr val="333333"/>
          </a:outerShdw>
        </a:effectLst>
      </xdr:spPr>
    </xdr:pic>
    <xdr:clientData/>
  </xdr:oneCellAnchor>
  <xdr:twoCellAnchor>
    <xdr:from>
      <xdr:col>1</xdr:col>
      <xdr:colOff>242456</xdr:colOff>
      <xdr:row>2</xdr:row>
      <xdr:rowOff>80818</xdr:rowOff>
    </xdr:from>
    <xdr:to>
      <xdr:col>13</xdr:col>
      <xdr:colOff>270855</xdr:colOff>
      <xdr:row>8</xdr:row>
      <xdr:rowOff>96982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300-0000B3030000}"/>
            </a:ext>
          </a:extLst>
        </xdr:cNvPr>
        <xdr:cNvSpPr txBox="1"/>
      </xdr:nvSpPr>
      <xdr:spPr>
        <a:xfrm>
          <a:off x="900547" y="461818"/>
          <a:ext cx="7925490" cy="1159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4400" b="1" u="sng">
              <a:solidFill>
                <a:srgbClr val="4D4D4D"/>
              </a:solidFill>
              <a:effectLst>
                <a:outerShdw blurRad="38100" dist="38100" dir="2700000" algn="tl" rotWithShape="0">
                  <a:srgbClr val="000000">
                    <a:alpha val="43000"/>
                  </a:srgbClr>
                </a:outerShdw>
              </a:effectLst>
              <a:latin typeface="Hanse" panose="02000000000000000000" pitchFamily="50" charset="0"/>
              <a:ea typeface="+mn-ea"/>
              <a:cs typeface="+mn-cs"/>
            </a:rPr>
            <a:t>Momentum</a:t>
          </a:r>
          <a:endParaRPr lang="et-EE" sz="4400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138548</xdr:colOff>
      <xdr:row>14</xdr:row>
      <xdr:rowOff>2713</xdr:rowOff>
    </xdr:from>
    <xdr:to>
      <xdr:col>13</xdr:col>
      <xdr:colOff>519546</xdr:colOff>
      <xdr:row>47</xdr:row>
      <xdr:rowOff>116320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B403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366682</xdr:colOff>
      <xdr:row>6</xdr:row>
      <xdr:rowOff>159788</xdr:rowOff>
    </xdr:from>
    <xdr:to>
      <xdr:col>8</xdr:col>
      <xdr:colOff>483387</xdr:colOff>
      <xdr:row>14</xdr:row>
      <xdr:rowOff>20320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 txBox="1"/>
      </xdr:nvSpPr>
      <xdr:spPr>
        <a:xfrm>
          <a:off x="3319432" y="14447288"/>
          <a:ext cx="1888355" cy="1384532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600" b="1">
              <a:solidFill>
                <a:srgbClr val="4D4D4D"/>
              </a:solidFill>
              <a:latin typeface="Hanse" panose="02000000000000000000" pitchFamily="50" charset="0"/>
            </a:rPr>
            <a:t>GAMES</a:t>
          </a:r>
          <a:endParaRPr lang="en-US" sz="36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111989</xdr:colOff>
      <xdr:row>25</xdr:row>
      <xdr:rowOff>21244</xdr:rowOff>
    </xdr:from>
    <xdr:to>
      <xdr:col>5</xdr:col>
      <xdr:colOff>264391</xdr:colOff>
      <xdr:row>32</xdr:row>
      <xdr:rowOff>61884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 txBox="1"/>
      </xdr:nvSpPr>
      <xdr:spPr>
        <a:xfrm>
          <a:off x="111989" y="17928244"/>
          <a:ext cx="3105152" cy="137414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400" b="1">
              <a:solidFill>
                <a:srgbClr val="4D4D4D"/>
              </a:solidFill>
              <a:latin typeface="Hanse" panose="02000000000000000000" pitchFamily="50" charset="0"/>
            </a:rPr>
            <a:t>SCORED:CONCEDED</a:t>
          </a:r>
          <a:endParaRPr lang="en-US" sz="24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319809</xdr:colOff>
      <xdr:row>25</xdr:row>
      <xdr:rowOff>48952</xdr:rowOff>
    </xdr:from>
    <xdr:to>
      <xdr:col>8</xdr:col>
      <xdr:colOff>524893</xdr:colOff>
      <xdr:row>30</xdr:row>
      <xdr:rowOff>22412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 txBox="1"/>
      </xdr:nvSpPr>
      <xdr:spPr>
        <a:xfrm>
          <a:off x="3272559" y="17955952"/>
          <a:ext cx="1976734" cy="92596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400" b="1">
              <a:solidFill>
                <a:srgbClr val="4D4D4D"/>
              </a:solidFill>
              <a:latin typeface="Hanse" panose="02000000000000000000" pitchFamily="50" charset="0"/>
            </a:rPr>
            <a:t>AVG.</a:t>
          </a:r>
          <a:r>
            <a:rPr lang="et-EE" sz="2400" b="1" baseline="0">
              <a:solidFill>
                <a:srgbClr val="4D4D4D"/>
              </a:solidFill>
              <a:latin typeface="Hanse" panose="02000000000000000000" pitchFamily="50" charset="0"/>
            </a:rPr>
            <a:t> RESULT</a:t>
          </a:r>
          <a:endParaRPr lang="en-US" sz="24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352827</xdr:colOff>
      <xdr:row>10</xdr:row>
      <xdr:rowOff>34383</xdr:rowOff>
    </xdr:from>
    <xdr:to>
      <xdr:col>8</xdr:col>
      <xdr:colOff>469532</xdr:colOff>
      <xdr:row>17</xdr:row>
      <xdr:rowOff>93519</xdr:rowOff>
    </xdr:to>
    <xdr:sp macro="" textlink="$I$22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SpPr txBox="1"/>
      </xdr:nvSpPr>
      <xdr:spPr>
        <a:xfrm>
          <a:off x="3305577" y="15083883"/>
          <a:ext cx="1888355" cy="1392636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5133E5D-BA9E-46E4-AD8E-8C4B81EEBC7A}" type="TxLink">
            <a:rPr lang="en-US" sz="32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 </a:t>
          </a:fld>
          <a:endParaRPr lang="et-EE" sz="24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444498</xdr:colOff>
      <xdr:row>29</xdr:row>
      <xdr:rowOff>27709</xdr:rowOff>
    </xdr:from>
    <xdr:to>
      <xdr:col>3</xdr:col>
      <xdr:colOff>207817</xdr:colOff>
      <xdr:row>36</xdr:row>
      <xdr:rowOff>69273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SpPr txBox="1"/>
      </xdr:nvSpPr>
      <xdr:spPr>
        <a:xfrm>
          <a:off x="1035048" y="18696709"/>
          <a:ext cx="944419" cy="1375064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200" b="1">
              <a:solidFill>
                <a:srgbClr val="4D4D4D"/>
              </a:solidFill>
              <a:latin typeface="Hanse" panose="02000000000000000000" pitchFamily="50" charset="0"/>
            </a:rPr>
            <a:t>: </a:t>
          </a:r>
          <a:endParaRPr lang="en-US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246950</xdr:colOff>
      <xdr:row>13</xdr:row>
      <xdr:rowOff>56220</xdr:rowOff>
    </xdr:from>
    <xdr:to>
      <xdr:col>12</xdr:col>
      <xdr:colOff>23431</xdr:colOff>
      <xdr:row>17</xdr:row>
      <xdr:rowOff>38439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300-000090010000}"/>
            </a:ext>
          </a:extLst>
        </xdr:cNvPr>
        <xdr:cNvSpPr txBox="1"/>
      </xdr:nvSpPr>
      <xdr:spPr>
        <a:xfrm>
          <a:off x="1428050" y="15677220"/>
          <a:ext cx="5681981" cy="744219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WIN - DRAW - LOST</a:t>
          </a:r>
          <a:endParaRPr lang="en-US" sz="28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484909</xdr:colOff>
      <xdr:row>29</xdr:row>
      <xdr:rowOff>27708</xdr:rowOff>
    </xdr:from>
    <xdr:to>
      <xdr:col>2</xdr:col>
      <xdr:colOff>193965</xdr:colOff>
      <xdr:row>36</xdr:row>
      <xdr:rowOff>69272</xdr:rowOff>
    </xdr:to>
    <xdr:sp macro="" textlink="Algandmed!AG6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300-000060030000}"/>
            </a:ext>
          </a:extLst>
        </xdr:cNvPr>
        <xdr:cNvSpPr txBox="1"/>
      </xdr:nvSpPr>
      <xdr:spPr>
        <a:xfrm>
          <a:off x="484909" y="18696708"/>
          <a:ext cx="890156" cy="1375064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85AE2A-05E4-4788-8CF1-F7E948E03287}" type="TxLink">
            <a:rPr lang="en-US" sz="32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444498</xdr:colOff>
      <xdr:row>29</xdr:row>
      <xdr:rowOff>27708</xdr:rowOff>
    </xdr:from>
    <xdr:to>
      <xdr:col>4</xdr:col>
      <xdr:colOff>207817</xdr:colOff>
      <xdr:row>36</xdr:row>
      <xdr:rowOff>69272</xdr:rowOff>
    </xdr:to>
    <xdr:sp macro="" textlink="Algandmed!AV6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300-000061030000}"/>
            </a:ext>
          </a:extLst>
        </xdr:cNvPr>
        <xdr:cNvSpPr txBox="1"/>
      </xdr:nvSpPr>
      <xdr:spPr>
        <a:xfrm>
          <a:off x="1625598" y="18696708"/>
          <a:ext cx="944419" cy="1375064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0C88EE-C672-4632-8EBE-03F4148281FA}" type="TxLink">
            <a:rPr lang="en-US" sz="32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2</a:t>
          </a:fld>
          <a:endParaRPr lang="en-US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263237</xdr:colOff>
      <xdr:row>29</xdr:row>
      <xdr:rowOff>27708</xdr:rowOff>
    </xdr:from>
    <xdr:to>
      <xdr:col>6</xdr:col>
      <xdr:colOff>471055</xdr:colOff>
      <xdr:row>36</xdr:row>
      <xdr:rowOff>55418</xdr:rowOff>
    </xdr:to>
    <xdr:sp macro="" textlink="Algandmed!AG1444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300-000062030000}"/>
            </a:ext>
          </a:extLst>
        </xdr:cNvPr>
        <xdr:cNvSpPr txBox="1"/>
      </xdr:nvSpPr>
      <xdr:spPr>
        <a:xfrm>
          <a:off x="3215987" y="18696708"/>
          <a:ext cx="798368" cy="136121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11B0DA-C376-4CBE-9DFE-DBE798C47E40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0,0</a:t>
          </a:fld>
          <a:endParaRPr lang="en-US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6</xdr:col>
      <xdr:colOff>263237</xdr:colOff>
      <xdr:row>29</xdr:row>
      <xdr:rowOff>27708</xdr:rowOff>
    </xdr:from>
    <xdr:to>
      <xdr:col>7</xdr:col>
      <xdr:colOff>471055</xdr:colOff>
      <xdr:row>36</xdr:row>
      <xdr:rowOff>55418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300-000063030000}"/>
            </a:ext>
          </a:extLst>
        </xdr:cNvPr>
        <xdr:cNvSpPr txBox="1"/>
      </xdr:nvSpPr>
      <xdr:spPr>
        <a:xfrm>
          <a:off x="3806537" y="18696708"/>
          <a:ext cx="798368" cy="136121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200" b="1">
              <a:solidFill>
                <a:srgbClr val="4D4D4D"/>
              </a:solidFill>
              <a:latin typeface="Hanse" panose="02000000000000000000" pitchFamily="50" charset="0"/>
            </a:rPr>
            <a:t>: </a:t>
          </a:r>
          <a:endParaRPr lang="en-US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277091</xdr:colOff>
      <xdr:row>29</xdr:row>
      <xdr:rowOff>27708</xdr:rowOff>
    </xdr:from>
    <xdr:to>
      <xdr:col>8</xdr:col>
      <xdr:colOff>484909</xdr:colOff>
      <xdr:row>36</xdr:row>
      <xdr:rowOff>55418</xdr:rowOff>
    </xdr:to>
    <xdr:sp macro="" textlink="Algandmed!AI1444">
      <xdr:nvSpPr>
        <xdr:cNvPr id="12" name="TextBox 11">
          <a:extLst>
            <a:ext uri="{FF2B5EF4-FFF2-40B4-BE49-F238E27FC236}">
              <a16:creationId xmlns:a16="http://schemas.microsoft.com/office/drawing/2014/main" xmlns="" id="{00000000-0008-0000-0300-000064030000}"/>
            </a:ext>
          </a:extLst>
        </xdr:cNvPr>
        <xdr:cNvSpPr txBox="1"/>
      </xdr:nvSpPr>
      <xdr:spPr>
        <a:xfrm>
          <a:off x="4410941" y="18696708"/>
          <a:ext cx="798368" cy="136121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8D0B691-E0A8-4C60-B6DA-D973DC4D68D0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0,7</a:t>
          </a:fld>
          <a:endParaRPr lang="en-US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4</xdr:col>
      <xdr:colOff>471054</xdr:colOff>
      <xdr:row>18</xdr:row>
      <xdr:rowOff>96981</xdr:rowOff>
    </xdr:from>
    <xdr:to>
      <xdr:col>6</xdr:col>
      <xdr:colOff>180110</xdr:colOff>
      <xdr:row>25</xdr:row>
      <xdr:rowOff>138545</xdr:rowOff>
    </xdr:to>
    <xdr:sp macro="" textlink="Algandmed!AC1444">
      <xdr:nvSpPr>
        <xdr:cNvPr id="13" name="TextBox 12">
          <a:extLst>
            <a:ext uri="{FF2B5EF4-FFF2-40B4-BE49-F238E27FC236}">
              <a16:creationId xmlns:a16="http://schemas.microsoft.com/office/drawing/2014/main" xmlns="" id="{00000000-0008-0000-0300-000065030000}"/>
            </a:ext>
          </a:extLst>
        </xdr:cNvPr>
        <xdr:cNvSpPr txBox="1"/>
      </xdr:nvSpPr>
      <xdr:spPr>
        <a:xfrm>
          <a:off x="2833254" y="16670481"/>
          <a:ext cx="890156" cy="1375064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F91A6D8-133C-4899-BA70-552D49ACB341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</a:t>
          </a:fld>
          <a:endParaRPr lang="en-US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6</xdr:col>
      <xdr:colOff>208970</xdr:colOff>
      <xdr:row>18</xdr:row>
      <xdr:rowOff>110836</xdr:rowOff>
    </xdr:from>
    <xdr:to>
      <xdr:col>7</xdr:col>
      <xdr:colOff>581889</xdr:colOff>
      <xdr:row>25</xdr:row>
      <xdr:rowOff>152400</xdr:rowOff>
    </xdr:to>
    <xdr:sp macro="" textlink="Algandmed!AD1444">
      <xdr:nvSpPr>
        <xdr:cNvPr id="14" name="TextBox 13">
          <a:extLst>
            <a:ext uri="{FF2B5EF4-FFF2-40B4-BE49-F238E27FC236}">
              <a16:creationId xmlns:a16="http://schemas.microsoft.com/office/drawing/2014/main" xmlns="" id="{00000000-0008-0000-0300-000066030000}"/>
            </a:ext>
          </a:extLst>
        </xdr:cNvPr>
        <xdr:cNvSpPr txBox="1"/>
      </xdr:nvSpPr>
      <xdr:spPr>
        <a:xfrm>
          <a:off x="3752270" y="16684336"/>
          <a:ext cx="963469" cy="1375064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77567A0-CA04-4539-B824-9BE1024FA2DC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</a:t>
          </a:fld>
          <a:endParaRPr lang="en-US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110836</xdr:colOff>
      <xdr:row>18</xdr:row>
      <xdr:rowOff>110835</xdr:rowOff>
    </xdr:from>
    <xdr:to>
      <xdr:col>9</xdr:col>
      <xdr:colOff>318654</xdr:colOff>
      <xdr:row>25</xdr:row>
      <xdr:rowOff>138545</xdr:rowOff>
    </xdr:to>
    <xdr:sp macro="" textlink="Algandmed!AE1444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300-000067030000}"/>
            </a:ext>
          </a:extLst>
        </xdr:cNvPr>
        <xdr:cNvSpPr txBox="1"/>
      </xdr:nvSpPr>
      <xdr:spPr>
        <a:xfrm>
          <a:off x="4835236" y="16684335"/>
          <a:ext cx="798368" cy="136121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C1F1509-362C-4436-ABF0-1ED99341D44C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</a:t>
          </a:fld>
          <a:endParaRPr lang="en-US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 editAs="oneCell">
    <xdr:from>
      <xdr:col>0</xdr:col>
      <xdr:colOff>41561</xdr:colOff>
      <xdr:row>0</xdr:row>
      <xdr:rowOff>41562</xdr:rowOff>
    </xdr:from>
    <xdr:to>
      <xdr:col>5</xdr:col>
      <xdr:colOff>294022</xdr:colOff>
      <xdr:row>10</xdr:row>
      <xdr:rowOff>96980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xmlns="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41561" y="13186062"/>
          <a:ext cx="3205211" cy="1960418"/>
        </a:xfrm>
        <a:prstGeom prst="rect">
          <a:avLst/>
        </a:prstGeom>
      </xdr:spPr>
    </xdr:pic>
    <xdr:clientData/>
  </xdr:twoCellAnchor>
  <xdr:twoCellAnchor>
    <xdr:from>
      <xdr:col>10</xdr:col>
      <xdr:colOff>70427</xdr:colOff>
      <xdr:row>25</xdr:row>
      <xdr:rowOff>62807</xdr:rowOff>
    </xdr:from>
    <xdr:to>
      <xdr:col>13</xdr:col>
      <xdr:colOff>164675</xdr:colOff>
      <xdr:row>32</xdr:row>
      <xdr:rowOff>103447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xmlns="" id="{00000000-0008-0000-0300-000069030000}"/>
            </a:ext>
          </a:extLst>
        </xdr:cNvPr>
        <xdr:cNvSpPr txBox="1"/>
      </xdr:nvSpPr>
      <xdr:spPr>
        <a:xfrm>
          <a:off x="5975927" y="17969807"/>
          <a:ext cx="1970673" cy="137414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400" b="1">
              <a:solidFill>
                <a:srgbClr val="4D4D4D"/>
              </a:solidFill>
              <a:latin typeface="Hanse" panose="02000000000000000000" pitchFamily="50" charset="0"/>
            </a:rPr>
            <a:t>EXP.</a:t>
          </a:r>
          <a:r>
            <a:rPr lang="et-EE" sz="2400" b="1" baseline="0">
              <a:solidFill>
                <a:srgbClr val="4D4D4D"/>
              </a:solidFill>
              <a:latin typeface="Hanse" panose="02000000000000000000" pitchFamily="50" charset="0"/>
            </a:rPr>
            <a:t> RESULT</a:t>
          </a:r>
          <a:endParaRPr lang="en-US" sz="24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13854</xdr:colOff>
      <xdr:row>29</xdr:row>
      <xdr:rowOff>55417</xdr:rowOff>
    </xdr:from>
    <xdr:to>
      <xdr:col>11</xdr:col>
      <xdr:colOff>221672</xdr:colOff>
      <xdr:row>36</xdr:row>
      <xdr:rowOff>83127</xdr:rowOff>
    </xdr:to>
    <xdr:sp macro="" textlink="'ATT '!F3">
      <xdr:nvSpPr>
        <xdr:cNvPr id="18" name="TextBox 17">
          <a:extLst>
            <a:ext uri="{FF2B5EF4-FFF2-40B4-BE49-F238E27FC236}">
              <a16:creationId xmlns:a16="http://schemas.microsoft.com/office/drawing/2014/main" xmlns="" id="{00000000-0008-0000-0300-00006A030000}"/>
            </a:ext>
          </a:extLst>
        </xdr:cNvPr>
        <xdr:cNvSpPr txBox="1"/>
      </xdr:nvSpPr>
      <xdr:spPr>
        <a:xfrm>
          <a:off x="5919354" y="18724417"/>
          <a:ext cx="798368" cy="136121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AFC9722-61EA-4AFC-8B70-BBCD24A9DC51}" type="TxLink">
            <a:rPr lang="en-US" sz="32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Hanse" panose="02000000000000000000" pitchFamily="50" charset="0"/>
              <a:cs typeface="Calibri"/>
            </a:rPr>
            <a:pPr algn="ctr"/>
            <a:t>0,0</a:t>
          </a:fld>
          <a:endParaRPr lang="en-US" sz="3200" b="1">
            <a:solidFill>
              <a:schemeClr val="tx1">
                <a:lumMod val="75000"/>
                <a:lumOff val="25000"/>
              </a:schemeClr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11</xdr:col>
      <xdr:colOff>13854</xdr:colOff>
      <xdr:row>29</xdr:row>
      <xdr:rowOff>55417</xdr:rowOff>
    </xdr:from>
    <xdr:to>
      <xdr:col>12</xdr:col>
      <xdr:colOff>221672</xdr:colOff>
      <xdr:row>36</xdr:row>
      <xdr:rowOff>83127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xmlns="" id="{00000000-0008-0000-0300-00006B030000}"/>
            </a:ext>
          </a:extLst>
        </xdr:cNvPr>
        <xdr:cNvSpPr txBox="1"/>
      </xdr:nvSpPr>
      <xdr:spPr>
        <a:xfrm>
          <a:off x="6509904" y="18724417"/>
          <a:ext cx="798368" cy="136121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200" b="1">
              <a:solidFill>
                <a:srgbClr val="4D4D4D"/>
              </a:solidFill>
              <a:latin typeface="Hanse" panose="02000000000000000000" pitchFamily="50" charset="0"/>
            </a:rPr>
            <a:t>: </a:t>
          </a:r>
          <a:endParaRPr lang="en-US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27708</xdr:colOff>
      <xdr:row>29</xdr:row>
      <xdr:rowOff>55417</xdr:rowOff>
    </xdr:from>
    <xdr:to>
      <xdr:col>13</xdr:col>
      <xdr:colOff>124690</xdr:colOff>
      <xdr:row>36</xdr:row>
      <xdr:rowOff>83127</xdr:rowOff>
    </xdr:to>
    <xdr:sp macro="" textlink="'ATT '!H3">
      <xdr:nvSpPr>
        <xdr:cNvPr id="20" name="TextBox 19">
          <a:extLst>
            <a:ext uri="{FF2B5EF4-FFF2-40B4-BE49-F238E27FC236}">
              <a16:creationId xmlns:a16="http://schemas.microsoft.com/office/drawing/2014/main" xmlns="" id="{00000000-0008-0000-0300-00006C030000}"/>
            </a:ext>
          </a:extLst>
        </xdr:cNvPr>
        <xdr:cNvSpPr txBox="1"/>
      </xdr:nvSpPr>
      <xdr:spPr>
        <a:xfrm>
          <a:off x="7114308" y="18724417"/>
          <a:ext cx="792307" cy="136121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3A913A-65FC-442C-BDF4-466874A7F374}" type="TxLink">
            <a:rPr lang="en-US" sz="32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Hanse" panose="02000000000000000000" pitchFamily="50" charset="0"/>
              <a:cs typeface="Calibri"/>
            </a:rPr>
            <a:pPr algn="ctr"/>
            <a:t>0,9</a:t>
          </a:fld>
          <a:endParaRPr lang="en-US" sz="3200" b="1">
            <a:solidFill>
              <a:schemeClr val="tx1">
                <a:lumMod val="75000"/>
                <a:lumOff val="25000"/>
              </a:schemeClr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4</xdr:col>
      <xdr:colOff>484909</xdr:colOff>
      <xdr:row>36</xdr:row>
      <xdr:rowOff>48952</xdr:rowOff>
    </xdr:from>
    <xdr:to>
      <xdr:col>9</xdr:col>
      <xdr:colOff>193963</xdr:colOff>
      <xdr:row>43</xdr:row>
      <xdr:rowOff>89592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xmlns="" id="{00000000-0008-0000-0300-00006D030000}"/>
            </a:ext>
          </a:extLst>
        </xdr:cNvPr>
        <xdr:cNvSpPr txBox="1"/>
      </xdr:nvSpPr>
      <xdr:spPr>
        <a:xfrm>
          <a:off x="2847109" y="20051452"/>
          <a:ext cx="2661804" cy="137414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600" b="1">
              <a:solidFill>
                <a:srgbClr val="4D4D4D"/>
              </a:solidFill>
              <a:latin typeface="Hanse" panose="02000000000000000000" pitchFamily="50" charset="0"/>
            </a:rPr>
            <a:t>ATTEMPTS</a:t>
          </a:r>
          <a:endParaRPr lang="en-US" sz="36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124690</xdr:colOff>
      <xdr:row>44</xdr:row>
      <xdr:rowOff>152399</xdr:rowOff>
    </xdr:from>
    <xdr:to>
      <xdr:col>2</xdr:col>
      <xdr:colOff>166255</xdr:colOff>
      <xdr:row>50</xdr:row>
      <xdr:rowOff>89591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xmlns="" id="{00000000-0008-0000-0300-00006E030000}"/>
            </a:ext>
          </a:extLst>
        </xdr:cNvPr>
        <xdr:cNvSpPr txBox="1"/>
      </xdr:nvSpPr>
      <xdr:spPr>
        <a:xfrm>
          <a:off x="124690" y="21678899"/>
          <a:ext cx="1222665" cy="1080192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400" b="1">
              <a:solidFill>
                <a:srgbClr val="4D4D4D"/>
              </a:solidFill>
              <a:latin typeface="Hanse" panose="02000000000000000000" pitchFamily="50" charset="0"/>
            </a:rPr>
            <a:t>BIG</a:t>
          </a:r>
          <a:endParaRPr lang="en-US" sz="24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221672</xdr:colOff>
      <xdr:row>44</xdr:row>
      <xdr:rowOff>152397</xdr:rowOff>
    </xdr:from>
    <xdr:to>
      <xdr:col>4</xdr:col>
      <xdr:colOff>263237</xdr:colOff>
      <xdr:row>50</xdr:row>
      <xdr:rowOff>89589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xmlns="" id="{00000000-0008-0000-0300-00006F030000}"/>
            </a:ext>
          </a:extLst>
        </xdr:cNvPr>
        <xdr:cNvSpPr txBox="1"/>
      </xdr:nvSpPr>
      <xdr:spPr>
        <a:xfrm>
          <a:off x="1402772" y="21678897"/>
          <a:ext cx="1222665" cy="1080192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400" b="1">
              <a:solidFill>
                <a:srgbClr val="4D4D4D"/>
              </a:solidFill>
              <a:latin typeface="Hanse" panose="02000000000000000000" pitchFamily="50" charset="0"/>
            </a:rPr>
            <a:t>MIDDLE</a:t>
          </a:r>
          <a:endParaRPr lang="en-US" sz="24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4</xdr:col>
      <xdr:colOff>387926</xdr:colOff>
      <xdr:row>44</xdr:row>
      <xdr:rowOff>138545</xdr:rowOff>
    </xdr:from>
    <xdr:to>
      <xdr:col>6</xdr:col>
      <xdr:colOff>429491</xdr:colOff>
      <xdr:row>50</xdr:row>
      <xdr:rowOff>75737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xmlns="" id="{00000000-0008-0000-0300-000070030000}"/>
            </a:ext>
          </a:extLst>
        </xdr:cNvPr>
        <xdr:cNvSpPr txBox="1"/>
      </xdr:nvSpPr>
      <xdr:spPr>
        <a:xfrm>
          <a:off x="2750126" y="21665045"/>
          <a:ext cx="1222665" cy="1080192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400" b="1">
              <a:solidFill>
                <a:srgbClr val="4D4D4D"/>
              </a:solidFill>
              <a:latin typeface="Hanse" panose="02000000000000000000" pitchFamily="50" charset="0"/>
            </a:rPr>
            <a:t>SMALL</a:t>
          </a:r>
          <a:endParaRPr lang="en-US" sz="24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4</xdr:col>
      <xdr:colOff>512618</xdr:colOff>
      <xdr:row>47</xdr:row>
      <xdr:rowOff>41563</xdr:rowOff>
    </xdr:from>
    <xdr:to>
      <xdr:col>6</xdr:col>
      <xdr:colOff>221674</xdr:colOff>
      <xdr:row>54</xdr:row>
      <xdr:rowOff>83126</xdr:rowOff>
    </xdr:to>
    <xdr:sp macro="" textlink="'ATT '!H17">
      <xdr:nvSpPr>
        <xdr:cNvPr id="25" name="TextBox 24">
          <a:extLst>
            <a:ext uri="{FF2B5EF4-FFF2-40B4-BE49-F238E27FC236}">
              <a16:creationId xmlns:a16="http://schemas.microsoft.com/office/drawing/2014/main" xmlns="" id="{00000000-0008-0000-0300-000071030000}"/>
            </a:ext>
          </a:extLst>
        </xdr:cNvPr>
        <xdr:cNvSpPr txBox="1"/>
      </xdr:nvSpPr>
      <xdr:spPr>
        <a:xfrm>
          <a:off x="2874818" y="22139563"/>
          <a:ext cx="890156" cy="1375063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3BFD2D6-CE2E-4822-B7E5-9F13411520CA}" type="TxLink">
            <a:rPr lang="en-US" sz="3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3200" b="1">
            <a:solidFill>
              <a:schemeClr val="tx1">
                <a:lumMod val="65000"/>
                <a:lumOff val="35000"/>
              </a:schemeClr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263236</xdr:colOff>
      <xdr:row>47</xdr:row>
      <xdr:rowOff>41563</xdr:rowOff>
    </xdr:from>
    <xdr:to>
      <xdr:col>3</xdr:col>
      <xdr:colOff>581892</xdr:colOff>
      <xdr:row>54</xdr:row>
      <xdr:rowOff>83126</xdr:rowOff>
    </xdr:to>
    <xdr:sp macro="" textlink="'ATT '!G17">
      <xdr:nvSpPr>
        <xdr:cNvPr id="26" name="TextBox 25">
          <a:extLst>
            <a:ext uri="{FF2B5EF4-FFF2-40B4-BE49-F238E27FC236}">
              <a16:creationId xmlns:a16="http://schemas.microsoft.com/office/drawing/2014/main" xmlns="" id="{00000000-0008-0000-0300-000072030000}"/>
            </a:ext>
          </a:extLst>
        </xdr:cNvPr>
        <xdr:cNvSpPr txBox="1"/>
      </xdr:nvSpPr>
      <xdr:spPr>
        <a:xfrm>
          <a:off x="1444336" y="22139563"/>
          <a:ext cx="909206" cy="1375063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6E0DEB-EDBC-4D23-9224-0C50E4AEB796}" type="TxLink">
            <a:rPr lang="en-US" sz="3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3200" b="1">
            <a:solidFill>
              <a:schemeClr val="tx1">
                <a:lumMod val="65000"/>
                <a:lumOff val="35000"/>
              </a:schemeClr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277090</xdr:colOff>
      <xdr:row>47</xdr:row>
      <xdr:rowOff>41564</xdr:rowOff>
    </xdr:from>
    <xdr:to>
      <xdr:col>1</xdr:col>
      <xdr:colOff>595746</xdr:colOff>
      <xdr:row>54</xdr:row>
      <xdr:rowOff>83127</xdr:rowOff>
    </xdr:to>
    <xdr:sp macro="" textlink="'ATT '!F17">
      <xdr:nvSpPr>
        <xdr:cNvPr id="27" name="TextBox 26">
          <a:extLst>
            <a:ext uri="{FF2B5EF4-FFF2-40B4-BE49-F238E27FC236}">
              <a16:creationId xmlns:a16="http://schemas.microsoft.com/office/drawing/2014/main" xmlns="" id="{00000000-0008-0000-0300-000073030000}"/>
            </a:ext>
          </a:extLst>
        </xdr:cNvPr>
        <xdr:cNvSpPr txBox="1"/>
      </xdr:nvSpPr>
      <xdr:spPr>
        <a:xfrm>
          <a:off x="277090" y="22139564"/>
          <a:ext cx="899681" cy="1375063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AFBDED9-6ADD-46BC-A022-0E82BF37304D}" type="TxLink">
            <a:rPr lang="en-US" sz="3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Hanse" panose="02000000000000000000" pitchFamily="50" charset="0"/>
              <a:cs typeface="Calibri"/>
            </a:rPr>
            <a:pPr algn="ctr"/>
            <a:t>2</a:t>
          </a:fld>
          <a:endParaRPr lang="en-US" sz="3200" b="1">
            <a:solidFill>
              <a:schemeClr val="tx1">
                <a:lumMod val="65000"/>
                <a:lumOff val="35000"/>
              </a:schemeClr>
            </a:solidFill>
            <a:latin typeface="Hanse" panose="02000000000000000000" pitchFamily="50" charset="0"/>
          </a:endParaRPr>
        </a:p>
      </xdr:txBody>
    </xdr:sp>
    <xdr:clientData/>
  </xdr:twoCellAnchor>
  <xdr:twoCellAnchor editAs="oneCell">
    <xdr:from>
      <xdr:col>2</xdr:col>
      <xdr:colOff>457200</xdr:colOff>
      <xdr:row>41</xdr:row>
      <xdr:rowOff>85724</xdr:rowOff>
    </xdr:from>
    <xdr:to>
      <xdr:col>5</xdr:col>
      <xdr:colOff>27709</xdr:colOff>
      <xdr:row>45</xdr:row>
      <xdr:rowOff>152399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xmlns="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638300" y="21040724"/>
          <a:ext cx="1342159" cy="828675"/>
        </a:xfrm>
        <a:prstGeom prst="rect">
          <a:avLst/>
        </a:prstGeom>
      </xdr:spPr>
    </xdr:pic>
    <xdr:clientData/>
  </xdr:twoCellAnchor>
  <xdr:twoCellAnchor>
    <xdr:from>
      <xdr:col>7</xdr:col>
      <xdr:colOff>484909</xdr:colOff>
      <xdr:row>44</xdr:row>
      <xdr:rowOff>152399</xdr:rowOff>
    </xdr:from>
    <xdr:to>
      <xdr:col>9</xdr:col>
      <xdr:colOff>526474</xdr:colOff>
      <xdr:row>50</xdr:row>
      <xdr:rowOff>89591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xmlns="" id="{00000000-0008-0000-0300-000075030000}"/>
            </a:ext>
          </a:extLst>
        </xdr:cNvPr>
        <xdr:cNvSpPr txBox="1"/>
      </xdr:nvSpPr>
      <xdr:spPr>
        <a:xfrm>
          <a:off x="4618759" y="21678899"/>
          <a:ext cx="1222665" cy="1080192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400" b="1">
              <a:solidFill>
                <a:srgbClr val="4D4D4D"/>
              </a:solidFill>
              <a:latin typeface="Hanse" panose="02000000000000000000" pitchFamily="50" charset="0"/>
            </a:rPr>
            <a:t>BIG</a:t>
          </a:r>
          <a:endParaRPr lang="en-US" sz="24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9</xdr:col>
      <xdr:colOff>581891</xdr:colOff>
      <xdr:row>44</xdr:row>
      <xdr:rowOff>152397</xdr:rowOff>
    </xdr:from>
    <xdr:to>
      <xdr:col>12</xdr:col>
      <xdr:colOff>13856</xdr:colOff>
      <xdr:row>50</xdr:row>
      <xdr:rowOff>89589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xmlns="" id="{00000000-0008-0000-0300-000076030000}"/>
            </a:ext>
          </a:extLst>
        </xdr:cNvPr>
        <xdr:cNvSpPr txBox="1"/>
      </xdr:nvSpPr>
      <xdr:spPr>
        <a:xfrm>
          <a:off x="5896841" y="21678897"/>
          <a:ext cx="1203615" cy="1080192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400" b="1">
              <a:solidFill>
                <a:srgbClr val="4D4D4D"/>
              </a:solidFill>
              <a:latin typeface="Hanse" panose="02000000000000000000" pitchFamily="50" charset="0"/>
            </a:rPr>
            <a:t>MIDDLE</a:t>
          </a:r>
          <a:endParaRPr lang="en-US" sz="24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138545</xdr:colOff>
      <xdr:row>44</xdr:row>
      <xdr:rowOff>138545</xdr:rowOff>
    </xdr:from>
    <xdr:to>
      <xdr:col>13</xdr:col>
      <xdr:colOff>598714</xdr:colOff>
      <xdr:row>50</xdr:row>
      <xdr:rowOff>75737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xmlns="" id="{00000000-0008-0000-0300-000077030000}"/>
            </a:ext>
          </a:extLst>
        </xdr:cNvPr>
        <xdr:cNvSpPr txBox="1"/>
      </xdr:nvSpPr>
      <xdr:spPr>
        <a:xfrm>
          <a:off x="7976259" y="8520545"/>
          <a:ext cx="1113312" cy="1080192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400" b="1">
              <a:solidFill>
                <a:srgbClr val="4D4D4D"/>
              </a:solidFill>
              <a:latin typeface="Hanse" panose="02000000000000000000" pitchFamily="50" charset="0"/>
            </a:rPr>
            <a:t>SMALL</a:t>
          </a:r>
          <a:endParaRPr lang="en-US" sz="24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263237</xdr:colOff>
      <xdr:row>47</xdr:row>
      <xdr:rowOff>41563</xdr:rowOff>
    </xdr:from>
    <xdr:to>
      <xdr:col>13</xdr:col>
      <xdr:colOff>471057</xdr:colOff>
      <xdr:row>54</xdr:row>
      <xdr:rowOff>83126</xdr:rowOff>
    </xdr:to>
    <xdr:sp macro="" textlink="'ATT '!H19">
      <xdr:nvSpPr>
        <xdr:cNvPr id="32" name="TextBox 31">
          <a:extLst>
            <a:ext uri="{FF2B5EF4-FFF2-40B4-BE49-F238E27FC236}">
              <a16:creationId xmlns:a16="http://schemas.microsoft.com/office/drawing/2014/main" xmlns="" id="{00000000-0008-0000-0300-000078030000}"/>
            </a:ext>
          </a:extLst>
        </xdr:cNvPr>
        <xdr:cNvSpPr txBox="1"/>
      </xdr:nvSpPr>
      <xdr:spPr>
        <a:xfrm>
          <a:off x="7349837" y="22139563"/>
          <a:ext cx="903145" cy="1375063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6D951ED-EE93-48F8-85C8-7C86BE27B067}" type="TxLink">
            <a:rPr lang="en-US" sz="3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Hanse" panose="02000000000000000000" pitchFamily="50" charset="0"/>
              <a:cs typeface="Calibri"/>
            </a:rPr>
            <a:pPr algn="ctr"/>
            <a:t>6</a:t>
          </a:fld>
          <a:endParaRPr lang="en-US" sz="3200" b="1">
            <a:solidFill>
              <a:schemeClr val="tx1">
                <a:lumMod val="65000"/>
                <a:lumOff val="35000"/>
              </a:schemeClr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13855</xdr:colOff>
      <xdr:row>47</xdr:row>
      <xdr:rowOff>41563</xdr:rowOff>
    </xdr:from>
    <xdr:to>
      <xdr:col>11</xdr:col>
      <xdr:colOff>332511</xdr:colOff>
      <xdr:row>54</xdr:row>
      <xdr:rowOff>83126</xdr:rowOff>
    </xdr:to>
    <xdr:sp macro="" textlink="'ATT '!G19">
      <xdr:nvSpPr>
        <xdr:cNvPr id="33" name="TextBox 32">
          <a:extLst>
            <a:ext uri="{FF2B5EF4-FFF2-40B4-BE49-F238E27FC236}">
              <a16:creationId xmlns:a16="http://schemas.microsoft.com/office/drawing/2014/main" xmlns="" id="{00000000-0008-0000-0300-000079030000}"/>
            </a:ext>
          </a:extLst>
        </xdr:cNvPr>
        <xdr:cNvSpPr txBox="1"/>
      </xdr:nvSpPr>
      <xdr:spPr>
        <a:xfrm>
          <a:off x="5919355" y="22139563"/>
          <a:ext cx="909206" cy="1375063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AFE13DF-25F2-4F64-9C4F-E8CE9050D444}" type="TxLink">
            <a:rPr lang="en-US" sz="3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Hanse" panose="02000000000000000000" pitchFamily="50" charset="0"/>
              <a:cs typeface="Calibri"/>
            </a:rPr>
            <a:pPr algn="ctr"/>
            <a:t>4</a:t>
          </a:fld>
          <a:endParaRPr lang="en-US" sz="3200" b="1">
            <a:solidFill>
              <a:schemeClr val="tx1">
                <a:lumMod val="65000"/>
                <a:lumOff val="35000"/>
              </a:schemeClr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27709</xdr:colOff>
      <xdr:row>47</xdr:row>
      <xdr:rowOff>41564</xdr:rowOff>
    </xdr:from>
    <xdr:to>
      <xdr:col>9</xdr:col>
      <xdr:colOff>346365</xdr:colOff>
      <xdr:row>54</xdr:row>
      <xdr:rowOff>83127</xdr:rowOff>
    </xdr:to>
    <xdr:sp macro="" textlink="'ATT '!F19">
      <xdr:nvSpPr>
        <xdr:cNvPr id="34" name="TextBox 33">
          <a:extLst>
            <a:ext uri="{FF2B5EF4-FFF2-40B4-BE49-F238E27FC236}">
              <a16:creationId xmlns:a16="http://schemas.microsoft.com/office/drawing/2014/main" xmlns="" id="{00000000-0008-0000-0300-00007A030000}"/>
            </a:ext>
          </a:extLst>
        </xdr:cNvPr>
        <xdr:cNvSpPr txBox="1"/>
      </xdr:nvSpPr>
      <xdr:spPr>
        <a:xfrm>
          <a:off x="4752109" y="22139564"/>
          <a:ext cx="909206" cy="1375063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A79FE0E-E88E-426D-BD6C-C3AC7704AC66}" type="TxLink">
            <a:rPr lang="en-US" sz="3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Hanse" panose="02000000000000000000" pitchFamily="50" charset="0"/>
              <a:cs typeface="Calibri"/>
            </a:rPr>
            <a:pPr algn="ctr"/>
            <a:t>3</a:t>
          </a:fld>
          <a:endParaRPr lang="en-US" sz="3200" b="1">
            <a:solidFill>
              <a:schemeClr val="tx1">
                <a:lumMod val="65000"/>
                <a:lumOff val="35000"/>
              </a:schemeClr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25057</xdr:colOff>
      <xdr:row>3</xdr:row>
      <xdr:rowOff>146898</xdr:rowOff>
    </xdr:from>
    <xdr:to>
      <xdr:col>3</xdr:col>
      <xdr:colOff>232876</xdr:colOff>
      <xdr:row>10</xdr:row>
      <xdr:rowOff>174608</xdr:rowOff>
    </xdr:to>
    <xdr:sp macro="" textlink="$U$8">
      <xdr:nvSpPr>
        <xdr:cNvPr id="35" name="TextBox 34">
          <a:extLst>
            <a:ext uri="{FF2B5EF4-FFF2-40B4-BE49-F238E27FC236}">
              <a16:creationId xmlns="" xmlns:a16="http://schemas.microsoft.com/office/drawing/2014/main" id="{00000000-0008-0000-0200-0000A3030000}"/>
            </a:ext>
          </a:extLst>
        </xdr:cNvPr>
        <xdr:cNvSpPr txBox="1"/>
      </xdr:nvSpPr>
      <xdr:spPr>
        <a:xfrm>
          <a:off x="1206157" y="13862898"/>
          <a:ext cx="798369" cy="1361210"/>
        </a:xfrm>
        <a:prstGeom prst="rect">
          <a:avLst/>
        </a:prstGeom>
        <a:noFill/>
        <a:ln w="127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9C31BF1-3FE7-46ED-8B85-AEA97E639C49}" type="TxLink">
            <a:rPr lang="en-US" sz="32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 </a:t>
          </a:fld>
          <a:endParaRPr lang="en-US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103909</xdr:colOff>
      <xdr:row>20</xdr:row>
      <xdr:rowOff>23783</xdr:rowOff>
    </xdr:from>
    <xdr:to>
      <xdr:col>12</xdr:col>
      <xdr:colOff>606136</xdr:colOff>
      <xdr:row>59</xdr:row>
      <xdr:rowOff>259684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BEBA8EAE-BF5A-486C-A8C5-ECC9F3942E4B}">
              <a14:imgProps xmlns:a14="http://schemas.microsoft.com/office/drawing/2010/main" xmlns="">
                <a14:imgLayer r:embed="rId2">
                  <a14:imgEffect>
                    <a14:artisticCrisscrossEtching/>
                  </a14:imgEffect>
                  <a14:imgEffect>
                    <a14:colorTemperature colorTemp="4700"/>
                  </a14:imgEffect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742084" y="30122783"/>
          <a:ext cx="7560252" cy="7655876"/>
        </a:xfrm>
        <a:prstGeom prst="rect">
          <a:avLst/>
        </a:prstGeom>
        <a:noFill/>
        <a:ln>
          <a:noFill/>
        </a:ln>
        <a:effectLst>
          <a:outerShdw sx="1000" sy="1000" algn="tl" rotWithShape="0">
            <a:srgbClr val="333333"/>
          </a:outerShdw>
        </a:effectLst>
      </xdr:spPr>
    </xdr:pic>
    <xdr:clientData/>
  </xdr:twoCellAnchor>
  <xdr:twoCellAnchor>
    <xdr:from>
      <xdr:col>2</xdr:col>
      <xdr:colOff>341643</xdr:colOff>
      <xdr:row>5</xdr:row>
      <xdr:rowOff>109219</xdr:rowOff>
    </xdr:from>
    <xdr:to>
      <xdr:col>5</xdr:col>
      <xdr:colOff>207826</xdr:colOff>
      <xdr:row>11</xdr:row>
      <xdr:rowOff>41491</xdr:rowOff>
    </xdr:to>
    <xdr:sp macro="" textlink="Algandmed!AG6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 txBox="1"/>
      </xdr:nvSpPr>
      <xdr:spPr>
        <a:xfrm>
          <a:off x="1617993" y="27350719"/>
          <a:ext cx="1780708" cy="10752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BE4D5C-5271-4BEA-A640-D4BF12185D46}" type="TxLink">
            <a:rPr lang="en-US" sz="48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t-EE" sz="239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140983</xdr:colOff>
      <xdr:row>5</xdr:row>
      <xdr:rowOff>83819</xdr:rowOff>
    </xdr:from>
    <xdr:to>
      <xdr:col>10</xdr:col>
      <xdr:colOff>7166</xdr:colOff>
      <xdr:row>11</xdr:row>
      <xdr:rowOff>16091</xdr:rowOff>
    </xdr:to>
    <xdr:sp macro="" textlink="Algandmed!AV6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 txBox="1"/>
      </xdr:nvSpPr>
      <xdr:spPr>
        <a:xfrm>
          <a:off x="4608208" y="27325319"/>
          <a:ext cx="1780708" cy="10752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403BE57-520F-4B72-BC0D-ED0150793883}" type="TxLink">
            <a:rPr lang="en-US" sz="48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2</a:t>
          </a:fld>
          <a:endParaRPr lang="et-EE" sz="48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6</xdr:col>
      <xdr:colOff>220403</xdr:colOff>
      <xdr:row>0</xdr:row>
      <xdr:rowOff>147319</xdr:rowOff>
    </xdr:from>
    <xdr:to>
      <xdr:col>11</xdr:col>
      <xdr:colOff>443344</xdr:colOff>
      <xdr:row>7</xdr:row>
      <xdr:rowOff>79591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 txBox="1"/>
      </xdr:nvSpPr>
      <xdr:spPr>
        <a:xfrm>
          <a:off x="4049453" y="26245819"/>
          <a:ext cx="3413816" cy="14562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4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OPPONENT</a:t>
          </a:r>
          <a:endParaRPr lang="en-US" sz="48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 editAs="oneCell">
    <xdr:from>
      <xdr:col>2</xdr:col>
      <xdr:colOff>491836</xdr:colOff>
      <xdr:row>1</xdr:row>
      <xdr:rowOff>99753</xdr:rowOff>
    </xdr:from>
    <xdr:to>
      <xdr:col>5</xdr:col>
      <xdr:colOff>62345</xdr:colOff>
      <xdr:row>5</xdr:row>
      <xdr:rowOff>166427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768186" y="26579253"/>
          <a:ext cx="1485034" cy="828674"/>
        </a:xfrm>
        <a:prstGeom prst="rect">
          <a:avLst/>
        </a:prstGeom>
      </xdr:spPr>
    </xdr:pic>
    <xdr:clientData/>
  </xdr:twoCellAnchor>
  <xdr:twoCellAnchor>
    <xdr:from>
      <xdr:col>1</xdr:col>
      <xdr:colOff>387927</xdr:colOff>
      <xdr:row>23</xdr:row>
      <xdr:rowOff>0</xdr:rowOff>
    </xdr:from>
    <xdr:to>
      <xdr:col>3</xdr:col>
      <xdr:colOff>0</xdr:colOff>
      <xdr:row>27</xdr:row>
      <xdr:rowOff>0</xdr:rowOff>
    </xdr:to>
    <xdr:sp macro="" textlink="Algandmed!AH8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300-000090030000}"/>
            </a:ext>
          </a:extLst>
        </xdr:cNvPr>
        <xdr:cNvSpPr txBox="1"/>
      </xdr:nvSpPr>
      <xdr:spPr>
        <a:xfrm>
          <a:off x="1026102" y="30670500"/>
          <a:ext cx="888423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DEB359F-C957-419B-8C84-C48CCCFA3EAE}" type="TxLink">
            <a:rPr lang="en-US" sz="36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5</a:t>
          </a:fld>
          <a:endParaRPr lang="et-EE" sz="36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11</xdr:col>
      <xdr:colOff>1</xdr:colOff>
      <xdr:row>23</xdr:row>
      <xdr:rowOff>-1</xdr:rowOff>
    </xdr:from>
    <xdr:to>
      <xdr:col>12</xdr:col>
      <xdr:colOff>533400</xdr:colOff>
      <xdr:row>26</xdr:row>
      <xdr:rowOff>180108</xdr:rowOff>
    </xdr:to>
    <xdr:sp macro="" textlink="Algandmed!AW8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300-000091030000}"/>
            </a:ext>
          </a:extLst>
        </xdr:cNvPr>
        <xdr:cNvSpPr txBox="1"/>
      </xdr:nvSpPr>
      <xdr:spPr>
        <a:xfrm>
          <a:off x="7019926" y="30670499"/>
          <a:ext cx="1171574" cy="7516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E7BF6-71B9-4A84-8EE0-CC0B998FEA44}" type="TxLink">
            <a:rPr lang="en-US" sz="36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15</a:t>
          </a:fld>
          <a:endParaRPr lang="et-EE" sz="36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387927</xdr:colOff>
      <xdr:row>35</xdr:row>
      <xdr:rowOff>0</xdr:rowOff>
    </xdr:from>
    <xdr:to>
      <xdr:col>4</xdr:col>
      <xdr:colOff>0</xdr:colOff>
      <xdr:row>39</xdr:row>
      <xdr:rowOff>0</xdr:rowOff>
    </xdr:to>
    <xdr:sp macro="" textlink="'ATT '!F17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300-000092030000}"/>
            </a:ext>
          </a:extLst>
        </xdr:cNvPr>
        <xdr:cNvSpPr txBox="1"/>
      </xdr:nvSpPr>
      <xdr:spPr>
        <a:xfrm>
          <a:off x="1664277" y="32956500"/>
          <a:ext cx="888423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2D500DB-D7A0-490A-8729-9795261A33A8}" type="TxLink">
            <a:rPr lang="en-US" sz="3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Hanse" panose="02000000000000000000" pitchFamily="50" charset="0"/>
              <a:cs typeface="Calibri"/>
            </a:rPr>
            <a:pPr algn="ctr"/>
            <a:t>2</a:t>
          </a:fld>
          <a:endParaRPr lang="et-EE" sz="3200" b="1">
            <a:solidFill>
              <a:schemeClr val="tx1">
                <a:lumMod val="65000"/>
                <a:lumOff val="35000"/>
              </a:schemeClr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13856</xdr:colOff>
      <xdr:row>35</xdr:row>
      <xdr:rowOff>-1</xdr:rowOff>
    </xdr:from>
    <xdr:to>
      <xdr:col>11</xdr:col>
      <xdr:colOff>235529</xdr:colOff>
      <xdr:row>38</xdr:row>
      <xdr:rowOff>180108</xdr:rowOff>
    </xdr:to>
    <xdr:sp macro="" textlink="'ATT '!F19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300-000093030000}"/>
            </a:ext>
          </a:extLst>
        </xdr:cNvPr>
        <xdr:cNvSpPr txBox="1"/>
      </xdr:nvSpPr>
      <xdr:spPr>
        <a:xfrm>
          <a:off x="6395606" y="32956499"/>
          <a:ext cx="859848" cy="7516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E4DF50-50CD-4008-8ED7-4042B4067383}" type="TxLink">
            <a:rPr lang="en-US" sz="3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Hanse" panose="02000000000000000000" pitchFamily="50" charset="0"/>
              <a:cs typeface="Calibri"/>
            </a:rPr>
            <a:pPr algn="ctr"/>
            <a:t>3</a:t>
          </a:fld>
          <a:endParaRPr lang="et-EE" sz="3200" b="1">
            <a:solidFill>
              <a:schemeClr val="tx1">
                <a:lumMod val="65000"/>
                <a:lumOff val="35000"/>
              </a:schemeClr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387927</xdr:colOff>
      <xdr:row>29</xdr:row>
      <xdr:rowOff>3</xdr:rowOff>
    </xdr:from>
    <xdr:to>
      <xdr:col>3</xdr:col>
      <xdr:colOff>0</xdr:colOff>
      <xdr:row>33</xdr:row>
      <xdr:rowOff>2</xdr:rowOff>
    </xdr:to>
    <xdr:sp macro="" textlink="Algandmed!AG8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300-000094030000}"/>
            </a:ext>
          </a:extLst>
        </xdr:cNvPr>
        <xdr:cNvSpPr txBox="1"/>
      </xdr:nvSpPr>
      <xdr:spPr>
        <a:xfrm>
          <a:off x="1026102" y="31813503"/>
          <a:ext cx="888423" cy="761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5245F3-8489-4C73-86E1-B244F7FF2199}" type="TxLink">
            <a:rPr lang="en-US" sz="32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t-EE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11</xdr:col>
      <xdr:colOff>1</xdr:colOff>
      <xdr:row>29</xdr:row>
      <xdr:rowOff>2</xdr:rowOff>
    </xdr:from>
    <xdr:to>
      <xdr:col>12</xdr:col>
      <xdr:colOff>518160</xdr:colOff>
      <xdr:row>33</xdr:row>
      <xdr:rowOff>1</xdr:rowOff>
    </xdr:to>
    <xdr:sp macro="" textlink="Algandmed!AV8">
      <xdr:nvSpPr>
        <xdr:cNvPr id="12" name="TextBox 11">
          <a:extLst>
            <a:ext uri="{FF2B5EF4-FFF2-40B4-BE49-F238E27FC236}">
              <a16:creationId xmlns:a16="http://schemas.microsoft.com/office/drawing/2014/main" xmlns="" id="{00000000-0008-0000-0300-000095030000}"/>
            </a:ext>
          </a:extLst>
        </xdr:cNvPr>
        <xdr:cNvSpPr txBox="1"/>
      </xdr:nvSpPr>
      <xdr:spPr>
        <a:xfrm>
          <a:off x="7019926" y="31813502"/>
          <a:ext cx="1156334" cy="761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FEFA7C5-39A7-4955-9BCE-9ED2AA914733}" type="TxLink">
            <a:rPr lang="en-US" sz="32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8</a:t>
          </a:fld>
          <a:endParaRPr lang="et-EE" sz="32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593911</xdr:colOff>
      <xdr:row>22</xdr:row>
      <xdr:rowOff>190499</xdr:rowOff>
    </xdr:from>
    <xdr:to>
      <xdr:col>10</xdr:col>
      <xdr:colOff>0</xdr:colOff>
      <xdr:row>28</xdr:row>
      <xdr:rowOff>100852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xmlns="" id="{00000000-0008-0000-0300-000096030000}"/>
            </a:ext>
          </a:extLst>
        </xdr:cNvPr>
        <xdr:cNvSpPr txBox="1"/>
      </xdr:nvSpPr>
      <xdr:spPr>
        <a:xfrm>
          <a:off x="2508436" y="30670499"/>
          <a:ext cx="3873314" cy="10533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600">
              <a:solidFill>
                <a:srgbClr val="4D4D4D"/>
              </a:solidFill>
              <a:latin typeface="Hanse" panose="02000000000000000000" pitchFamily="50" charset="0"/>
            </a:rPr>
            <a:t>Total attempts</a:t>
          </a:r>
        </a:p>
      </xdr:txBody>
    </xdr:sp>
    <xdr:clientData/>
  </xdr:twoCellAnchor>
  <xdr:twoCellAnchor>
    <xdr:from>
      <xdr:col>5</xdr:col>
      <xdr:colOff>-1</xdr:colOff>
      <xdr:row>35</xdr:row>
      <xdr:rowOff>-1</xdr:rowOff>
    </xdr:from>
    <xdr:to>
      <xdr:col>9</xdr:col>
      <xdr:colOff>27710</xdr:colOff>
      <xdr:row>38</xdr:row>
      <xdr:rowOff>180108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xmlns="" id="{00000000-0008-0000-0300-000097030000}"/>
            </a:ext>
          </a:extLst>
        </xdr:cNvPr>
        <xdr:cNvSpPr txBox="1"/>
      </xdr:nvSpPr>
      <xdr:spPr>
        <a:xfrm>
          <a:off x="3190874" y="32956499"/>
          <a:ext cx="2580411" cy="7516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600">
              <a:solidFill>
                <a:srgbClr val="4D4D4D"/>
              </a:solidFill>
              <a:latin typeface="Hanse" panose="02000000000000000000" pitchFamily="50" charset="0"/>
            </a:rPr>
            <a:t>BIG</a:t>
          </a:r>
        </a:p>
      </xdr:txBody>
    </xdr:sp>
    <xdr:clientData/>
  </xdr:twoCellAnchor>
  <xdr:twoCellAnchor>
    <xdr:from>
      <xdr:col>4</xdr:col>
      <xdr:colOff>0</xdr:colOff>
      <xdr:row>29</xdr:row>
      <xdr:rowOff>1</xdr:rowOff>
    </xdr:from>
    <xdr:to>
      <xdr:col>10</xdr:col>
      <xdr:colOff>0</xdr:colOff>
      <xdr:row>34</xdr:row>
      <xdr:rowOff>168088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300-000098030000}"/>
            </a:ext>
          </a:extLst>
        </xdr:cNvPr>
        <xdr:cNvSpPr txBox="1"/>
      </xdr:nvSpPr>
      <xdr:spPr>
        <a:xfrm>
          <a:off x="2552700" y="31813501"/>
          <a:ext cx="3829050" cy="11205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200">
              <a:solidFill>
                <a:srgbClr val="4D4D4D"/>
              </a:solidFill>
              <a:latin typeface="Hanse" panose="02000000000000000000" pitchFamily="50" charset="0"/>
            </a:rPr>
            <a:t>Attempts</a:t>
          </a:r>
          <a:r>
            <a:rPr lang="et-EE" sz="3200" baseline="0">
              <a:solidFill>
                <a:srgbClr val="4D4D4D"/>
              </a:solidFill>
              <a:latin typeface="Hanse" panose="02000000000000000000" pitchFamily="50" charset="0"/>
            </a:rPr>
            <a:t> on goal</a:t>
          </a:r>
          <a:endParaRPr lang="et-EE" sz="3200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387926</xdr:colOff>
      <xdr:row>17</xdr:row>
      <xdr:rowOff>0</xdr:rowOff>
    </xdr:from>
    <xdr:to>
      <xdr:col>3</xdr:col>
      <xdr:colOff>-1</xdr:colOff>
      <xdr:row>21</xdr:row>
      <xdr:rowOff>-1</xdr:rowOff>
    </xdr:to>
    <xdr:sp macro="" textlink="Algandmed!AM7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300-000099030000}"/>
            </a:ext>
          </a:extLst>
        </xdr:cNvPr>
        <xdr:cNvSpPr txBox="1"/>
      </xdr:nvSpPr>
      <xdr:spPr>
        <a:xfrm>
          <a:off x="1026101" y="29527500"/>
          <a:ext cx="888423" cy="761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F165E79-1401-4BBC-8B55-6213C12EA44C}" type="TxLink">
            <a:rPr lang="en-US" sz="36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23</a:t>
          </a:fld>
          <a:endParaRPr lang="et-EE" sz="36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11</xdr:col>
      <xdr:colOff>0</xdr:colOff>
      <xdr:row>16</xdr:row>
      <xdr:rowOff>180108</xdr:rowOff>
    </xdr:from>
    <xdr:to>
      <xdr:col>12</xdr:col>
      <xdr:colOff>609600</xdr:colOff>
      <xdr:row>20</xdr:row>
      <xdr:rowOff>180107</xdr:rowOff>
    </xdr:to>
    <xdr:sp macro="" textlink="Algandmed!BB7">
      <xdr:nvSpPr>
        <xdr:cNvPr id="17" name="TextBox 16">
          <a:extLst>
            <a:ext uri="{FF2B5EF4-FFF2-40B4-BE49-F238E27FC236}">
              <a16:creationId xmlns:a16="http://schemas.microsoft.com/office/drawing/2014/main" xmlns="" id="{00000000-0008-0000-0300-00009A030000}"/>
            </a:ext>
          </a:extLst>
        </xdr:cNvPr>
        <xdr:cNvSpPr txBox="1"/>
      </xdr:nvSpPr>
      <xdr:spPr>
        <a:xfrm>
          <a:off x="7019925" y="29517108"/>
          <a:ext cx="1247775" cy="761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CD1DCB2-ADA7-4E97-9824-2CF64B4C75B7}" type="TxLink">
            <a:rPr lang="en-US" sz="36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37</a:t>
          </a:fld>
          <a:endParaRPr lang="et-EE" sz="36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228600</xdr:colOff>
      <xdr:row>43</xdr:row>
      <xdr:rowOff>15240</xdr:rowOff>
    </xdr:from>
    <xdr:to>
      <xdr:col>3</xdr:col>
      <xdr:colOff>121920</xdr:colOff>
      <xdr:row>47</xdr:row>
      <xdr:rowOff>15240</xdr:rowOff>
    </xdr:to>
    <xdr:sp macro="" textlink="Algandmed!AI8">
      <xdr:nvSpPr>
        <xdr:cNvPr id="18" name="TextBox 17">
          <a:extLst>
            <a:ext uri="{FF2B5EF4-FFF2-40B4-BE49-F238E27FC236}">
              <a16:creationId xmlns:a16="http://schemas.microsoft.com/office/drawing/2014/main" xmlns="" id="{00000000-0008-0000-0300-00009B030000}"/>
            </a:ext>
          </a:extLst>
        </xdr:cNvPr>
        <xdr:cNvSpPr txBox="1"/>
      </xdr:nvSpPr>
      <xdr:spPr>
        <a:xfrm>
          <a:off x="866775" y="34495740"/>
          <a:ext cx="1169670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6485C00-23AD-4B0F-934F-B49E4AD3B08C}" type="TxLink">
            <a:rPr lang="en-US" sz="2800" b="0" i="0" u="none" strike="noStrike">
              <a:solidFill>
                <a:srgbClr val="4D4D4D"/>
              </a:solidFill>
              <a:latin typeface="Calibri"/>
              <a:cs typeface="Calibri"/>
            </a:rPr>
            <a:pPr algn="ctr"/>
            <a:t>20,0%</a:t>
          </a:fld>
          <a:endParaRPr lang="et-EE" sz="2800" b="0">
            <a:solidFill>
              <a:srgbClr val="4D4D4D"/>
            </a:solidFill>
          </a:endParaRPr>
        </a:p>
      </xdr:txBody>
    </xdr:sp>
    <xdr:clientData/>
  </xdr:twoCellAnchor>
  <xdr:twoCellAnchor>
    <xdr:from>
      <xdr:col>10</xdr:col>
      <xdr:colOff>518160</xdr:colOff>
      <xdr:row>43</xdr:row>
      <xdr:rowOff>15239</xdr:rowOff>
    </xdr:from>
    <xdr:to>
      <xdr:col>12</xdr:col>
      <xdr:colOff>426720</xdr:colOff>
      <xdr:row>47</xdr:row>
      <xdr:rowOff>12468</xdr:rowOff>
    </xdr:to>
    <xdr:sp macro="" textlink="Algandmed!AX8">
      <xdr:nvSpPr>
        <xdr:cNvPr id="19" name="TextBox 18">
          <a:extLst>
            <a:ext uri="{FF2B5EF4-FFF2-40B4-BE49-F238E27FC236}">
              <a16:creationId xmlns:a16="http://schemas.microsoft.com/office/drawing/2014/main" xmlns="" id="{00000000-0008-0000-0300-00009C030000}"/>
            </a:ext>
          </a:extLst>
        </xdr:cNvPr>
        <xdr:cNvSpPr txBox="1"/>
      </xdr:nvSpPr>
      <xdr:spPr>
        <a:xfrm>
          <a:off x="6899910" y="34495739"/>
          <a:ext cx="1184910" cy="7592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2099148-5E5F-49D8-823D-E3C9866FD214}" type="TxLink">
            <a:rPr lang="en-US" sz="2800" b="0" i="0" u="none" strike="noStrike">
              <a:solidFill>
                <a:srgbClr val="4D4D4D"/>
              </a:solidFill>
              <a:latin typeface="Calibri"/>
              <a:cs typeface="Calibri"/>
            </a:rPr>
            <a:pPr algn="ctr"/>
            <a:t>40,0%</a:t>
          </a:fld>
          <a:endParaRPr lang="et-EE" sz="2800" b="0">
            <a:solidFill>
              <a:srgbClr val="4D4D4D"/>
            </a:solidFill>
          </a:endParaRPr>
        </a:p>
      </xdr:txBody>
    </xdr:sp>
    <xdr:clientData/>
  </xdr:twoCellAnchor>
  <xdr:twoCellAnchor>
    <xdr:from>
      <xdr:col>1</xdr:col>
      <xdr:colOff>213360</xdr:colOff>
      <xdr:row>49</xdr:row>
      <xdr:rowOff>15241</xdr:rowOff>
    </xdr:from>
    <xdr:to>
      <xdr:col>3</xdr:col>
      <xdr:colOff>137160</xdr:colOff>
      <xdr:row>51</xdr:row>
      <xdr:rowOff>134471</xdr:rowOff>
    </xdr:to>
    <xdr:sp macro="" textlink="Algandmed!AJ8">
      <xdr:nvSpPr>
        <xdr:cNvPr id="20" name="TextBox 19">
          <a:extLst>
            <a:ext uri="{FF2B5EF4-FFF2-40B4-BE49-F238E27FC236}">
              <a16:creationId xmlns:a16="http://schemas.microsoft.com/office/drawing/2014/main" xmlns="" id="{00000000-0008-0000-0300-00009D030000}"/>
            </a:ext>
          </a:extLst>
        </xdr:cNvPr>
        <xdr:cNvSpPr txBox="1"/>
      </xdr:nvSpPr>
      <xdr:spPr>
        <a:xfrm>
          <a:off x="851535" y="35638741"/>
          <a:ext cx="1200150" cy="5002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E45BCF-EA1A-4118-97C3-2E46068CAA55}" type="TxLink">
            <a:rPr lang="en-US" sz="2800" b="0" i="0" u="none" strike="noStrike">
              <a:solidFill>
                <a:srgbClr val="4D4D4D"/>
              </a:solidFill>
              <a:latin typeface="Calibri"/>
              <a:cs typeface="Calibri"/>
            </a:rPr>
            <a:pPr algn="ctr"/>
            <a:t>0,0%</a:t>
          </a:fld>
          <a:endParaRPr lang="et-EE" sz="2800" b="0">
            <a:solidFill>
              <a:srgbClr val="4D4D4D"/>
            </a:solidFill>
          </a:endParaRPr>
        </a:p>
      </xdr:txBody>
    </xdr:sp>
    <xdr:clientData/>
  </xdr:twoCellAnchor>
  <xdr:twoCellAnchor>
    <xdr:from>
      <xdr:col>10</xdr:col>
      <xdr:colOff>502920</xdr:colOff>
      <xdr:row>49</xdr:row>
      <xdr:rowOff>15240</xdr:rowOff>
    </xdr:from>
    <xdr:to>
      <xdr:col>12</xdr:col>
      <xdr:colOff>411480</xdr:colOff>
      <xdr:row>51</xdr:row>
      <xdr:rowOff>112059</xdr:rowOff>
    </xdr:to>
    <xdr:sp macro="" textlink="Algandmed!AY8">
      <xdr:nvSpPr>
        <xdr:cNvPr id="21" name="TextBox 20">
          <a:extLst>
            <a:ext uri="{FF2B5EF4-FFF2-40B4-BE49-F238E27FC236}">
              <a16:creationId xmlns:a16="http://schemas.microsoft.com/office/drawing/2014/main" xmlns="" id="{00000000-0008-0000-0300-00009E030000}"/>
            </a:ext>
          </a:extLst>
        </xdr:cNvPr>
        <xdr:cNvSpPr txBox="1"/>
      </xdr:nvSpPr>
      <xdr:spPr>
        <a:xfrm>
          <a:off x="6884670" y="35638740"/>
          <a:ext cx="1184910" cy="4778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0ED7D8F-879E-4D5A-8A02-5217206AF974}" type="TxLink">
            <a:rPr lang="en-US" sz="2800" b="0" i="0" u="none" strike="noStrike">
              <a:solidFill>
                <a:srgbClr val="4D4D4D"/>
              </a:solidFill>
              <a:latin typeface="Calibri"/>
              <a:cs typeface="Calibri"/>
            </a:rPr>
            <a:pPr algn="ctr"/>
            <a:t>13,3%</a:t>
          </a:fld>
          <a:endParaRPr lang="et-EE" sz="2800" b="0">
            <a:solidFill>
              <a:srgbClr val="4D4D4D"/>
            </a:solidFill>
          </a:endParaRPr>
        </a:p>
      </xdr:txBody>
    </xdr:sp>
    <xdr:clientData/>
  </xdr:twoCellAnchor>
  <xdr:twoCellAnchor>
    <xdr:from>
      <xdr:col>3</xdr:col>
      <xdr:colOff>609598</xdr:colOff>
      <xdr:row>16</xdr:row>
      <xdr:rowOff>180108</xdr:rowOff>
    </xdr:from>
    <xdr:to>
      <xdr:col>10</xdr:col>
      <xdr:colOff>-1</xdr:colOff>
      <xdr:row>20</xdr:row>
      <xdr:rowOff>180107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xmlns="" id="{00000000-0008-0000-0300-00009F030000}"/>
            </a:ext>
          </a:extLst>
        </xdr:cNvPr>
        <xdr:cNvSpPr txBox="1"/>
      </xdr:nvSpPr>
      <xdr:spPr>
        <a:xfrm>
          <a:off x="2524123" y="29517108"/>
          <a:ext cx="3857626" cy="761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600">
              <a:solidFill>
                <a:srgbClr val="4D4D4D"/>
              </a:solidFill>
              <a:latin typeface="Hanse" panose="02000000000000000000" pitchFamily="50" charset="0"/>
            </a:rPr>
            <a:t>ENTRIES</a:t>
          </a:r>
        </a:p>
      </xdr:txBody>
    </xdr:sp>
    <xdr:clientData/>
  </xdr:twoCellAnchor>
  <xdr:twoCellAnchor>
    <xdr:from>
      <xdr:col>3</xdr:col>
      <xdr:colOff>332509</xdr:colOff>
      <xdr:row>43</xdr:row>
      <xdr:rowOff>15239</xdr:rowOff>
    </xdr:from>
    <xdr:to>
      <xdr:col>10</xdr:col>
      <xdr:colOff>318654</xdr:colOff>
      <xdr:row>47</xdr:row>
      <xdr:rowOff>12468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xmlns="" id="{00000000-0008-0000-0300-0000A0030000}"/>
            </a:ext>
          </a:extLst>
        </xdr:cNvPr>
        <xdr:cNvSpPr txBox="1"/>
      </xdr:nvSpPr>
      <xdr:spPr>
        <a:xfrm>
          <a:off x="2247034" y="34495739"/>
          <a:ext cx="4453370" cy="7592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>
              <a:solidFill>
                <a:srgbClr val="4D4D4D"/>
              </a:solidFill>
              <a:latin typeface="Hanse" panose="02000000000000000000" pitchFamily="50" charset="0"/>
            </a:rPr>
            <a:t>Shot/shot</a:t>
          </a:r>
          <a:r>
            <a:rPr lang="et-EE" sz="2800" baseline="0">
              <a:solidFill>
                <a:srgbClr val="4D4D4D"/>
              </a:solidFill>
              <a:latin typeface="Hanse" panose="02000000000000000000" pitchFamily="50" charset="0"/>
            </a:rPr>
            <a:t> on goal ratio</a:t>
          </a:r>
          <a:endParaRPr lang="et-EE" sz="2800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590548</xdr:colOff>
      <xdr:row>49</xdr:row>
      <xdr:rowOff>12468</xdr:rowOff>
    </xdr:from>
    <xdr:to>
      <xdr:col>9</xdr:col>
      <xdr:colOff>593911</xdr:colOff>
      <xdr:row>51</xdr:row>
      <xdr:rowOff>145676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xmlns="" id="{00000000-0008-0000-0300-0000A1030000}"/>
            </a:ext>
          </a:extLst>
        </xdr:cNvPr>
        <xdr:cNvSpPr txBox="1"/>
      </xdr:nvSpPr>
      <xdr:spPr>
        <a:xfrm>
          <a:off x="2505073" y="35635968"/>
          <a:ext cx="3832413" cy="514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>
              <a:solidFill>
                <a:srgbClr val="4D4D4D"/>
              </a:solidFill>
              <a:latin typeface="Hanse" panose="02000000000000000000" pitchFamily="50" charset="0"/>
            </a:rPr>
            <a:t>Shot/goal</a:t>
          </a:r>
          <a:r>
            <a:rPr lang="et-EE" sz="2800" baseline="0">
              <a:solidFill>
                <a:srgbClr val="4D4D4D"/>
              </a:solidFill>
              <a:latin typeface="Hanse" panose="02000000000000000000" pitchFamily="50" charset="0"/>
            </a:rPr>
            <a:t> ratio</a:t>
          </a:r>
          <a:endParaRPr lang="et-EE" sz="2800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316241</xdr:colOff>
      <xdr:row>36</xdr:row>
      <xdr:rowOff>12701</xdr:rowOff>
    </xdr:from>
    <xdr:to>
      <xdr:col>11</xdr:col>
      <xdr:colOff>537105</xdr:colOff>
      <xdr:row>60</xdr:row>
      <xdr:rowOff>179295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BEBA8EAE-BF5A-486C-A8C5-ECC9F3942E4B}">
              <a14:imgProps xmlns:a14="http://schemas.microsoft.com/office/drawing/2010/main" xmlns="">
                <a14:imgLayer r:embed="rId2">
                  <a14:imgEffect>
                    <a14:artisticCrisscrossEtching/>
                  </a14:imgEffect>
                  <a14:imgEffect>
                    <a14:colorTemperature colorTemp="4700"/>
                  </a14:imgEffect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16241" y="46313726"/>
          <a:ext cx="7240789" cy="4738594"/>
        </a:xfrm>
        <a:prstGeom prst="rect">
          <a:avLst/>
        </a:prstGeom>
        <a:noFill/>
        <a:ln>
          <a:noFill/>
        </a:ln>
        <a:effectLst>
          <a:outerShdw sx="1000" sy="1000" algn="tl" rotWithShape="0">
            <a:srgbClr val="333333"/>
          </a:outerShdw>
        </a:effectLst>
      </xdr:spPr>
    </xdr:pic>
    <xdr:clientData/>
  </xdr:twoCellAnchor>
  <xdr:twoCellAnchor editAs="oneCell">
    <xdr:from>
      <xdr:col>2</xdr:col>
      <xdr:colOff>134471</xdr:colOff>
      <xdr:row>6</xdr:row>
      <xdr:rowOff>147172</xdr:rowOff>
    </xdr:from>
    <xdr:to>
      <xdr:col>12</xdr:col>
      <xdr:colOff>96556</xdr:colOff>
      <xdr:row>29</xdr:row>
      <xdr:rowOff>168090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BEBA8EAE-BF5A-486C-A8C5-ECC9F3942E4B}">
              <a14:imgProps xmlns:a14="http://schemas.microsoft.com/office/drawing/2010/main" xmlns="">
                <a14:imgLayer r:embed="rId2">
                  <a14:imgEffect>
                    <a14:artisticCrisscrossEtching/>
                  </a14:imgEffect>
                  <a14:imgEffect>
                    <a14:colorTemperature colorTemp="4700"/>
                  </a14:imgEffect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410821" y="40733197"/>
          <a:ext cx="6343835" cy="4402418"/>
        </a:xfrm>
        <a:prstGeom prst="rect">
          <a:avLst/>
        </a:prstGeom>
        <a:noFill/>
        <a:ln>
          <a:noFill/>
        </a:ln>
        <a:effectLst>
          <a:outerShdw sx="1000" sy="1000" algn="tl" rotWithShape="0">
            <a:srgbClr val="333333"/>
          </a:outerShdw>
        </a:effectLst>
      </xdr:spPr>
    </xdr:pic>
    <xdr:clientData/>
  </xdr:twoCellAnchor>
  <xdr:twoCellAnchor>
    <xdr:from>
      <xdr:col>1</xdr:col>
      <xdr:colOff>277908</xdr:colOff>
      <xdr:row>3</xdr:row>
      <xdr:rowOff>91692</xdr:rowOff>
    </xdr:from>
    <xdr:to>
      <xdr:col>12</xdr:col>
      <xdr:colOff>658908</xdr:colOff>
      <xdr:row>6</xdr:row>
      <xdr:rowOff>78450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300-000023000000}"/>
            </a:ext>
          </a:extLst>
        </xdr:cNvPr>
        <xdr:cNvSpPr txBox="1"/>
      </xdr:nvSpPr>
      <xdr:spPr>
        <a:xfrm>
          <a:off x="916083" y="40106217"/>
          <a:ext cx="7400925" cy="5582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3600" b="1" u="sng">
              <a:solidFill>
                <a:srgbClr val="4D4D4D"/>
              </a:solidFill>
              <a:effectLst>
                <a:outerShdw blurRad="38100" dist="38100" dir="2700000" algn="tl" rotWithShape="0">
                  <a:srgbClr val="000000">
                    <a:alpha val="43000"/>
                  </a:srgbClr>
                </a:outerShdw>
              </a:effectLst>
              <a:latin typeface="Hanse" panose="02000000000000000000" pitchFamily="50" charset="0"/>
              <a:ea typeface="+mn-ea"/>
              <a:cs typeface="+mn-cs"/>
            </a:rPr>
            <a:t>First goal /</a:t>
          </a:r>
          <a:r>
            <a:rPr lang="et-EE" sz="3600" b="1" u="sng" baseline="0">
              <a:solidFill>
                <a:srgbClr val="4D4D4D"/>
              </a:solidFill>
              <a:effectLst>
                <a:outerShdw blurRad="38100" dist="38100" dir="2700000" algn="tl" rotWithShape="0">
                  <a:srgbClr val="000000">
                    <a:alpha val="43000"/>
                  </a:srgbClr>
                </a:outerShdw>
              </a:effectLst>
              <a:latin typeface="Hanse" panose="02000000000000000000" pitchFamily="50" charset="0"/>
              <a:ea typeface="+mn-ea"/>
              <a:cs typeface="+mn-cs"/>
            </a:rPr>
            <a:t> </a:t>
          </a:r>
          <a:r>
            <a:rPr lang="et-EE" sz="3600" b="1" u="sng">
              <a:solidFill>
                <a:srgbClr val="4D4D4D"/>
              </a:solidFill>
              <a:effectLst>
                <a:outerShdw blurRad="38100" dist="38100" dir="2700000" algn="tl" rotWithShape="0">
                  <a:srgbClr val="000000">
                    <a:alpha val="43000"/>
                  </a:srgbClr>
                </a:outerShdw>
              </a:effectLst>
              <a:latin typeface="Hanse" panose="02000000000000000000" pitchFamily="50" charset="0"/>
              <a:ea typeface="+mn-ea"/>
              <a:cs typeface="+mn-cs"/>
            </a:rPr>
            <a:t>result</a:t>
          </a:r>
          <a:endParaRPr lang="et-EE" sz="3600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endParaRPr lang="et-EE" sz="2000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482600</xdr:colOff>
      <xdr:row>32</xdr:row>
      <xdr:rowOff>22412</xdr:rowOff>
    </xdr:from>
    <xdr:to>
      <xdr:col>12</xdr:col>
      <xdr:colOff>425824</xdr:colOff>
      <xdr:row>34</xdr:row>
      <xdr:rowOff>190499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300-000024000000}"/>
            </a:ext>
          </a:extLst>
        </xdr:cNvPr>
        <xdr:cNvSpPr txBox="1"/>
      </xdr:nvSpPr>
      <xdr:spPr>
        <a:xfrm>
          <a:off x="1120775" y="45561437"/>
          <a:ext cx="6963149" cy="5490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3600" b="1" u="sng">
              <a:solidFill>
                <a:srgbClr val="4D4D4D"/>
              </a:solidFill>
              <a:effectLst>
                <a:outerShdw blurRad="38100" dist="38100" dir="2700000" algn="tl" rotWithShape="0">
                  <a:srgbClr val="000000">
                    <a:alpha val="43000"/>
                  </a:srgbClr>
                </a:outerShdw>
              </a:effectLst>
              <a:latin typeface="Hanse" panose="02000000000000000000" pitchFamily="50" charset="0"/>
              <a:ea typeface="+mn-ea"/>
              <a:cs typeface="+mn-cs"/>
            </a:rPr>
            <a:t>Minutes</a:t>
          </a:r>
          <a:r>
            <a:rPr lang="et-EE" sz="3600" b="1" u="sng" baseline="0">
              <a:solidFill>
                <a:srgbClr val="4D4D4D"/>
              </a:solidFill>
              <a:effectLst>
                <a:outerShdw blurRad="38100" dist="38100" dir="2700000" algn="tl" rotWithShape="0">
                  <a:srgbClr val="000000">
                    <a:alpha val="43000"/>
                  </a:srgbClr>
                </a:outerShdw>
              </a:effectLst>
              <a:latin typeface="Hanse" panose="02000000000000000000" pitchFamily="50" charset="0"/>
              <a:ea typeface="+mn-ea"/>
              <a:cs typeface="+mn-cs"/>
            </a:rPr>
            <a:t> of the goals</a:t>
          </a:r>
          <a:endParaRPr lang="et-EE" sz="3600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endParaRPr lang="et-EE" sz="2000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531986</xdr:colOff>
      <xdr:row>36</xdr:row>
      <xdr:rowOff>49306</xdr:rowOff>
    </xdr:from>
    <xdr:to>
      <xdr:col>12</xdr:col>
      <xdr:colOff>102378</xdr:colOff>
      <xdr:row>59</xdr:row>
      <xdr:rowOff>145677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9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217247</xdr:colOff>
      <xdr:row>7</xdr:row>
      <xdr:rowOff>177424</xdr:rowOff>
    </xdr:from>
    <xdr:to>
      <xdr:col>11</xdr:col>
      <xdr:colOff>579617</xdr:colOff>
      <xdr:row>30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B103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379843</xdr:colOff>
      <xdr:row>0</xdr:row>
      <xdr:rowOff>104125</xdr:rowOff>
    </xdr:from>
    <xdr:to>
      <xdr:col>13</xdr:col>
      <xdr:colOff>278990</xdr:colOff>
      <xdr:row>6</xdr:row>
      <xdr:rowOff>136071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300-000025000000}"/>
            </a:ext>
          </a:extLst>
        </xdr:cNvPr>
        <xdr:cNvSpPr txBox="1"/>
      </xdr:nvSpPr>
      <xdr:spPr>
        <a:xfrm>
          <a:off x="1686129" y="104125"/>
          <a:ext cx="7083718" cy="11749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3600" b="1" u="sng">
              <a:solidFill>
                <a:srgbClr val="4D4D4D"/>
              </a:solidFill>
              <a:effectLst>
                <a:outerShdw blurRad="38100" dist="38100" dir="2700000" algn="tl" rotWithShape="0">
                  <a:srgbClr val="000000">
                    <a:alpha val="43000"/>
                  </a:srgbClr>
                </a:outerShdw>
              </a:effectLst>
              <a:latin typeface="Hanse" panose="02000000000000000000" pitchFamily="50" charset="0"/>
              <a:ea typeface="+mn-ea"/>
              <a:cs typeface="+mn-cs"/>
            </a:rPr>
            <a:t>Goals and shots from main moments</a:t>
          </a:r>
          <a:endParaRPr lang="et-EE" sz="3600" b="1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endParaRPr lang="et-EE" sz="20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78740</xdr:colOff>
      <xdr:row>7</xdr:row>
      <xdr:rowOff>48260</xdr:rowOff>
    </xdr:from>
    <xdr:to>
      <xdr:col>1</xdr:col>
      <xdr:colOff>510540</xdr:colOff>
      <xdr:row>10</xdr:row>
      <xdr:rowOff>27940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300-000026000000}"/>
            </a:ext>
          </a:extLst>
        </xdr:cNvPr>
        <xdr:cNvSpPr txBox="1"/>
      </xdr:nvSpPr>
      <xdr:spPr>
        <a:xfrm>
          <a:off x="78740" y="54350285"/>
          <a:ext cx="1069975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 b="0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510540</xdr:colOff>
      <xdr:row>7</xdr:row>
      <xdr:rowOff>48260</xdr:rowOff>
    </xdr:from>
    <xdr:to>
      <xdr:col>3</xdr:col>
      <xdr:colOff>332740</xdr:colOff>
      <xdr:row>10</xdr:row>
      <xdr:rowOff>27940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300-000027000000}"/>
            </a:ext>
          </a:extLst>
        </xdr:cNvPr>
        <xdr:cNvSpPr txBox="1"/>
      </xdr:nvSpPr>
      <xdr:spPr>
        <a:xfrm>
          <a:off x="1148715" y="54350285"/>
          <a:ext cx="1098550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401E9AB-7FD8-45BB-B7AD-7D498BF3CCF0}" type="TxLink">
            <a:rPr lang="en-US" sz="1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STANDARD</a:t>
          </a:fld>
          <a:endParaRPr lang="en-US" sz="3600" b="0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332740</xdr:colOff>
      <xdr:row>7</xdr:row>
      <xdr:rowOff>48260</xdr:rowOff>
    </xdr:from>
    <xdr:to>
      <xdr:col>5</xdr:col>
      <xdr:colOff>154940</xdr:colOff>
      <xdr:row>10</xdr:row>
      <xdr:rowOff>27940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300-000028000000}"/>
            </a:ext>
          </a:extLst>
        </xdr:cNvPr>
        <xdr:cNvSpPr txBox="1"/>
      </xdr:nvSpPr>
      <xdr:spPr>
        <a:xfrm>
          <a:off x="2247265" y="54350285"/>
          <a:ext cx="1098550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453F1B-9D61-46A0-9C6A-B9BAA8282C7E}" type="TxLink">
            <a:rPr lang="en-US" sz="1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TRANSITION</a:t>
          </a:fld>
          <a:endParaRPr lang="en-US" sz="3600" b="0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154940</xdr:colOff>
      <xdr:row>7</xdr:row>
      <xdr:rowOff>48260</xdr:rowOff>
    </xdr:from>
    <xdr:to>
      <xdr:col>6</xdr:col>
      <xdr:colOff>586740</xdr:colOff>
      <xdr:row>10</xdr:row>
      <xdr:rowOff>27940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300-000029000000}"/>
            </a:ext>
          </a:extLst>
        </xdr:cNvPr>
        <xdr:cNvSpPr txBox="1"/>
      </xdr:nvSpPr>
      <xdr:spPr>
        <a:xfrm>
          <a:off x="3345815" y="54350285"/>
          <a:ext cx="1069975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74BB02-2265-4317-87B6-854D848B1852}" type="TxLink">
            <a:rPr lang="en-US" sz="1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BUILD -UP</a:t>
          </a:fld>
          <a:endParaRPr lang="en-US" sz="4000" b="0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78740</xdr:colOff>
      <xdr:row>13</xdr:row>
      <xdr:rowOff>5080</xdr:rowOff>
    </xdr:from>
    <xdr:to>
      <xdr:col>1</xdr:col>
      <xdr:colOff>510540</xdr:colOff>
      <xdr:row>15</xdr:row>
      <xdr:rowOff>162560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300-00002A000000}"/>
            </a:ext>
          </a:extLst>
        </xdr:cNvPr>
        <xdr:cNvSpPr txBox="1"/>
      </xdr:nvSpPr>
      <xdr:spPr>
        <a:xfrm>
          <a:off x="78740" y="55450105"/>
          <a:ext cx="1069975" cy="5384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GOALS</a:t>
          </a:r>
          <a:endParaRPr lang="en-US" sz="18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510540</xdr:colOff>
      <xdr:row>13</xdr:row>
      <xdr:rowOff>5080</xdr:rowOff>
    </xdr:from>
    <xdr:to>
      <xdr:col>3</xdr:col>
      <xdr:colOff>332740</xdr:colOff>
      <xdr:row>15</xdr:row>
      <xdr:rowOff>162560</xdr:rowOff>
    </xdr:to>
    <xdr:sp macro="" textlink="Algandmed!AE156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300-00002B000000}"/>
            </a:ext>
          </a:extLst>
        </xdr:cNvPr>
        <xdr:cNvSpPr txBox="1"/>
      </xdr:nvSpPr>
      <xdr:spPr>
        <a:xfrm>
          <a:off x="1148715" y="55450105"/>
          <a:ext cx="1098550" cy="5384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BFB195-108D-43E9-9685-7C785E540C51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332740</xdr:colOff>
      <xdr:row>13</xdr:row>
      <xdr:rowOff>5080</xdr:rowOff>
    </xdr:from>
    <xdr:to>
      <xdr:col>5</xdr:col>
      <xdr:colOff>154940</xdr:colOff>
      <xdr:row>15</xdr:row>
      <xdr:rowOff>162560</xdr:rowOff>
    </xdr:to>
    <xdr:sp macro="" textlink="Algandmed!AF156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300-00002C000000}"/>
            </a:ext>
          </a:extLst>
        </xdr:cNvPr>
        <xdr:cNvSpPr txBox="1"/>
      </xdr:nvSpPr>
      <xdr:spPr>
        <a:xfrm>
          <a:off x="2247265" y="55450105"/>
          <a:ext cx="1098550" cy="5384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7F8B9B6-7766-4C38-95A8-8CF29F2F47EF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154940</xdr:colOff>
      <xdr:row>13</xdr:row>
      <xdr:rowOff>5080</xdr:rowOff>
    </xdr:from>
    <xdr:to>
      <xdr:col>6</xdr:col>
      <xdr:colOff>586740</xdr:colOff>
      <xdr:row>15</xdr:row>
      <xdr:rowOff>162560</xdr:rowOff>
    </xdr:to>
    <xdr:sp macro="" textlink="Algandmed!AG156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300-00002D000000}"/>
            </a:ext>
          </a:extLst>
        </xdr:cNvPr>
        <xdr:cNvSpPr txBox="1"/>
      </xdr:nvSpPr>
      <xdr:spPr>
        <a:xfrm>
          <a:off x="3345815" y="55450105"/>
          <a:ext cx="1069975" cy="5384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E6DFD74-BCE0-480F-AEA1-4574C6260C43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332740</xdr:colOff>
      <xdr:row>10</xdr:row>
      <xdr:rowOff>25400</xdr:rowOff>
    </xdr:from>
    <xdr:to>
      <xdr:col>5</xdr:col>
      <xdr:colOff>154940</xdr:colOff>
      <xdr:row>13</xdr:row>
      <xdr:rowOff>5080</xdr:rowOff>
    </xdr:to>
    <xdr:sp macro="" textlink="Algandmed!AF157">
      <xdr:nvSpPr>
        <xdr:cNvPr id="12" name="TextBox 11">
          <a:extLst>
            <a:ext uri="{FF2B5EF4-FFF2-40B4-BE49-F238E27FC236}">
              <a16:creationId xmlns:a16="http://schemas.microsoft.com/office/drawing/2014/main" xmlns="" id="{00000000-0008-0000-0300-00002E000000}"/>
            </a:ext>
          </a:extLst>
        </xdr:cNvPr>
        <xdr:cNvSpPr txBox="1"/>
      </xdr:nvSpPr>
      <xdr:spPr>
        <a:xfrm>
          <a:off x="2247265" y="54898925"/>
          <a:ext cx="1098550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2AD8743-87FE-420A-8C4E-498BFDC49BC4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35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510540</xdr:colOff>
      <xdr:row>10</xdr:row>
      <xdr:rowOff>25400</xdr:rowOff>
    </xdr:from>
    <xdr:to>
      <xdr:col>3</xdr:col>
      <xdr:colOff>332740</xdr:colOff>
      <xdr:row>13</xdr:row>
      <xdr:rowOff>5080</xdr:rowOff>
    </xdr:to>
    <xdr:sp macro="" textlink="Algandmed!AE157">
      <xdr:nvSpPr>
        <xdr:cNvPr id="13" name="TextBox 12">
          <a:extLst>
            <a:ext uri="{FF2B5EF4-FFF2-40B4-BE49-F238E27FC236}">
              <a16:creationId xmlns:a16="http://schemas.microsoft.com/office/drawing/2014/main" xmlns="" id="{00000000-0008-0000-0300-00002F000000}"/>
            </a:ext>
          </a:extLst>
        </xdr:cNvPr>
        <xdr:cNvSpPr txBox="1"/>
      </xdr:nvSpPr>
      <xdr:spPr>
        <a:xfrm>
          <a:off x="1148715" y="54898925"/>
          <a:ext cx="1098550" cy="551180"/>
        </a:xfrm>
        <a:prstGeom prst="rect">
          <a:avLst/>
        </a:prstGeom>
        <a:solidFill>
          <a:schemeClr val="bg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69C8944-29ED-4749-848B-AA83A13634A8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48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78740</xdr:colOff>
      <xdr:row>10</xdr:row>
      <xdr:rowOff>25400</xdr:rowOff>
    </xdr:from>
    <xdr:to>
      <xdr:col>1</xdr:col>
      <xdr:colOff>510540</xdr:colOff>
      <xdr:row>13</xdr:row>
      <xdr:rowOff>5080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xmlns="" id="{00000000-0008-0000-0300-000030000000}"/>
            </a:ext>
          </a:extLst>
        </xdr:cNvPr>
        <xdr:cNvSpPr txBox="1"/>
      </xdr:nvSpPr>
      <xdr:spPr>
        <a:xfrm>
          <a:off x="78740" y="54898925"/>
          <a:ext cx="1069975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TOTAL</a:t>
          </a:r>
          <a:endParaRPr lang="en-US" sz="48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154940</xdr:colOff>
      <xdr:row>10</xdr:row>
      <xdr:rowOff>25400</xdr:rowOff>
    </xdr:from>
    <xdr:to>
      <xdr:col>6</xdr:col>
      <xdr:colOff>586740</xdr:colOff>
      <xdr:row>13</xdr:row>
      <xdr:rowOff>5080</xdr:rowOff>
    </xdr:to>
    <xdr:sp macro="" textlink="Algandmed!AG157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300-000031000000}"/>
            </a:ext>
          </a:extLst>
        </xdr:cNvPr>
        <xdr:cNvSpPr txBox="1"/>
      </xdr:nvSpPr>
      <xdr:spPr>
        <a:xfrm>
          <a:off x="3345815" y="54898925"/>
          <a:ext cx="1069975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9529510-6C63-4EEB-82A2-225F2BE08142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14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78740</xdr:colOff>
      <xdr:row>15</xdr:row>
      <xdr:rowOff>160020</xdr:rowOff>
    </xdr:from>
    <xdr:to>
      <xdr:col>1</xdr:col>
      <xdr:colOff>510540</xdr:colOff>
      <xdr:row>18</xdr:row>
      <xdr:rowOff>139700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300-000032000000}"/>
            </a:ext>
          </a:extLst>
        </xdr:cNvPr>
        <xdr:cNvSpPr txBox="1"/>
      </xdr:nvSpPr>
      <xdr:spPr>
        <a:xfrm>
          <a:off x="78740" y="55986045"/>
          <a:ext cx="1069975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12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EFFICIENCY</a:t>
          </a:r>
          <a:endParaRPr lang="et-EE" sz="1200">
            <a:solidFill>
              <a:srgbClr val="4D4D4D"/>
            </a:solidFill>
            <a:effectLst/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332740</xdr:colOff>
      <xdr:row>15</xdr:row>
      <xdr:rowOff>160020</xdr:rowOff>
    </xdr:from>
    <xdr:to>
      <xdr:col>5</xdr:col>
      <xdr:colOff>154940</xdr:colOff>
      <xdr:row>18</xdr:row>
      <xdr:rowOff>139700</xdr:rowOff>
    </xdr:to>
    <xdr:sp macro="" textlink="Algandmed!AF158">
      <xdr:nvSpPr>
        <xdr:cNvPr id="17" name="TextBox 16">
          <a:extLst>
            <a:ext uri="{FF2B5EF4-FFF2-40B4-BE49-F238E27FC236}">
              <a16:creationId xmlns:a16="http://schemas.microsoft.com/office/drawing/2014/main" xmlns="" id="{00000000-0008-0000-0300-000033000000}"/>
            </a:ext>
          </a:extLst>
        </xdr:cNvPr>
        <xdr:cNvSpPr txBox="1"/>
      </xdr:nvSpPr>
      <xdr:spPr>
        <a:xfrm>
          <a:off x="2247265" y="55986045"/>
          <a:ext cx="1098550" cy="55118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2C8138-5A93-456E-914E-B6533DC175BD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7</xdr:col>
      <xdr:colOff>139700</xdr:colOff>
      <xdr:row>7</xdr:row>
      <xdr:rowOff>48260</xdr:rowOff>
    </xdr:from>
    <xdr:to>
      <xdr:col>8</xdr:col>
      <xdr:colOff>571500</xdr:colOff>
      <xdr:row>10</xdr:row>
      <xdr:rowOff>27940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xmlns="" id="{00000000-0008-0000-0300-000034000000}"/>
            </a:ext>
          </a:extLst>
        </xdr:cNvPr>
        <xdr:cNvSpPr txBox="1"/>
      </xdr:nvSpPr>
      <xdr:spPr>
        <a:xfrm>
          <a:off x="4606925" y="54350285"/>
          <a:ext cx="1069975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US" sz="32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571500</xdr:colOff>
      <xdr:row>7</xdr:row>
      <xdr:rowOff>48260</xdr:rowOff>
    </xdr:from>
    <xdr:to>
      <xdr:col>10</xdr:col>
      <xdr:colOff>393700</xdr:colOff>
      <xdr:row>10</xdr:row>
      <xdr:rowOff>27940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xmlns="" id="{00000000-0008-0000-0300-000035000000}"/>
            </a:ext>
          </a:extLst>
        </xdr:cNvPr>
        <xdr:cNvSpPr txBox="1"/>
      </xdr:nvSpPr>
      <xdr:spPr>
        <a:xfrm>
          <a:off x="5676900" y="54350285"/>
          <a:ext cx="1098550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99FD567-F108-4BD9-8547-11FAC3EE9323}" type="TxLink">
            <a:rPr lang="en-US" sz="1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STANDARD</a:t>
          </a:fld>
          <a:endParaRPr lang="en-US" sz="36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393700</xdr:colOff>
      <xdr:row>7</xdr:row>
      <xdr:rowOff>48260</xdr:rowOff>
    </xdr:from>
    <xdr:to>
      <xdr:col>12</xdr:col>
      <xdr:colOff>215900</xdr:colOff>
      <xdr:row>10</xdr:row>
      <xdr:rowOff>27940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xmlns="" id="{00000000-0008-0000-0300-000036000000}"/>
            </a:ext>
          </a:extLst>
        </xdr:cNvPr>
        <xdr:cNvSpPr txBox="1"/>
      </xdr:nvSpPr>
      <xdr:spPr>
        <a:xfrm>
          <a:off x="6775450" y="54350285"/>
          <a:ext cx="1098550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2C2D6A-0C02-42F1-A4E3-31AAABC12EA1}" type="TxLink">
            <a:rPr lang="en-US" sz="1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TRANSITION</a:t>
          </a:fld>
          <a:endParaRPr lang="en-US" sz="36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215900</xdr:colOff>
      <xdr:row>7</xdr:row>
      <xdr:rowOff>48260</xdr:rowOff>
    </xdr:from>
    <xdr:to>
      <xdr:col>13</xdr:col>
      <xdr:colOff>546100</xdr:colOff>
      <xdr:row>10</xdr:row>
      <xdr:rowOff>27940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xmlns="" id="{00000000-0008-0000-0300-000037000000}"/>
            </a:ext>
          </a:extLst>
        </xdr:cNvPr>
        <xdr:cNvSpPr txBox="1"/>
      </xdr:nvSpPr>
      <xdr:spPr>
        <a:xfrm>
          <a:off x="7874000" y="54350285"/>
          <a:ext cx="1073150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9D5700-8A18-48CC-B6AD-8AEDA4419752}" type="TxLink">
            <a:rPr lang="en-US" sz="1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BUILD -UP</a:t>
          </a:fld>
          <a:endParaRPr lang="en-US" sz="4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139700</xdr:colOff>
      <xdr:row>13</xdr:row>
      <xdr:rowOff>5080</xdr:rowOff>
    </xdr:from>
    <xdr:to>
      <xdr:col>8</xdr:col>
      <xdr:colOff>571500</xdr:colOff>
      <xdr:row>15</xdr:row>
      <xdr:rowOff>162560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xmlns="" id="{00000000-0008-0000-0300-000038000000}"/>
            </a:ext>
          </a:extLst>
        </xdr:cNvPr>
        <xdr:cNvSpPr txBox="1"/>
      </xdr:nvSpPr>
      <xdr:spPr>
        <a:xfrm>
          <a:off x="4606925" y="55450105"/>
          <a:ext cx="1069975" cy="5384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18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GOALS</a:t>
          </a:r>
          <a:endParaRPr lang="et-EE" sz="1800" b="1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pPr algn="ctr"/>
          <a:endParaRPr lang="en-US" sz="18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571500</xdr:colOff>
      <xdr:row>13</xdr:row>
      <xdr:rowOff>5080</xdr:rowOff>
    </xdr:from>
    <xdr:to>
      <xdr:col>10</xdr:col>
      <xdr:colOff>393700</xdr:colOff>
      <xdr:row>15</xdr:row>
      <xdr:rowOff>162560</xdr:rowOff>
    </xdr:to>
    <xdr:sp macro="" textlink="Algandmed!AT156">
      <xdr:nvSpPr>
        <xdr:cNvPr id="23" name="TextBox 22">
          <a:extLst>
            <a:ext uri="{FF2B5EF4-FFF2-40B4-BE49-F238E27FC236}">
              <a16:creationId xmlns:a16="http://schemas.microsoft.com/office/drawing/2014/main" xmlns="" id="{00000000-0008-0000-0300-000039000000}"/>
            </a:ext>
          </a:extLst>
        </xdr:cNvPr>
        <xdr:cNvSpPr txBox="1"/>
      </xdr:nvSpPr>
      <xdr:spPr>
        <a:xfrm>
          <a:off x="5676900" y="55450105"/>
          <a:ext cx="1098550" cy="5384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03D1673-199F-41B1-9902-B43345C5DF71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393700</xdr:colOff>
      <xdr:row>13</xdr:row>
      <xdr:rowOff>5080</xdr:rowOff>
    </xdr:from>
    <xdr:to>
      <xdr:col>12</xdr:col>
      <xdr:colOff>215900</xdr:colOff>
      <xdr:row>15</xdr:row>
      <xdr:rowOff>162560</xdr:rowOff>
    </xdr:to>
    <xdr:sp macro="" textlink="Algandmed!AU156">
      <xdr:nvSpPr>
        <xdr:cNvPr id="24" name="TextBox 23">
          <a:extLst>
            <a:ext uri="{FF2B5EF4-FFF2-40B4-BE49-F238E27FC236}">
              <a16:creationId xmlns:a16="http://schemas.microsoft.com/office/drawing/2014/main" xmlns="" id="{00000000-0008-0000-0300-00003A000000}"/>
            </a:ext>
          </a:extLst>
        </xdr:cNvPr>
        <xdr:cNvSpPr txBox="1"/>
      </xdr:nvSpPr>
      <xdr:spPr>
        <a:xfrm>
          <a:off x="6775450" y="55450105"/>
          <a:ext cx="1098550" cy="5384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923EEA-F5AC-4127-AB35-47A803C7E5B9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215900</xdr:colOff>
      <xdr:row>13</xdr:row>
      <xdr:rowOff>5080</xdr:rowOff>
    </xdr:from>
    <xdr:to>
      <xdr:col>13</xdr:col>
      <xdr:colOff>546100</xdr:colOff>
      <xdr:row>15</xdr:row>
      <xdr:rowOff>162560</xdr:rowOff>
    </xdr:to>
    <xdr:sp macro="" textlink="Algandmed!AV156">
      <xdr:nvSpPr>
        <xdr:cNvPr id="25" name="TextBox 24">
          <a:extLst>
            <a:ext uri="{FF2B5EF4-FFF2-40B4-BE49-F238E27FC236}">
              <a16:creationId xmlns:a16="http://schemas.microsoft.com/office/drawing/2014/main" xmlns="" id="{00000000-0008-0000-0300-00003B000000}"/>
            </a:ext>
          </a:extLst>
        </xdr:cNvPr>
        <xdr:cNvSpPr txBox="1"/>
      </xdr:nvSpPr>
      <xdr:spPr>
        <a:xfrm>
          <a:off x="7874000" y="55450105"/>
          <a:ext cx="1073150" cy="5384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B21B2A-5A36-4318-AE44-163877CF0927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393700</xdr:colOff>
      <xdr:row>10</xdr:row>
      <xdr:rowOff>25400</xdr:rowOff>
    </xdr:from>
    <xdr:to>
      <xdr:col>12</xdr:col>
      <xdr:colOff>215900</xdr:colOff>
      <xdr:row>13</xdr:row>
      <xdr:rowOff>0</xdr:rowOff>
    </xdr:to>
    <xdr:sp macro="" textlink="Algandmed!AU157">
      <xdr:nvSpPr>
        <xdr:cNvPr id="26" name="TextBox 25">
          <a:extLst>
            <a:ext uri="{FF2B5EF4-FFF2-40B4-BE49-F238E27FC236}">
              <a16:creationId xmlns:a16="http://schemas.microsoft.com/office/drawing/2014/main" xmlns="" id="{00000000-0008-0000-0300-00003C000000}"/>
            </a:ext>
          </a:extLst>
        </xdr:cNvPr>
        <xdr:cNvSpPr txBox="1"/>
      </xdr:nvSpPr>
      <xdr:spPr>
        <a:xfrm>
          <a:off x="6775450" y="54898925"/>
          <a:ext cx="1098550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DA26841-8A17-4C5D-BDFB-453ABFDB44D0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47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571500</xdr:colOff>
      <xdr:row>10</xdr:row>
      <xdr:rowOff>25400</xdr:rowOff>
    </xdr:from>
    <xdr:to>
      <xdr:col>10</xdr:col>
      <xdr:colOff>393700</xdr:colOff>
      <xdr:row>13</xdr:row>
      <xdr:rowOff>0</xdr:rowOff>
    </xdr:to>
    <xdr:sp macro="" textlink="Algandmed!AT157">
      <xdr:nvSpPr>
        <xdr:cNvPr id="27" name="TextBox 26">
          <a:extLst>
            <a:ext uri="{FF2B5EF4-FFF2-40B4-BE49-F238E27FC236}">
              <a16:creationId xmlns:a16="http://schemas.microsoft.com/office/drawing/2014/main" xmlns="" id="{00000000-0008-0000-0300-00003D000000}"/>
            </a:ext>
          </a:extLst>
        </xdr:cNvPr>
        <xdr:cNvSpPr txBox="1"/>
      </xdr:nvSpPr>
      <xdr:spPr>
        <a:xfrm>
          <a:off x="5676900" y="54898925"/>
          <a:ext cx="1098550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83126A9-1EEE-489A-B794-14DA5F53E308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45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139700</xdr:colOff>
      <xdr:row>10</xdr:row>
      <xdr:rowOff>25400</xdr:rowOff>
    </xdr:from>
    <xdr:to>
      <xdr:col>8</xdr:col>
      <xdr:colOff>571500</xdr:colOff>
      <xdr:row>13</xdr:row>
      <xdr:rowOff>5080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xmlns="" id="{00000000-0008-0000-0300-00003E000000}"/>
            </a:ext>
          </a:extLst>
        </xdr:cNvPr>
        <xdr:cNvSpPr txBox="1"/>
      </xdr:nvSpPr>
      <xdr:spPr>
        <a:xfrm>
          <a:off x="4606925" y="54898925"/>
          <a:ext cx="1069975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TOTAL</a:t>
          </a:r>
          <a:endParaRPr lang="en-US" sz="48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215900</xdr:colOff>
      <xdr:row>10</xdr:row>
      <xdr:rowOff>25400</xdr:rowOff>
    </xdr:from>
    <xdr:to>
      <xdr:col>13</xdr:col>
      <xdr:colOff>546100</xdr:colOff>
      <xdr:row>13</xdr:row>
      <xdr:rowOff>0</xdr:rowOff>
    </xdr:to>
    <xdr:sp macro="" textlink="Algandmed!AV157">
      <xdr:nvSpPr>
        <xdr:cNvPr id="29" name="TextBox 28">
          <a:extLst>
            <a:ext uri="{FF2B5EF4-FFF2-40B4-BE49-F238E27FC236}">
              <a16:creationId xmlns:a16="http://schemas.microsoft.com/office/drawing/2014/main" xmlns="" id="{00000000-0008-0000-0300-00003F000000}"/>
            </a:ext>
          </a:extLst>
        </xdr:cNvPr>
        <xdr:cNvSpPr txBox="1"/>
      </xdr:nvSpPr>
      <xdr:spPr>
        <a:xfrm>
          <a:off x="7874000" y="54898925"/>
          <a:ext cx="1073150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D42452-CD45-4124-8924-3DB023F0232B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26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139700</xdr:colOff>
      <xdr:row>15</xdr:row>
      <xdr:rowOff>160020</xdr:rowOff>
    </xdr:from>
    <xdr:to>
      <xdr:col>8</xdr:col>
      <xdr:colOff>571500</xdr:colOff>
      <xdr:row>18</xdr:row>
      <xdr:rowOff>139700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xmlns="" id="{00000000-0008-0000-0300-000040000000}"/>
            </a:ext>
          </a:extLst>
        </xdr:cNvPr>
        <xdr:cNvSpPr txBox="1"/>
      </xdr:nvSpPr>
      <xdr:spPr>
        <a:xfrm>
          <a:off x="4606925" y="55986045"/>
          <a:ext cx="1069975" cy="5511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EFFICIENCY</a:t>
          </a:r>
          <a:endParaRPr lang="en-US" sz="12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571500</xdr:colOff>
      <xdr:row>15</xdr:row>
      <xdr:rowOff>160020</xdr:rowOff>
    </xdr:from>
    <xdr:to>
      <xdr:col>10</xdr:col>
      <xdr:colOff>393700</xdr:colOff>
      <xdr:row>18</xdr:row>
      <xdr:rowOff>139700</xdr:rowOff>
    </xdr:to>
    <xdr:sp macro="" textlink="Algandmed!AT158">
      <xdr:nvSpPr>
        <xdr:cNvPr id="31" name="TextBox 30">
          <a:extLst>
            <a:ext uri="{FF2B5EF4-FFF2-40B4-BE49-F238E27FC236}">
              <a16:creationId xmlns:a16="http://schemas.microsoft.com/office/drawing/2014/main" xmlns="" id="{00000000-0008-0000-0300-000041000000}"/>
            </a:ext>
          </a:extLst>
        </xdr:cNvPr>
        <xdr:cNvSpPr txBox="1"/>
      </xdr:nvSpPr>
      <xdr:spPr>
        <a:xfrm>
          <a:off x="5676900" y="55986045"/>
          <a:ext cx="1098550" cy="55118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C09CAE7-DE38-401D-8997-5A3C7CD2E9D4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2,2%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10</xdr:col>
      <xdr:colOff>393700</xdr:colOff>
      <xdr:row>15</xdr:row>
      <xdr:rowOff>160020</xdr:rowOff>
    </xdr:from>
    <xdr:to>
      <xdr:col>12</xdr:col>
      <xdr:colOff>215900</xdr:colOff>
      <xdr:row>18</xdr:row>
      <xdr:rowOff>139700</xdr:rowOff>
    </xdr:to>
    <xdr:sp macro="" textlink="Algandmed!AU158">
      <xdr:nvSpPr>
        <xdr:cNvPr id="32" name="TextBox 31">
          <a:extLst>
            <a:ext uri="{FF2B5EF4-FFF2-40B4-BE49-F238E27FC236}">
              <a16:creationId xmlns:a16="http://schemas.microsoft.com/office/drawing/2014/main" xmlns="" id="{00000000-0008-0000-0300-000042000000}"/>
            </a:ext>
          </a:extLst>
        </xdr:cNvPr>
        <xdr:cNvSpPr txBox="1"/>
      </xdr:nvSpPr>
      <xdr:spPr>
        <a:xfrm>
          <a:off x="6775450" y="55986045"/>
          <a:ext cx="1098550" cy="55118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410A4B6-9B99-4507-8B8D-C333995DB230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12</xdr:col>
      <xdr:colOff>215900</xdr:colOff>
      <xdr:row>15</xdr:row>
      <xdr:rowOff>160020</xdr:rowOff>
    </xdr:from>
    <xdr:to>
      <xdr:col>13</xdr:col>
      <xdr:colOff>546100</xdr:colOff>
      <xdr:row>18</xdr:row>
      <xdr:rowOff>139700</xdr:rowOff>
    </xdr:to>
    <xdr:sp macro="" textlink="Algandmed!AV158">
      <xdr:nvSpPr>
        <xdr:cNvPr id="33" name="TextBox 32">
          <a:extLst>
            <a:ext uri="{FF2B5EF4-FFF2-40B4-BE49-F238E27FC236}">
              <a16:creationId xmlns:a16="http://schemas.microsoft.com/office/drawing/2014/main" xmlns="" id="{00000000-0008-0000-0300-000043000000}"/>
            </a:ext>
          </a:extLst>
        </xdr:cNvPr>
        <xdr:cNvSpPr txBox="1"/>
      </xdr:nvSpPr>
      <xdr:spPr>
        <a:xfrm>
          <a:off x="7874000" y="55986045"/>
          <a:ext cx="1073150" cy="55118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1D06F1-33A4-4C7C-B068-2C93927DEAFF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3,8%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0</xdr:col>
      <xdr:colOff>78740</xdr:colOff>
      <xdr:row>18</xdr:row>
      <xdr:rowOff>137160</xdr:rowOff>
    </xdr:from>
    <xdr:to>
      <xdr:col>1</xdr:col>
      <xdr:colOff>510540</xdr:colOff>
      <xdr:row>21</xdr:row>
      <xdr:rowOff>111760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xmlns="" id="{00000000-0008-0000-0300-000045000000}"/>
            </a:ext>
          </a:extLst>
        </xdr:cNvPr>
        <xdr:cNvSpPr txBox="1"/>
      </xdr:nvSpPr>
      <xdr:spPr>
        <a:xfrm>
          <a:off x="78740" y="56534685"/>
          <a:ext cx="1069975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SHOTS</a:t>
          </a:r>
          <a:endParaRPr lang="en-US" sz="18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510540</xdr:colOff>
      <xdr:row>18</xdr:row>
      <xdr:rowOff>137160</xdr:rowOff>
    </xdr:from>
    <xdr:to>
      <xdr:col>3</xdr:col>
      <xdr:colOff>332740</xdr:colOff>
      <xdr:row>21</xdr:row>
      <xdr:rowOff>111760</xdr:rowOff>
    </xdr:to>
    <xdr:sp macro="" textlink="Algandmed!AE205">
      <xdr:nvSpPr>
        <xdr:cNvPr id="36" name="TextBox 35">
          <a:extLst>
            <a:ext uri="{FF2B5EF4-FFF2-40B4-BE49-F238E27FC236}">
              <a16:creationId xmlns:a16="http://schemas.microsoft.com/office/drawing/2014/main" xmlns="" id="{00000000-0008-0000-0300-000046000000}"/>
            </a:ext>
          </a:extLst>
        </xdr:cNvPr>
        <xdr:cNvSpPr txBox="1"/>
      </xdr:nvSpPr>
      <xdr:spPr>
        <a:xfrm>
          <a:off x="1148715" y="56534685"/>
          <a:ext cx="1098550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52846C0-D073-4697-A74C-5E52D36B59A8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5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332740</xdr:colOff>
      <xdr:row>18</xdr:row>
      <xdr:rowOff>137160</xdr:rowOff>
    </xdr:from>
    <xdr:to>
      <xdr:col>5</xdr:col>
      <xdr:colOff>154940</xdr:colOff>
      <xdr:row>21</xdr:row>
      <xdr:rowOff>111760</xdr:rowOff>
    </xdr:to>
    <xdr:sp macro="" textlink="Algandmed!AF205">
      <xdr:nvSpPr>
        <xdr:cNvPr id="37" name="TextBox 36">
          <a:extLst>
            <a:ext uri="{FF2B5EF4-FFF2-40B4-BE49-F238E27FC236}">
              <a16:creationId xmlns:a16="http://schemas.microsoft.com/office/drawing/2014/main" xmlns="" id="{00000000-0008-0000-0300-000047000000}"/>
            </a:ext>
          </a:extLst>
        </xdr:cNvPr>
        <xdr:cNvSpPr txBox="1"/>
      </xdr:nvSpPr>
      <xdr:spPr>
        <a:xfrm>
          <a:off x="2247265" y="56534685"/>
          <a:ext cx="1098550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C7CCF0D-9631-4EB1-9F88-17629BF6BE69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154940</xdr:colOff>
      <xdr:row>18</xdr:row>
      <xdr:rowOff>137160</xdr:rowOff>
    </xdr:from>
    <xdr:to>
      <xdr:col>6</xdr:col>
      <xdr:colOff>586740</xdr:colOff>
      <xdr:row>21</xdr:row>
      <xdr:rowOff>111760</xdr:rowOff>
    </xdr:to>
    <xdr:sp macro="" textlink="Algandmed!AG205">
      <xdr:nvSpPr>
        <xdr:cNvPr id="38" name="TextBox 37">
          <a:extLst>
            <a:ext uri="{FF2B5EF4-FFF2-40B4-BE49-F238E27FC236}">
              <a16:creationId xmlns:a16="http://schemas.microsoft.com/office/drawing/2014/main" xmlns="" id="{00000000-0008-0000-0300-000048000000}"/>
            </a:ext>
          </a:extLst>
        </xdr:cNvPr>
        <xdr:cNvSpPr txBox="1"/>
      </xdr:nvSpPr>
      <xdr:spPr>
        <a:xfrm>
          <a:off x="3345815" y="56534685"/>
          <a:ext cx="1069975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017F657-6E5F-48C5-BCBA-5D61325CE460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78740</xdr:colOff>
      <xdr:row>21</xdr:row>
      <xdr:rowOff>114300</xdr:rowOff>
    </xdr:from>
    <xdr:to>
      <xdr:col>1</xdr:col>
      <xdr:colOff>510540</xdr:colOff>
      <xdr:row>24</xdr:row>
      <xdr:rowOff>88900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xmlns="" id="{00000000-0008-0000-0300-000049000000}"/>
            </a:ext>
          </a:extLst>
        </xdr:cNvPr>
        <xdr:cNvSpPr txBox="1"/>
      </xdr:nvSpPr>
      <xdr:spPr>
        <a:xfrm>
          <a:off x="78740" y="57083325"/>
          <a:ext cx="1069975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12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EFFICIENCY</a:t>
          </a:r>
          <a:endParaRPr lang="et-EE" sz="1200">
            <a:solidFill>
              <a:srgbClr val="4D4D4D"/>
            </a:solidFill>
            <a:effectLst/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510540</xdr:colOff>
      <xdr:row>21</xdr:row>
      <xdr:rowOff>114300</xdr:rowOff>
    </xdr:from>
    <xdr:to>
      <xdr:col>3</xdr:col>
      <xdr:colOff>332740</xdr:colOff>
      <xdr:row>24</xdr:row>
      <xdr:rowOff>88900</xdr:rowOff>
    </xdr:to>
    <xdr:sp macro="" textlink="Algandmed!AE207">
      <xdr:nvSpPr>
        <xdr:cNvPr id="40" name="TextBox 39">
          <a:extLst>
            <a:ext uri="{FF2B5EF4-FFF2-40B4-BE49-F238E27FC236}">
              <a16:creationId xmlns:a16="http://schemas.microsoft.com/office/drawing/2014/main" xmlns="" id="{00000000-0008-0000-0300-00004A000000}"/>
            </a:ext>
          </a:extLst>
        </xdr:cNvPr>
        <xdr:cNvSpPr txBox="1"/>
      </xdr:nvSpPr>
      <xdr:spPr>
        <a:xfrm>
          <a:off x="1148715" y="57083325"/>
          <a:ext cx="1098550" cy="5461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AC17259-2942-4E96-A304-1C46298EC5E0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10,4%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3</xdr:col>
      <xdr:colOff>332740</xdr:colOff>
      <xdr:row>21</xdr:row>
      <xdr:rowOff>114300</xdr:rowOff>
    </xdr:from>
    <xdr:to>
      <xdr:col>5</xdr:col>
      <xdr:colOff>154940</xdr:colOff>
      <xdr:row>24</xdr:row>
      <xdr:rowOff>88900</xdr:rowOff>
    </xdr:to>
    <xdr:sp macro="" textlink="Algandmed!AF207">
      <xdr:nvSpPr>
        <xdr:cNvPr id="41" name="TextBox 40">
          <a:extLst>
            <a:ext uri="{FF2B5EF4-FFF2-40B4-BE49-F238E27FC236}">
              <a16:creationId xmlns:a16="http://schemas.microsoft.com/office/drawing/2014/main" xmlns="" id="{00000000-0008-0000-0300-00004B000000}"/>
            </a:ext>
          </a:extLst>
        </xdr:cNvPr>
        <xdr:cNvSpPr txBox="1"/>
      </xdr:nvSpPr>
      <xdr:spPr>
        <a:xfrm>
          <a:off x="2247265" y="57083325"/>
          <a:ext cx="1098550" cy="546100"/>
        </a:xfrm>
        <a:prstGeom prst="rect">
          <a:avLst/>
        </a:prstGeom>
        <a:solidFill>
          <a:srgbClr val="FFFFFF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3988C12-E9D4-45B1-92DC-7F3D1D4803A7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5</xdr:col>
      <xdr:colOff>154940</xdr:colOff>
      <xdr:row>21</xdr:row>
      <xdr:rowOff>114300</xdr:rowOff>
    </xdr:from>
    <xdr:to>
      <xdr:col>6</xdr:col>
      <xdr:colOff>586740</xdr:colOff>
      <xdr:row>24</xdr:row>
      <xdr:rowOff>88900</xdr:rowOff>
    </xdr:to>
    <xdr:sp macro="" textlink="Algandmed!AG207">
      <xdr:nvSpPr>
        <xdr:cNvPr id="42" name="TextBox 41">
          <a:extLst>
            <a:ext uri="{FF2B5EF4-FFF2-40B4-BE49-F238E27FC236}">
              <a16:creationId xmlns:a16="http://schemas.microsoft.com/office/drawing/2014/main" xmlns="" id="{00000000-0008-0000-0300-00004C000000}"/>
            </a:ext>
          </a:extLst>
        </xdr:cNvPr>
        <xdr:cNvSpPr txBox="1"/>
      </xdr:nvSpPr>
      <xdr:spPr>
        <a:xfrm>
          <a:off x="3345815" y="57083325"/>
          <a:ext cx="1069975" cy="546100"/>
        </a:xfrm>
        <a:prstGeom prst="rect">
          <a:avLst/>
        </a:prstGeom>
        <a:solidFill>
          <a:srgbClr val="FFFFFF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81FFEDD-371B-472E-98EB-4F61E42E6E70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7</xdr:col>
      <xdr:colOff>139700</xdr:colOff>
      <xdr:row>18</xdr:row>
      <xdr:rowOff>137160</xdr:rowOff>
    </xdr:from>
    <xdr:to>
      <xdr:col>8</xdr:col>
      <xdr:colOff>571500</xdr:colOff>
      <xdr:row>21</xdr:row>
      <xdr:rowOff>111760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xmlns="" id="{00000000-0008-0000-0300-00004D000000}"/>
            </a:ext>
          </a:extLst>
        </xdr:cNvPr>
        <xdr:cNvSpPr txBox="1"/>
      </xdr:nvSpPr>
      <xdr:spPr>
        <a:xfrm>
          <a:off x="4606925" y="56534685"/>
          <a:ext cx="1069975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18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SHOTS</a:t>
          </a:r>
          <a:endParaRPr lang="et-EE" sz="1800">
            <a:solidFill>
              <a:srgbClr val="4D4D4D"/>
            </a:solidFill>
            <a:effectLst/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571500</xdr:colOff>
      <xdr:row>18</xdr:row>
      <xdr:rowOff>137160</xdr:rowOff>
    </xdr:from>
    <xdr:to>
      <xdr:col>10</xdr:col>
      <xdr:colOff>393700</xdr:colOff>
      <xdr:row>21</xdr:row>
      <xdr:rowOff>111760</xdr:rowOff>
    </xdr:to>
    <xdr:sp macro="" textlink="Algandmed!AT205">
      <xdr:nvSpPr>
        <xdr:cNvPr id="44" name="TextBox 43">
          <a:extLst>
            <a:ext uri="{FF2B5EF4-FFF2-40B4-BE49-F238E27FC236}">
              <a16:creationId xmlns:a16="http://schemas.microsoft.com/office/drawing/2014/main" xmlns="" id="{00000000-0008-0000-0300-00004E000000}"/>
            </a:ext>
          </a:extLst>
        </xdr:cNvPr>
        <xdr:cNvSpPr txBox="1"/>
      </xdr:nvSpPr>
      <xdr:spPr>
        <a:xfrm>
          <a:off x="5676900" y="56534685"/>
          <a:ext cx="1098550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3E7C946-1E1C-4A82-8282-FDF044089B8D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8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393700</xdr:colOff>
      <xdr:row>18</xdr:row>
      <xdr:rowOff>137160</xdr:rowOff>
    </xdr:from>
    <xdr:to>
      <xdr:col>12</xdr:col>
      <xdr:colOff>215900</xdr:colOff>
      <xdr:row>21</xdr:row>
      <xdr:rowOff>111760</xdr:rowOff>
    </xdr:to>
    <xdr:sp macro="" textlink="Algandmed!AU205">
      <xdr:nvSpPr>
        <xdr:cNvPr id="45" name="TextBox 44">
          <a:extLst>
            <a:ext uri="{FF2B5EF4-FFF2-40B4-BE49-F238E27FC236}">
              <a16:creationId xmlns:a16="http://schemas.microsoft.com/office/drawing/2014/main" xmlns="" id="{00000000-0008-0000-0300-00004F000000}"/>
            </a:ext>
          </a:extLst>
        </xdr:cNvPr>
        <xdr:cNvSpPr txBox="1"/>
      </xdr:nvSpPr>
      <xdr:spPr>
        <a:xfrm>
          <a:off x="6775450" y="56534685"/>
          <a:ext cx="1098550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2F86AAC-1E7C-400D-A5E5-7BF0C6B7E637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5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215900</xdr:colOff>
      <xdr:row>18</xdr:row>
      <xdr:rowOff>137160</xdr:rowOff>
    </xdr:from>
    <xdr:to>
      <xdr:col>13</xdr:col>
      <xdr:colOff>546100</xdr:colOff>
      <xdr:row>21</xdr:row>
      <xdr:rowOff>111760</xdr:rowOff>
    </xdr:to>
    <xdr:sp macro="" textlink="Algandmed!AV205">
      <xdr:nvSpPr>
        <xdr:cNvPr id="46" name="TextBox 45">
          <a:extLst>
            <a:ext uri="{FF2B5EF4-FFF2-40B4-BE49-F238E27FC236}">
              <a16:creationId xmlns:a16="http://schemas.microsoft.com/office/drawing/2014/main" xmlns="" id="{00000000-0008-0000-0300-000050000000}"/>
            </a:ext>
          </a:extLst>
        </xdr:cNvPr>
        <xdr:cNvSpPr txBox="1"/>
      </xdr:nvSpPr>
      <xdr:spPr>
        <a:xfrm>
          <a:off x="7874000" y="56534685"/>
          <a:ext cx="1073150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3412EB8-AE3A-4C25-9F34-BEF3D52FE4D1}" type="TxLink">
            <a:rPr lang="en-US" sz="24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2</a:t>
          </a:fld>
          <a:endParaRPr lang="en-US" sz="2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139700</xdr:colOff>
      <xdr:row>21</xdr:row>
      <xdr:rowOff>114300</xdr:rowOff>
    </xdr:from>
    <xdr:to>
      <xdr:col>8</xdr:col>
      <xdr:colOff>571500</xdr:colOff>
      <xdr:row>24</xdr:row>
      <xdr:rowOff>88900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xmlns="" id="{00000000-0008-0000-0300-000051000000}"/>
            </a:ext>
          </a:extLst>
        </xdr:cNvPr>
        <xdr:cNvSpPr txBox="1"/>
      </xdr:nvSpPr>
      <xdr:spPr>
        <a:xfrm>
          <a:off x="4606925" y="57083325"/>
          <a:ext cx="1069975" cy="5461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EFFICIENCY</a:t>
          </a:r>
          <a:endParaRPr lang="en-US" sz="12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571500</xdr:colOff>
      <xdr:row>21</xdr:row>
      <xdr:rowOff>114300</xdr:rowOff>
    </xdr:from>
    <xdr:to>
      <xdr:col>10</xdr:col>
      <xdr:colOff>393700</xdr:colOff>
      <xdr:row>24</xdr:row>
      <xdr:rowOff>88900</xdr:rowOff>
    </xdr:to>
    <xdr:sp macro="" textlink="Algandmed!AT207">
      <xdr:nvSpPr>
        <xdr:cNvPr id="48" name="TextBox 47">
          <a:extLst>
            <a:ext uri="{FF2B5EF4-FFF2-40B4-BE49-F238E27FC236}">
              <a16:creationId xmlns:a16="http://schemas.microsoft.com/office/drawing/2014/main" xmlns="" id="{00000000-0008-0000-0300-000052000000}"/>
            </a:ext>
          </a:extLst>
        </xdr:cNvPr>
        <xdr:cNvSpPr txBox="1"/>
      </xdr:nvSpPr>
      <xdr:spPr>
        <a:xfrm>
          <a:off x="5676900" y="57083325"/>
          <a:ext cx="1098550" cy="5461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29AC59A-631A-49E7-8B5C-E3668C48B2D0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17,8%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10</xdr:col>
      <xdr:colOff>393700</xdr:colOff>
      <xdr:row>21</xdr:row>
      <xdr:rowOff>114300</xdr:rowOff>
    </xdr:from>
    <xdr:to>
      <xdr:col>12</xdr:col>
      <xdr:colOff>215900</xdr:colOff>
      <xdr:row>24</xdr:row>
      <xdr:rowOff>88900</xdr:rowOff>
    </xdr:to>
    <xdr:sp macro="" textlink="Algandmed!AU207">
      <xdr:nvSpPr>
        <xdr:cNvPr id="49" name="TextBox 48">
          <a:extLst>
            <a:ext uri="{FF2B5EF4-FFF2-40B4-BE49-F238E27FC236}">
              <a16:creationId xmlns:a16="http://schemas.microsoft.com/office/drawing/2014/main" xmlns="" id="{00000000-0008-0000-0300-000053000000}"/>
            </a:ext>
          </a:extLst>
        </xdr:cNvPr>
        <xdr:cNvSpPr txBox="1"/>
      </xdr:nvSpPr>
      <xdr:spPr>
        <a:xfrm>
          <a:off x="6775450" y="57083325"/>
          <a:ext cx="1098550" cy="5461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164AF42-EF30-4DA2-8C29-D30DA5CE63FA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10,6%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12</xdr:col>
      <xdr:colOff>215900</xdr:colOff>
      <xdr:row>21</xdr:row>
      <xdr:rowOff>114300</xdr:rowOff>
    </xdr:from>
    <xdr:to>
      <xdr:col>13</xdr:col>
      <xdr:colOff>546100</xdr:colOff>
      <xdr:row>24</xdr:row>
      <xdr:rowOff>88900</xdr:rowOff>
    </xdr:to>
    <xdr:sp macro="" textlink="Algandmed!AV207">
      <xdr:nvSpPr>
        <xdr:cNvPr id="50" name="TextBox 49">
          <a:extLst>
            <a:ext uri="{FF2B5EF4-FFF2-40B4-BE49-F238E27FC236}">
              <a16:creationId xmlns:a16="http://schemas.microsoft.com/office/drawing/2014/main" xmlns="" id="{00000000-0008-0000-0300-000054000000}"/>
            </a:ext>
          </a:extLst>
        </xdr:cNvPr>
        <xdr:cNvSpPr txBox="1"/>
      </xdr:nvSpPr>
      <xdr:spPr>
        <a:xfrm>
          <a:off x="7874000" y="57083325"/>
          <a:ext cx="1073150" cy="5461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BD3E872-12B4-44F5-82BC-3DDB3292FF47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7,7%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5</xdr:col>
      <xdr:colOff>154940</xdr:colOff>
      <xdr:row>15</xdr:row>
      <xdr:rowOff>160020</xdr:rowOff>
    </xdr:from>
    <xdr:to>
      <xdr:col>6</xdr:col>
      <xdr:colOff>586740</xdr:colOff>
      <xdr:row>18</xdr:row>
      <xdr:rowOff>139700</xdr:rowOff>
    </xdr:to>
    <xdr:sp macro="" textlink="Algandmed!AG158">
      <xdr:nvSpPr>
        <xdr:cNvPr id="57" name="TextBox 56">
          <a:extLst>
            <a:ext uri="{FF2B5EF4-FFF2-40B4-BE49-F238E27FC236}">
              <a16:creationId xmlns:a16="http://schemas.microsoft.com/office/drawing/2014/main" xmlns="" id="{00000000-0008-0000-0300-000096010000}"/>
            </a:ext>
          </a:extLst>
        </xdr:cNvPr>
        <xdr:cNvSpPr txBox="1"/>
      </xdr:nvSpPr>
      <xdr:spPr>
        <a:xfrm>
          <a:off x="3345815" y="55986045"/>
          <a:ext cx="1069975" cy="55118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803A0A0-2A92-4370-8F85-66D5F3768AFB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</xdr:col>
      <xdr:colOff>510540</xdr:colOff>
      <xdr:row>15</xdr:row>
      <xdr:rowOff>160020</xdr:rowOff>
    </xdr:from>
    <xdr:to>
      <xdr:col>3</xdr:col>
      <xdr:colOff>332740</xdr:colOff>
      <xdr:row>18</xdr:row>
      <xdr:rowOff>139700</xdr:rowOff>
    </xdr:to>
    <xdr:sp macro="" textlink="Algandmed!AE158">
      <xdr:nvSpPr>
        <xdr:cNvPr id="58" name="TextBox 57">
          <a:extLst>
            <a:ext uri="{FF2B5EF4-FFF2-40B4-BE49-F238E27FC236}">
              <a16:creationId xmlns:a16="http://schemas.microsoft.com/office/drawing/2014/main" xmlns="" id="{00000000-0008-0000-0300-000097010000}"/>
            </a:ext>
          </a:extLst>
        </xdr:cNvPr>
        <xdr:cNvSpPr txBox="1"/>
      </xdr:nvSpPr>
      <xdr:spPr>
        <a:xfrm>
          <a:off x="1148715" y="55986045"/>
          <a:ext cx="1098550" cy="55118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A826C6F-B478-450B-B980-BC635B4EBD4E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 editAs="oneCell">
    <xdr:from>
      <xdr:col>0</xdr:col>
      <xdr:colOff>103909</xdr:colOff>
      <xdr:row>0</xdr:row>
      <xdr:rowOff>124691</xdr:rowOff>
    </xdr:from>
    <xdr:to>
      <xdr:col>2</xdr:col>
      <xdr:colOff>284018</xdr:colOff>
      <xdr:row>5</xdr:row>
      <xdr:rowOff>865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xmlns="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03909" y="52712216"/>
          <a:ext cx="1456459" cy="828674"/>
        </a:xfrm>
        <a:prstGeom prst="rect">
          <a:avLst/>
        </a:prstGeom>
      </xdr:spPr>
    </xdr:pic>
    <xdr:clientData/>
  </xdr:twoCellAnchor>
  <xdr:twoCellAnchor>
    <xdr:from>
      <xdr:col>0</xdr:col>
      <xdr:colOff>57150</xdr:colOff>
      <xdr:row>29</xdr:row>
      <xdr:rowOff>41275</xdr:rowOff>
    </xdr:from>
    <xdr:to>
      <xdr:col>7</xdr:col>
      <xdr:colOff>95250</xdr:colOff>
      <xdr:row>48</xdr:row>
      <xdr:rowOff>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xmlns="" id="{00000000-0008-0000-03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502557</xdr:colOff>
      <xdr:row>48</xdr:row>
      <xdr:rowOff>186780</xdr:rowOff>
    </xdr:from>
    <xdr:to>
      <xdr:col>3</xdr:col>
      <xdr:colOff>502557</xdr:colOff>
      <xdr:row>50</xdr:row>
      <xdr:rowOff>174080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xmlns="" id="{00000000-0008-0000-0300-000084010000}"/>
            </a:ext>
          </a:extLst>
        </xdr:cNvPr>
        <xdr:cNvSpPr txBox="1"/>
      </xdr:nvSpPr>
      <xdr:spPr>
        <a:xfrm>
          <a:off x="1159782" y="4758780"/>
          <a:ext cx="1314450" cy="368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WE</a:t>
          </a:r>
        </a:p>
      </xdr:txBody>
    </xdr:sp>
    <xdr:clientData/>
  </xdr:twoCellAnchor>
  <xdr:twoCellAnchor>
    <xdr:from>
      <xdr:col>8</xdr:col>
      <xdr:colOff>461736</xdr:colOff>
      <xdr:row>49</xdr:row>
      <xdr:rowOff>19866</xdr:rowOff>
    </xdr:from>
    <xdr:to>
      <xdr:col>11</xdr:col>
      <xdr:colOff>93436</xdr:colOff>
      <xdr:row>51</xdr:row>
      <xdr:rowOff>32566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xmlns="" id="{00000000-0008-0000-0300-000085010000}"/>
            </a:ext>
          </a:extLst>
        </xdr:cNvPr>
        <xdr:cNvSpPr txBox="1"/>
      </xdr:nvSpPr>
      <xdr:spPr>
        <a:xfrm>
          <a:off x="5719536" y="4782366"/>
          <a:ext cx="1603375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THEM</a:t>
          </a:r>
        </a:p>
      </xdr:txBody>
    </xdr:sp>
    <xdr:clientData/>
  </xdr:twoCellAnchor>
  <xdr:twoCellAnchor>
    <xdr:from>
      <xdr:col>2</xdr:col>
      <xdr:colOff>57150</xdr:colOff>
      <xdr:row>28</xdr:row>
      <xdr:rowOff>130175</xdr:rowOff>
    </xdr:from>
    <xdr:to>
      <xdr:col>4</xdr:col>
      <xdr:colOff>57150</xdr:colOff>
      <xdr:row>30</xdr:row>
      <xdr:rowOff>117475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xmlns="" id="{00000000-0008-0000-0300-000086010000}"/>
            </a:ext>
          </a:extLst>
        </xdr:cNvPr>
        <xdr:cNvSpPr txBox="1"/>
      </xdr:nvSpPr>
      <xdr:spPr>
        <a:xfrm>
          <a:off x="1371600" y="892175"/>
          <a:ext cx="1314450" cy="368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WE </a:t>
          </a:r>
        </a:p>
      </xdr:txBody>
    </xdr:sp>
    <xdr:clientData/>
  </xdr:twoCellAnchor>
  <xdr:twoCellAnchor>
    <xdr:from>
      <xdr:col>10</xdr:col>
      <xdr:colOff>120650</xdr:colOff>
      <xdr:row>28</xdr:row>
      <xdr:rowOff>104775</xdr:rowOff>
    </xdr:from>
    <xdr:to>
      <xdr:col>12</xdr:col>
      <xdr:colOff>361950</xdr:colOff>
      <xdr:row>30</xdr:row>
      <xdr:rowOff>117475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xmlns="" id="{00000000-0008-0000-0300-000087010000}"/>
            </a:ext>
          </a:extLst>
        </xdr:cNvPr>
        <xdr:cNvSpPr txBox="1"/>
      </xdr:nvSpPr>
      <xdr:spPr>
        <a:xfrm>
          <a:off x="6692900" y="866775"/>
          <a:ext cx="155575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THEM </a:t>
          </a:r>
        </a:p>
      </xdr:txBody>
    </xdr:sp>
    <xdr:clientData/>
  </xdr:twoCellAnchor>
  <xdr:twoCellAnchor>
    <xdr:from>
      <xdr:col>5</xdr:col>
      <xdr:colOff>15874</xdr:colOff>
      <xdr:row>25</xdr:row>
      <xdr:rowOff>111704</xdr:rowOff>
    </xdr:from>
    <xdr:to>
      <xdr:col>8</xdr:col>
      <xdr:colOff>458065</xdr:colOff>
      <xdr:row>28</xdr:row>
      <xdr:rowOff>0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xmlns="" id="{00000000-0008-0000-0300-000098010000}"/>
            </a:ext>
          </a:extLst>
        </xdr:cNvPr>
        <xdr:cNvSpPr txBox="1"/>
      </xdr:nvSpPr>
      <xdr:spPr>
        <a:xfrm>
          <a:off x="3301999" y="111704"/>
          <a:ext cx="2413866" cy="6502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600" b="1">
              <a:solidFill>
                <a:srgbClr val="4D4D4D"/>
              </a:solidFill>
              <a:latin typeface="Hanse" panose="02000000000000000000" pitchFamily="50" charset="0"/>
            </a:rPr>
            <a:t>GOALS</a:t>
          </a:r>
        </a:p>
        <a:p>
          <a:endParaRPr lang="et-EE" sz="1100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131535</xdr:colOff>
      <xdr:row>45</xdr:row>
      <xdr:rowOff>49439</xdr:rowOff>
    </xdr:from>
    <xdr:to>
      <xdr:col>8</xdr:col>
      <xdr:colOff>525235</xdr:colOff>
      <xdr:row>49</xdr:row>
      <xdr:rowOff>103909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xmlns="" id="{00000000-0008-0000-0300-000099010000}"/>
            </a:ext>
          </a:extLst>
        </xdr:cNvPr>
        <xdr:cNvSpPr txBox="1"/>
      </xdr:nvSpPr>
      <xdr:spPr>
        <a:xfrm>
          <a:off x="3417660" y="4049939"/>
          <a:ext cx="2365375" cy="8164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600" b="1">
              <a:solidFill>
                <a:srgbClr val="4D4D4D"/>
              </a:solidFill>
              <a:latin typeface="Hanse" panose="02000000000000000000" pitchFamily="50" charset="0"/>
            </a:rPr>
            <a:t>SHOTS</a:t>
          </a:r>
        </a:p>
        <a:p>
          <a:endParaRPr lang="et-EE" sz="1100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146050</xdr:colOff>
      <xdr:row>28</xdr:row>
      <xdr:rowOff>1</xdr:rowOff>
    </xdr:from>
    <xdr:to>
      <xdr:col>13</xdr:col>
      <xdr:colOff>449036</xdr:colOff>
      <xdr:row>48</xdr:row>
      <xdr:rowOff>95251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xmlns="" id="{00000000-0008-0000-0300-00005F03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336047</xdr:colOff>
      <xdr:row>47</xdr:row>
      <xdr:rowOff>178144</xdr:rowOff>
    </xdr:from>
    <xdr:to>
      <xdr:col>6</xdr:col>
      <xdr:colOff>453605</xdr:colOff>
      <xdr:row>65</xdr:row>
      <xdr:rowOff>108294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xmlns="" id="{00000000-0008-0000-03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302427</xdr:colOff>
      <xdr:row>47</xdr:row>
      <xdr:rowOff>140951</xdr:rowOff>
    </xdr:from>
    <xdr:to>
      <xdr:col>14</xdr:col>
      <xdr:colOff>217713</xdr:colOff>
      <xdr:row>67</xdr:row>
      <xdr:rowOff>81643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xmlns="" id="{00000000-0008-0000-03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31</xdr:row>
      <xdr:rowOff>81643</xdr:rowOff>
    </xdr:from>
    <xdr:to>
      <xdr:col>13</xdr:col>
      <xdr:colOff>598714</xdr:colOff>
      <xdr:row>70</xdr:row>
      <xdr:rowOff>163286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BEBA8EAE-BF5A-486C-A8C5-ECC9F3942E4B}">
              <a14:imgProps xmlns:a14="http://schemas.microsoft.com/office/drawing/2010/main" xmlns="">
                <a14:imgLayer r:embed="rId2">
                  <a14:imgEffect>
                    <a14:artisticCrisscrossEtching/>
                  </a14:imgEffect>
                  <a14:imgEffect>
                    <a14:colorTemperature colorTemp="4700"/>
                  </a14:imgEffect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5987143"/>
          <a:ext cx="9089571" cy="7511143"/>
        </a:xfrm>
        <a:prstGeom prst="rect">
          <a:avLst/>
        </a:prstGeom>
        <a:noFill/>
        <a:ln>
          <a:noFill/>
        </a:ln>
        <a:effectLst>
          <a:outerShdw sx="1000" sy="1000" algn="tl" rotWithShape="0">
            <a:srgbClr val="333333"/>
          </a:outerShdw>
        </a:effectLst>
      </xdr:spPr>
    </xdr:pic>
    <xdr:clientData/>
  </xdr:twoCellAnchor>
  <xdr:twoCellAnchor>
    <xdr:from>
      <xdr:col>1</xdr:col>
      <xdr:colOff>471054</xdr:colOff>
      <xdr:row>1</xdr:row>
      <xdr:rowOff>25400</xdr:rowOff>
    </xdr:from>
    <xdr:to>
      <xdr:col>13</xdr:col>
      <xdr:colOff>471054</xdr:colOff>
      <xdr:row>10</xdr:row>
      <xdr:rowOff>76200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300-000057000000}"/>
            </a:ext>
          </a:extLst>
        </xdr:cNvPr>
        <xdr:cNvSpPr txBox="1"/>
      </xdr:nvSpPr>
      <xdr:spPr>
        <a:xfrm>
          <a:off x="1109229" y="66138425"/>
          <a:ext cx="7762875" cy="176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4400" b="1" u="sng">
              <a:solidFill>
                <a:srgbClr val="4D4D4D"/>
              </a:solidFill>
              <a:effectLst>
                <a:outerShdw blurRad="38100" dist="38100" dir="2700000" algn="tl" rotWithShape="0">
                  <a:srgbClr val="000000">
                    <a:alpha val="43000"/>
                  </a:srgbClr>
                </a:outerShdw>
              </a:effectLst>
              <a:latin typeface="Hanse" panose="02000000000000000000" pitchFamily="50" charset="0"/>
              <a:ea typeface="+mn-ea"/>
              <a:cs typeface="+mn-cs"/>
            </a:rPr>
            <a:t>  </a:t>
          </a:r>
          <a:r>
            <a:rPr lang="et-EE" sz="4000" b="1" u="sng">
              <a:solidFill>
                <a:srgbClr val="4D4D4D"/>
              </a:solidFill>
              <a:effectLst>
                <a:outerShdw blurRad="38100" dist="38100" dir="2700000" algn="tl" rotWithShape="0">
                  <a:srgbClr val="000000">
                    <a:alpha val="43000"/>
                  </a:srgbClr>
                </a:outerShdw>
              </a:effectLst>
              <a:latin typeface="Hanse" panose="02000000000000000000" pitchFamily="50" charset="0"/>
              <a:ea typeface="+mn-ea"/>
              <a:cs typeface="+mn-cs"/>
            </a:rPr>
            <a:t>Goals and shots from standards inside last fourth</a:t>
          </a:r>
          <a:endParaRPr lang="et-EE" sz="4000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endParaRPr lang="et-EE" sz="2000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40640</xdr:colOff>
      <xdr:row>10</xdr:row>
      <xdr:rowOff>137160</xdr:rowOff>
    </xdr:from>
    <xdr:to>
      <xdr:col>1</xdr:col>
      <xdr:colOff>281940</xdr:colOff>
      <xdr:row>13</xdr:row>
      <xdr:rowOff>165814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300-000058000000}"/>
            </a:ext>
          </a:extLst>
        </xdr:cNvPr>
        <xdr:cNvSpPr txBox="1"/>
      </xdr:nvSpPr>
      <xdr:spPr>
        <a:xfrm>
          <a:off x="40640" y="67964685"/>
          <a:ext cx="879475" cy="60015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STANCO</a:t>
          </a:r>
          <a:endParaRPr lang="en-US" sz="4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279400</xdr:colOff>
      <xdr:row>10</xdr:row>
      <xdr:rowOff>137160</xdr:rowOff>
    </xdr:from>
    <xdr:to>
      <xdr:col>2</xdr:col>
      <xdr:colOff>520700</xdr:colOff>
      <xdr:row>13</xdr:row>
      <xdr:rowOff>165814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300-000059000000}"/>
            </a:ext>
          </a:extLst>
        </xdr:cNvPr>
        <xdr:cNvSpPr txBox="1"/>
      </xdr:nvSpPr>
      <xdr:spPr>
        <a:xfrm>
          <a:off x="917575" y="67964685"/>
          <a:ext cx="879475" cy="60015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</a:t>
          </a:r>
          <a:r>
            <a:rPr lang="et-EE" sz="1400" b="1" i="0" u="none" strike="noStrike" baseline="0">
              <a:solidFill>
                <a:srgbClr val="4D4D4D"/>
              </a:solidFill>
              <a:latin typeface="Hanse" panose="02000000000000000000" pitchFamily="50" charset="0"/>
            </a:rPr>
            <a:t>FK</a:t>
          </a:r>
          <a:endParaRPr lang="en-US" sz="1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518160</xdr:colOff>
      <xdr:row>10</xdr:row>
      <xdr:rowOff>137160</xdr:rowOff>
    </xdr:from>
    <xdr:to>
      <xdr:col>4</xdr:col>
      <xdr:colOff>149860</xdr:colOff>
      <xdr:row>13</xdr:row>
      <xdr:rowOff>165814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300-00005A000000}"/>
            </a:ext>
          </a:extLst>
        </xdr:cNvPr>
        <xdr:cNvSpPr txBox="1"/>
      </xdr:nvSpPr>
      <xdr:spPr>
        <a:xfrm>
          <a:off x="1794510" y="67964685"/>
          <a:ext cx="908050" cy="60015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STANTI </a:t>
          </a:r>
          <a:endParaRPr lang="en-US" sz="1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4</xdr:col>
      <xdr:colOff>147320</xdr:colOff>
      <xdr:row>10</xdr:row>
      <xdr:rowOff>137160</xdr:rowOff>
    </xdr:from>
    <xdr:to>
      <xdr:col>5</xdr:col>
      <xdr:colOff>388620</xdr:colOff>
      <xdr:row>13</xdr:row>
      <xdr:rowOff>165814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300-00005B000000}"/>
            </a:ext>
          </a:extLst>
        </xdr:cNvPr>
        <xdr:cNvSpPr txBox="1"/>
      </xdr:nvSpPr>
      <xdr:spPr>
        <a:xfrm>
          <a:off x="2700020" y="67964685"/>
          <a:ext cx="879475" cy="60015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STANPEN</a:t>
          </a:r>
          <a:endParaRPr lang="en-US" sz="12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40640</xdr:colOff>
      <xdr:row>16</xdr:row>
      <xdr:rowOff>127000</xdr:rowOff>
    </xdr:from>
    <xdr:to>
      <xdr:col>1</xdr:col>
      <xdr:colOff>281940</xdr:colOff>
      <xdr:row>19</xdr:row>
      <xdr:rowOff>86360</xdr:rowOff>
    </xdr:to>
    <xdr:sp macro="" textlink="Algandmed!AE182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300-00005C000000}"/>
            </a:ext>
          </a:extLst>
        </xdr:cNvPr>
        <xdr:cNvSpPr txBox="1"/>
      </xdr:nvSpPr>
      <xdr:spPr>
        <a:xfrm>
          <a:off x="40640" y="69097525"/>
          <a:ext cx="879475" cy="53086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3C82B95-A72B-4360-A6AD-2608D684EF87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279400</xdr:colOff>
      <xdr:row>16</xdr:row>
      <xdr:rowOff>127000</xdr:rowOff>
    </xdr:from>
    <xdr:to>
      <xdr:col>2</xdr:col>
      <xdr:colOff>520700</xdr:colOff>
      <xdr:row>19</xdr:row>
      <xdr:rowOff>86360</xdr:rowOff>
    </xdr:to>
    <xdr:sp macro="" textlink="Algandmed!AF182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300-00005D000000}"/>
            </a:ext>
          </a:extLst>
        </xdr:cNvPr>
        <xdr:cNvSpPr txBox="1"/>
      </xdr:nvSpPr>
      <xdr:spPr>
        <a:xfrm>
          <a:off x="917575" y="69097525"/>
          <a:ext cx="879475" cy="53086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46DEDC-F8F8-4153-8BB7-5308BEFF802A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518160</xdr:colOff>
      <xdr:row>16</xdr:row>
      <xdr:rowOff>127000</xdr:rowOff>
    </xdr:from>
    <xdr:to>
      <xdr:col>4</xdr:col>
      <xdr:colOff>149860</xdr:colOff>
      <xdr:row>19</xdr:row>
      <xdr:rowOff>86360</xdr:rowOff>
    </xdr:to>
    <xdr:sp macro="" textlink="Algandmed!AG182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300-00005E000000}"/>
            </a:ext>
          </a:extLst>
        </xdr:cNvPr>
        <xdr:cNvSpPr txBox="1"/>
      </xdr:nvSpPr>
      <xdr:spPr>
        <a:xfrm>
          <a:off x="1794510" y="69097525"/>
          <a:ext cx="908050" cy="53086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C792B9-4513-43E8-B35D-BA7770CFBE2F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4</xdr:col>
      <xdr:colOff>147320</xdr:colOff>
      <xdr:row>16</xdr:row>
      <xdr:rowOff>127000</xdr:rowOff>
    </xdr:from>
    <xdr:to>
      <xdr:col>5</xdr:col>
      <xdr:colOff>388620</xdr:colOff>
      <xdr:row>19</xdr:row>
      <xdr:rowOff>86360</xdr:rowOff>
    </xdr:to>
    <xdr:sp macro="" textlink="Algandmed!AH182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300-00005F000000}"/>
            </a:ext>
          </a:extLst>
        </xdr:cNvPr>
        <xdr:cNvSpPr txBox="1"/>
      </xdr:nvSpPr>
      <xdr:spPr>
        <a:xfrm>
          <a:off x="2700020" y="69097525"/>
          <a:ext cx="879475" cy="53086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B85DB4D-2E7F-4F18-9909-315F2D2991BB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198120</xdr:colOff>
      <xdr:row>10</xdr:row>
      <xdr:rowOff>124460</xdr:rowOff>
    </xdr:from>
    <xdr:to>
      <xdr:col>8</xdr:col>
      <xdr:colOff>416560</xdr:colOff>
      <xdr:row>13</xdr:row>
      <xdr:rowOff>153114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xmlns="" id="{00000000-0008-0000-0300-000060000000}"/>
            </a:ext>
          </a:extLst>
        </xdr:cNvPr>
        <xdr:cNvSpPr txBox="1"/>
      </xdr:nvSpPr>
      <xdr:spPr>
        <a:xfrm>
          <a:off x="4665345" y="67951985"/>
          <a:ext cx="856615" cy="60015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STANCO</a:t>
          </a:r>
          <a:endParaRPr lang="en-US" sz="4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414020</xdr:colOff>
      <xdr:row>10</xdr:row>
      <xdr:rowOff>124460</xdr:rowOff>
    </xdr:from>
    <xdr:to>
      <xdr:col>10</xdr:col>
      <xdr:colOff>45720</xdr:colOff>
      <xdr:row>13</xdr:row>
      <xdr:rowOff>153114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xmlns="" id="{00000000-0008-0000-0300-000061000000}"/>
            </a:ext>
          </a:extLst>
        </xdr:cNvPr>
        <xdr:cNvSpPr txBox="1"/>
      </xdr:nvSpPr>
      <xdr:spPr>
        <a:xfrm>
          <a:off x="5519420" y="67951985"/>
          <a:ext cx="908050" cy="60015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</a:t>
          </a:r>
          <a:r>
            <a:rPr lang="et-EE" sz="1400" b="1" i="0" u="none" strike="noStrike" baseline="0">
              <a:solidFill>
                <a:srgbClr val="4D4D4D"/>
              </a:solidFill>
              <a:latin typeface="Hanse" panose="02000000000000000000" pitchFamily="50" charset="0"/>
            </a:rPr>
            <a:t>FK</a:t>
          </a:r>
          <a:endParaRPr lang="en-US" sz="1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55880</xdr:colOff>
      <xdr:row>10</xdr:row>
      <xdr:rowOff>124460</xdr:rowOff>
    </xdr:from>
    <xdr:to>
      <xdr:col>11</xdr:col>
      <xdr:colOff>297180</xdr:colOff>
      <xdr:row>13</xdr:row>
      <xdr:rowOff>153114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xmlns="" id="{00000000-0008-0000-0300-000062000000}"/>
            </a:ext>
          </a:extLst>
        </xdr:cNvPr>
        <xdr:cNvSpPr txBox="1"/>
      </xdr:nvSpPr>
      <xdr:spPr>
        <a:xfrm>
          <a:off x="6437630" y="67951985"/>
          <a:ext cx="879475" cy="60015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STANTI </a:t>
          </a:r>
          <a:endParaRPr lang="en-US" sz="1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11</xdr:col>
      <xdr:colOff>294640</xdr:colOff>
      <xdr:row>10</xdr:row>
      <xdr:rowOff>124460</xdr:rowOff>
    </xdr:from>
    <xdr:to>
      <xdr:col>12</xdr:col>
      <xdr:colOff>535940</xdr:colOff>
      <xdr:row>13</xdr:row>
      <xdr:rowOff>153114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300-000063000000}"/>
            </a:ext>
          </a:extLst>
        </xdr:cNvPr>
        <xdr:cNvSpPr txBox="1"/>
      </xdr:nvSpPr>
      <xdr:spPr>
        <a:xfrm>
          <a:off x="7314565" y="67951985"/>
          <a:ext cx="879475" cy="60015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STANPEN</a:t>
          </a:r>
          <a:endParaRPr lang="en-US" sz="12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198120</xdr:colOff>
      <xdr:row>16</xdr:row>
      <xdr:rowOff>114300</xdr:rowOff>
    </xdr:from>
    <xdr:to>
      <xdr:col>8</xdr:col>
      <xdr:colOff>416560</xdr:colOff>
      <xdr:row>19</xdr:row>
      <xdr:rowOff>73660</xdr:rowOff>
    </xdr:to>
    <xdr:sp macro="" textlink="Algandmed!AT182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300-000064000000}"/>
            </a:ext>
          </a:extLst>
        </xdr:cNvPr>
        <xdr:cNvSpPr txBox="1"/>
      </xdr:nvSpPr>
      <xdr:spPr>
        <a:xfrm>
          <a:off x="4665345" y="69084825"/>
          <a:ext cx="856615" cy="53086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88F75F4-2767-4E22-A403-0D48055E6103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414020</xdr:colOff>
      <xdr:row>16</xdr:row>
      <xdr:rowOff>114300</xdr:rowOff>
    </xdr:from>
    <xdr:to>
      <xdr:col>10</xdr:col>
      <xdr:colOff>45720</xdr:colOff>
      <xdr:row>19</xdr:row>
      <xdr:rowOff>73660</xdr:rowOff>
    </xdr:to>
    <xdr:sp macro="" textlink="Algandmed!AU182">
      <xdr:nvSpPr>
        <xdr:cNvPr id="17" name="TextBox 16">
          <a:extLst>
            <a:ext uri="{FF2B5EF4-FFF2-40B4-BE49-F238E27FC236}">
              <a16:creationId xmlns:a16="http://schemas.microsoft.com/office/drawing/2014/main" xmlns="" id="{00000000-0008-0000-0300-000065000000}"/>
            </a:ext>
          </a:extLst>
        </xdr:cNvPr>
        <xdr:cNvSpPr txBox="1"/>
      </xdr:nvSpPr>
      <xdr:spPr>
        <a:xfrm>
          <a:off x="5519420" y="69084825"/>
          <a:ext cx="908050" cy="53086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78DDBF-E37E-475B-976A-249FCC1CFCB3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55880</xdr:colOff>
      <xdr:row>16</xdr:row>
      <xdr:rowOff>114300</xdr:rowOff>
    </xdr:from>
    <xdr:to>
      <xdr:col>11</xdr:col>
      <xdr:colOff>297180</xdr:colOff>
      <xdr:row>19</xdr:row>
      <xdr:rowOff>73660</xdr:rowOff>
    </xdr:to>
    <xdr:sp macro="" textlink="Algandmed!AV182">
      <xdr:nvSpPr>
        <xdr:cNvPr id="18" name="TextBox 17">
          <a:extLst>
            <a:ext uri="{FF2B5EF4-FFF2-40B4-BE49-F238E27FC236}">
              <a16:creationId xmlns:a16="http://schemas.microsoft.com/office/drawing/2014/main" xmlns="" id="{00000000-0008-0000-0300-000066000000}"/>
            </a:ext>
          </a:extLst>
        </xdr:cNvPr>
        <xdr:cNvSpPr txBox="1"/>
      </xdr:nvSpPr>
      <xdr:spPr>
        <a:xfrm>
          <a:off x="6437630" y="69084825"/>
          <a:ext cx="879475" cy="53086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52826-8295-402C-B33D-489E1F435144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11</xdr:col>
      <xdr:colOff>294640</xdr:colOff>
      <xdr:row>16</xdr:row>
      <xdr:rowOff>114300</xdr:rowOff>
    </xdr:from>
    <xdr:to>
      <xdr:col>12</xdr:col>
      <xdr:colOff>535940</xdr:colOff>
      <xdr:row>19</xdr:row>
      <xdr:rowOff>73660</xdr:rowOff>
    </xdr:to>
    <xdr:sp macro="" textlink="Algandmed!AW182">
      <xdr:nvSpPr>
        <xdr:cNvPr id="19" name="TextBox 18">
          <a:extLst>
            <a:ext uri="{FF2B5EF4-FFF2-40B4-BE49-F238E27FC236}">
              <a16:creationId xmlns:a16="http://schemas.microsoft.com/office/drawing/2014/main" xmlns="" id="{00000000-0008-0000-0300-000067000000}"/>
            </a:ext>
          </a:extLst>
        </xdr:cNvPr>
        <xdr:cNvSpPr txBox="1"/>
      </xdr:nvSpPr>
      <xdr:spPr>
        <a:xfrm>
          <a:off x="7314565" y="69084825"/>
          <a:ext cx="879475" cy="53086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693BB0B-32FA-46C1-ADA7-FFB24460031E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321128</xdr:colOff>
      <xdr:row>36</xdr:row>
      <xdr:rowOff>118474</xdr:rowOff>
    </xdr:from>
    <xdr:to>
      <xdr:col>13</xdr:col>
      <xdr:colOff>644071</xdr:colOff>
      <xdr:row>50</xdr:row>
      <xdr:rowOff>24493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xmlns="" id="{00000000-0008-0000-03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55</xdr:row>
      <xdr:rowOff>49185</xdr:rowOff>
    </xdr:from>
    <xdr:to>
      <xdr:col>7</xdr:col>
      <xdr:colOff>58420</xdr:colOff>
      <xdr:row>68</xdr:row>
      <xdr:rowOff>109185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xmlns="" id="{00000000-0008-0000-03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58057</xdr:colOff>
      <xdr:row>55</xdr:row>
      <xdr:rowOff>49184</xdr:rowOff>
    </xdr:from>
    <xdr:to>
      <xdr:col>13</xdr:col>
      <xdr:colOff>557893</xdr:colOff>
      <xdr:row>68</xdr:row>
      <xdr:rowOff>117764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xmlns="" id="{00000000-0008-0000-03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398780</xdr:colOff>
      <xdr:row>10</xdr:row>
      <xdr:rowOff>137160</xdr:rowOff>
    </xdr:from>
    <xdr:to>
      <xdr:col>6</xdr:col>
      <xdr:colOff>596374</xdr:colOff>
      <xdr:row>13</xdr:row>
      <xdr:rowOff>165814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xmlns="" id="{00000000-0008-0000-0300-0000DB000000}"/>
            </a:ext>
          </a:extLst>
        </xdr:cNvPr>
        <xdr:cNvSpPr txBox="1"/>
      </xdr:nvSpPr>
      <xdr:spPr>
        <a:xfrm>
          <a:off x="3589655" y="67964685"/>
          <a:ext cx="835769" cy="60015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STANFK DIRECT</a:t>
          </a:r>
          <a:endParaRPr lang="en-US" sz="12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398780</xdr:colOff>
      <xdr:row>16</xdr:row>
      <xdr:rowOff>127000</xdr:rowOff>
    </xdr:from>
    <xdr:to>
      <xdr:col>6</xdr:col>
      <xdr:colOff>596374</xdr:colOff>
      <xdr:row>19</xdr:row>
      <xdr:rowOff>86360</xdr:rowOff>
    </xdr:to>
    <xdr:sp macro="" textlink="Algandmed!AI182">
      <xdr:nvSpPr>
        <xdr:cNvPr id="24" name="TextBox 23">
          <a:extLst>
            <a:ext uri="{FF2B5EF4-FFF2-40B4-BE49-F238E27FC236}">
              <a16:creationId xmlns:a16="http://schemas.microsoft.com/office/drawing/2014/main" xmlns="" id="{00000000-0008-0000-0300-0000DC000000}"/>
            </a:ext>
          </a:extLst>
        </xdr:cNvPr>
        <xdr:cNvSpPr txBox="1"/>
      </xdr:nvSpPr>
      <xdr:spPr>
        <a:xfrm>
          <a:off x="3589655" y="69097525"/>
          <a:ext cx="835769" cy="53086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9E081B4-6A11-4AC4-BF9C-D9602CDCA21A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533400</xdr:colOff>
      <xdr:row>10</xdr:row>
      <xdr:rowOff>124460</xdr:rowOff>
    </xdr:from>
    <xdr:to>
      <xdr:col>13</xdr:col>
      <xdr:colOff>673100</xdr:colOff>
      <xdr:row>13</xdr:row>
      <xdr:rowOff>153114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xmlns="" id="{00000000-0008-0000-0300-0000DD000000}"/>
            </a:ext>
          </a:extLst>
        </xdr:cNvPr>
        <xdr:cNvSpPr txBox="1"/>
      </xdr:nvSpPr>
      <xdr:spPr>
        <a:xfrm>
          <a:off x="8191500" y="67951985"/>
          <a:ext cx="882650" cy="60015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STANFK DIRECT</a:t>
          </a:r>
          <a:endParaRPr lang="en-US" sz="12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533400</xdr:colOff>
      <xdr:row>16</xdr:row>
      <xdr:rowOff>114300</xdr:rowOff>
    </xdr:from>
    <xdr:to>
      <xdr:col>13</xdr:col>
      <xdr:colOff>673100</xdr:colOff>
      <xdr:row>19</xdr:row>
      <xdr:rowOff>73660</xdr:rowOff>
    </xdr:to>
    <xdr:sp macro="" textlink="Algandmed!AX182">
      <xdr:nvSpPr>
        <xdr:cNvPr id="26" name="TextBox 25">
          <a:extLst>
            <a:ext uri="{FF2B5EF4-FFF2-40B4-BE49-F238E27FC236}">
              <a16:creationId xmlns:a16="http://schemas.microsoft.com/office/drawing/2014/main" xmlns="" id="{00000000-0008-0000-0300-0000DE000000}"/>
            </a:ext>
          </a:extLst>
        </xdr:cNvPr>
        <xdr:cNvSpPr txBox="1"/>
      </xdr:nvSpPr>
      <xdr:spPr>
        <a:xfrm>
          <a:off x="8191500" y="69084825"/>
          <a:ext cx="882650" cy="53086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D843787-3F38-46E6-A59C-C8A01A4AFA16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76200</xdr:colOff>
      <xdr:row>37</xdr:row>
      <xdr:rowOff>15240</xdr:rowOff>
    </xdr:from>
    <xdr:to>
      <xdr:col>6</xdr:col>
      <xdr:colOff>381000</xdr:colOff>
      <xdr:row>49</xdr:row>
      <xdr:rowOff>170933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xmlns="" id="{00000000-0008-0000-0300-0000D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38100</xdr:colOff>
      <xdr:row>22</xdr:row>
      <xdr:rowOff>48260</xdr:rowOff>
    </xdr:from>
    <xdr:to>
      <xdr:col>1</xdr:col>
      <xdr:colOff>274320</xdr:colOff>
      <xdr:row>25</xdr:row>
      <xdr:rowOff>10160</xdr:rowOff>
    </xdr:to>
    <xdr:sp macro="" textlink="Algandmed!AE232">
      <xdr:nvSpPr>
        <xdr:cNvPr id="28" name="TextBox 27">
          <a:extLst>
            <a:ext uri="{FF2B5EF4-FFF2-40B4-BE49-F238E27FC236}">
              <a16:creationId xmlns:a16="http://schemas.microsoft.com/office/drawing/2014/main" xmlns="" id="{00000000-0008-0000-0300-0000E0000000}"/>
            </a:ext>
          </a:extLst>
        </xdr:cNvPr>
        <xdr:cNvSpPr txBox="1"/>
      </xdr:nvSpPr>
      <xdr:spPr>
        <a:xfrm>
          <a:off x="38100" y="70161785"/>
          <a:ext cx="874395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23BE8CD-72F5-422A-8D8D-6A37AA94C54C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276860</xdr:colOff>
      <xdr:row>22</xdr:row>
      <xdr:rowOff>48260</xdr:rowOff>
    </xdr:from>
    <xdr:to>
      <xdr:col>2</xdr:col>
      <xdr:colOff>525780</xdr:colOff>
      <xdr:row>25</xdr:row>
      <xdr:rowOff>10160</xdr:rowOff>
    </xdr:to>
    <xdr:sp macro="" textlink="Algandmed!AF232">
      <xdr:nvSpPr>
        <xdr:cNvPr id="29" name="TextBox 28">
          <a:extLst>
            <a:ext uri="{FF2B5EF4-FFF2-40B4-BE49-F238E27FC236}">
              <a16:creationId xmlns:a16="http://schemas.microsoft.com/office/drawing/2014/main" xmlns="" id="{00000000-0008-0000-0300-0000E1000000}"/>
            </a:ext>
          </a:extLst>
        </xdr:cNvPr>
        <xdr:cNvSpPr txBox="1"/>
      </xdr:nvSpPr>
      <xdr:spPr>
        <a:xfrm>
          <a:off x="915035" y="70161785"/>
          <a:ext cx="887095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5325580-7DA4-4AE4-98EC-281D3F6963B8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515620</xdr:colOff>
      <xdr:row>22</xdr:row>
      <xdr:rowOff>48260</xdr:rowOff>
    </xdr:from>
    <xdr:to>
      <xdr:col>4</xdr:col>
      <xdr:colOff>154940</xdr:colOff>
      <xdr:row>25</xdr:row>
      <xdr:rowOff>10160</xdr:rowOff>
    </xdr:to>
    <xdr:sp macro="" textlink="Algandmed!AG232">
      <xdr:nvSpPr>
        <xdr:cNvPr id="30" name="TextBox 29">
          <a:extLst>
            <a:ext uri="{FF2B5EF4-FFF2-40B4-BE49-F238E27FC236}">
              <a16:creationId xmlns:a16="http://schemas.microsoft.com/office/drawing/2014/main" xmlns="" id="{00000000-0008-0000-0300-0000E2000000}"/>
            </a:ext>
          </a:extLst>
        </xdr:cNvPr>
        <xdr:cNvSpPr txBox="1"/>
      </xdr:nvSpPr>
      <xdr:spPr>
        <a:xfrm>
          <a:off x="1791970" y="70161785"/>
          <a:ext cx="915670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DC06E41-DE7B-4E88-85A4-B6CACB85D584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4</xdr:col>
      <xdr:colOff>157480</xdr:colOff>
      <xdr:row>22</xdr:row>
      <xdr:rowOff>48260</xdr:rowOff>
    </xdr:from>
    <xdr:to>
      <xdr:col>5</xdr:col>
      <xdr:colOff>393700</xdr:colOff>
      <xdr:row>25</xdr:row>
      <xdr:rowOff>10160</xdr:rowOff>
    </xdr:to>
    <xdr:sp macro="" textlink="Algandmed!AH232">
      <xdr:nvSpPr>
        <xdr:cNvPr id="31" name="TextBox 30">
          <a:extLst>
            <a:ext uri="{FF2B5EF4-FFF2-40B4-BE49-F238E27FC236}">
              <a16:creationId xmlns:a16="http://schemas.microsoft.com/office/drawing/2014/main" xmlns="" id="{00000000-0008-0000-0300-0000E3000000}"/>
            </a:ext>
          </a:extLst>
        </xdr:cNvPr>
        <xdr:cNvSpPr txBox="1"/>
      </xdr:nvSpPr>
      <xdr:spPr>
        <a:xfrm>
          <a:off x="2710180" y="70161785"/>
          <a:ext cx="874395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E31577-B1CB-4982-8072-1326D6CB6B5F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203200</xdr:colOff>
      <xdr:row>22</xdr:row>
      <xdr:rowOff>35560</xdr:rowOff>
    </xdr:from>
    <xdr:to>
      <xdr:col>8</xdr:col>
      <xdr:colOff>421640</xdr:colOff>
      <xdr:row>24</xdr:row>
      <xdr:rowOff>175260</xdr:rowOff>
    </xdr:to>
    <xdr:sp macro="" textlink="Algandmed!AT232">
      <xdr:nvSpPr>
        <xdr:cNvPr id="32" name="TextBox 31">
          <a:extLst>
            <a:ext uri="{FF2B5EF4-FFF2-40B4-BE49-F238E27FC236}">
              <a16:creationId xmlns:a16="http://schemas.microsoft.com/office/drawing/2014/main" xmlns="" id="{00000000-0008-0000-0300-0000E4000000}"/>
            </a:ext>
          </a:extLst>
        </xdr:cNvPr>
        <xdr:cNvSpPr txBox="1"/>
      </xdr:nvSpPr>
      <xdr:spPr>
        <a:xfrm>
          <a:off x="4670425" y="70149085"/>
          <a:ext cx="856615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2D5DC6-A81D-4671-B866-614F844DBC5D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3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419100</xdr:colOff>
      <xdr:row>22</xdr:row>
      <xdr:rowOff>35560</xdr:rowOff>
    </xdr:from>
    <xdr:to>
      <xdr:col>10</xdr:col>
      <xdr:colOff>50800</xdr:colOff>
      <xdr:row>24</xdr:row>
      <xdr:rowOff>175260</xdr:rowOff>
    </xdr:to>
    <xdr:sp macro="" textlink="Algandmed!AU232">
      <xdr:nvSpPr>
        <xdr:cNvPr id="33" name="TextBox 32">
          <a:extLst>
            <a:ext uri="{FF2B5EF4-FFF2-40B4-BE49-F238E27FC236}">
              <a16:creationId xmlns:a16="http://schemas.microsoft.com/office/drawing/2014/main" xmlns="" id="{00000000-0008-0000-0300-0000E5000000}"/>
            </a:ext>
          </a:extLst>
        </xdr:cNvPr>
        <xdr:cNvSpPr txBox="1"/>
      </xdr:nvSpPr>
      <xdr:spPr>
        <a:xfrm>
          <a:off x="5524500" y="70149085"/>
          <a:ext cx="908050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9E44AF9-FC2B-475A-B9AA-2D79D44C02F2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2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50800</xdr:colOff>
      <xdr:row>22</xdr:row>
      <xdr:rowOff>35560</xdr:rowOff>
    </xdr:from>
    <xdr:to>
      <xdr:col>11</xdr:col>
      <xdr:colOff>292100</xdr:colOff>
      <xdr:row>24</xdr:row>
      <xdr:rowOff>175260</xdr:rowOff>
    </xdr:to>
    <xdr:sp macro="" textlink="Algandmed!AV232">
      <xdr:nvSpPr>
        <xdr:cNvPr id="34" name="TextBox 33">
          <a:extLst>
            <a:ext uri="{FF2B5EF4-FFF2-40B4-BE49-F238E27FC236}">
              <a16:creationId xmlns:a16="http://schemas.microsoft.com/office/drawing/2014/main" xmlns="" id="{00000000-0008-0000-0300-0000E6000000}"/>
            </a:ext>
          </a:extLst>
        </xdr:cNvPr>
        <xdr:cNvSpPr txBox="1"/>
      </xdr:nvSpPr>
      <xdr:spPr>
        <a:xfrm>
          <a:off x="6432550" y="70149085"/>
          <a:ext cx="879475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F9FBEB-7976-4948-B6BC-273384A16027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11</xdr:col>
      <xdr:colOff>292100</xdr:colOff>
      <xdr:row>22</xdr:row>
      <xdr:rowOff>35560</xdr:rowOff>
    </xdr:from>
    <xdr:to>
      <xdr:col>12</xdr:col>
      <xdr:colOff>528320</xdr:colOff>
      <xdr:row>24</xdr:row>
      <xdr:rowOff>175260</xdr:rowOff>
    </xdr:to>
    <xdr:sp macro="" textlink="Algandmed!AW232">
      <xdr:nvSpPr>
        <xdr:cNvPr id="35" name="TextBox 34">
          <a:extLst>
            <a:ext uri="{FF2B5EF4-FFF2-40B4-BE49-F238E27FC236}">
              <a16:creationId xmlns:a16="http://schemas.microsoft.com/office/drawing/2014/main" xmlns="" id="{00000000-0008-0000-0300-0000E7000000}"/>
            </a:ext>
          </a:extLst>
        </xdr:cNvPr>
        <xdr:cNvSpPr txBox="1"/>
      </xdr:nvSpPr>
      <xdr:spPr>
        <a:xfrm>
          <a:off x="7312025" y="70149085"/>
          <a:ext cx="874395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5A50D1B-19ED-4098-A461-E7D23162DFD4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393700</xdr:colOff>
      <xdr:row>22</xdr:row>
      <xdr:rowOff>48260</xdr:rowOff>
    </xdr:from>
    <xdr:to>
      <xdr:col>6</xdr:col>
      <xdr:colOff>596900</xdr:colOff>
      <xdr:row>25</xdr:row>
      <xdr:rowOff>10160</xdr:rowOff>
    </xdr:to>
    <xdr:sp macro="" textlink="Algandmed!AI232">
      <xdr:nvSpPr>
        <xdr:cNvPr id="36" name="TextBox 35">
          <a:extLst>
            <a:ext uri="{FF2B5EF4-FFF2-40B4-BE49-F238E27FC236}">
              <a16:creationId xmlns:a16="http://schemas.microsoft.com/office/drawing/2014/main" xmlns="" id="{00000000-0008-0000-0300-0000E8000000}"/>
            </a:ext>
          </a:extLst>
        </xdr:cNvPr>
        <xdr:cNvSpPr txBox="1"/>
      </xdr:nvSpPr>
      <xdr:spPr>
        <a:xfrm>
          <a:off x="3584575" y="70161785"/>
          <a:ext cx="841375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FCD3E98-16A9-4FB8-A94E-AB12D28D569B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530860</xdr:colOff>
      <xdr:row>22</xdr:row>
      <xdr:rowOff>35560</xdr:rowOff>
    </xdr:from>
    <xdr:to>
      <xdr:col>13</xdr:col>
      <xdr:colOff>678180</xdr:colOff>
      <xdr:row>24</xdr:row>
      <xdr:rowOff>175260</xdr:rowOff>
    </xdr:to>
    <xdr:sp macro="" textlink="Algandmed!AX232">
      <xdr:nvSpPr>
        <xdr:cNvPr id="37" name="TextBox 36">
          <a:extLst>
            <a:ext uri="{FF2B5EF4-FFF2-40B4-BE49-F238E27FC236}">
              <a16:creationId xmlns:a16="http://schemas.microsoft.com/office/drawing/2014/main" xmlns="" id="{00000000-0008-0000-0300-0000E9000000}"/>
            </a:ext>
          </a:extLst>
        </xdr:cNvPr>
        <xdr:cNvSpPr txBox="1"/>
      </xdr:nvSpPr>
      <xdr:spPr>
        <a:xfrm>
          <a:off x="8188960" y="70149085"/>
          <a:ext cx="890270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AA2980-ACC0-4E93-9184-68E14E359C62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40640</xdr:colOff>
      <xdr:row>19</xdr:row>
      <xdr:rowOff>91440</xdr:rowOff>
    </xdr:from>
    <xdr:to>
      <xdr:col>1</xdr:col>
      <xdr:colOff>281940</xdr:colOff>
      <xdr:row>22</xdr:row>
      <xdr:rowOff>50800</xdr:rowOff>
    </xdr:to>
    <xdr:sp macro="" textlink="Algandmed!AE184">
      <xdr:nvSpPr>
        <xdr:cNvPr id="38" name="TextBox 37">
          <a:extLst>
            <a:ext uri="{FF2B5EF4-FFF2-40B4-BE49-F238E27FC236}">
              <a16:creationId xmlns:a16="http://schemas.microsoft.com/office/drawing/2014/main" xmlns="" id="{00000000-0008-0000-0300-000005010000}"/>
            </a:ext>
          </a:extLst>
        </xdr:cNvPr>
        <xdr:cNvSpPr txBox="1"/>
      </xdr:nvSpPr>
      <xdr:spPr>
        <a:xfrm>
          <a:off x="40640" y="69633465"/>
          <a:ext cx="879475" cy="53086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F00EB1C-3B4E-429D-A5AA-14E7D3CA7CD5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</xdr:col>
      <xdr:colOff>279400</xdr:colOff>
      <xdr:row>19</xdr:row>
      <xdr:rowOff>91440</xdr:rowOff>
    </xdr:from>
    <xdr:to>
      <xdr:col>2</xdr:col>
      <xdr:colOff>520700</xdr:colOff>
      <xdr:row>22</xdr:row>
      <xdr:rowOff>50800</xdr:rowOff>
    </xdr:to>
    <xdr:sp macro="" textlink="Algandmed!AF184">
      <xdr:nvSpPr>
        <xdr:cNvPr id="39" name="TextBox 38">
          <a:extLst>
            <a:ext uri="{FF2B5EF4-FFF2-40B4-BE49-F238E27FC236}">
              <a16:creationId xmlns:a16="http://schemas.microsoft.com/office/drawing/2014/main" xmlns="" id="{00000000-0008-0000-0300-000006010000}"/>
            </a:ext>
          </a:extLst>
        </xdr:cNvPr>
        <xdr:cNvSpPr txBox="1"/>
      </xdr:nvSpPr>
      <xdr:spPr>
        <a:xfrm>
          <a:off x="917575" y="69633465"/>
          <a:ext cx="879475" cy="53086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D3EA4D0-10FB-42BB-B97C-8F0BA3B46426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4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2</xdr:col>
      <xdr:colOff>518160</xdr:colOff>
      <xdr:row>19</xdr:row>
      <xdr:rowOff>91440</xdr:rowOff>
    </xdr:from>
    <xdr:to>
      <xdr:col>4</xdr:col>
      <xdr:colOff>149860</xdr:colOff>
      <xdr:row>22</xdr:row>
      <xdr:rowOff>50800</xdr:rowOff>
    </xdr:to>
    <xdr:sp macro="" textlink="Algandmed!AG184">
      <xdr:nvSpPr>
        <xdr:cNvPr id="40" name="TextBox 39">
          <a:extLst>
            <a:ext uri="{FF2B5EF4-FFF2-40B4-BE49-F238E27FC236}">
              <a16:creationId xmlns:a16="http://schemas.microsoft.com/office/drawing/2014/main" xmlns="" id="{00000000-0008-0000-0300-000007010000}"/>
            </a:ext>
          </a:extLst>
        </xdr:cNvPr>
        <xdr:cNvSpPr txBox="1"/>
      </xdr:nvSpPr>
      <xdr:spPr>
        <a:xfrm>
          <a:off x="1794510" y="69633465"/>
          <a:ext cx="908050" cy="53086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013813-C474-47AE-ADCC-E1A41901D853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4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4</xdr:col>
      <xdr:colOff>147320</xdr:colOff>
      <xdr:row>19</xdr:row>
      <xdr:rowOff>91440</xdr:rowOff>
    </xdr:from>
    <xdr:to>
      <xdr:col>5</xdr:col>
      <xdr:colOff>388620</xdr:colOff>
      <xdr:row>22</xdr:row>
      <xdr:rowOff>50800</xdr:rowOff>
    </xdr:to>
    <xdr:sp macro="" textlink="Algandmed!AH184">
      <xdr:nvSpPr>
        <xdr:cNvPr id="41" name="TextBox 40">
          <a:extLst>
            <a:ext uri="{FF2B5EF4-FFF2-40B4-BE49-F238E27FC236}">
              <a16:creationId xmlns:a16="http://schemas.microsoft.com/office/drawing/2014/main" xmlns="" id="{00000000-0008-0000-0300-000008010000}"/>
            </a:ext>
          </a:extLst>
        </xdr:cNvPr>
        <xdr:cNvSpPr txBox="1"/>
      </xdr:nvSpPr>
      <xdr:spPr>
        <a:xfrm>
          <a:off x="2700020" y="69633465"/>
          <a:ext cx="879475" cy="53086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327FAA2-DEDD-448D-A09A-0708C5625AAC}" type="TxLink">
            <a:rPr lang="en-US" sz="1600" b="1" i="0" u="none" strike="noStrike">
              <a:solidFill>
                <a:srgbClr val="4D4D4D"/>
              </a:solidFill>
              <a:latin typeface="+mn-lt"/>
            </a:rPr>
            <a:pPr algn="ctr"/>
            <a:t>#DIV/0!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7</xdr:col>
      <xdr:colOff>198120</xdr:colOff>
      <xdr:row>19</xdr:row>
      <xdr:rowOff>78740</xdr:rowOff>
    </xdr:from>
    <xdr:to>
      <xdr:col>8</xdr:col>
      <xdr:colOff>416560</xdr:colOff>
      <xdr:row>22</xdr:row>
      <xdr:rowOff>38100</xdr:rowOff>
    </xdr:to>
    <xdr:sp macro="" textlink="Algandmed!AT184">
      <xdr:nvSpPr>
        <xdr:cNvPr id="42" name="TextBox 41">
          <a:extLst>
            <a:ext uri="{FF2B5EF4-FFF2-40B4-BE49-F238E27FC236}">
              <a16:creationId xmlns:a16="http://schemas.microsoft.com/office/drawing/2014/main" xmlns="" id="{00000000-0008-0000-0300-000009010000}"/>
            </a:ext>
          </a:extLst>
        </xdr:cNvPr>
        <xdr:cNvSpPr txBox="1"/>
      </xdr:nvSpPr>
      <xdr:spPr>
        <a:xfrm>
          <a:off x="4665345" y="69620765"/>
          <a:ext cx="856615" cy="53086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7A131D3-EA44-4B77-B40C-D6EE55462351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20,0%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8</xdr:col>
      <xdr:colOff>414020</xdr:colOff>
      <xdr:row>19</xdr:row>
      <xdr:rowOff>78740</xdr:rowOff>
    </xdr:from>
    <xdr:to>
      <xdr:col>10</xdr:col>
      <xdr:colOff>45720</xdr:colOff>
      <xdr:row>22</xdr:row>
      <xdr:rowOff>38100</xdr:rowOff>
    </xdr:to>
    <xdr:sp macro="" textlink="Algandmed!AU184">
      <xdr:nvSpPr>
        <xdr:cNvPr id="43" name="TextBox 42">
          <a:extLst>
            <a:ext uri="{FF2B5EF4-FFF2-40B4-BE49-F238E27FC236}">
              <a16:creationId xmlns:a16="http://schemas.microsoft.com/office/drawing/2014/main" xmlns="" id="{00000000-0008-0000-0300-00000A010000}"/>
            </a:ext>
          </a:extLst>
        </xdr:cNvPr>
        <xdr:cNvSpPr txBox="1"/>
      </xdr:nvSpPr>
      <xdr:spPr>
        <a:xfrm>
          <a:off x="5519420" y="69620765"/>
          <a:ext cx="908050" cy="53086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5BA59C5-7C44-4D4E-A7FD-7EFD2BA73507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4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10</xdr:col>
      <xdr:colOff>55880</xdr:colOff>
      <xdr:row>19</xdr:row>
      <xdr:rowOff>78740</xdr:rowOff>
    </xdr:from>
    <xdr:to>
      <xdr:col>11</xdr:col>
      <xdr:colOff>297180</xdr:colOff>
      <xdr:row>22</xdr:row>
      <xdr:rowOff>38100</xdr:rowOff>
    </xdr:to>
    <xdr:sp macro="" textlink="Algandmed!AV184">
      <xdr:nvSpPr>
        <xdr:cNvPr id="44" name="TextBox 43">
          <a:extLst>
            <a:ext uri="{FF2B5EF4-FFF2-40B4-BE49-F238E27FC236}">
              <a16:creationId xmlns:a16="http://schemas.microsoft.com/office/drawing/2014/main" xmlns="" id="{00000000-0008-0000-0300-00000B010000}"/>
            </a:ext>
          </a:extLst>
        </xdr:cNvPr>
        <xdr:cNvSpPr txBox="1"/>
      </xdr:nvSpPr>
      <xdr:spPr>
        <a:xfrm>
          <a:off x="6437630" y="69620765"/>
          <a:ext cx="879475" cy="53086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CAA9FC-1967-49C7-BF6B-610ECE46E482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4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11</xdr:col>
      <xdr:colOff>294640</xdr:colOff>
      <xdr:row>19</xdr:row>
      <xdr:rowOff>78740</xdr:rowOff>
    </xdr:from>
    <xdr:to>
      <xdr:col>12</xdr:col>
      <xdr:colOff>535940</xdr:colOff>
      <xdr:row>22</xdr:row>
      <xdr:rowOff>38100</xdr:rowOff>
    </xdr:to>
    <xdr:sp macro="" textlink="Algandmed!AW184">
      <xdr:nvSpPr>
        <xdr:cNvPr id="45" name="TextBox 44">
          <a:extLst>
            <a:ext uri="{FF2B5EF4-FFF2-40B4-BE49-F238E27FC236}">
              <a16:creationId xmlns:a16="http://schemas.microsoft.com/office/drawing/2014/main" xmlns="" id="{00000000-0008-0000-0300-00000C010000}"/>
            </a:ext>
          </a:extLst>
        </xdr:cNvPr>
        <xdr:cNvSpPr txBox="1"/>
      </xdr:nvSpPr>
      <xdr:spPr>
        <a:xfrm>
          <a:off x="7314565" y="69620765"/>
          <a:ext cx="879475" cy="53086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B1D8EC7-7FFA-4F2A-9477-85B96C5220FB}" type="TxLink">
            <a:rPr lang="en-US" sz="1600" b="1" i="0" u="none" strike="noStrike">
              <a:solidFill>
                <a:srgbClr val="4D4D4D"/>
              </a:solidFill>
              <a:latin typeface="+mn-lt"/>
            </a:rPr>
            <a:pPr algn="ctr"/>
            <a:t>#DIV/0!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5</xdr:col>
      <xdr:colOff>398780</xdr:colOff>
      <xdr:row>19</xdr:row>
      <xdr:rowOff>91440</xdr:rowOff>
    </xdr:from>
    <xdr:to>
      <xdr:col>6</xdr:col>
      <xdr:colOff>596374</xdr:colOff>
      <xdr:row>22</xdr:row>
      <xdr:rowOff>50800</xdr:rowOff>
    </xdr:to>
    <xdr:sp macro="" textlink="Algandmed!AI184">
      <xdr:nvSpPr>
        <xdr:cNvPr id="46" name="TextBox 45">
          <a:extLst>
            <a:ext uri="{FF2B5EF4-FFF2-40B4-BE49-F238E27FC236}">
              <a16:creationId xmlns:a16="http://schemas.microsoft.com/office/drawing/2014/main" xmlns="" id="{00000000-0008-0000-0300-00000D010000}"/>
            </a:ext>
          </a:extLst>
        </xdr:cNvPr>
        <xdr:cNvSpPr txBox="1"/>
      </xdr:nvSpPr>
      <xdr:spPr>
        <a:xfrm>
          <a:off x="3589655" y="69633465"/>
          <a:ext cx="835769" cy="53086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3C368F-937B-43A1-B8C0-7AA0D48B0726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12</xdr:col>
      <xdr:colOff>533400</xdr:colOff>
      <xdr:row>19</xdr:row>
      <xdr:rowOff>78740</xdr:rowOff>
    </xdr:from>
    <xdr:to>
      <xdr:col>13</xdr:col>
      <xdr:colOff>673100</xdr:colOff>
      <xdr:row>22</xdr:row>
      <xdr:rowOff>38100</xdr:rowOff>
    </xdr:to>
    <xdr:sp macro="" textlink="Algandmed!AX184">
      <xdr:nvSpPr>
        <xdr:cNvPr id="47" name="TextBox 46">
          <a:extLst>
            <a:ext uri="{FF2B5EF4-FFF2-40B4-BE49-F238E27FC236}">
              <a16:creationId xmlns:a16="http://schemas.microsoft.com/office/drawing/2014/main" xmlns="" id="{00000000-0008-0000-0300-00000E010000}"/>
            </a:ext>
          </a:extLst>
        </xdr:cNvPr>
        <xdr:cNvSpPr txBox="1"/>
      </xdr:nvSpPr>
      <xdr:spPr>
        <a:xfrm>
          <a:off x="8191500" y="69620765"/>
          <a:ext cx="882650" cy="53086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83AD67-7743-47F4-9E2A-B67AA879CD1A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0</xdr:col>
      <xdr:colOff>33020</xdr:colOff>
      <xdr:row>13</xdr:row>
      <xdr:rowOff>170180</xdr:rowOff>
    </xdr:from>
    <xdr:to>
      <xdr:col>1</xdr:col>
      <xdr:colOff>281940</xdr:colOff>
      <xdr:row>16</xdr:row>
      <xdr:rowOff>132080</xdr:rowOff>
    </xdr:to>
    <xdr:sp macro="" textlink="Algandmed!AE183">
      <xdr:nvSpPr>
        <xdr:cNvPr id="48" name="TextBox 47">
          <a:extLst>
            <a:ext uri="{FF2B5EF4-FFF2-40B4-BE49-F238E27FC236}">
              <a16:creationId xmlns:a16="http://schemas.microsoft.com/office/drawing/2014/main" xmlns="" id="{00000000-0008-0000-0300-00000F010000}"/>
            </a:ext>
          </a:extLst>
        </xdr:cNvPr>
        <xdr:cNvSpPr txBox="1"/>
      </xdr:nvSpPr>
      <xdr:spPr>
        <a:xfrm>
          <a:off x="33020" y="68569205"/>
          <a:ext cx="887095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816C1F-82DE-4B32-B7E5-591D03403DFE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2</a:t>
          </a:fld>
          <a:endParaRPr lang="en-US" sz="32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</xdr:col>
      <xdr:colOff>284480</xdr:colOff>
      <xdr:row>13</xdr:row>
      <xdr:rowOff>170180</xdr:rowOff>
    </xdr:from>
    <xdr:to>
      <xdr:col>2</xdr:col>
      <xdr:colOff>520700</xdr:colOff>
      <xdr:row>16</xdr:row>
      <xdr:rowOff>132080</xdr:rowOff>
    </xdr:to>
    <xdr:sp macro="" textlink="Algandmed!AF183">
      <xdr:nvSpPr>
        <xdr:cNvPr id="49" name="TextBox 48">
          <a:extLst>
            <a:ext uri="{FF2B5EF4-FFF2-40B4-BE49-F238E27FC236}">
              <a16:creationId xmlns:a16="http://schemas.microsoft.com/office/drawing/2014/main" xmlns="" id="{00000000-0008-0000-0300-000010010000}"/>
            </a:ext>
          </a:extLst>
        </xdr:cNvPr>
        <xdr:cNvSpPr txBox="1"/>
      </xdr:nvSpPr>
      <xdr:spPr>
        <a:xfrm>
          <a:off x="922655" y="68569205"/>
          <a:ext cx="874395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258C16-8B02-41FD-B36F-148FD81A277B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520700</xdr:colOff>
      <xdr:row>13</xdr:row>
      <xdr:rowOff>170180</xdr:rowOff>
    </xdr:from>
    <xdr:to>
      <xdr:col>4</xdr:col>
      <xdr:colOff>152400</xdr:colOff>
      <xdr:row>16</xdr:row>
      <xdr:rowOff>132080</xdr:rowOff>
    </xdr:to>
    <xdr:sp macro="" textlink="Algandmed!AG183">
      <xdr:nvSpPr>
        <xdr:cNvPr id="50" name="TextBox 49">
          <a:extLst>
            <a:ext uri="{FF2B5EF4-FFF2-40B4-BE49-F238E27FC236}">
              <a16:creationId xmlns:a16="http://schemas.microsoft.com/office/drawing/2014/main" xmlns="" id="{00000000-0008-0000-0300-000011010000}"/>
            </a:ext>
          </a:extLst>
        </xdr:cNvPr>
        <xdr:cNvSpPr txBox="1"/>
      </xdr:nvSpPr>
      <xdr:spPr>
        <a:xfrm>
          <a:off x="1797050" y="68569205"/>
          <a:ext cx="908050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11BF260-BA5A-484F-A8BD-0F8DEFF06457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2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4</xdr:col>
      <xdr:colOff>152400</xdr:colOff>
      <xdr:row>13</xdr:row>
      <xdr:rowOff>170180</xdr:rowOff>
    </xdr:from>
    <xdr:to>
      <xdr:col>5</xdr:col>
      <xdr:colOff>393700</xdr:colOff>
      <xdr:row>16</xdr:row>
      <xdr:rowOff>132080</xdr:rowOff>
    </xdr:to>
    <xdr:sp macro="" textlink="Algandmed!AH183">
      <xdr:nvSpPr>
        <xdr:cNvPr id="51" name="TextBox 50">
          <a:extLst>
            <a:ext uri="{FF2B5EF4-FFF2-40B4-BE49-F238E27FC236}">
              <a16:creationId xmlns:a16="http://schemas.microsoft.com/office/drawing/2014/main" xmlns="" id="{00000000-0008-0000-0300-000012010000}"/>
            </a:ext>
          </a:extLst>
        </xdr:cNvPr>
        <xdr:cNvSpPr txBox="1"/>
      </xdr:nvSpPr>
      <xdr:spPr>
        <a:xfrm>
          <a:off x="2705100" y="68569205"/>
          <a:ext cx="879475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2073CDB-2689-4923-A32B-3C123431B884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198120</xdr:colOff>
      <xdr:row>13</xdr:row>
      <xdr:rowOff>157480</xdr:rowOff>
    </xdr:from>
    <xdr:to>
      <xdr:col>8</xdr:col>
      <xdr:colOff>416560</xdr:colOff>
      <xdr:row>16</xdr:row>
      <xdr:rowOff>119380</xdr:rowOff>
    </xdr:to>
    <xdr:sp macro="" textlink="Algandmed!AT183">
      <xdr:nvSpPr>
        <xdr:cNvPr id="52" name="TextBox 51">
          <a:extLst>
            <a:ext uri="{FF2B5EF4-FFF2-40B4-BE49-F238E27FC236}">
              <a16:creationId xmlns:a16="http://schemas.microsoft.com/office/drawing/2014/main" xmlns="" id="{00000000-0008-0000-0300-000013010000}"/>
            </a:ext>
          </a:extLst>
        </xdr:cNvPr>
        <xdr:cNvSpPr txBox="1"/>
      </xdr:nvSpPr>
      <xdr:spPr>
        <a:xfrm>
          <a:off x="4665345" y="68556505"/>
          <a:ext cx="856615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7DC4446-3F77-47E5-8A7C-41D495BC1AF9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5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419100</xdr:colOff>
      <xdr:row>13</xdr:row>
      <xdr:rowOff>157480</xdr:rowOff>
    </xdr:from>
    <xdr:to>
      <xdr:col>10</xdr:col>
      <xdr:colOff>50800</xdr:colOff>
      <xdr:row>16</xdr:row>
      <xdr:rowOff>119380</xdr:rowOff>
    </xdr:to>
    <xdr:sp macro="" textlink="Algandmed!AU183">
      <xdr:nvSpPr>
        <xdr:cNvPr id="53" name="TextBox 52">
          <a:extLst>
            <a:ext uri="{FF2B5EF4-FFF2-40B4-BE49-F238E27FC236}">
              <a16:creationId xmlns:a16="http://schemas.microsoft.com/office/drawing/2014/main" xmlns="" id="{00000000-0008-0000-0300-000014010000}"/>
            </a:ext>
          </a:extLst>
        </xdr:cNvPr>
        <xdr:cNvSpPr txBox="1"/>
      </xdr:nvSpPr>
      <xdr:spPr>
        <a:xfrm>
          <a:off x="5524500" y="68556505"/>
          <a:ext cx="908050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437CF3-A918-4AB9-ACA4-66A2739F59B6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4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50800</xdr:colOff>
      <xdr:row>13</xdr:row>
      <xdr:rowOff>157480</xdr:rowOff>
    </xdr:from>
    <xdr:to>
      <xdr:col>11</xdr:col>
      <xdr:colOff>292100</xdr:colOff>
      <xdr:row>16</xdr:row>
      <xdr:rowOff>119380</xdr:rowOff>
    </xdr:to>
    <xdr:sp macro="" textlink="Algandmed!AV183">
      <xdr:nvSpPr>
        <xdr:cNvPr id="54" name="TextBox 53">
          <a:extLst>
            <a:ext uri="{FF2B5EF4-FFF2-40B4-BE49-F238E27FC236}">
              <a16:creationId xmlns:a16="http://schemas.microsoft.com/office/drawing/2014/main" xmlns="" id="{00000000-0008-0000-0300-000015010000}"/>
            </a:ext>
          </a:extLst>
        </xdr:cNvPr>
        <xdr:cNvSpPr txBox="1"/>
      </xdr:nvSpPr>
      <xdr:spPr>
        <a:xfrm>
          <a:off x="6432550" y="68556505"/>
          <a:ext cx="879475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A91AF9-4F99-4281-89BC-1F533FB9EF82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3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11</xdr:col>
      <xdr:colOff>292100</xdr:colOff>
      <xdr:row>13</xdr:row>
      <xdr:rowOff>157480</xdr:rowOff>
    </xdr:from>
    <xdr:to>
      <xdr:col>12</xdr:col>
      <xdr:colOff>533400</xdr:colOff>
      <xdr:row>16</xdr:row>
      <xdr:rowOff>119380</xdr:rowOff>
    </xdr:to>
    <xdr:sp macro="" textlink="Algandmed!AW183">
      <xdr:nvSpPr>
        <xdr:cNvPr id="55" name="TextBox 54">
          <a:extLst>
            <a:ext uri="{FF2B5EF4-FFF2-40B4-BE49-F238E27FC236}">
              <a16:creationId xmlns:a16="http://schemas.microsoft.com/office/drawing/2014/main" xmlns="" id="{00000000-0008-0000-0300-000016010000}"/>
            </a:ext>
          </a:extLst>
        </xdr:cNvPr>
        <xdr:cNvSpPr txBox="1"/>
      </xdr:nvSpPr>
      <xdr:spPr>
        <a:xfrm>
          <a:off x="7312025" y="68556505"/>
          <a:ext cx="879475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D9BD80-90FE-42DF-90CE-208086F84449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393700</xdr:colOff>
      <xdr:row>13</xdr:row>
      <xdr:rowOff>170180</xdr:rowOff>
    </xdr:from>
    <xdr:to>
      <xdr:col>6</xdr:col>
      <xdr:colOff>596900</xdr:colOff>
      <xdr:row>16</xdr:row>
      <xdr:rowOff>132080</xdr:rowOff>
    </xdr:to>
    <xdr:sp macro="" textlink="Algandmed!AI183">
      <xdr:nvSpPr>
        <xdr:cNvPr id="56" name="TextBox 55">
          <a:extLst>
            <a:ext uri="{FF2B5EF4-FFF2-40B4-BE49-F238E27FC236}">
              <a16:creationId xmlns:a16="http://schemas.microsoft.com/office/drawing/2014/main" xmlns="" id="{00000000-0008-0000-0300-000017010000}"/>
            </a:ext>
          </a:extLst>
        </xdr:cNvPr>
        <xdr:cNvSpPr txBox="1"/>
      </xdr:nvSpPr>
      <xdr:spPr>
        <a:xfrm>
          <a:off x="3584575" y="68569205"/>
          <a:ext cx="841375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0442B-2615-405B-B578-5758F0DD255E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533400</xdr:colOff>
      <xdr:row>13</xdr:row>
      <xdr:rowOff>157480</xdr:rowOff>
    </xdr:from>
    <xdr:to>
      <xdr:col>13</xdr:col>
      <xdr:colOff>673100</xdr:colOff>
      <xdr:row>16</xdr:row>
      <xdr:rowOff>119380</xdr:rowOff>
    </xdr:to>
    <xdr:sp macro="" textlink="Algandmed!AX183">
      <xdr:nvSpPr>
        <xdr:cNvPr id="57" name="TextBox 56">
          <a:extLst>
            <a:ext uri="{FF2B5EF4-FFF2-40B4-BE49-F238E27FC236}">
              <a16:creationId xmlns:a16="http://schemas.microsoft.com/office/drawing/2014/main" xmlns="" id="{00000000-0008-0000-0300-000018010000}"/>
            </a:ext>
          </a:extLst>
        </xdr:cNvPr>
        <xdr:cNvSpPr txBox="1"/>
      </xdr:nvSpPr>
      <xdr:spPr>
        <a:xfrm>
          <a:off x="8191500" y="68556505"/>
          <a:ext cx="882650" cy="5334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98CC63A-04FA-4B47-B393-E4D71B5A4FA4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38100</xdr:colOff>
      <xdr:row>25</xdr:row>
      <xdr:rowOff>12700</xdr:rowOff>
    </xdr:from>
    <xdr:to>
      <xdr:col>1</xdr:col>
      <xdr:colOff>274320</xdr:colOff>
      <xdr:row>27</xdr:row>
      <xdr:rowOff>152400</xdr:rowOff>
    </xdr:to>
    <xdr:sp macro="" textlink="Algandmed!AE234">
      <xdr:nvSpPr>
        <xdr:cNvPr id="58" name="TextBox 57">
          <a:extLst>
            <a:ext uri="{FF2B5EF4-FFF2-40B4-BE49-F238E27FC236}">
              <a16:creationId xmlns:a16="http://schemas.microsoft.com/office/drawing/2014/main" xmlns="" id="{00000000-0008-0000-0300-000019010000}"/>
            </a:ext>
          </a:extLst>
        </xdr:cNvPr>
        <xdr:cNvSpPr txBox="1"/>
      </xdr:nvSpPr>
      <xdr:spPr>
        <a:xfrm>
          <a:off x="38100" y="70697725"/>
          <a:ext cx="874395" cy="520700"/>
        </a:xfrm>
        <a:prstGeom prst="rect">
          <a:avLst/>
        </a:prstGeom>
        <a:solidFill>
          <a:srgbClr val="FFFFFF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DD4BD4-459A-4D33-9196-B2D097C2C22D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50,0%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</xdr:col>
      <xdr:colOff>276860</xdr:colOff>
      <xdr:row>25</xdr:row>
      <xdr:rowOff>12700</xdr:rowOff>
    </xdr:from>
    <xdr:to>
      <xdr:col>2</xdr:col>
      <xdr:colOff>525780</xdr:colOff>
      <xdr:row>27</xdr:row>
      <xdr:rowOff>152400</xdr:rowOff>
    </xdr:to>
    <xdr:sp macro="" textlink="Algandmed!AF234">
      <xdr:nvSpPr>
        <xdr:cNvPr id="59" name="TextBox 58">
          <a:extLst>
            <a:ext uri="{FF2B5EF4-FFF2-40B4-BE49-F238E27FC236}">
              <a16:creationId xmlns:a16="http://schemas.microsoft.com/office/drawing/2014/main" xmlns="" id="{00000000-0008-0000-0300-00001A010000}"/>
            </a:ext>
          </a:extLst>
        </xdr:cNvPr>
        <xdr:cNvSpPr txBox="1"/>
      </xdr:nvSpPr>
      <xdr:spPr>
        <a:xfrm>
          <a:off x="915035" y="70697725"/>
          <a:ext cx="887095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78A3E9-2AAB-4E2F-8930-68B63558B076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100,0%</a:t>
          </a:fld>
          <a:endParaRPr lang="en-US" sz="24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2</xdr:col>
      <xdr:colOff>515620</xdr:colOff>
      <xdr:row>25</xdr:row>
      <xdr:rowOff>12700</xdr:rowOff>
    </xdr:from>
    <xdr:to>
      <xdr:col>4</xdr:col>
      <xdr:colOff>154940</xdr:colOff>
      <xdr:row>27</xdr:row>
      <xdr:rowOff>152400</xdr:rowOff>
    </xdr:to>
    <xdr:sp macro="" textlink="Algandmed!AG234">
      <xdr:nvSpPr>
        <xdr:cNvPr id="60" name="TextBox 59">
          <a:extLst>
            <a:ext uri="{FF2B5EF4-FFF2-40B4-BE49-F238E27FC236}">
              <a16:creationId xmlns:a16="http://schemas.microsoft.com/office/drawing/2014/main" xmlns="" id="{00000000-0008-0000-0300-00001B010000}"/>
            </a:ext>
          </a:extLst>
        </xdr:cNvPr>
        <xdr:cNvSpPr txBox="1"/>
      </xdr:nvSpPr>
      <xdr:spPr>
        <a:xfrm>
          <a:off x="1791970" y="70697725"/>
          <a:ext cx="915670" cy="5207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3C2810-5059-492A-B149-7A487F760175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4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4</xdr:col>
      <xdr:colOff>157480</xdr:colOff>
      <xdr:row>25</xdr:row>
      <xdr:rowOff>12700</xdr:rowOff>
    </xdr:from>
    <xdr:to>
      <xdr:col>5</xdr:col>
      <xdr:colOff>393700</xdr:colOff>
      <xdr:row>27</xdr:row>
      <xdr:rowOff>152400</xdr:rowOff>
    </xdr:to>
    <xdr:sp macro="" textlink="Algandmed!AH234">
      <xdr:nvSpPr>
        <xdr:cNvPr id="61" name="TextBox 60">
          <a:extLst>
            <a:ext uri="{FF2B5EF4-FFF2-40B4-BE49-F238E27FC236}">
              <a16:creationId xmlns:a16="http://schemas.microsoft.com/office/drawing/2014/main" xmlns="" id="{00000000-0008-0000-0300-00001C010000}"/>
            </a:ext>
          </a:extLst>
        </xdr:cNvPr>
        <xdr:cNvSpPr txBox="1"/>
      </xdr:nvSpPr>
      <xdr:spPr>
        <a:xfrm>
          <a:off x="2710180" y="70697725"/>
          <a:ext cx="874395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62BA094-1C07-471A-97A5-923C541CC38E}" type="TxLink">
            <a:rPr lang="en-US" sz="1600" b="1" i="0" u="none" strike="noStrike">
              <a:solidFill>
                <a:srgbClr val="4D4D4D"/>
              </a:solidFill>
              <a:latin typeface="+mn-lt"/>
            </a:rPr>
            <a:pPr algn="ctr"/>
            <a:t>#DIV/0!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7</xdr:col>
      <xdr:colOff>203200</xdr:colOff>
      <xdr:row>25</xdr:row>
      <xdr:rowOff>0</xdr:rowOff>
    </xdr:from>
    <xdr:to>
      <xdr:col>8</xdr:col>
      <xdr:colOff>421640</xdr:colOff>
      <xdr:row>27</xdr:row>
      <xdr:rowOff>139700</xdr:rowOff>
    </xdr:to>
    <xdr:sp macro="" textlink="Algandmed!AT234">
      <xdr:nvSpPr>
        <xdr:cNvPr id="62" name="TextBox 61">
          <a:extLst>
            <a:ext uri="{FF2B5EF4-FFF2-40B4-BE49-F238E27FC236}">
              <a16:creationId xmlns:a16="http://schemas.microsoft.com/office/drawing/2014/main" xmlns="" id="{00000000-0008-0000-0300-00001D010000}"/>
            </a:ext>
          </a:extLst>
        </xdr:cNvPr>
        <xdr:cNvSpPr txBox="1"/>
      </xdr:nvSpPr>
      <xdr:spPr>
        <a:xfrm>
          <a:off x="4670425" y="70685025"/>
          <a:ext cx="856615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7DA39A7-5814-4B17-90D9-6BCC0020AB0C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60,0%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8</xdr:col>
      <xdr:colOff>419100</xdr:colOff>
      <xdr:row>25</xdr:row>
      <xdr:rowOff>0</xdr:rowOff>
    </xdr:from>
    <xdr:to>
      <xdr:col>10</xdr:col>
      <xdr:colOff>50800</xdr:colOff>
      <xdr:row>27</xdr:row>
      <xdr:rowOff>139700</xdr:rowOff>
    </xdr:to>
    <xdr:sp macro="" textlink="Algandmed!AU234">
      <xdr:nvSpPr>
        <xdr:cNvPr id="63" name="TextBox 62">
          <a:extLst>
            <a:ext uri="{FF2B5EF4-FFF2-40B4-BE49-F238E27FC236}">
              <a16:creationId xmlns:a16="http://schemas.microsoft.com/office/drawing/2014/main" xmlns="" id="{00000000-0008-0000-0300-00001E010000}"/>
            </a:ext>
          </a:extLst>
        </xdr:cNvPr>
        <xdr:cNvSpPr txBox="1"/>
      </xdr:nvSpPr>
      <xdr:spPr>
        <a:xfrm>
          <a:off x="5524500" y="70685025"/>
          <a:ext cx="908050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854475-7076-4ED5-8AC2-7004AE1462F4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50,0%</a:t>
          </a:fld>
          <a:endParaRPr lang="en-US" sz="24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10</xdr:col>
      <xdr:colOff>50800</xdr:colOff>
      <xdr:row>25</xdr:row>
      <xdr:rowOff>0</xdr:rowOff>
    </xdr:from>
    <xdr:to>
      <xdr:col>11</xdr:col>
      <xdr:colOff>292100</xdr:colOff>
      <xdr:row>27</xdr:row>
      <xdr:rowOff>139700</xdr:rowOff>
    </xdr:to>
    <xdr:sp macro="" textlink="Algandmed!AV234">
      <xdr:nvSpPr>
        <xdr:cNvPr id="64" name="TextBox 63">
          <a:extLst>
            <a:ext uri="{FF2B5EF4-FFF2-40B4-BE49-F238E27FC236}">
              <a16:creationId xmlns:a16="http://schemas.microsoft.com/office/drawing/2014/main" xmlns="" id="{00000000-0008-0000-0300-00001F010000}"/>
            </a:ext>
          </a:extLst>
        </xdr:cNvPr>
        <xdr:cNvSpPr txBox="1"/>
      </xdr:nvSpPr>
      <xdr:spPr>
        <a:xfrm>
          <a:off x="6432550" y="70685025"/>
          <a:ext cx="879475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2B95326-08D6-42E9-AE85-3F42FB41CF17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4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11</xdr:col>
      <xdr:colOff>292100</xdr:colOff>
      <xdr:row>25</xdr:row>
      <xdr:rowOff>0</xdr:rowOff>
    </xdr:from>
    <xdr:to>
      <xdr:col>12</xdr:col>
      <xdr:colOff>528320</xdr:colOff>
      <xdr:row>27</xdr:row>
      <xdr:rowOff>139700</xdr:rowOff>
    </xdr:to>
    <xdr:sp macro="" textlink="Algandmed!AW234">
      <xdr:nvSpPr>
        <xdr:cNvPr id="65" name="TextBox 64">
          <a:extLst>
            <a:ext uri="{FF2B5EF4-FFF2-40B4-BE49-F238E27FC236}">
              <a16:creationId xmlns:a16="http://schemas.microsoft.com/office/drawing/2014/main" xmlns="" id="{00000000-0008-0000-0300-000020010000}"/>
            </a:ext>
          </a:extLst>
        </xdr:cNvPr>
        <xdr:cNvSpPr txBox="1"/>
      </xdr:nvSpPr>
      <xdr:spPr>
        <a:xfrm>
          <a:off x="7312025" y="70685025"/>
          <a:ext cx="874395" cy="5207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A875FC0-73C1-46AB-8EC4-E4AF2AA00B2D}" type="TxLink">
            <a:rPr lang="en-US" sz="1600" b="1" i="0" u="none" strike="noStrike">
              <a:solidFill>
                <a:srgbClr val="4D4D4D"/>
              </a:solidFill>
              <a:latin typeface="+mn-lt"/>
            </a:rPr>
            <a:pPr algn="ctr"/>
            <a:t>#DIV/0!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5</xdr:col>
      <xdr:colOff>393700</xdr:colOff>
      <xdr:row>25</xdr:row>
      <xdr:rowOff>12700</xdr:rowOff>
    </xdr:from>
    <xdr:to>
      <xdr:col>6</xdr:col>
      <xdr:colOff>596900</xdr:colOff>
      <xdr:row>27</xdr:row>
      <xdr:rowOff>152400</xdr:rowOff>
    </xdr:to>
    <xdr:sp macro="" textlink="Algandmed!AI234">
      <xdr:nvSpPr>
        <xdr:cNvPr id="66" name="TextBox 65">
          <a:extLst>
            <a:ext uri="{FF2B5EF4-FFF2-40B4-BE49-F238E27FC236}">
              <a16:creationId xmlns:a16="http://schemas.microsoft.com/office/drawing/2014/main" xmlns="" id="{00000000-0008-0000-0300-000021010000}"/>
            </a:ext>
          </a:extLst>
        </xdr:cNvPr>
        <xdr:cNvSpPr txBox="1"/>
      </xdr:nvSpPr>
      <xdr:spPr>
        <a:xfrm>
          <a:off x="3584575" y="70697725"/>
          <a:ext cx="841375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7C323-67F8-4E2D-B837-0DBEF4AEC9F0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100,0%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12</xdr:col>
      <xdr:colOff>530860</xdr:colOff>
      <xdr:row>25</xdr:row>
      <xdr:rowOff>0</xdr:rowOff>
    </xdr:from>
    <xdr:to>
      <xdr:col>13</xdr:col>
      <xdr:colOff>678180</xdr:colOff>
      <xdr:row>27</xdr:row>
      <xdr:rowOff>139700</xdr:rowOff>
    </xdr:to>
    <xdr:sp macro="" textlink="Algandmed!AX234">
      <xdr:nvSpPr>
        <xdr:cNvPr id="67" name="TextBox 66">
          <a:extLst>
            <a:ext uri="{FF2B5EF4-FFF2-40B4-BE49-F238E27FC236}">
              <a16:creationId xmlns:a16="http://schemas.microsoft.com/office/drawing/2014/main" xmlns="" id="{00000000-0008-0000-0300-000022010000}"/>
            </a:ext>
          </a:extLst>
        </xdr:cNvPr>
        <xdr:cNvSpPr txBox="1"/>
      </xdr:nvSpPr>
      <xdr:spPr>
        <a:xfrm>
          <a:off x="8188960" y="70685025"/>
          <a:ext cx="890270" cy="5207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54D9252-5337-4B6D-9555-89084D52D1CF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100,0%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</xdr:col>
      <xdr:colOff>127000</xdr:colOff>
      <xdr:row>54</xdr:row>
      <xdr:rowOff>26555</xdr:rowOff>
    </xdr:from>
    <xdr:to>
      <xdr:col>3</xdr:col>
      <xdr:colOff>127000</xdr:colOff>
      <xdr:row>55</xdr:row>
      <xdr:rowOff>82713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xmlns="" id="{00000000-0008-0000-0300-000080010000}"/>
            </a:ext>
          </a:extLst>
        </xdr:cNvPr>
        <xdr:cNvSpPr txBox="1"/>
      </xdr:nvSpPr>
      <xdr:spPr>
        <a:xfrm>
          <a:off x="765175" y="76236080"/>
          <a:ext cx="1276350" cy="2466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WE</a:t>
          </a:r>
        </a:p>
      </xdr:txBody>
    </xdr:sp>
    <xdr:clientData/>
  </xdr:twoCellAnchor>
  <xdr:twoCellAnchor>
    <xdr:from>
      <xdr:col>8</xdr:col>
      <xdr:colOff>165100</xdr:colOff>
      <xdr:row>54</xdr:row>
      <xdr:rowOff>13856</xdr:rowOff>
    </xdr:from>
    <xdr:to>
      <xdr:col>10</xdr:col>
      <xdr:colOff>406400</xdr:colOff>
      <xdr:row>55</xdr:row>
      <xdr:rowOff>87173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xmlns="" id="{00000000-0008-0000-0300-000081010000}"/>
            </a:ext>
          </a:extLst>
        </xdr:cNvPr>
        <xdr:cNvSpPr txBox="1"/>
      </xdr:nvSpPr>
      <xdr:spPr>
        <a:xfrm>
          <a:off x="5270500" y="76223381"/>
          <a:ext cx="1517650" cy="2638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THEM</a:t>
          </a:r>
        </a:p>
      </xdr:txBody>
    </xdr:sp>
    <xdr:clientData/>
  </xdr:twoCellAnchor>
  <xdr:twoCellAnchor>
    <xdr:from>
      <xdr:col>1</xdr:col>
      <xdr:colOff>215900</xdr:colOff>
      <xdr:row>34</xdr:row>
      <xdr:rowOff>165100</xdr:rowOff>
    </xdr:from>
    <xdr:to>
      <xdr:col>3</xdr:col>
      <xdr:colOff>215900</xdr:colOff>
      <xdr:row>36</xdr:row>
      <xdr:rowOff>152400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xmlns="" id="{00000000-0008-0000-0300-000082010000}"/>
            </a:ext>
          </a:extLst>
        </xdr:cNvPr>
        <xdr:cNvSpPr txBox="1"/>
      </xdr:nvSpPr>
      <xdr:spPr>
        <a:xfrm>
          <a:off x="854075" y="72564625"/>
          <a:ext cx="1276350" cy="368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WE</a:t>
          </a:r>
        </a:p>
      </xdr:txBody>
    </xdr:sp>
    <xdr:clientData/>
  </xdr:twoCellAnchor>
  <xdr:twoCellAnchor>
    <xdr:from>
      <xdr:col>8</xdr:col>
      <xdr:colOff>254000</xdr:colOff>
      <xdr:row>34</xdr:row>
      <xdr:rowOff>152400</xdr:rowOff>
    </xdr:from>
    <xdr:to>
      <xdr:col>10</xdr:col>
      <xdr:colOff>495300</xdr:colOff>
      <xdr:row>36</xdr:row>
      <xdr:rowOff>165100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xmlns="" id="{00000000-0008-0000-0300-000083010000}"/>
            </a:ext>
          </a:extLst>
        </xdr:cNvPr>
        <xdr:cNvSpPr txBox="1"/>
      </xdr:nvSpPr>
      <xdr:spPr>
        <a:xfrm>
          <a:off x="5359400" y="72551925"/>
          <a:ext cx="151765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THEM</a:t>
          </a:r>
        </a:p>
      </xdr:txBody>
    </xdr:sp>
    <xdr:clientData/>
  </xdr:twoCellAnchor>
  <xdr:twoCellAnchor>
    <xdr:from>
      <xdr:col>4</xdr:col>
      <xdr:colOff>114300</xdr:colOff>
      <xdr:row>32</xdr:row>
      <xdr:rowOff>12700</xdr:rowOff>
    </xdr:from>
    <xdr:to>
      <xdr:col>8</xdr:col>
      <xdr:colOff>0</xdr:colOff>
      <xdr:row>36</xdr:row>
      <xdr:rowOff>0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xmlns="" id="{00000000-0008-0000-0300-000092010000}"/>
            </a:ext>
          </a:extLst>
        </xdr:cNvPr>
        <xdr:cNvSpPr txBox="1"/>
      </xdr:nvSpPr>
      <xdr:spPr>
        <a:xfrm>
          <a:off x="2667000" y="72031225"/>
          <a:ext cx="2438400" cy="749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600" b="1">
              <a:solidFill>
                <a:srgbClr val="4D4D4D"/>
              </a:solidFill>
              <a:latin typeface="Hanse" panose="02000000000000000000" pitchFamily="50" charset="0"/>
            </a:rPr>
            <a:t>GOALS</a:t>
          </a:r>
        </a:p>
      </xdr:txBody>
    </xdr:sp>
    <xdr:clientData/>
  </xdr:twoCellAnchor>
  <xdr:twoCellAnchor>
    <xdr:from>
      <xdr:col>4</xdr:col>
      <xdr:colOff>12700</xdr:colOff>
      <xdr:row>50</xdr:row>
      <xdr:rowOff>130464</xdr:rowOff>
    </xdr:from>
    <xdr:to>
      <xdr:col>7</xdr:col>
      <xdr:colOff>508000</xdr:colOff>
      <xdr:row>54</xdr:row>
      <xdr:rowOff>117764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xmlns="" id="{00000000-0008-0000-0300-000093010000}"/>
            </a:ext>
          </a:extLst>
        </xdr:cNvPr>
        <xdr:cNvSpPr txBox="1"/>
      </xdr:nvSpPr>
      <xdr:spPr>
        <a:xfrm>
          <a:off x="2565400" y="75577989"/>
          <a:ext cx="2409825" cy="749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600" b="1">
              <a:solidFill>
                <a:srgbClr val="4D4D4D"/>
              </a:solidFill>
              <a:latin typeface="Hanse" panose="02000000000000000000" pitchFamily="50" charset="0"/>
            </a:rPr>
            <a:t>SHOTS</a:t>
          </a:r>
        </a:p>
      </xdr:txBody>
    </xdr:sp>
    <xdr:clientData/>
  </xdr:twoCellAnchor>
  <xdr:twoCellAnchor editAs="oneCell">
    <xdr:from>
      <xdr:col>0</xdr:col>
      <xdr:colOff>55418</xdr:colOff>
      <xdr:row>0</xdr:row>
      <xdr:rowOff>41564</xdr:rowOff>
    </xdr:from>
    <xdr:to>
      <xdr:col>2</xdr:col>
      <xdr:colOff>235527</xdr:colOff>
      <xdr:row>4</xdr:row>
      <xdr:rowOff>108238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xmlns="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55418" y="65964089"/>
          <a:ext cx="1456459" cy="82867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12700</xdr:rowOff>
    </xdr:from>
    <xdr:to>
      <xdr:col>13</xdr:col>
      <xdr:colOff>673100</xdr:colOff>
      <xdr:row>49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BEBA8EAE-BF5A-486C-A8C5-ECC9F3942E4B}">
              <a14:imgProps xmlns:a14="http://schemas.microsoft.com/office/drawing/2010/main" xmlns="">
                <a14:imgLayer r:embed="rId2">
                  <a14:imgEffect>
                    <a14:artisticCrisscrossEtching/>
                  </a14:imgEffect>
                  <a14:imgEffect>
                    <a14:colorTemperature colorTemp="4700"/>
                  </a14:imgEffect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82127725"/>
          <a:ext cx="9074150" cy="6337300"/>
        </a:xfrm>
        <a:prstGeom prst="rect">
          <a:avLst/>
        </a:prstGeom>
        <a:noFill/>
        <a:ln>
          <a:noFill/>
        </a:ln>
        <a:effectLst>
          <a:outerShdw sx="1000" sy="1000" algn="tl" rotWithShape="0">
            <a:srgbClr val="333333"/>
          </a:outerShdw>
        </a:effectLst>
      </xdr:spPr>
    </xdr:pic>
    <xdr:clientData/>
  </xdr:twoCellAnchor>
  <xdr:twoCellAnchor>
    <xdr:from>
      <xdr:col>0</xdr:col>
      <xdr:colOff>180340</xdr:colOff>
      <xdr:row>10</xdr:row>
      <xdr:rowOff>5079</xdr:rowOff>
    </xdr:from>
    <xdr:to>
      <xdr:col>1</xdr:col>
      <xdr:colOff>607060</xdr:colOff>
      <xdr:row>13</xdr:row>
      <xdr:rowOff>22188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300-0000EA000000}"/>
            </a:ext>
          </a:extLst>
        </xdr:cNvPr>
        <xdr:cNvSpPr txBox="1"/>
      </xdr:nvSpPr>
      <xdr:spPr>
        <a:xfrm>
          <a:off x="180340" y="80977104"/>
          <a:ext cx="1064895" cy="58860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STANFK</a:t>
          </a:r>
        </a:p>
      </xdr:txBody>
    </xdr:sp>
    <xdr:clientData/>
  </xdr:twoCellAnchor>
  <xdr:twoCellAnchor>
    <xdr:from>
      <xdr:col>2</xdr:col>
      <xdr:colOff>0</xdr:colOff>
      <xdr:row>10</xdr:row>
      <xdr:rowOff>5079</xdr:rowOff>
    </xdr:from>
    <xdr:to>
      <xdr:col>3</xdr:col>
      <xdr:colOff>426720</xdr:colOff>
      <xdr:row>13</xdr:row>
      <xdr:rowOff>22188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300-0000EB000000}"/>
            </a:ext>
          </a:extLst>
        </xdr:cNvPr>
        <xdr:cNvSpPr txBox="1"/>
      </xdr:nvSpPr>
      <xdr:spPr>
        <a:xfrm>
          <a:off x="1276350" y="80977104"/>
          <a:ext cx="1064895" cy="58860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</a:t>
          </a:r>
          <a:r>
            <a:rPr lang="et-EE" sz="1800" b="1" i="0" u="none" strike="noStrike" baseline="0">
              <a:solidFill>
                <a:srgbClr val="4D4D4D"/>
              </a:solidFill>
              <a:latin typeface="Hanse" panose="02000000000000000000" pitchFamily="50" charset="0"/>
            </a:rPr>
            <a:t>TI</a:t>
          </a:r>
        </a:p>
      </xdr:txBody>
    </xdr:sp>
    <xdr:clientData/>
  </xdr:twoCellAnchor>
  <xdr:twoCellAnchor>
    <xdr:from>
      <xdr:col>3</xdr:col>
      <xdr:colOff>429260</xdr:colOff>
      <xdr:row>10</xdr:row>
      <xdr:rowOff>5079</xdr:rowOff>
    </xdr:from>
    <xdr:to>
      <xdr:col>5</xdr:col>
      <xdr:colOff>246380</xdr:colOff>
      <xdr:row>13</xdr:row>
      <xdr:rowOff>22188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300-0000EC000000}"/>
            </a:ext>
          </a:extLst>
        </xdr:cNvPr>
        <xdr:cNvSpPr txBox="1"/>
      </xdr:nvSpPr>
      <xdr:spPr>
        <a:xfrm>
          <a:off x="2343785" y="80977104"/>
          <a:ext cx="1093470" cy="58860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STANGK </a:t>
          </a:r>
          <a:endParaRPr lang="en-US" sz="18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236220</xdr:colOff>
      <xdr:row>10</xdr:row>
      <xdr:rowOff>5079</xdr:rowOff>
    </xdr:from>
    <xdr:to>
      <xdr:col>7</xdr:col>
      <xdr:colOff>53340</xdr:colOff>
      <xdr:row>13</xdr:row>
      <xdr:rowOff>22188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300-0000ED000000}"/>
            </a:ext>
          </a:extLst>
        </xdr:cNvPr>
        <xdr:cNvSpPr txBox="1"/>
      </xdr:nvSpPr>
      <xdr:spPr>
        <a:xfrm>
          <a:off x="3427095" y="80977104"/>
          <a:ext cx="1093470" cy="58860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STANGS</a:t>
          </a:r>
          <a:endParaRPr lang="en-US" sz="18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180340</xdr:colOff>
      <xdr:row>15</xdr:row>
      <xdr:rowOff>152400</xdr:rowOff>
    </xdr:from>
    <xdr:to>
      <xdr:col>1</xdr:col>
      <xdr:colOff>607060</xdr:colOff>
      <xdr:row>18</xdr:row>
      <xdr:rowOff>101600</xdr:rowOff>
    </xdr:to>
    <xdr:sp macro="" textlink="Algandmed!AE190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300-0000EE000000}"/>
            </a:ext>
          </a:extLst>
        </xdr:cNvPr>
        <xdr:cNvSpPr txBox="1"/>
      </xdr:nvSpPr>
      <xdr:spPr>
        <a:xfrm>
          <a:off x="180340" y="82076925"/>
          <a:ext cx="1064895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F5FDDC-FDE6-49BE-9494-6DCE8F00A71D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0</xdr:colOff>
      <xdr:row>15</xdr:row>
      <xdr:rowOff>152400</xdr:rowOff>
    </xdr:from>
    <xdr:to>
      <xdr:col>3</xdr:col>
      <xdr:colOff>426720</xdr:colOff>
      <xdr:row>18</xdr:row>
      <xdr:rowOff>101600</xdr:rowOff>
    </xdr:to>
    <xdr:sp macro="" textlink="Algandmed!AF190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300-0000EF000000}"/>
            </a:ext>
          </a:extLst>
        </xdr:cNvPr>
        <xdr:cNvSpPr txBox="1"/>
      </xdr:nvSpPr>
      <xdr:spPr>
        <a:xfrm>
          <a:off x="1276350" y="82076925"/>
          <a:ext cx="1064895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482596-8F08-435C-B5D9-10337A1EA43A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429260</xdr:colOff>
      <xdr:row>15</xdr:row>
      <xdr:rowOff>152400</xdr:rowOff>
    </xdr:from>
    <xdr:to>
      <xdr:col>5</xdr:col>
      <xdr:colOff>246380</xdr:colOff>
      <xdr:row>18</xdr:row>
      <xdr:rowOff>101600</xdr:rowOff>
    </xdr:to>
    <xdr:sp macro="" textlink="Algandmed!AG190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300-0000F0000000}"/>
            </a:ext>
          </a:extLst>
        </xdr:cNvPr>
        <xdr:cNvSpPr txBox="1"/>
      </xdr:nvSpPr>
      <xdr:spPr>
        <a:xfrm>
          <a:off x="2343785" y="82076925"/>
          <a:ext cx="1093470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99DE33-FE35-4413-ADD3-0FBFF10BBFEE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236220</xdr:colOff>
      <xdr:row>15</xdr:row>
      <xdr:rowOff>152400</xdr:rowOff>
    </xdr:from>
    <xdr:to>
      <xdr:col>7</xdr:col>
      <xdr:colOff>53340</xdr:colOff>
      <xdr:row>18</xdr:row>
      <xdr:rowOff>101600</xdr:rowOff>
    </xdr:to>
    <xdr:sp macro="" textlink="Algandmed!AH190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300-0000F1000000}"/>
            </a:ext>
          </a:extLst>
        </xdr:cNvPr>
        <xdr:cNvSpPr txBox="1"/>
      </xdr:nvSpPr>
      <xdr:spPr>
        <a:xfrm>
          <a:off x="3427095" y="82076925"/>
          <a:ext cx="1093470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D56F870-B915-4AD0-B855-ECE2624256D6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177800</xdr:colOff>
      <xdr:row>34</xdr:row>
      <xdr:rowOff>38100</xdr:rowOff>
    </xdr:from>
    <xdr:to>
      <xdr:col>7</xdr:col>
      <xdr:colOff>63500</xdr:colOff>
      <xdr:row>48</xdr:row>
      <xdr:rowOff>63500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xmlns="" id="{00000000-0008-0000-0300-0000F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55</xdr:row>
      <xdr:rowOff>48260</xdr:rowOff>
    </xdr:from>
    <xdr:to>
      <xdr:col>7</xdr:col>
      <xdr:colOff>66040</xdr:colOff>
      <xdr:row>69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xmlns="" id="{00000000-0008-0000-0300-0000F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37737</xdr:colOff>
      <xdr:row>55</xdr:row>
      <xdr:rowOff>48260</xdr:rowOff>
    </xdr:from>
    <xdr:to>
      <xdr:col>13</xdr:col>
      <xdr:colOff>609600</xdr:colOff>
      <xdr:row>69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xmlns="" id="{00000000-0008-0000-0300-0000F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165100</xdr:colOff>
      <xdr:row>10</xdr:row>
      <xdr:rowOff>5079</xdr:rowOff>
    </xdr:from>
    <xdr:to>
      <xdr:col>8</xdr:col>
      <xdr:colOff>591820</xdr:colOff>
      <xdr:row>13</xdr:row>
      <xdr:rowOff>22188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xmlns="" id="{00000000-0008-0000-0300-0000F5000000}"/>
            </a:ext>
          </a:extLst>
        </xdr:cNvPr>
        <xdr:cNvSpPr txBox="1"/>
      </xdr:nvSpPr>
      <xdr:spPr>
        <a:xfrm>
          <a:off x="4632325" y="80977104"/>
          <a:ext cx="1064895" cy="58860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STANFK</a:t>
          </a:r>
          <a:endParaRPr lang="en-US" sz="48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594360</xdr:colOff>
      <xdr:row>10</xdr:row>
      <xdr:rowOff>5079</xdr:rowOff>
    </xdr:from>
    <xdr:to>
      <xdr:col>10</xdr:col>
      <xdr:colOff>411480</xdr:colOff>
      <xdr:row>13</xdr:row>
      <xdr:rowOff>22188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300-0000F6000000}"/>
            </a:ext>
          </a:extLst>
        </xdr:cNvPr>
        <xdr:cNvSpPr txBox="1"/>
      </xdr:nvSpPr>
      <xdr:spPr>
        <a:xfrm>
          <a:off x="5699760" y="80977104"/>
          <a:ext cx="1093470" cy="58860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</a:t>
          </a:r>
          <a:r>
            <a:rPr lang="et-EE" sz="1800" b="1" i="0" u="none" strike="noStrike" baseline="0">
              <a:solidFill>
                <a:srgbClr val="4D4D4D"/>
              </a:solidFill>
              <a:latin typeface="Hanse" panose="02000000000000000000" pitchFamily="50" charset="0"/>
            </a:rPr>
            <a:t>TI</a:t>
          </a:r>
          <a:endParaRPr lang="en-US" sz="18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401320</xdr:colOff>
      <xdr:row>10</xdr:row>
      <xdr:rowOff>5079</xdr:rowOff>
    </xdr:from>
    <xdr:to>
      <xdr:col>12</xdr:col>
      <xdr:colOff>218440</xdr:colOff>
      <xdr:row>13</xdr:row>
      <xdr:rowOff>22188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300-0000F7000000}"/>
            </a:ext>
          </a:extLst>
        </xdr:cNvPr>
        <xdr:cNvSpPr txBox="1"/>
      </xdr:nvSpPr>
      <xdr:spPr>
        <a:xfrm>
          <a:off x="6783070" y="80977104"/>
          <a:ext cx="1093470" cy="58860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STANGK </a:t>
          </a:r>
          <a:endParaRPr lang="en-US" sz="18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220980</xdr:colOff>
      <xdr:row>10</xdr:row>
      <xdr:rowOff>5079</xdr:rowOff>
    </xdr:from>
    <xdr:to>
      <xdr:col>13</xdr:col>
      <xdr:colOff>546100</xdr:colOff>
      <xdr:row>13</xdr:row>
      <xdr:rowOff>22188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xmlns="" id="{00000000-0008-0000-0300-0000F8000000}"/>
            </a:ext>
          </a:extLst>
        </xdr:cNvPr>
        <xdr:cNvSpPr txBox="1"/>
      </xdr:nvSpPr>
      <xdr:spPr>
        <a:xfrm>
          <a:off x="7879080" y="80977104"/>
          <a:ext cx="1068070" cy="58860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8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STANGS</a:t>
          </a:r>
          <a:endParaRPr lang="en-US" sz="18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165100</xdr:colOff>
      <xdr:row>15</xdr:row>
      <xdr:rowOff>152400</xdr:rowOff>
    </xdr:from>
    <xdr:to>
      <xdr:col>8</xdr:col>
      <xdr:colOff>591820</xdr:colOff>
      <xdr:row>18</xdr:row>
      <xdr:rowOff>101600</xdr:rowOff>
    </xdr:to>
    <xdr:sp macro="" textlink="Algandmed!AT190">
      <xdr:nvSpPr>
        <xdr:cNvPr id="18" name="TextBox 17">
          <a:extLst>
            <a:ext uri="{FF2B5EF4-FFF2-40B4-BE49-F238E27FC236}">
              <a16:creationId xmlns:a16="http://schemas.microsoft.com/office/drawing/2014/main" xmlns="" id="{00000000-0008-0000-0300-0000F9000000}"/>
            </a:ext>
          </a:extLst>
        </xdr:cNvPr>
        <xdr:cNvSpPr txBox="1"/>
      </xdr:nvSpPr>
      <xdr:spPr>
        <a:xfrm>
          <a:off x="4632325" y="82076925"/>
          <a:ext cx="1064895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8D348E1-27D2-4DC2-ADD5-3E209DF47DAE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594360</xdr:colOff>
      <xdr:row>15</xdr:row>
      <xdr:rowOff>152400</xdr:rowOff>
    </xdr:from>
    <xdr:to>
      <xdr:col>10</xdr:col>
      <xdr:colOff>411480</xdr:colOff>
      <xdr:row>18</xdr:row>
      <xdr:rowOff>101600</xdr:rowOff>
    </xdr:to>
    <xdr:sp macro="" textlink="Algandmed!AU190">
      <xdr:nvSpPr>
        <xdr:cNvPr id="19" name="TextBox 18">
          <a:extLst>
            <a:ext uri="{FF2B5EF4-FFF2-40B4-BE49-F238E27FC236}">
              <a16:creationId xmlns:a16="http://schemas.microsoft.com/office/drawing/2014/main" xmlns="" id="{00000000-0008-0000-0300-0000FA000000}"/>
            </a:ext>
          </a:extLst>
        </xdr:cNvPr>
        <xdr:cNvSpPr txBox="1"/>
      </xdr:nvSpPr>
      <xdr:spPr>
        <a:xfrm>
          <a:off x="5699760" y="82076925"/>
          <a:ext cx="1093470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0F80129-0C9B-45CA-BFD9-9FF76FE103EC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401320</xdr:colOff>
      <xdr:row>15</xdr:row>
      <xdr:rowOff>152400</xdr:rowOff>
    </xdr:from>
    <xdr:to>
      <xdr:col>12</xdr:col>
      <xdr:colOff>218440</xdr:colOff>
      <xdr:row>18</xdr:row>
      <xdr:rowOff>101600</xdr:rowOff>
    </xdr:to>
    <xdr:sp macro="" textlink="Algandmed!AV190">
      <xdr:nvSpPr>
        <xdr:cNvPr id="20" name="TextBox 19">
          <a:extLst>
            <a:ext uri="{FF2B5EF4-FFF2-40B4-BE49-F238E27FC236}">
              <a16:creationId xmlns:a16="http://schemas.microsoft.com/office/drawing/2014/main" xmlns="" id="{00000000-0008-0000-0300-0000FB000000}"/>
            </a:ext>
          </a:extLst>
        </xdr:cNvPr>
        <xdr:cNvSpPr txBox="1"/>
      </xdr:nvSpPr>
      <xdr:spPr>
        <a:xfrm>
          <a:off x="6783070" y="82076925"/>
          <a:ext cx="1093470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3DC1593-ED08-4A57-B5DF-558F6141ED2C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220980</xdr:colOff>
      <xdr:row>15</xdr:row>
      <xdr:rowOff>152400</xdr:rowOff>
    </xdr:from>
    <xdr:to>
      <xdr:col>13</xdr:col>
      <xdr:colOff>546100</xdr:colOff>
      <xdr:row>18</xdr:row>
      <xdr:rowOff>101600</xdr:rowOff>
    </xdr:to>
    <xdr:sp macro="" textlink="Algandmed!AW190">
      <xdr:nvSpPr>
        <xdr:cNvPr id="21" name="TextBox 20">
          <a:extLst>
            <a:ext uri="{FF2B5EF4-FFF2-40B4-BE49-F238E27FC236}">
              <a16:creationId xmlns:a16="http://schemas.microsoft.com/office/drawing/2014/main" xmlns="" id="{00000000-0008-0000-0300-0000FC000000}"/>
            </a:ext>
          </a:extLst>
        </xdr:cNvPr>
        <xdr:cNvSpPr txBox="1"/>
      </xdr:nvSpPr>
      <xdr:spPr>
        <a:xfrm>
          <a:off x="7879080" y="82076925"/>
          <a:ext cx="1068070" cy="5207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1B7C8C-3042-4323-9345-FC6CD3443FC4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180340</xdr:colOff>
      <xdr:row>21</xdr:row>
      <xdr:rowOff>45720</xdr:rowOff>
    </xdr:from>
    <xdr:to>
      <xdr:col>1</xdr:col>
      <xdr:colOff>607060</xdr:colOff>
      <xdr:row>24</xdr:row>
      <xdr:rowOff>15522</xdr:rowOff>
    </xdr:to>
    <xdr:sp macro="" textlink="Algandmed!AE240">
      <xdr:nvSpPr>
        <xdr:cNvPr id="22" name="TextBox 21">
          <a:extLst>
            <a:ext uri="{FF2B5EF4-FFF2-40B4-BE49-F238E27FC236}">
              <a16:creationId xmlns:a16="http://schemas.microsoft.com/office/drawing/2014/main" xmlns="" id="{00000000-0008-0000-0300-0000FD000000}"/>
            </a:ext>
          </a:extLst>
        </xdr:cNvPr>
        <xdr:cNvSpPr txBox="1"/>
      </xdr:nvSpPr>
      <xdr:spPr>
        <a:xfrm>
          <a:off x="180340" y="83113245"/>
          <a:ext cx="1064895" cy="541302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293235-04BB-42D5-9FE6-0C9AE4C89A6C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0</xdr:colOff>
      <xdr:row>21</xdr:row>
      <xdr:rowOff>45720</xdr:rowOff>
    </xdr:from>
    <xdr:to>
      <xdr:col>3</xdr:col>
      <xdr:colOff>426720</xdr:colOff>
      <xdr:row>24</xdr:row>
      <xdr:rowOff>15522</xdr:rowOff>
    </xdr:to>
    <xdr:sp macro="" textlink="Algandmed!AF240">
      <xdr:nvSpPr>
        <xdr:cNvPr id="23" name="TextBox 22">
          <a:extLst>
            <a:ext uri="{FF2B5EF4-FFF2-40B4-BE49-F238E27FC236}">
              <a16:creationId xmlns:a16="http://schemas.microsoft.com/office/drawing/2014/main" xmlns="" id="{00000000-0008-0000-0300-0000FE000000}"/>
            </a:ext>
          </a:extLst>
        </xdr:cNvPr>
        <xdr:cNvSpPr txBox="1"/>
      </xdr:nvSpPr>
      <xdr:spPr>
        <a:xfrm>
          <a:off x="1276350" y="83113245"/>
          <a:ext cx="1064895" cy="541302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FDAE787-B1F9-43E0-83A5-68EF80C154AE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429260</xdr:colOff>
      <xdr:row>21</xdr:row>
      <xdr:rowOff>45720</xdr:rowOff>
    </xdr:from>
    <xdr:to>
      <xdr:col>5</xdr:col>
      <xdr:colOff>246380</xdr:colOff>
      <xdr:row>24</xdr:row>
      <xdr:rowOff>15522</xdr:rowOff>
    </xdr:to>
    <xdr:sp macro="" textlink="Algandmed!AG240">
      <xdr:nvSpPr>
        <xdr:cNvPr id="24" name="TextBox 23">
          <a:extLst>
            <a:ext uri="{FF2B5EF4-FFF2-40B4-BE49-F238E27FC236}">
              <a16:creationId xmlns:a16="http://schemas.microsoft.com/office/drawing/2014/main" xmlns="" id="{00000000-0008-0000-0300-0000FF000000}"/>
            </a:ext>
          </a:extLst>
        </xdr:cNvPr>
        <xdr:cNvSpPr txBox="1"/>
      </xdr:nvSpPr>
      <xdr:spPr>
        <a:xfrm>
          <a:off x="2343785" y="83113245"/>
          <a:ext cx="1093470" cy="541302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A384BB-6044-4D81-B556-532F29B3803C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236220</xdr:colOff>
      <xdr:row>21</xdr:row>
      <xdr:rowOff>45720</xdr:rowOff>
    </xdr:from>
    <xdr:to>
      <xdr:col>7</xdr:col>
      <xdr:colOff>53340</xdr:colOff>
      <xdr:row>24</xdr:row>
      <xdr:rowOff>15522</xdr:rowOff>
    </xdr:to>
    <xdr:sp macro="" textlink="Algandmed!AH240">
      <xdr:nvSpPr>
        <xdr:cNvPr id="25" name="TextBox 24">
          <a:extLst>
            <a:ext uri="{FF2B5EF4-FFF2-40B4-BE49-F238E27FC236}">
              <a16:creationId xmlns:a16="http://schemas.microsoft.com/office/drawing/2014/main" xmlns="" id="{00000000-0008-0000-0300-000000010000}"/>
            </a:ext>
          </a:extLst>
        </xdr:cNvPr>
        <xdr:cNvSpPr txBox="1"/>
      </xdr:nvSpPr>
      <xdr:spPr>
        <a:xfrm>
          <a:off x="3427095" y="83113245"/>
          <a:ext cx="1093470" cy="541302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0B3C228-357A-4A2A-9821-74EFA66AC772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165100</xdr:colOff>
      <xdr:row>21</xdr:row>
      <xdr:rowOff>45720</xdr:rowOff>
    </xdr:from>
    <xdr:to>
      <xdr:col>8</xdr:col>
      <xdr:colOff>591820</xdr:colOff>
      <xdr:row>24</xdr:row>
      <xdr:rowOff>15522</xdr:rowOff>
    </xdr:to>
    <xdr:sp macro="" textlink="Algandmed!AT240">
      <xdr:nvSpPr>
        <xdr:cNvPr id="26" name="TextBox 25">
          <a:extLst>
            <a:ext uri="{FF2B5EF4-FFF2-40B4-BE49-F238E27FC236}">
              <a16:creationId xmlns:a16="http://schemas.microsoft.com/office/drawing/2014/main" xmlns="" id="{00000000-0008-0000-0300-000001010000}"/>
            </a:ext>
          </a:extLst>
        </xdr:cNvPr>
        <xdr:cNvSpPr txBox="1"/>
      </xdr:nvSpPr>
      <xdr:spPr>
        <a:xfrm>
          <a:off x="4632325" y="83113245"/>
          <a:ext cx="1064895" cy="541302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924C9-7ABC-4914-9880-1AE2CCDB1EAF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594360</xdr:colOff>
      <xdr:row>21</xdr:row>
      <xdr:rowOff>45720</xdr:rowOff>
    </xdr:from>
    <xdr:to>
      <xdr:col>10</xdr:col>
      <xdr:colOff>411480</xdr:colOff>
      <xdr:row>24</xdr:row>
      <xdr:rowOff>15522</xdr:rowOff>
    </xdr:to>
    <xdr:sp macro="" textlink="Algandmed!AU240">
      <xdr:nvSpPr>
        <xdr:cNvPr id="27" name="TextBox 26">
          <a:extLst>
            <a:ext uri="{FF2B5EF4-FFF2-40B4-BE49-F238E27FC236}">
              <a16:creationId xmlns:a16="http://schemas.microsoft.com/office/drawing/2014/main" xmlns="" id="{00000000-0008-0000-0300-000002010000}"/>
            </a:ext>
          </a:extLst>
        </xdr:cNvPr>
        <xdr:cNvSpPr txBox="1"/>
      </xdr:nvSpPr>
      <xdr:spPr>
        <a:xfrm>
          <a:off x="5699760" y="83113245"/>
          <a:ext cx="1093470" cy="541302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EF51EDC-087D-4030-B015-6EA7594158A5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2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401320</xdr:colOff>
      <xdr:row>21</xdr:row>
      <xdr:rowOff>45720</xdr:rowOff>
    </xdr:from>
    <xdr:to>
      <xdr:col>12</xdr:col>
      <xdr:colOff>218440</xdr:colOff>
      <xdr:row>24</xdr:row>
      <xdr:rowOff>15522</xdr:rowOff>
    </xdr:to>
    <xdr:sp macro="" textlink="Algandmed!AV240">
      <xdr:nvSpPr>
        <xdr:cNvPr id="28" name="TextBox 27">
          <a:extLst>
            <a:ext uri="{FF2B5EF4-FFF2-40B4-BE49-F238E27FC236}">
              <a16:creationId xmlns:a16="http://schemas.microsoft.com/office/drawing/2014/main" xmlns="" id="{00000000-0008-0000-0300-000003010000}"/>
            </a:ext>
          </a:extLst>
        </xdr:cNvPr>
        <xdr:cNvSpPr txBox="1"/>
      </xdr:nvSpPr>
      <xdr:spPr>
        <a:xfrm>
          <a:off x="6783070" y="83113245"/>
          <a:ext cx="1093470" cy="541302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8616097-75B7-4EB0-BD09-6382868C0369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220980</xdr:colOff>
      <xdr:row>21</xdr:row>
      <xdr:rowOff>45720</xdr:rowOff>
    </xdr:from>
    <xdr:to>
      <xdr:col>13</xdr:col>
      <xdr:colOff>546100</xdr:colOff>
      <xdr:row>24</xdr:row>
      <xdr:rowOff>15522</xdr:rowOff>
    </xdr:to>
    <xdr:sp macro="" textlink="Algandmed!AW240">
      <xdr:nvSpPr>
        <xdr:cNvPr id="29" name="TextBox 28">
          <a:extLst>
            <a:ext uri="{FF2B5EF4-FFF2-40B4-BE49-F238E27FC236}">
              <a16:creationId xmlns:a16="http://schemas.microsoft.com/office/drawing/2014/main" xmlns="" id="{00000000-0008-0000-0300-000004010000}"/>
            </a:ext>
          </a:extLst>
        </xdr:cNvPr>
        <xdr:cNvSpPr txBox="1"/>
      </xdr:nvSpPr>
      <xdr:spPr>
        <a:xfrm>
          <a:off x="7879080" y="83113245"/>
          <a:ext cx="1068070" cy="541302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B929C8-4415-41AC-8DC9-61D90D429BCF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180340</xdr:colOff>
      <xdr:row>13</xdr:row>
      <xdr:rowOff>25400</xdr:rowOff>
    </xdr:from>
    <xdr:to>
      <xdr:col>1</xdr:col>
      <xdr:colOff>607060</xdr:colOff>
      <xdr:row>15</xdr:row>
      <xdr:rowOff>152400</xdr:rowOff>
    </xdr:to>
    <xdr:sp macro="" textlink="Algandmed!AE191">
      <xdr:nvSpPr>
        <xdr:cNvPr id="30" name="TextBox 29">
          <a:extLst>
            <a:ext uri="{FF2B5EF4-FFF2-40B4-BE49-F238E27FC236}">
              <a16:creationId xmlns:a16="http://schemas.microsoft.com/office/drawing/2014/main" xmlns="" id="{00000000-0008-0000-0300-000023010000}"/>
            </a:ext>
          </a:extLst>
        </xdr:cNvPr>
        <xdr:cNvSpPr txBox="1"/>
      </xdr:nvSpPr>
      <xdr:spPr>
        <a:xfrm>
          <a:off x="180340" y="81568925"/>
          <a:ext cx="1064895" cy="508000"/>
        </a:xfrm>
        <a:prstGeom prst="rect">
          <a:avLst/>
        </a:prstGeom>
        <a:solidFill>
          <a:sysClr val="window" lastClr="FFFFFF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7B48EA9-D4E8-4238-8BAA-A0763EC0C584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0</xdr:colOff>
      <xdr:row>13</xdr:row>
      <xdr:rowOff>25400</xdr:rowOff>
    </xdr:from>
    <xdr:to>
      <xdr:col>3</xdr:col>
      <xdr:colOff>426720</xdr:colOff>
      <xdr:row>15</xdr:row>
      <xdr:rowOff>152400</xdr:rowOff>
    </xdr:to>
    <xdr:sp macro="" textlink="Algandmed!AF191">
      <xdr:nvSpPr>
        <xdr:cNvPr id="31" name="TextBox 30">
          <a:extLst>
            <a:ext uri="{FF2B5EF4-FFF2-40B4-BE49-F238E27FC236}">
              <a16:creationId xmlns:a16="http://schemas.microsoft.com/office/drawing/2014/main" xmlns="" id="{00000000-0008-0000-0300-000024010000}"/>
            </a:ext>
          </a:extLst>
        </xdr:cNvPr>
        <xdr:cNvSpPr txBox="1"/>
      </xdr:nvSpPr>
      <xdr:spPr>
        <a:xfrm>
          <a:off x="1276350" y="81568925"/>
          <a:ext cx="1064895" cy="5080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FCAF893-05EB-4ACC-BB15-21B8D7132751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17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429260</xdr:colOff>
      <xdr:row>13</xdr:row>
      <xdr:rowOff>25400</xdr:rowOff>
    </xdr:from>
    <xdr:to>
      <xdr:col>5</xdr:col>
      <xdr:colOff>246380</xdr:colOff>
      <xdr:row>15</xdr:row>
      <xdr:rowOff>152400</xdr:rowOff>
    </xdr:to>
    <xdr:sp macro="" textlink="Algandmed!AG191">
      <xdr:nvSpPr>
        <xdr:cNvPr id="32" name="TextBox 31">
          <a:extLst>
            <a:ext uri="{FF2B5EF4-FFF2-40B4-BE49-F238E27FC236}">
              <a16:creationId xmlns:a16="http://schemas.microsoft.com/office/drawing/2014/main" xmlns="" id="{00000000-0008-0000-0300-000025010000}"/>
            </a:ext>
          </a:extLst>
        </xdr:cNvPr>
        <xdr:cNvSpPr txBox="1"/>
      </xdr:nvSpPr>
      <xdr:spPr>
        <a:xfrm>
          <a:off x="2343785" y="81568925"/>
          <a:ext cx="1093470" cy="5080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D5CF262-45F8-4CAC-AABD-1877285A0FBF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6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236220</xdr:colOff>
      <xdr:row>13</xdr:row>
      <xdr:rowOff>25400</xdr:rowOff>
    </xdr:from>
    <xdr:to>
      <xdr:col>7</xdr:col>
      <xdr:colOff>53340</xdr:colOff>
      <xdr:row>15</xdr:row>
      <xdr:rowOff>152400</xdr:rowOff>
    </xdr:to>
    <xdr:sp macro="" textlink="Algandmed!AH191">
      <xdr:nvSpPr>
        <xdr:cNvPr id="33" name="TextBox 32">
          <a:extLst>
            <a:ext uri="{FF2B5EF4-FFF2-40B4-BE49-F238E27FC236}">
              <a16:creationId xmlns:a16="http://schemas.microsoft.com/office/drawing/2014/main" xmlns="" id="{00000000-0008-0000-0300-000026010000}"/>
            </a:ext>
          </a:extLst>
        </xdr:cNvPr>
        <xdr:cNvSpPr txBox="1"/>
      </xdr:nvSpPr>
      <xdr:spPr>
        <a:xfrm>
          <a:off x="3427095" y="81568925"/>
          <a:ext cx="1093470" cy="5080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45697A-BC5A-4EF4-A277-1C346FB12098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9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7</xdr:col>
      <xdr:colOff>165100</xdr:colOff>
      <xdr:row>13</xdr:row>
      <xdr:rowOff>25400</xdr:rowOff>
    </xdr:from>
    <xdr:to>
      <xdr:col>8</xdr:col>
      <xdr:colOff>591820</xdr:colOff>
      <xdr:row>15</xdr:row>
      <xdr:rowOff>152400</xdr:rowOff>
    </xdr:to>
    <xdr:sp macro="" textlink="Algandmed!AT191">
      <xdr:nvSpPr>
        <xdr:cNvPr id="34" name="TextBox 33">
          <a:extLst>
            <a:ext uri="{FF2B5EF4-FFF2-40B4-BE49-F238E27FC236}">
              <a16:creationId xmlns:a16="http://schemas.microsoft.com/office/drawing/2014/main" xmlns="" id="{00000000-0008-0000-0300-000027010000}"/>
            </a:ext>
          </a:extLst>
        </xdr:cNvPr>
        <xdr:cNvSpPr txBox="1"/>
      </xdr:nvSpPr>
      <xdr:spPr>
        <a:xfrm>
          <a:off x="4632325" y="81568925"/>
          <a:ext cx="1064895" cy="5080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A26F25-51F8-4C1C-AB81-84199B916DD1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4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594360</xdr:colOff>
      <xdr:row>13</xdr:row>
      <xdr:rowOff>25400</xdr:rowOff>
    </xdr:from>
    <xdr:to>
      <xdr:col>10</xdr:col>
      <xdr:colOff>411480</xdr:colOff>
      <xdr:row>15</xdr:row>
      <xdr:rowOff>152400</xdr:rowOff>
    </xdr:to>
    <xdr:sp macro="" textlink="Algandmed!AU191">
      <xdr:nvSpPr>
        <xdr:cNvPr id="35" name="TextBox 34">
          <a:extLst>
            <a:ext uri="{FF2B5EF4-FFF2-40B4-BE49-F238E27FC236}">
              <a16:creationId xmlns:a16="http://schemas.microsoft.com/office/drawing/2014/main" xmlns="" id="{00000000-0008-0000-0300-000028010000}"/>
            </a:ext>
          </a:extLst>
        </xdr:cNvPr>
        <xdr:cNvSpPr txBox="1"/>
      </xdr:nvSpPr>
      <xdr:spPr>
        <a:xfrm>
          <a:off x="5699760" y="81568925"/>
          <a:ext cx="1093470" cy="5080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420B6CD-EBC4-4293-A7D1-B3C1D1932681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19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401320</xdr:colOff>
      <xdr:row>13</xdr:row>
      <xdr:rowOff>25400</xdr:rowOff>
    </xdr:from>
    <xdr:to>
      <xdr:col>12</xdr:col>
      <xdr:colOff>218440</xdr:colOff>
      <xdr:row>15</xdr:row>
      <xdr:rowOff>152400</xdr:rowOff>
    </xdr:to>
    <xdr:sp macro="" textlink="Algandmed!AV191">
      <xdr:nvSpPr>
        <xdr:cNvPr id="36" name="TextBox 35">
          <a:extLst>
            <a:ext uri="{FF2B5EF4-FFF2-40B4-BE49-F238E27FC236}">
              <a16:creationId xmlns:a16="http://schemas.microsoft.com/office/drawing/2014/main" xmlns="" id="{00000000-0008-0000-0300-000029010000}"/>
            </a:ext>
          </a:extLst>
        </xdr:cNvPr>
        <xdr:cNvSpPr txBox="1"/>
      </xdr:nvSpPr>
      <xdr:spPr>
        <a:xfrm>
          <a:off x="6783070" y="81568925"/>
          <a:ext cx="1093470" cy="5080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6F13638-397A-4869-AE68-A8A80F7A452B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5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12</xdr:col>
      <xdr:colOff>220980</xdr:colOff>
      <xdr:row>13</xdr:row>
      <xdr:rowOff>25400</xdr:rowOff>
    </xdr:from>
    <xdr:to>
      <xdr:col>13</xdr:col>
      <xdr:colOff>546100</xdr:colOff>
      <xdr:row>15</xdr:row>
      <xdr:rowOff>152400</xdr:rowOff>
    </xdr:to>
    <xdr:sp macro="" textlink="Algandmed!AW191">
      <xdr:nvSpPr>
        <xdr:cNvPr id="37" name="TextBox 36">
          <a:extLst>
            <a:ext uri="{FF2B5EF4-FFF2-40B4-BE49-F238E27FC236}">
              <a16:creationId xmlns:a16="http://schemas.microsoft.com/office/drawing/2014/main" xmlns="" id="{00000000-0008-0000-0300-00002A010000}"/>
            </a:ext>
          </a:extLst>
        </xdr:cNvPr>
        <xdr:cNvSpPr txBox="1"/>
      </xdr:nvSpPr>
      <xdr:spPr>
        <a:xfrm>
          <a:off x="7879080" y="81568925"/>
          <a:ext cx="1068070" cy="5080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D49D7A3-421B-4B00-B0FA-1076C9E2B904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4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180340</xdr:colOff>
      <xdr:row>18</xdr:row>
      <xdr:rowOff>101600</xdr:rowOff>
    </xdr:from>
    <xdr:to>
      <xdr:col>1</xdr:col>
      <xdr:colOff>607060</xdr:colOff>
      <xdr:row>21</xdr:row>
      <xdr:rowOff>50800</xdr:rowOff>
    </xdr:to>
    <xdr:sp macro="" textlink="Algandmed!AE192">
      <xdr:nvSpPr>
        <xdr:cNvPr id="38" name="TextBox 37">
          <a:extLst>
            <a:ext uri="{FF2B5EF4-FFF2-40B4-BE49-F238E27FC236}">
              <a16:creationId xmlns:a16="http://schemas.microsoft.com/office/drawing/2014/main" xmlns="" id="{00000000-0008-0000-0300-00002B010000}"/>
            </a:ext>
          </a:extLst>
        </xdr:cNvPr>
        <xdr:cNvSpPr txBox="1"/>
      </xdr:nvSpPr>
      <xdr:spPr>
        <a:xfrm>
          <a:off x="180340" y="82597625"/>
          <a:ext cx="1064895" cy="5207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D8173CE-2861-43F6-B512-E18C62ED85FF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2</xdr:col>
      <xdr:colOff>0</xdr:colOff>
      <xdr:row>18</xdr:row>
      <xdr:rowOff>101600</xdr:rowOff>
    </xdr:from>
    <xdr:to>
      <xdr:col>3</xdr:col>
      <xdr:colOff>426720</xdr:colOff>
      <xdr:row>21</xdr:row>
      <xdr:rowOff>50800</xdr:rowOff>
    </xdr:to>
    <xdr:sp macro="" textlink="Algandmed!AF192">
      <xdr:nvSpPr>
        <xdr:cNvPr id="39" name="TextBox 38">
          <a:extLst>
            <a:ext uri="{FF2B5EF4-FFF2-40B4-BE49-F238E27FC236}">
              <a16:creationId xmlns:a16="http://schemas.microsoft.com/office/drawing/2014/main" xmlns="" id="{00000000-0008-0000-0300-00002C010000}"/>
            </a:ext>
          </a:extLst>
        </xdr:cNvPr>
        <xdr:cNvSpPr txBox="1"/>
      </xdr:nvSpPr>
      <xdr:spPr>
        <a:xfrm>
          <a:off x="1276350" y="82597625"/>
          <a:ext cx="1064895" cy="5207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6CA30DE-C184-4071-86AE-459AA9038A77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3</xdr:col>
      <xdr:colOff>429260</xdr:colOff>
      <xdr:row>18</xdr:row>
      <xdr:rowOff>101600</xdr:rowOff>
    </xdr:from>
    <xdr:to>
      <xdr:col>5</xdr:col>
      <xdr:colOff>246380</xdr:colOff>
      <xdr:row>21</xdr:row>
      <xdr:rowOff>50800</xdr:rowOff>
    </xdr:to>
    <xdr:sp macro="" textlink="Algandmed!AG192">
      <xdr:nvSpPr>
        <xdr:cNvPr id="40" name="TextBox 39">
          <a:extLst>
            <a:ext uri="{FF2B5EF4-FFF2-40B4-BE49-F238E27FC236}">
              <a16:creationId xmlns:a16="http://schemas.microsoft.com/office/drawing/2014/main" xmlns="" id="{00000000-0008-0000-0300-00002D010000}"/>
            </a:ext>
          </a:extLst>
        </xdr:cNvPr>
        <xdr:cNvSpPr txBox="1"/>
      </xdr:nvSpPr>
      <xdr:spPr>
        <a:xfrm>
          <a:off x="2343785" y="82597625"/>
          <a:ext cx="1093470" cy="5207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ECBCA0F-CB36-4B40-8C7E-0541D2A71716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5</xdr:col>
      <xdr:colOff>236220</xdr:colOff>
      <xdr:row>18</xdr:row>
      <xdr:rowOff>101600</xdr:rowOff>
    </xdr:from>
    <xdr:to>
      <xdr:col>7</xdr:col>
      <xdr:colOff>53340</xdr:colOff>
      <xdr:row>21</xdr:row>
      <xdr:rowOff>50800</xdr:rowOff>
    </xdr:to>
    <xdr:sp macro="" textlink="Algandmed!AH192">
      <xdr:nvSpPr>
        <xdr:cNvPr id="41" name="TextBox 40">
          <a:extLst>
            <a:ext uri="{FF2B5EF4-FFF2-40B4-BE49-F238E27FC236}">
              <a16:creationId xmlns:a16="http://schemas.microsoft.com/office/drawing/2014/main" xmlns="" id="{00000000-0008-0000-0300-00002E010000}"/>
            </a:ext>
          </a:extLst>
        </xdr:cNvPr>
        <xdr:cNvSpPr txBox="1"/>
      </xdr:nvSpPr>
      <xdr:spPr>
        <a:xfrm>
          <a:off x="3427095" y="82597625"/>
          <a:ext cx="1093470" cy="5207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BB572CE-1C9E-4150-A88A-7D9DDD588FB3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7</xdr:col>
      <xdr:colOff>165100</xdr:colOff>
      <xdr:row>18</xdr:row>
      <xdr:rowOff>101600</xdr:rowOff>
    </xdr:from>
    <xdr:to>
      <xdr:col>8</xdr:col>
      <xdr:colOff>591820</xdr:colOff>
      <xdr:row>21</xdr:row>
      <xdr:rowOff>50800</xdr:rowOff>
    </xdr:to>
    <xdr:sp macro="" textlink="Algandmed!AT192">
      <xdr:nvSpPr>
        <xdr:cNvPr id="42" name="TextBox 41">
          <a:extLst>
            <a:ext uri="{FF2B5EF4-FFF2-40B4-BE49-F238E27FC236}">
              <a16:creationId xmlns:a16="http://schemas.microsoft.com/office/drawing/2014/main" xmlns="" id="{00000000-0008-0000-0300-00002F010000}"/>
            </a:ext>
          </a:extLst>
        </xdr:cNvPr>
        <xdr:cNvSpPr txBox="1"/>
      </xdr:nvSpPr>
      <xdr:spPr>
        <a:xfrm>
          <a:off x="4632325" y="82597625"/>
          <a:ext cx="1064895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438FDC9-FB37-4D93-8CF6-4A4E77D90BA4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8</xdr:col>
      <xdr:colOff>594360</xdr:colOff>
      <xdr:row>18</xdr:row>
      <xdr:rowOff>101600</xdr:rowOff>
    </xdr:from>
    <xdr:to>
      <xdr:col>10</xdr:col>
      <xdr:colOff>411480</xdr:colOff>
      <xdr:row>21</xdr:row>
      <xdr:rowOff>50800</xdr:rowOff>
    </xdr:to>
    <xdr:sp macro="" textlink="Algandmed!AU192">
      <xdr:nvSpPr>
        <xdr:cNvPr id="43" name="TextBox 42">
          <a:extLst>
            <a:ext uri="{FF2B5EF4-FFF2-40B4-BE49-F238E27FC236}">
              <a16:creationId xmlns:a16="http://schemas.microsoft.com/office/drawing/2014/main" xmlns="" id="{00000000-0008-0000-0300-000030010000}"/>
            </a:ext>
          </a:extLst>
        </xdr:cNvPr>
        <xdr:cNvSpPr txBox="1"/>
      </xdr:nvSpPr>
      <xdr:spPr>
        <a:xfrm>
          <a:off x="5699760" y="82597625"/>
          <a:ext cx="1093470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30FF247-94A6-484D-83EE-15A6A4552A49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10</xdr:col>
      <xdr:colOff>401320</xdr:colOff>
      <xdr:row>18</xdr:row>
      <xdr:rowOff>101600</xdr:rowOff>
    </xdr:from>
    <xdr:to>
      <xdr:col>12</xdr:col>
      <xdr:colOff>218440</xdr:colOff>
      <xdr:row>21</xdr:row>
      <xdr:rowOff>50800</xdr:rowOff>
    </xdr:to>
    <xdr:sp macro="" textlink="Algandmed!AV192">
      <xdr:nvSpPr>
        <xdr:cNvPr id="44" name="TextBox 43">
          <a:extLst>
            <a:ext uri="{FF2B5EF4-FFF2-40B4-BE49-F238E27FC236}">
              <a16:creationId xmlns:a16="http://schemas.microsoft.com/office/drawing/2014/main" xmlns="" id="{00000000-0008-0000-0300-000031010000}"/>
            </a:ext>
          </a:extLst>
        </xdr:cNvPr>
        <xdr:cNvSpPr txBox="1"/>
      </xdr:nvSpPr>
      <xdr:spPr>
        <a:xfrm>
          <a:off x="6783070" y="82597625"/>
          <a:ext cx="1093470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D7BFA0F-3924-46B7-A9CC-95842B38975F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12</xdr:col>
      <xdr:colOff>220980</xdr:colOff>
      <xdr:row>18</xdr:row>
      <xdr:rowOff>101600</xdr:rowOff>
    </xdr:from>
    <xdr:to>
      <xdr:col>13</xdr:col>
      <xdr:colOff>546100</xdr:colOff>
      <xdr:row>21</xdr:row>
      <xdr:rowOff>50800</xdr:rowOff>
    </xdr:to>
    <xdr:sp macro="" textlink="Algandmed!AW192">
      <xdr:nvSpPr>
        <xdr:cNvPr id="45" name="TextBox 44">
          <a:extLst>
            <a:ext uri="{FF2B5EF4-FFF2-40B4-BE49-F238E27FC236}">
              <a16:creationId xmlns:a16="http://schemas.microsoft.com/office/drawing/2014/main" xmlns="" id="{00000000-0008-0000-0300-000032010000}"/>
            </a:ext>
          </a:extLst>
        </xdr:cNvPr>
        <xdr:cNvSpPr txBox="1"/>
      </xdr:nvSpPr>
      <xdr:spPr>
        <a:xfrm>
          <a:off x="7879080" y="82597625"/>
          <a:ext cx="1068070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8626CB0-BCEA-4C2B-B34D-EC817785AFF0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0</xdr:col>
      <xdr:colOff>180340</xdr:colOff>
      <xdr:row>24</xdr:row>
      <xdr:rowOff>12700</xdr:rowOff>
    </xdr:from>
    <xdr:to>
      <xdr:col>1</xdr:col>
      <xdr:colOff>607060</xdr:colOff>
      <xdr:row>26</xdr:row>
      <xdr:rowOff>152400</xdr:rowOff>
    </xdr:to>
    <xdr:sp macro="" textlink="Algandmed!AE242">
      <xdr:nvSpPr>
        <xdr:cNvPr id="46" name="TextBox 45">
          <a:extLst>
            <a:ext uri="{FF2B5EF4-FFF2-40B4-BE49-F238E27FC236}">
              <a16:creationId xmlns:a16="http://schemas.microsoft.com/office/drawing/2014/main" xmlns="" id="{00000000-0008-0000-0300-000033010000}"/>
            </a:ext>
          </a:extLst>
        </xdr:cNvPr>
        <xdr:cNvSpPr txBox="1"/>
      </xdr:nvSpPr>
      <xdr:spPr>
        <a:xfrm>
          <a:off x="180340" y="83651725"/>
          <a:ext cx="1064895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3F0A7CB-0105-4AFE-93D4-6A0F548C1020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10,0%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2</xdr:col>
      <xdr:colOff>0</xdr:colOff>
      <xdr:row>24</xdr:row>
      <xdr:rowOff>12700</xdr:rowOff>
    </xdr:from>
    <xdr:to>
      <xdr:col>3</xdr:col>
      <xdr:colOff>426720</xdr:colOff>
      <xdr:row>26</xdr:row>
      <xdr:rowOff>152400</xdr:rowOff>
    </xdr:to>
    <xdr:sp macro="" textlink="Algandmed!AF242">
      <xdr:nvSpPr>
        <xdr:cNvPr id="47" name="TextBox 46">
          <a:extLst>
            <a:ext uri="{FF2B5EF4-FFF2-40B4-BE49-F238E27FC236}">
              <a16:creationId xmlns:a16="http://schemas.microsoft.com/office/drawing/2014/main" xmlns="" id="{00000000-0008-0000-0300-000034010000}"/>
            </a:ext>
          </a:extLst>
        </xdr:cNvPr>
        <xdr:cNvSpPr txBox="1"/>
      </xdr:nvSpPr>
      <xdr:spPr>
        <a:xfrm>
          <a:off x="1276350" y="83651725"/>
          <a:ext cx="1064895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89AC05-CD01-4932-A15A-389D6728634D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3</xdr:col>
      <xdr:colOff>429260</xdr:colOff>
      <xdr:row>24</xdr:row>
      <xdr:rowOff>12700</xdr:rowOff>
    </xdr:from>
    <xdr:to>
      <xdr:col>5</xdr:col>
      <xdr:colOff>246380</xdr:colOff>
      <xdr:row>26</xdr:row>
      <xdr:rowOff>152400</xdr:rowOff>
    </xdr:to>
    <xdr:sp macro="" textlink="Algandmed!AG242">
      <xdr:nvSpPr>
        <xdr:cNvPr id="48" name="TextBox 47">
          <a:extLst>
            <a:ext uri="{FF2B5EF4-FFF2-40B4-BE49-F238E27FC236}">
              <a16:creationId xmlns:a16="http://schemas.microsoft.com/office/drawing/2014/main" xmlns="" id="{00000000-0008-0000-0300-000035010000}"/>
            </a:ext>
          </a:extLst>
        </xdr:cNvPr>
        <xdr:cNvSpPr txBox="1"/>
      </xdr:nvSpPr>
      <xdr:spPr>
        <a:xfrm>
          <a:off x="2343785" y="83651725"/>
          <a:ext cx="1093470" cy="5207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98D06D9-934B-4462-8C47-10850ECA0158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5</xdr:col>
      <xdr:colOff>236220</xdr:colOff>
      <xdr:row>24</xdr:row>
      <xdr:rowOff>12700</xdr:rowOff>
    </xdr:from>
    <xdr:to>
      <xdr:col>7</xdr:col>
      <xdr:colOff>53340</xdr:colOff>
      <xdr:row>26</xdr:row>
      <xdr:rowOff>152400</xdr:rowOff>
    </xdr:to>
    <xdr:sp macro="" textlink="Algandmed!AH242">
      <xdr:nvSpPr>
        <xdr:cNvPr id="49" name="TextBox 48">
          <a:extLst>
            <a:ext uri="{FF2B5EF4-FFF2-40B4-BE49-F238E27FC236}">
              <a16:creationId xmlns:a16="http://schemas.microsoft.com/office/drawing/2014/main" xmlns="" id="{00000000-0008-0000-0300-000036010000}"/>
            </a:ext>
          </a:extLst>
        </xdr:cNvPr>
        <xdr:cNvSpPr txBox="1"/>
      </xdr:nvSpPr>
      <xdr:spPr>
        <a:xfrm>
          <a:off x="3427095" y="83651725"/>
          <a:ext cx="1093470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CBB6376-F280-4C07-ADFB-3BF9A7729754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7</xdr:col>
      <xdr:colOff>165100</xdr:colOff>
      <xdr:row>24</xdr:row>
      <xdr:rowOff>12700</xdr:rowOff>
    </xdr:from>
    <xdr:to>
      <xdr:col>8</xdr:col>
      <xdr:colOff>591820</xdr:colOff>
      <xdr:row>26</xdr:row>
      <xdr:rowOff>152400</xdr:rowOff>
    </xdr:to>
    <xdr:sp macro="" textlink="Algandmed!AT242">
      <xdr:nvSpPr>
        <xdr:cNvPr id="50" name="TextBox 49">
          <a:extLst>
            <a:ext uri="{FF2B5EF4-FFF2-40B4-BE49-F238E27FC236}">
              <a16:creationId xmlns:a16="http://schemas.microsoft.com/office/drawing/2014/main" xmlns="" id="{00000000-0008-0000-0300-000037010000}"/>
            </a:ext>
          </a:extLst>
        </xdr:cNvPr>
        <xdr:cNvSpPr txBox="1"/>
      </xdr:nvSpPr>
      <xdr:spPr>
        <a:xfrm>
          <a:off x="4632325" y="83651725"/>
          <a:ext cx="1064895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5147307-E39D-4CB6-93A5-B38E2E2E79C3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8</xdr:col>
      <xdr:colOff>594360</xdr:colOff>
      <xdr:row>24</xdr:row>
      <xdr:rowOff>12700</xdr:rowOff>
    </xdr:from>
    <xdr:to>
      <xdr:col>10</xdr:col>
      <xdr:colOff>411480</xdr:colOff>
      <xdr:row>26</xdr:row>
      <xdr:rowOff>152400</xdr:rowOff>
    </xdr:to>
    <xdr:sp macro="" textlink="Algandmed!AU242">
      <xdr:nvSpPr>
        <xdr:cNvPr id="51" name="TextBox 50">
          <a:extLst>
            <a:ext uri="{FF2B5EF4-FFF2-40B4-BE49-F238E27FC236}">
              <a16:creationId xmlns:a16="http://schemas.microsoft.com/office/drawing/2014/main" xmlns="" id="{00000000-0008-0000-0300-000038010000}"/>
            </a:ext>
          </a:extLst>
        </xdr:cNvPr>
        <xdr:cNvSpPr txBox="1"/>
      </xdr:nvSpPr>
      <xdr:spPr>
        <a:xfrm>
          <a:off x="5699760" y="83651725"/>
          <a:ext cx="1093470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258211C-7711-42CE-8F82-AFA11B9C9531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10,5%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10</xdr:col>
      <xdr:colOff>401320</xdr:colOff>
      <xdr:row>24</xdr:row>
      <xdr:rowOff>12700</xdr:rowOff>
    </xdr:from>
    <xdr:to>
      <xdr:col>12</xdr:col>
      <xdr:colOff>218440</xdr:colOff>
      <xdr:row>26</xdr:row>
      <xdr:rowOff>152400</xdr:rowOff>
    </xdr:to>
    <xdr:sp macro="" textlink="Algandmed!AV242">
      <xdr:nvSpPr>
        <xdr:cNvPr id="52" name="TextBox 51">
          <a:extLst>
            <a:ext uri="{FF2B5EF4-FFF2-40B4-BE49-F238E27FC236}">
              <a16:creationId xmlns:a16="http://schemas.microsoft.com/office/drawing/2014/main" xmlns="" id="{00000000-0008-0000-0300-000039010000}"/>
            </a:ext>
          </a:extLst>
        </xdr:cNvPr>
        <xdr:cNvSpPr txBox="1"/>
      </xdr:nvSpPr>
      <xdr:spPr>
        <a:xfrm>
          <a:off x="6783070" y="83651725"/>
          <a:ext cx="1093470" cy="5207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62A3C59-69DD-479E-BFE8-7164E6865775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12</xdr:col>
      <xdr:colOff>220980</xdr:colOff>
      <xdr:row>24</xdr:row>
      <xdr:rowOff>12700</xdr:rowOff>
    </xdr:from>
    <xdr:to>
      <xdr:col>13</xdr:col>
      <xdr:colOff>546100</xdr:colOff>
      <xdr:row>26</xdr:row>
      <xdr:rowOff>152400</xdr:rowOff>
    </xdr:to>
    <xdr:sp macro="" textlink="Algandmed!AW242">
      <xdr:nvSpPr>
        <xdr:cNvPr id="53" name="TextBox 52">
          <a:extLst>
            <a:ext uri="{FF2B5EF4-FFF2-40B4-BE49-F238E27FC236}">
              <a16:creationId xmlns:a16="http://schemas.microsoft.com/office/drawing/2014/main" xmlns="" id="{00000000-0008-0000-0300-00003A010000}"/>
            </a:ext>
          </a:extLst>
        </xdr:cNvPr>
        <xdr:cNvSpPr txBox="1"/>
      </xdr:nvSpPr>
      <xdr:spPr>
        <a:xfrm>
          <a:off x="7879080" y="83651725"/>
          <a:ext cx="1068070" cy="5207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F077B5-8528-4A08-B5CD-DE2D7D5CB9F8}" type="TxLink">
            <a:rPr lang="en-US" sz="16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16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</xdr:col>
      <xdr:colOff>457200</xdr:colOff>
      <xdr:row>53</xdr:row>
      <xdr:rowOff>25400</xdr:rowOff>
    </xdr:from>
    <xdr:to>
      <xdr:col>3</xdr:col>
      <xdr:colOff>457200</xdr:colOff>
      <xdr:row>55</xdr:row>
      <xdr:rowOff>12700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xmlns="" id="{00000000-0008-0000-0300-00007C010000}"/>
            </a:ext>
          </a:extLst>
        </xdr:cNvPr>
        <xdr:cNvSpPr txBox="1"/>
      </xdr:nvSpPr>
      <xdr:spPr>
        <a:xfrm>
          <a:off x="1095375" y="89188925"/>
          <a:ext cx="1276350" cy="368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WE</a:t>
          </a:r>
        </a:p>
      </xdr:txBody>
    </xdr:sp>
    <xdr:clientData/>
  </xdr:twoCellAnchor>
  <xdr:twoCellAnchor>
    <xdr:from>
      <xdr:col>8</xdr:col>
      <xdr:colOff>495300</xdr:colOff>
      <xdr:row>53</xdr:row>
      <xdr:rowOff>12700</xdr:rowOff>
    </xdr:from>
    <xdr:to>
      <xdr:col>11</xdr:col>
      <xdr:colOff>127000</xdr:colOff>
      <xdr:row>55</xdr:row>
      <xdr:rowOff>25400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xmlns="" id="{00000000-0008-0000-0300-00007D010000}"/>
            </a:ext>
          </a:extLst>
        </xdr:cNvPr>
        <xdr:cNvSpPr txBox="1"/>
      </xdr:nvSpPr>
      <xdr:spPr>
        <a:xfrm>
          <a:off x="5600700" y="89176225"/>
          <a:ext cx="1546225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THEM</a:t>
          </a:r>
        </a:p>
      </xdr:txBody>
    </xdr:sp>
    <xdr:clientData/>
  </xdr:twoCellAnchor>
  <xdr:twoCellAnchor>
    <xdr:from>
      <xdr:col>2</xdr:col>
      <xdr:colOff>381000</xdr:colOff>
      <xdr:row>31</xdr:row>
      <xdr:rowOff>76200</xdr:rowOff>
    </xdr:from>
    <xdr:to>
      <xdr:col>4</xdr:col>
      <xdr:colOff>381000</xdr:colOff>
      <xdr:row>33</xdr:row>
      <xdr:rowOff>63500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xmlns="" id="{00000000-0008-0000-0300-00007E010000}"/>
            </a:ext>
          </a:extLst>
        </xdr:cNvPr>
        <xdr:cNvSpPr txBox="1"/>
      </xdr:nvSpPr>
      <xdr:spPr>
        <a:xfrm>
          <a:off x="1657350" y="85048725"/>
          <a:ext cx="1276350" cy="368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WE</a:t>
          </a:r>
        </a:p>
      </xdr:txBody>
    </xdr:sp>
    <xdr:clientData/>
  </xdr:twoCellAnchor>
  <xdr:twoCellAnchor>
    <xdr:from>
      <xdr:col>9</xdr:col>
      <xdr:colOff>241300</xdr:colOff>
      <xdr:row>31</xdr:row>
      <xdr:rowOff>152400</xdr:rowOff>
    </xdr:from>
    <xdr:to>
      <xdr:col>11</xdr:col>
      <xdr:colOff>482600</xdr:colOff>
      <xdr:row>33</xdr:row>
      <xdr:rowOff>165100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xmlns="" id="{00000000-0008-0000-0300-00007F010000}"/>
            </a:ext>
          </a:extLst>
        </xdr:cNvPr>
        <xdr:cNvSpPr txBox="1"/>
      </xdr:nvSpPr>
      <xdr:spPr>
        <a:xfrm>
          <a:off x="5984875" y="85124925"/>
          <a:ext cx="151765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2800" b="1">
              <a:solidFill>
                <a:srgbClr val="4D4D4D"/>
              </a:solidFill>
              <a:latin typeface="Hanse" panose="02000000000000000000" pitchFamily="50" charset="0"/>
            </a:rPr>
            <a:t>THEM</a:t>
          </a:r>
        </a:p>
      </xdr:txBody>
    </xdr:sp>
    <xdr:clientData/>
  </xdr:twoCellAnchor>
  <xdr:twoCellAnchor>
    <xdr:from>
      <xdr:col>8</xdr:col>
      <xdr:colOff>508000</xdr:colOff>
      <xdr:row>36</xdr:row>
      <xdr:rowOff>25400</xdr:rowOff>
    </xdr:from>
    <xdr:to>
      <xdr:col>12</xdr:col>
      <xdr:colOff>228600</xdr:colOff>
      <xdr:row>46</xdr:row>
      <xdr:rowOff>25400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xmlns="" id="{00000000-0008-0000-0300-000091010000}"/>
            </a:ext>
          </a:extLst>
        </xdr:cNvPr>
        <xdr:cNvSpPr txBox="1"/>
      </xdr:nvSpPr>
      <xdr:spPr>
        <a:xfrm>
          <a:off x="5613400" y="85950425"/>
          <a:ext cx="2273300" cy="1905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6600" b="1">
              <a:solidFill>
                <a:srgbClr val="4D4D4D"/>
              </a:solidFill>
              <a:latin typeface="Hanse" panose="02000000000000000000" pitchFamily="50" charset="0"/>
            </a:rPr>
            <a:t>0</a:t>
          </a:r>
        </a:p>
      </xdr:txBody>
    </xdr:sp>
    <xdr:clientData/>
  </xdr:twoCellAnchor>
  <xdr:twoCellAnchor>
    <xdr:from>
      <xdr:col>7</xdr:col>
      <xdr:colOff>25400</xdr:colOff>
      <xdr:row>34</xdr:row>
      <xdr:rowOff>12700</xdr:rowOff>
    </xdr:from>
    <xdr:to>
      <xdr:col>13</xdr:col>
      <xdr:colOff>419100</xdr:colOff>
      <xdr:row>48</xdr:row>
      <xdr:rowOff>38100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xmlns="" id="{00000000-0008-0000-0300-00009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55418</xdr:colOff>
      <xdr:row>0</xdr:row>
      <xdr:rowOff>27709</xdr:rowOff>
    </xdr:from>
    <xdr:to>
      <xdr:col>2</xdr:col>
      <xdr:colOff>235527</xdr:colOff>
      <xdr:row>4</xdr:row>
      <xdr:rowOff>94384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xmlns="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55418" y="79094734"/>
          <a:ext cx="1456459" cy="828675"/>
        </a:xfrm>
        <a:prstGeom prst="rect">
          <a:avLst/>
        </a:prstGeom>
      </xdr:spPr>
    </xdr:pic>
    <xdr:clientData/>
  </xdr:twoCellAnchor>
  <xdr:twoCellAnchor>
    <xdr:from>
      <xdr:col>1</xdr:col>
      <xdr:colOff>498764</xdr:colOff>
      <xdr:row>0</xdr:row>
      <xdr:rowOff>138545</xdr:rowOff>
    </xdr:from>
    <xdr:to>
      <xdr:col>13</xdr:col>
      <xdr:colOff>498764</xdr:colOff>
      <xdr:row>10</xdr:row>
      <xdr:rowOff>9236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xmlns="" id="{00000000-0008-0000-0300-00008D030000}"/>
            </a:ext>
          </a:extLst>
        </xdr:cNvPr>
        <xdr:cNvSpPr txBox="1"/>
      </xdr:nvSpPr>
      <xdr:spPr>
        <a:xfrm>
          <a:off x="1136939" y="79205570"/>
          <a:ext cx="7762875" cy="17756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4400" b="1" u="sng">
              <a:solidFill>
                <a:srgbClr val="4D4D4D"/>
              </a:solidFill>
              <a:effectLst>
                <a:outerShdw blurRad="38100" dist="38100" dir="2700000" algn="tl" rotWithShape="0">
                  <a:srgbClr val="000000">
                    <a:alpha val="43000"/>
                  </a:srgbClr>
                </a:outerShdw>
              </a:effectLst>
              <a:latin typeface="Hanse" panose="02000000000000000000" pitchFamily="50" charset="0"/>
              <a:ea typeface="+mn-ea"/>
              <a:cs typeface="+mn-cs"/>
            </a:rPr>
            <a:t>  </a:t>
          </a:r>
          <a:r>
            <a:rPr lang="et-EE" sz="4000" b="1" u="sng">
              <a:solidFill>
                <a:srgbClr val="4D4D4D"/>
              </a:solidFill>
              <a:effectLst>
                <a:outerShdw blurRad="38100" dist="38100" dir="2700000" algn="tl" rotWithShape="0">
                  <a:srgbClr val="000000">
                    <a:alpha val="43000"/>
                  </a:srgbClr>
                </a:outerShdw>
              </a:effectLst>
              <a:latin typeface="Hanse" panose="02000000000000000000" pitchFamily="50" charset="0"/>
              <a:ea typeface="+mn-ea"/>
              <a:cs typeface="+mn-cs"/>
            </a:rPr>
            <a:t>Goals and shots from standards outside last fourth</a:t>
          </a:r>
          <a:endParaRPr lang="et-EE" sz="4000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endParaRPr lang="et-EE" sz="2000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31</xdr:row>
      <xdr:rowOff>126996</xdr:rowOff>
    </xdr:from>
    <xdr:to>
      <xdr:col>13</xdr:col>
      <xdr:colOff>673100</xdr:colOff>
      <xdr:row>64</xdr:row>
      <xdr:rowOff>190496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F8F7BDB0-12B3-4077-A954-F6D24926D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BEBA8EAE-BF5A-486C-A8C5-ECC9F3942E4B}">
              <a14:imgProps xmlns:a14="http://schemas.microsoft.com/office/drawing/2010/main" xmlns="">
                <a14:imgLayer r:embed="rId2">
                  <a14:imgEffect>
                    <a14:artisticCrisscrossEtching/>
                  </a14:imgEffect>
                  <a14:imgEffect>
                    <a14:colorTemperature colorTemp="4700"/>
                  </a14:imgEffect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98244021"/>
          <a:ext cx="9074150" cy="6350000"/>
        </a:xfrm>
        <a:prstGeom prst="rect">
          <a:avLst/>
        </a:prstGeom>
        <a:noFill/>
        <a:ln>
          <a:noFill/>
        </a:ln>
        <a:effectLst>
          <a:outerShdw sx="1000" sy="1000" algn="tl" rotWithShape="0">
            <a:srgbClr val="333333"/>
          </a:outerShdw>
        </a:effectLst>
      </xdr:spPr>
    </xdr:pic>
    <xdr:clientData/>
  </xdr:twoCellAnchor>
  <xdr:twoCellAnchor editAs="oneCell">
    <xdr:from>
      <xdr:col>0</xdr:col>
      <xdr:colOff>0</xdr:colOff>
      <xdr:row>0</xdr:row>
      <xdr:rowOff>8217</xdr:rowOff>
    </xdr:from>
    <xdr:to>
      <xdr:col>13</xdr:col>
      <xdr:colOff>673100</xdr:colOff>
      <xdr:row>33</xdr:row>
      <xdr:rowOff>71717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BEBA8EAE-BF5A-486C-A8C5-ECC9F3942E4B}">
              <a14:imgProps xmlns:a14="http://schemas.microsoft.com/office/drawing/2010/main" xmlns="">
                <a14:imgLayer r:embed="rId2">
                  <a14:imgEffect>
                    <a14:artisticCrisscrossEtching/>
                  </a14:imgEffect>
                  <a14:imgEffect>
                    <a14:colorTemperature colorTemp="4700"/>
                  </a14:imgEffect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92219742"/>
          <a:ext cx="9074150" cy="6350000"/>
        </a:xfrm>
        <a:prstGeom prst="rect">
          <a:avLst/>
        </a:prstGeom>
        <a:noFill/>
        <a:ln>
          <a:noFill/>
        </a:ln>
        <a:effectLst>
          <a:outerShdw sx="1000" sy="1000" algn="tl" rotWithShape="0">
            <a:srgbClr val="333333"/>
          </a:outerShdw>
        </a:effectLst>
      </xdr:spPr>
    </xdr:pic>
    <xdr:clientData/>
  </xdr:twoCellAnchor>
  <xdr:twoCellAnchor>
    <xdr:from>
      <xdr:col>1</xdr:col>
      <xdr:colOff>596900</xdr:colOff>
      <xdr:row>0</xdr:row>
      <xdr:rowOff>139700</xdr:rowOff>
    </xdr:from>
    <xdr:to>
      <xdr:col>11</xdr:col>
      <xdr:colOff>177800</xdr:colOff>
      <xdr:row>9</xdr:row>
      <xdr:rowOff>124460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300-000070000000}"/>
            </a:ext>
          </a:extLst>
        </xdr:cNvPr>
        <xdr:cNvSpPr txBox="1"/>
      </xdr:nvSpPr>
      <xdr:spPr>
        <a:xfrm>
          <a:off x="1235075" y="92351225"/>
          <a:ext cx="5962650" cy="16992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4400" b="1" u="sng">
              <a:solidFill>
                <a:srgbClr val="4D4D4D"/>
              </a:solidFill>
              <a:effectLst>
                <a:outerShdw blurRad="38100" dist="38100" dir="2700000" algn="tl" rotWithShape="0">
                  <a:srgbClr val="000000">
                    <a:alpha val="43000"/>
                  </a:srgbClr>
                </a:outerShdw>
              </a:effectLst>
              <a:latin typeface="Hanse" panose="02000000000000000000" pitchFamily="50" charset="0"/>
              <a:ea typeface="+mn-ea"/>
              <a:cs typeface="+mn-cs"/>
            </a:rPr>
            <a:t>Transitions</a:t>
          </a:r>
          <a:endParaRPr lang="et-EE" sz="4400" b="1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endParaRPr lang="et-EE" sz="2000" b="1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401320</xdr:colOff>
      <xdr:row>11</xdr:row>
      <xdr:rowOff>139699</xdr:rowOff>
    </xdr:from>
    <xdr:to>
      <xdr:col>2</xdr:col>
      <xdr:colOff>144780</xdr:colOff>
      <xdr:row>15</xdr:row>
      <xdr:rowOff>87768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300-000072000000}"/>
            </a:ext>
          </a:extLst>
        </xdr:cNvPr>
        <xdr:cNvSpPr txBox="1"/>
      </xdr:nvSpPr>
      <xdr:spPr>
        <a:xfrm>
          <a:off x="401320" y="94446724"/>
          <a:ext cx="1019810" cy="71006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DA</a:t>
          </a:r>
          <a:endParaRPr lang="en-US" sz="32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142240</xdr:colOff>
      <xdr:row>11</xdr:row>
      <xdr:rowOff>139699</xdr:rowOff>
    </xdr:from>
    <xdr:to>
      <xdr:col>3</xdr:col>
      <xdr:colOff>495300</xdr:colOff>
      <xdr:row>15</xdr:row>
      <xdr:rowOff>87768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300-000073000000}"/>
            </a:ext>
          </a:extLst>
        </xdr:cNvPr>
        <xdr:cNvSpPr txBox="1"/>
      </xdr:nvSpPr>
      <xdr:spPr>
        <a:xfrm>
          <a:off x="1418590" y="94446724"/>
          <a:ext cx="991235" cy="71006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TOTAL</a:t>
          </a:r>
        </a:p>
        <a:p>
          <a:pPr algn="ctr"/>
          <a:r>
            <a:rPr lang="et-EE" sz="1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PRESS</a:t>
          </a:r>
          <a:r>
            <a:rPr lang="et-EE" sz="1200" b="1" i="0" u="none" strike="noStrike" baseline="0">
              <a:solidFill>
                <a:srgbClr val="4D4D4D"/>
              </a:solidFill>
              <a:latin typeface="Hanse" panose="02000000000000000000" pitchFamily="50" charset="0"/>
            </a:rPr>
            <a:t>ING MOMENT</a:t>
          </a:r>
          <a:endParaRPr lang="en-US" sz="12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238760</xdr:colOff>
      <xdr:row>11</xdr:row>
      <xdr:rowOff>139699</xdr:rowOff>
    </xdr:from>
    <xdr:to>
      <xdr:col>6</xdr:col>
      <xdr:colOff>591820</xdr:colOff>
      <xdr:row>15</xdr:row>
      <xdr:rowOff>87768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300-000074000000}"/>
            </a:ext>
          </a:extLst>
        </xdr:cNvPr>
        <xdr:cNvSpPr txBox="1"/>
      </xdr:nvSpPr>
      <xdr:spPr>
        <a:xfrm>
          <a:off x="3429635" y="94446724"/>
          <a:ext cx="991235" cy="71006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4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AVG. PER GAME</a:t>
          </a:r>
          <a:endParaRPr lang="en-US" sz="14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500380</xdr:colOff>
      <xdr:row>11</xdr:row>
      <xdr:rowOff>139699</xdr:rowOff>
    </xdr:from>
    <xdr:to>
      <xdr:col>5</xdr:col>
      <xdr:colOff>243840</xdr:colOff>
      <xdr:row>15</xdr:row>
      <xdr:rowOff>87768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300-000075000000}"/>
            </a:ext>
          </a:extLst>
        </xdr:cNvPr>
        <xdr:cNvSpPr txBox="1"/>
      </xdr:nvSpPr>
      <xdr:spPr>
        <a:xfrm>
          <a:off x="2414905" y="94446724"/>
          <a:ext cx="1019810" cy="71006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16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TOTAL DA</a:t>
          </a:r>
          <a:endParaRPr lang="et-EE" sz="2400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pPr algn="ctr"/>
          <a:endParaRPr lang="en-US" sz="16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401320</xdr:colOff>
      <xdr:row>19</xdr:row>
      <xdr:rowOff>45720</xdr:rowOff>
    </xdr:from>
    <xdr:to>
      <xdr:col>2</xdr:col>
      <xdr:colOff>144780</xdr:colOff>
      <xdr:row>23</xdr:row>
      <xdr:rowOff>7620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300-000076000000}"/>
            </a:ext>
          </a:extLst>
        </xdr:cNvPr>
        <xdr:cNvSpPr txBox="1"/>
      </xdr:nvSpPr>
      <xdr:spPr>
        <a:xfrm>
          <a:off x="401320" y="95876745"/>
          <a:ext cx="101981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6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S1</a:t>
          </a:r>
          <a:endParaRPr lang="en-US" sz="16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238760</xdr:colOff>
      <xdr:row>19</xdr:row>
      <xdr:rowOff>45720</xdr:rowOff>
    </xdr:from>
    <xdr:to>
      <xdr:col>6</xdr:col>
      <xdr:colOff>591820</xdr:colOff>
      <xdr:row>23</xdr:row>
      <xdr:rowOff>7620</xdr:rowOff>
    </xdr:to>
    <xdr:sp macro="" textlink="Algandmed!AI22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300-000077000000}"/>
            </a:ext>
          </a:extLst>
        </xdr:cNvPr>
        <xdr:cNvSpPr txBox="1"/>
      </xdr:nvSpPr>
      <xdr:spPr>
        <a:xfrm>
          <a:off x="3429635" y="95876745"/>
          <a:ext cx="991235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F69E4B-DE43-4627-92CC-E2D4508A426F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#DIV/0!</a:t>
          </a:fld>
          <a:endParaRPr lang="et-EE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500380</xdr:colOff>
      <xdr:row>19</xdr:row>
      <xdr:rowOff>45720</xdr:rowOff>
    </xdr:from>
    <xdr:to>
      <xdr:col>5</xdr:col>
      <xdr:colOff>243840</xdr:colOff>
      <xdr:row>23</xdr:row>
      <xdr:rowOff>7620</xdr:rowOff>
    </xdr:to>
    <xdr:sp macro="" textlink="Algandmed!AH22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300-000078000000}"/>
            </a:ext>
          </a:extLst>
        </xdr:cNvPr>
        <xdr:cNvSpPr txBox="1"/>
      </xdr:nvSpPr>
      <xdr:spPr>
        <a:xfrm>
          <a:off x="2414905" y="95876745"/>
          <a:ext cx="101981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148620-14BF-4284-8206-C062E6506B23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17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401320</xdr:colOff>
      <xdr:row>23</xdr:row>
      <xdr:rowOff>7620</xdr:rowOff>
    </xdr:from>
    <xdr:to>
      <xdr:col>2</xdr:col>
      <xdr:colOff>144780</xdr:colOff>
      <xdr:row>26</xdr:row>
      <xdr:rowOff>147320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xmlns="" id="{00000000-0008-0000-0300-000079000000}"/>
            </a:ext>
          </a:extLst>
        </xdr:cNvPr>
        <xdr:cNvSpPr txBox="1"/>
      </xdr:nvSpPr>
      <xdr:spPr>
        <a:xfrm>
          <a:off x="401320" y="96600645"/>
          <a:ext cx="1019810" cy="7112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t-EE" sz="1600" b="1" i="0">
            <a:solidFill>
              <a:srgbClr val="4D4D4D"/>
            </a:solidFill>
            <a:effectLst/>
            <a:latin typeface="Hanse" panose="02000000000000000000" pitchFamily="50" charset="0"/>
            <a:ea typeface="+mn-ea"/>
            <a:cs typeface="+mn-cs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16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S2</a:t>
          </a:r>
          <a:endParaRPr lang="et-EE" sz="1600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pPr algn="ctr"/>
          <a:endParaRPr lang="en-US" sz="1600" b="0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142240</xdr:colOff>
      <xdr:row>23</xdr:row>
      <xdr:rowOff>7620</xdr:rowOff>
    </xdr:from>
    <xdr:to>
      <xdr:col>3</xdr:col>
      <xdr:colOff>495300</xdr:colOff>
      <xdr:row>26</xdr:row>
      <xdr:rowOff>147320</xdr:rowOff>
    </xdr:to>
    <xdr:sp macro="" textlink="Algandmed!AG23">
      <xdr:nvSpPr>
        <xdr:cNvPr id="13" name="TextBox 12">
          <a:extLst>
            <a:ext uri="{FF2B5EF4-FFF2-40B4-BE49-F238E27FC236}">
              <a16:creationId xmlns:a16="http://schemas.microsoft.com/office/drawing/2014/main" xmlns="" id="{00000000-0008-0000-0300-00007A000000}"/>
            </a:ext>
          </a:extLst>
        </xdr:cNvPr>
        <xdr:cNvSpPr txBox="1"/>
      </xdr:nvSpPr>
      <xdr:spPr>
        <a:xfrm>
          <a:off x="1418590" y="96600645"/>
          <a:ext cx="991235" cy="7112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FA88098-FD17-4E25-9491-E4FF3F2F0BB1}" type="TxLink">
            <a:rPr lang="en-US" sz="2000" b="0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 </a:t>
          </a:fld>
          <a:endParaRPr lang="en-US" sz="2000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238760</xdr:colOff>
      <xdr:row>23</xdr:row>
      <xdr:rowOff>7620</xdr:rowOff>
    </xdr:from>
    <xdr:to>
      <xdr:col>6</xdr:col>
      <xdr:colOff>591820</xdr:colOff>
      <xdr:row>26</xdr:row>
      <xdr:rowOff>147320</xdr:rowOff>
    </xdr:to>
    <xdr:sp macro="" textlink="Algandmed!AI23">
      <xdr:nvSpPr>
        <xdr:cNvPr id="14" name="TextBox 13">
          <a:extLst>
            <a:ext uri="{FF2B5EF4-FFF2-40B4-BE49-F238E27FC236}">
              <a16:creationId xmlns:a16="http://schemas.microsoft.com/office/drawing/2014/main" xmlns="" id="{00000000-0008-0000-0300-00007B000000}"/>
            </a:ext>
          </a:extLst>
        </xdr:cNvPr>
        <xdr:cNvSpPr txBox="1"/>
      </xdr:nvSpPr>
      <xdr:spPr>
        <a:xfrm>
          <a:off x="3429635" y="96600645"/>
          <a:ext cx="991235" cy="7112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C756D00-C0D7-4CB5-89CD-52771A4D474B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#DIV/0!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500380</xdr:colOff>
      <xdr:row>23</xdr:row>
      <xdr:rowOff>7620</xdr:rowOff>
    </xdr:from>
    <xdr:to>
      <xdr:col>5</xdr:col>
      <xdr:colOff>243840</xdr:colOff>
      <xdr:row>26</xdr:row>
      <xdr:rowOff>147320</xdr:rowOff>
    </xdr:to>
    <xdr:sp macro="" textlink="Algandmed!AH23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300-00007C000000}"/>
            </a:ext>
          </a:extLst>
        </xdr:cNvPr>
        <xdr:cNvSpPr txBox="1"/>
      </xdr:nvSpPr>
      <xdr:spPr>
        <a:xfrm>
          <a:off x="2414905" y="96600645"/>
          <a:ext cx="1019810" cy="7112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373CCE-8FC3-4D85-A841-C82E0090F3BD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14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6</xdr:col>
      <xdr:colOff>596900</xdr:colOff>
      <xdr:row>11</xdr:row>
      <xdr:rowOff>139699</xdr:rowOff>
    </xdr:from>
    <xdr:to>
      <xdr:col>8</xdr:col>
      <xdr:colOff>340360</xdr:colOff>
      <xdr:row>15</xdr:row>
      <xdr:rowOff>87768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300-00007D000000}"/>
            </a:ext>
          </a:extLst>
        </xdr:cNvPr>
        <xdr:cNvSpPr txBox="1"/>
      </xdr:nvSpPr>
      <xdr:spPr>
        <a:xfrm>
          <a:off x="4425950" y="94446724"/>
          <a:ext cx="1019810" cy="71006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6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GOAL</a:t>
          </a:r>
          <a:endParaRPr lang="et-EE" sz="2400">
            <a:solidFill>
              <a:srgbClr val="4D4D4D"/>
            </a:solidFill>
            <a:effectLst/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337820</xdr:colOff>
      <xdr:row>11</xdr:row>
      <xdr:rowOff>139699</xdr:rowOff>
    </xdr:from>
    <xdr:to>
      <xdr:col>10</xdr:col>
      <xdr:colOff>81280</xdr:colOff>
      <xdr:row>15</xdr:row>
      <xdr:rowOff>87768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xmlns="" id="{00000000-0008-0000-0300-00007E000000}"/>
            </a:ext>
          </a:extLst>
        </xdr:cNvPr>
        <xdr:cNvSpPr txBox="1"/>
      </xdr:nvSpPr>
      <xdr:spPr>
        <a:xfrm>
          <a:off x="5443220" y="94446724"/>
          <a:ext cx="1019810" cy="71006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6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SHOTS</a:t>
          </a:r>
          <a:r>
            <a:rPr lang="et-EE" sz="1600" b="1" i="0" baseline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 TOTAL</a:t>
          </a:r>
          <a:endParaRPr lang="et-EE" sz="2400">
            <a:solidFill>
              <a:srgbClr val="4D4D4D"/>
            </a:solidFill>
            <a:effectLst/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78740</xdr:colOff>
      <xdr:row>11</xdr:row>
      <xdr:rowOff>139699</xdr:rowOff>
    </xdr:from>
    <xdr:to>
      <xdr:col>11</xdr:col>
      <xdr:colOff>431800</xdr:colOff>
      <xdr:row>15</xdr:row>
      <xdr:rowOff>87768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xmlns="" id="{00000000-0008-0000-0300-00007F000000}"/>
            </a:ext>
          </a:extLst>
        </xdr:cNvPr>
        <xdr:cNvSpPr txBox="1"/>
      </xdr:nvSpPr>
      <xdr:spPr>
        <a:xfrm>
          <a:off x="6460490" y="94446724"/>
          <a:ext cx="991235" cy="71006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6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%    GOAL</a:t>
          </a:r>
        </a:p>
      </xdr:txBody>
    </xdr:sp>
    <xdr:clientData/>
  </xdr:twoCellAnchor>
  <xdr:twoCellAnchor>
    <xdr:from>
      <xdr:col>6</xdr:col>
      <xdr:colOff>596900</xdr:colOff>
      <xdr:row>19</xdr:row>
      <xdr:rowOff>45720</xdr:rowOff>
    </xdr:from>
    <xdr:to>
      <xdr:col>8</xdr:col>
      <xdr:colOff>340360</xdr:colOff>
      <xdr:row>23</xdr:row>
      <xdr:rowOff>7620</xdr:rowOff>
    </xdr:to>
    <xdr:sp macro="" textlink="Algandmed!AJ22">
      <xdr:nvSpPr>
        <xdr:cNvPr id="19" name="TextBox 18">
          <a:extLst>
            <a:ext uri="{FF2B5EF4-FFF2-40B4-BE49-F238E27FC236}">
              <a16:creationId xmlns:a16="http://schemas.microsoft.com/office/drawing/2014/main" xmlns="" id="{00000000-0008-0000-0300-000080000000}"/>
            </a:ext>
          </a:extLst>
        </xdr:cNvPr>
        <xdr:cNvSpPr txBox="1"/>
      </xdr:nvSpPr>
      <xdr:spPr>
        <a:xfrm>
          <a:off x="4425950" y="95876745"/>
          <a:ext cx="101981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9A61FD-2A9F-4B23-AE80-8BC8754EAFE7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337820</xdr:colOff>
      <xdr:row>19</xdr:row>
      <xdr:rowOff>45720</xdr:rowOff>
    </xdr:from>
    <xdr:to>
      <xdr:col>10</xdr:col>
      <xdr:colOff>81280</xdr:colOff>
      <xdr:row>23</xdr:row>
      <xdr:rowOff>7620</xdr:rowOff>
    </xdr:to>
    <xdr:sp macro="" textlink="Algandmed!AO22">
      <xdr:nvSpPr>
        <xdr:cNvPr id="20" name="TextBox 19">
          <a:extLst>
            <a:ext uri="{FF2B5EF4-FFF2-40B4-BE49-F238E27FC236}">
              <a16:creationId xmlns:a16="http://schemas.microsoft.com/office/drawing/2014/main" xmlns="" id="{00000000-0008-0000-0300-000081000000}"/>
            </a:ext>
          </a:extLst>
        </xdr:cNvPr>
        <xdr:cNvSpPr txBox="1"/>
      </xdr:nvSpPr>
      <xdr:spPr>
        <a:xfrm>
          <a:off x="5443220" y="95876745"/>
          <a:ext cx="101981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16DAEC2-A4D2-4E0D-9BCC-F80A05F5FFE9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78740</xdr:colOff>
      <xdr:row>19</xdr:row>
      <xdr:rowOff>45720</xdr:rowOff>
    </xdr:from>
    <xdr:to>
      <xdr:col>11</xdr:col>
      <xdr:colOff>431800</xdr:colOff>
      <xdr:row>23</xdr:row>
      <xdr:rowOff>7620</xdr:rowOff>
    </xdr:to>
    <xdr:sp macro="" textlink="Algandmed!AK22">
      <xdr:nvSpPr>
        <xdr:cNvPr id="21" name="TextBox 20">
          <a:extLst>
            <a:ext uri="{FF2B5EF4-FFF2-40B4-BE49-F238E27FC236}">
              <a16:creationId xmlns:a16="http://schemas.microsoft.com/office/drawing/2014/main" xmlns="" id="{00000000-0008-0000-0300-000082000000}"/>
            </a:ext>
          </a:extLst>
        </xdr:cNvPr>
        <xdr:cNvSpPr txBox="1"/>
      </xdr:nvSpPr>
      <xdr:spPr>
        <a:xfrm>
          <a:off x="6460490" y="95876745"/>
          <a:ext cx="991235" cy="7239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DC2777-E500-49F0-B170-10C0929C5977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6</xdr:col>
      <xdr:colOff>596900</xdr:colOff>
      <xdr:row>23</xdr:row>
      <xdr:rowOff>7620</xdr:rowOff>
    </xdr:from>
    <xdr:to>
      <xdr:col>8</xdr:col>
      <xdr:colOff>340360</xdr:colOff>
      <xdr:row>26</xdr:row>
      <xdr:rowOff>147320</xdr:rowOff>
    </xdr:to>
    <xdr:sp macro="" textlink="Algandmed!AJ23">
      <xdr:nvSpPr>
        <xdr:cNvPr id="22" name="TextBox 21">
          <a:extLst>
            <a:ext uri="{FF2B5EF4-FFF2-40B4-BE49-F238E27FC236}">
              <a16:creationId xmlns:a16="http://schemas.microsoft.com/office/drawing/2014/main" xmlns="" id="{00000000-0008-0000-0300-000083000000}"/>
            </a:ext>
          </a:extLst>
        </xdr:cNvPr>
        <xdr:cNvSpPr txBox="1"/>
      </xdr:nvSpPr>
      <xdr:spPr>
        <a:xfrm>
          <a:off x="4425950" y="96600645"/>
          <a:ext cx="1019810" cy="7112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F4324A7-D12D-4C63-A93E-EBF65CC3BA4D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337820</xdr:colOff>
      <xdr:row>23</xdr:row>
      <xdr:rowOff>7620</xdr:rowOff>
    </xdr:from>
    <xdr:to>
      <xdr:col>10</xdr:col>
      <xdr:colOff>81280</xdr:colOff>
      <xdr:row>26</xdr:row>
      <xdr:rowOff>147320</xdr:rowOff>
    </xdr:to>
    <xdr:sp macro="" textlink="Algandmed!AO23">
      <xdr:nvSpPr>
        <xdr:cNvPr id="23" name="TextBox 22">
          <a:extLst>
            <a:ext uri="{FF2B5EF4-FFF2-40B4-BE49-F238E27FC236}">
              <a16:creationId xmlns:a16="http://schemas.microsoft.com/office/drawing/2014/main" xmlns="" id="{00000000-0008-0000-0300-000084000000}"/>
            </a:ext>
          </a:extLst>
        </xdr:cNvPr>
        <xdr:cNvSpPr txBox="1"/>
      </xdr:nvSpPr>
      <xdr:spPr>
        <a:xfrm>
          <a:off x="5443220" y="96600645"/>
          <a:ext cx="1019810" cy="7112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E65581-C22C-41BD-ABEC-5E0AA5802B5A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78740</xdr:colOff>
      <xdr:row>23</xdr:row>
      <xdr:rowOff>7620</xdr:rowOff>
    </xdr:from>
    <xdr:to>
      <xdr:col>11</xdr:col>
      <xdr:colOff>431800</xdr:colOff>
      <xdr:row>26</xdr:row>
      <xdr:rowOff>147320</xdr:rowOff>
    </xdr:to>
    <xdr:sp macro="" textlink="Algandmed!AK23">
      <xdr:nvSpPr>
        <xdr:cNvPr id="24" name="TextBox 23">
          <a:extLst>
            <a:ext uri="{FF2B5EF4-FFF2-40B4-BE49-F238E27FC236}">
              <a16:creationId xmlns:a16="http://schemas.microsoft.com/office/drawing/2014/main" xmlns="" id="{00000000-0008-0000-0300-000085000000}"/>
            </a:ext>
          </a:extLst>
        </xdr:cNvPr>
        <xdr:cNvSpPr txBox="1"/>
      </xdr:nvSpPr>
      <xdr:spPr>
        <a:xfrm>
          <a:off x="6460490" y="96600645"/>
          <a:ext cx="991235" cy="7112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F7192A-F63E-400C-9B23-910B49429717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0</xdr:col>
      <xdr:colOff>401320</xdr:colOff>
      <xdr:row>26</xdr:row>
      <xdr:rowOff>149860</xdr:rowOff>
    </xdr:from>
    <xdr:to>
      <xdr:col>2</xdr:col>
      <xdr:colOff>144780</xdr:colOff>
      <xdr:row>30</xdr:row>
      <xdr:rowOff>111760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xmlns="" id="{00000000-0008-0000-0300-000086000000}"/>
            </a:ext>
          </a:extLst>
        </xdr:cNvPr>
        <xdr:cNvSpPr txBox="1"/>
      </xdr:nvSpPr>
      <xdr:spPr>
        <a:xfrm>
          <a:off x="401320" y="97314385"/>
          <a:ext cx="101981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t-EE" sz="1600" b="1" i="0">
            <a:solidFill>
              <a:srgbClr val="4D4D4D"/>
            </a:solidFill>
            <a:effectLst/>
            <a:latin typeface="Hanse" panose="02000000000000000000" pitchFamily="50" charset="0"/>
            <a:ea typeface="+mn-ea"/>
            <a:cs typeface="+mn-cs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16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S3</a:t>
          </a:r>
          <a:endParaRPr lang="et-EE" sz="1600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pPr algn="ctr"/>
          <a:endParaRPr lang="en-US" sz="1600" b="0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142240</xdr:colOff>
      <xdr:row>26</xdr:row>
      <xdr:rowOff>149860</xdr:rowOff>
    </xdr:from>
    <xdr:to>
      <xdr:col>3</xdr:col>
      <xdr:colOff>495300</xdr:colOff>
      <xdr:row>30</xdr:row>
      <xdr:rowOff>111760</xdr:rowOff>
    </xdr:to>
    <xdr:sp macro="" textlink="Algandmed!AG24">
      <xdr:nvSpPr>
        <xdr:cNvPr id="26" name="TextBox 25">
          <a:extLst>
            <a:ext uri="{FF2B5EF4-FFF2-40B4-BE49-F238E27FC236}">
              <a16:creationId xmlns:a16="http://schemas.microsoft.com/office/drawing/2014/main" xmlns="" id="{00000000-0008-0000-0300-000087000000}"/>
            </a:ext>
          </a:extLst>
        </xdr:cNvPr>
        <xdr:cNvSpPr txBox="1"/>
      </xdr:nvSpPr>
      <xdr:spPr>
        <a:xfrm>
          <a:off x="1418590" y="97314385"/>
          <a:ext cx="991235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65C6D28-76D3-410E-9937-A0AEF4FBFC40}" type="TxLink">
            <a:rPr lang="en-US" sz="2000" b="0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 </a:t>
          </a:fld>
          <a:endParaRPr lang="en-US" sz="2000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238760</xdr:colOff>
      <xdr:row>26</xdr:row>
      <xdr:rowOff>149860</xdr:rowOff>
    </xdr:from>
    <xdr:to>
      <xdr:col>6</xdr:col>
      <xdr:colOff>591820</xdr:colOff>
      <xdr:row>30</xdr:row>
      <xdr:rowOff>111760</xdr:rowOff>
    </xdr:to>
    <xdr:sp macro="" textlink="Algandmed!AI24">
      <xdr:nvSpPr>
        <xdr:cNvPr id="27" name="TextBox 26">
          <a:extLst>
            <a:ext uri="{FF2B5EF4-FFF2-40B4-BE49-F238E27FC236}">
              <a16:creationId xmlns:a16="http://schemas.microsoft.com/office/drawing/2014/main" xmlns="" id="{00000000-0008-0000-0300-000088000000}"/>
            </a:ext>
          </a:extLst>
        </xdr:cNvPr>
        <xdr:cNvSpPr txBox="1"/>
      </xdr:nvSpPr>
      <xdr:spPr>
        <a:xfrm>
          <a:off x="3429635" y="97314385"/>
          <a:ext cx="991235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2AFC356-00B4-4BBE-97B2-3D00352E678C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#DIV/0!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500380</xdr:colOff>
      <xdr:row>26</xdr:row>
      <xdr:rowOff>149860</xdr:rowOff>
    </xdr:from>
    <xdr:to>
      <xdr:col>5</xdr:col>
      <xdr:colOff>243840</xdr:colOff>
      <xdr:row>30</xdr:row>
      <xdr:rowOff>111760</xdr:rowOff>
    </xdr:to>
    <xdr:sp macro="" textlink="Algandmed!AH24">
      <xdr:nvSpPr>
        <xdr:cNvPr id="28" name="TextBox 27">
          <a:extLst>
            <a:ext uri="{FF2B5EF4-FFF2-40B4-BE49-F238E27FC236}">
              <a16:creationId xmlns:a16="http://schemas.microsoft.com/office/drawing/2014/main" xmlns="" id="{00000000-0008-0000-0300-000089000000}"/>
            </a:ext>
          </a:extLst>
        </xdr:cNvPr>
        <xdr:cNvSpPr txBox="1"/>
      </xdr:nvSpPr>
      <xdr:spPr>
        <a:xfrm>
          <a:off x="2414905" y="97314385"/>
          <a:ext cx="101981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6902762-44A2-4BBB-8E10-20561A7B8774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4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6</xdr:col>
      <xdr:colOff>596900</xdr:colOff>
      <xdr:row>26</xdr:row>
      <xdr:rowOff>149860</xdr:rowOff>
    </xdr:from>
    <xdr:to>
      <xdr:col>8</xdr:col>
      <xdr:colOff>340360</xdr:colOff>
      <xdr:row>30</xdr:row>
      <xdr:rowOff>111760</xdr:rowOff>
    </xdr:to>
    <xdr:sp macro="" textlink="Algandmed!AJ24">
      <xdr:nvSpPr>
        <xdr:cNvPr id="29" name="TextBox 28">
          <a:extLst>
            <a:ext uri="{FF2B5EF4-FFF2-40B4-BE49-F238E27FC236}">
              <a16:creationId xmlns:a16="http://schemas.microsoft.com/office/drawing/2014/main" xmlns="" id="{00000000-0008-0000-0300-00008A000000}"/>
            </a:ext>
          </a:extLst>
        </xdr:cNvPr>
        <xdr:cNvSpPr txBox="1"/>
      </xdr:nvSpPr>
      <xdr:spPr>
        <a:xfrm>
          <a:off x="4425950" y="97314385"/>
          <a:ext cx="101981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22436CB-7EA5-41E2-8737-7599B514C13B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337820</xdr:colOff>
      <xdr:row>26</xdr:row>
      <xdr:rowOff>149860</xdr:rowOff>
    </xdr:from>
    <xdr:to>
      <xdr:col>10</xdr:col>
      <xdr:colOff>81280</xdr:colOff>
      <xdr:row>30</xdr:row>
      <xdr:rowOff>111760</xdr:rowOff>
    </xdr:to>
    <xdr:sp macro="" textlink="Algandmed!AO24">
      <xdr:nvSpPr>
        <xdr:cNvPr id="30" name="TextBox 29">
          <a:extLst>
            <a:ext uri="{FF2B5EF4-FFF2-40B4-BE49-F238E27FC236}">
              <a16:creationId xmlns:a16="http://schemas.microsoft.com/office/drawing/2014/main" xmlns="" id="{00000000-0008-0000-0300-00008B000000}"/>
            </a:ext>
          </a:extLst>
        </xdr:cNvPr>
        <xdr:cNvSpPr txBox="1"/>
      </xdr:nvSpPr>
      <xdr:spPr>
        <a:xfrm>
          <a:off x="5443220" y="97314385"/>
          <a:ext cx="101981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B5E5FB7-C628-483E-B7F6-3D1D54FCC40A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78740</xdr:colOff>
      <xdr:row>26</xdr:row>
      <xdr:rowOff>149860</xdr:rowOff>
    </xdr:from>
    <xdr:to>
      <xdr:col>11</xdr:col>
      <xdr:colOff>431800</xdr:colOff>
      <xdr:row>30</xdr:row>
      <xdr:rowOff>111760</xdr:rowOff>
    </xdr:to>
    <xdr:sp macro="" textlink="Algandmed!AK24">
      <xdr:nvSpPr>
        <xdr:cNvPr id="31" name="TextBox 30">
          <a:extLst>
            <a:ext uri="{FF2B5EF4-FFF2-40B4-BE49-F238E27FC236}">
              <a16:creationId xmlns:a16="http://schemas.microsoft.com/office/drawing/2014/main" xmlns="" id="{00000000-0008-0000-0300-00008C000000}"/>
            </a:ext>
          </a:extLst>
        </xdr:cNvPr>
        <xdr:cNvSpPr txBox="1"/>
      </xdr:nvSpPr>
      <xdr:spPr>
        <a:xfrm>
          <a:off x="6460490" y="97314385"/>
          <a:ext cx="991235" cy="7239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2DD4CB5-0366-417C-9BDD-622130FF1A3D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0</xdr:col>
      <xdr:colOff>401320</xdr:colOff>
      <xdr:row>15</xdr:row>
      <xdr:rowOff>88900</xdr:rowOff>
    </xdr:from>
    <xdr:to>
      <xdr:col>2</xdr:col>
      <xdr:colOff>144780</xdr:colOff>
      <xdr:row>19</xdr:row>
      <xdr:rowOff>50800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xmlns="" id="{00000000-0008-0000-0300-00008D000000}"/>
            </a:ext>
          </a:extLst>
        </xdr:cNvPr>
        <xdr:cNvSpPr txBox="1"/>
      </xdr:nvSpPr>
      <xdr:spPr>
        <a:xfrm>
          <a:off x="401320" y="95157925"/>
          <a:ext cx="101981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16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KOKKU</a:t>
          </a:r>
          <a:endParaRPr lang="et-EE" sz="1600">
            <a:solidFill>
              <a:srgbClr val="4D4D4D"/>
            </a:solidFill>
            <a:effectLst/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142240</xdr:colOff>
      <xdr:row>15</xdr:row>
      <xdr:rowOff>88900</xdr:rowOff>
    </xdr:from>
    <xdr:to>
      <xdr:col>3</xdr:col>
      <xdr:colOff>495300</xdr:colOff>
      <xdr:row>19</xdr:row>
      <xdr:rowOff>50800</xdr:rowOff>
    </xdr:to>
    <xdr:sp macro="" textlink="Algandmed!AG25">
      <xdr:nvSpPr>
        <xdr:cNvPr id="33" name="TextBox 32">
          <a:extLst>
            <a:ext uri="{FF2B5EF4-FFF2-40B4-BE49-F238E27FC236}">
              <a16:creationId xmlns:a16="http://schemas.microsoft.com/office/drawing/2014/main" xmlns="" id="{00000000-0008-0000-0300-00008E000000}"/>
            </a:ext>
          </a:extLst>
        </xdr:cNvPr>
        <xdr:cNvSpPr txBox="1"/>
      </xdr:nvSpPr>
      <xdr:spPr>
        <a:xfrm>
          <a:off x="1418590" y="95157925"/>
          <a:ext cx="991235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495DA47-5793-40EF-9F05-5707F434B4A7}" type="TxLink">
            <a:rPr lang="en-US" sz="2000" b="0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 </a:t>
          </a:fld>
          <a:endParaRPr lang="en-US" sz="2000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238760</xdr:colOff>
      <xdr:row>15</xdr:row>
      <xdr:rowOff>88900</xdr:rowOff>
    </xdr:from>
    <xdr:to>
      <xdr:col>6</xdr:col>
      <xdr:colOff>591820</xdr:colOff>
      <xdr:row>19</xdr:row>
      <xdr:rowOff>50800</xdr:rowOff>
    </xdr:to>
    <xdr:sp macro="" textlink="Algandmed!AI25">
      <xdr:nvSpPr>
        <xdr:cNvPr id="34" name="TextBox 33">
          <a:extLst>
            <a:ext uri="{FF2B5EF4-FFF2-40B4-BE49-F238E27FC236}">
              <a16:creationId xmlns:a16="http://schemas.microsoft.com/office/drawing/2014/main" xmlns="" id="{00000000-0008-0000-0300-00008F000000}"/>
            </a:ext>
          </a:extLst>
        </xdr:cNvPr>
        <xdr:cNvSpPr txBox="1"/>
      </xdr:nvSpPr>
      <xdr:spPr>
        <a:xfrm>
          <a:off x="3429635" y="95157925"/>
          <a:ext cx="991235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187087-3199-4159-B677-6B230E10D954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#DIV/0!</a:t>
          </a:fld>
          <a:endParaRPr lang="et-EE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500380</xdr:colOff>
      <xdr:row>15</xdr:row>
      <xdr:rowOff>88900</xdr:rowOff>
    </xdr:from>
    <xdr:to>
      <xdr:col>5</xdr:col>
      <xdr:colOff>243840</xdr:colOff>
      <xdr:row>19</xdr:row>
      <xdr:rowOff>50800</xdr:rowOff>
    </xdr:to>
    <xdr:sp macro="" textlink="Algandmed!AH25">
      <xdr:nvSpPr>
        <xdr:cNvPr id="35" name="TextBox 34">
          <a:extLst>
            <a:ext uri="{FF2B5EF4-FFF2-40B4-BE49-F238E27FC236}">
              <a16:creationId xmlns:a16="http://schemas.microsoft.com/office/drawing/2014/main" xmlns="" id="{00000000-0008-0000-0300-000090000000}"/>
            </a:ext>
          </a:extLst>
        </xdr:cNvPr>
        <xdr:cNvSpPr txBox="1"/>
      </xdr:nvSpPr>
      <xdr:spPr>
        <a:xfrm>
          <a:off x="2414905" y="95157925"/>
          <a:ext cx="101981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98F7549-7B40-4603-B2C9-2B583A9381D1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35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6</xdr:col>
      <xdr:colOff>596900</xdr:colOff>
      <xdr:row>15</xdr:row>
      <xdr:rowOff>88900</xdr:rowOff>
    </xdr:from>
    <xdr:to>
      <xdr:col>8</xdr:col>
      <xdr:colOff>340360</xdr:colOff>
      <xdr:row>19</xdr:row>
      <xdr:rowOff>50800</xdr:rowOff>
    </xdr:to>
    <xdr:sp macro="" textlink="Algandmed!AJ25">
      <xdr:nvSpPr>
        <xdr:cNvPr id="36" name="TextBox 35">
          <a:extLst>
            <a:ext uri="{FF2B5EF4-FFF2-40B4-BE49-F238E27FC236}">
              <a16:creationId xmlns:a16="http://schemas.microsoft.com/office/drawing/2014/main" xmlns="" id="{00000000-0008-0000-0300-000091000000}"/>
            </a:ext>
          </a:extLst>
        </xdr:cNvPr>
        <xdr:cNvSpPr txBox="1"/>
      </xdr:nvSpPr>
      <xdr:spPr>
        <a:xfrm>
          <a:off x="4425950" y="95157925"/>
          <a:ext cx="101981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C024767-8C62-44D8-A425-F57FD4BF6F0C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337820</xdr:colOff>
      <xdr:row>15</xdr:row>
      <xdr:rowOff>88900</xdr:rowOff>
    </xdr:from>
    <xdr:to>
      <xdr:col>10</xdr:col>
      <xdr:colOff>81280</xdr:colOff>
      <xdr:row>19</xdr:row>
      <xdr:rowOff>50800</xdr:rowOff>
    </xdr:to>
    <xdr:sp macro="" textlink="Algandmed!AO25">
      <xdr:nvSpPr>
        <xdr:cNvPr id="37" name="TextBox 36">
          <a:extLst>
            <a:ext uri="{FF2B5EF4-FFF2-40B4-BE49-F238E27FC236}">
              <a16:creationId xmlns:a16="http://schemas.microsoft.com/office/drawing/2014/main" xmlns="" id="{00000000-0008-0000-0300-000092000000}"/>
            </a:ext>
          </a:extLst>
        </xdr:cNvPr>
        <xdr:cNvSpPr txBox="1"/>
      </xdr:nvSpPr>
      <xdr:spPr>
        <a:xfrm>
          <a:off x="5443220" y="95157925"/>
          <a:ext cx="1019810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A6272FB-59F1-41C6-A77C-B0CBB143DA1A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78740</xdr:colOff>
      <xdr:row>15</xdr:row>
      <xdr:rowOff>88900</xdr:rowOff>
    </xdr:from>
    <xdr:to>
      <xdr:col>11</xdr:col>
      <xdr:colOff>431800</xdr:colOff>
      <xdr:row>19</xdr:row>
      <xdr:rowOff>50800</xdr:rowOff>
    </xdr:to>
    <xdr:sp macro="" textlink="Algandmed!AK25">
      <xdr:nvSpPr>
        <xdr:cNvPr id="38" name="TextBox 37">
          <a:extLst>
            <a:ext uri="{FF2B5EF4-FFF2-40B4-BE49-F238E27FC236}">
              <a16:creationId xmlns:a16="http://schemas.microsoft.com/office/drawing/2014/main" xmlns="" id="{00000000-0008-0000-0300-000093000000}"/>
            </a:ext>
          </a:extLst>
        </xdr:cNvPr>
        <xdr:cNvSpPr txBox="1"/>
      </xdr:nvSpPr>
      <xdr:spPr>
        <a:xfrm>
          <a:off x="6460490" y="95157925"/>
          <a:ext cx="991235" cy="7239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8CF7DDB-B2F4-42A2-A90B-F2D8F0D1EF39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0</xdr:col>
      <xdr:colOff>424180</xdr:colOff>
      <xdr:row>38</xdr:row>
      <xdr:rowOff>33020</xdr:rowOff>
    </xdr:from>
    <xdr:to>
      <xdr:col>2</xdr:col>
      <xdr:colOff>157480</xdr:colOff>
      <xdr:row>41</xdr:row>
      <xdr:rowOff>163864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xmlns="" id="{00000000-0008-0000-0300-000094000000}"/>
            </a:ext>
          </a:extLst>
        </xdr:cNvPr>
        <xdr:cNvSpPr txBox="1"/>
      </xdr:nvSpPr>
      <xdr:spPr>
        <a:xfrm>
          <a:off x="424180" y="99483545"/>
          <a:ext cx="1009650" cy="70234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32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AD</a:t>
          </a:r>
          <a:endParaRPr lang="en-US" sz="32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152400</xdr:colOff>
      <xdr:row>38</xdr:row>
      <xdr:rowOff>33020</xdr:rowOff>
    </xdr:from>
    <xdr:to>
      <xdr:col>3</xdr:col>
      <xdr:colOff>495300</xdr:colOff>
      <xdr:row>41</xdr:row>
      <xdr:rowOff>163864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xmlns="" id="{00000000-0008-0000-0300-000095000000}"/>
            </a:ext>
          </a:extLst>
        </xdr:cNvPr>
        <xdr:cNvSpPr txBox="1"/>
      </xdr:nvSpPr>
      <xdr:spPr>
        <a:xfrm>
          <a:off x="1428750" y="99483545"/>
          <a:ext cx="981075" cy="70234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1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TOTAL</a:t>
          </a:r>
          <a:endParaRPr lang="et-EE" sz="1600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pPr algn="ctr"/>
          <a:r>
            <a:rPr lang="et-EE" sz="11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PRESS</a:t>
          </a:r>
          <a:r>
            <a:rPr lang="et-EE" sz="1100" b="1" i="0" baseline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ING MOMENT</a:t>
          </a:r>
          <a:endParaRPr lang="et-EE" sz="1600">
            <a:solidFill>
              <a:srgbClr val="4D4D4D"/>
            </a:solidFill>
            <a:effectLst/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223520</xdr:colOff>
      <xdr:row>38</xdr:row>
      <xdr:rowOff>33020</xdr:rowOff>
    </xdr:from>
    <xdr:to>
      <xdr:col>6</xdr:col>
      <xdr:colOff>566420</xdr:colOff>
      <xdr:row>41</xdr:row>
      <xdr:rowOff>163864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xmlns="" id="{00000000-0008-0000-0300-000096000000}"/>
            </a:ext>
          </a:extLst>
        </xdr:cNvPr>
        <xdr:cNvSpPr txBox="1"/>
      </xdr:nvSpPr>
      <xdr:spPr>
        <a:xfrm>
          <a:off x="3414395" y="99483545"/>
          <a:ext cx="981075" cy="70234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4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AVG. PER GAME</a:t>
          </a:r>
          <a:endParaRPr lang="et-EE" sz="1800">
            <a:solidFill>
              <a:srgbClr val="4D4D4D"/>
            </a:solidFill>
            <a:effectLst/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497840</xdr:colOff>
      <xdr:row>38</xdr:row>
      <xdr:rowOff>33020</xdr:rowOff>
    </xdr:from>
    <xdr:to>
      <xdr:col>5</xdr:col>
      <xdr:colOff>231140</xdr:colOff>
      <xdr:row>41</xdr:row>
      <xdr:rowOff>163864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xmlns="" id="{00000000-0008-0000-0300-000097000000}"/>
            </a:ext>
          </a:extLst>
        </xdr:cNvPr>
        <xdr:cNvSpPr txBox="1"/>
      </xdr:nvSpPr>
      <xdr:spPr>
        <a:xfrm>
          <a:off x="2412365" y="99483545"/>
          <a:ext cx="1009650" cy="70234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6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TOTAL</a:t>
          </a:r>
          <a:r>
            <a:rPr lang="et-EE" sz="1600" b="1" i="0" u="none" strike="noStrike" baseline="0">
              <a:solidFill>
                <a:srgbClr val="4D4D4D"/>
              </a:solidFill>
              <a:latin typeface="Hanse" panose="02000000000000000000" pitchFamily="50" charset="0"/>
            </a:rPr>
            <a:t> AD</a:t>
          </a:r>
          <a:endParaRPr lang="en-US" sz="16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424180</xdr:colOff>
      <xdr:row>45</xdr:row>
      <xdr:rowOff>129539</xdr:rowOff>
    </xdr:from>
    <xdr:to>
      <xdr:col>2</xdr:col>
      <xdr:colOff>157480</xdr:colOff>
      <xdr:row>49</xdr:row>
      <xdr:rowOff>87228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xmlns="" id="{00000000-0008-0000-0300-000098000000}"/>
            </a:ext>
          </a:extLst>
        </xdr:cNvPr>
        <xdr:cNvSpPr txBox="1"/>
      </xdr:nvSpPr>
      <xdr:spPr>
        <a:xfrm>
          <a:off x="424180" y="100913564"/>
          <a:ext cx="1009650" cy="71968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6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S1</a:t>
          </a:r>
          <a:endParaRPr lang="en-US" sz="16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223520</xdr:colOff>
      <xdr:row>45</xdr:row>
      <xdr:rowOff>129539</xdr:rowOff>
    </xdr:from>
    <xdr:to>
      <xdr:col>6</xdr:col>
      <xdr:colOff>566420</xdr:colOff>
      <xdr:row>49</xdr:row>
      <xdr:rowOff>87228</xdr:rowOff>
    </xdr:to>
    <xdr:sp macro="" textlink="Algandmed!BA22">
      <xdr:nvSpPr>
        <xdr:cNvPr id="44" name="TextBox 43">
          <a:extLst>
            <a:ext uri="{FF2B5EF4-FFF2-40B4-BE49-F238E27FC236}">
              <a16:creationId xmlns:a16="http://schemas.microsoft.com/office/drawing/2014/main" xmlns="" id="{00000000-0008-0000-0300-000099000000}"/>
            </a:ext>
          </a:extLst>
        </xdr:cNvPr>
        <xdr:cNvSpPr txBox="1"/>
      </xdr:nvSpPr>
      <xdr:spPr>
        <a:xfrm>
          <a:off x="3414395" y="100913564"/>
          <a:ext cx="981075" cy="71968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69D3A16-0C9D-4842-95FB-56E0ED851776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#DIV/0!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497840</xdr:colOff>
      <xdr:row>45</xdr:row>
      <xdr:rowOff>129539</xdr:rowOff>
    </xdr:from>
    <xdr:to>
      <xdr:col>5</xdr:col>
      <xdr:colOff>231140</xdr:colOff>
      <xdr:row>49</xdr:row>
      <xdr:rowOff>87228</xdr:rowOff>
    </xdr:to>
    <xdr:sp macro="" textlink="Algandmed!AZ22">
      <xdr:nvSpPr>
        <xdr:cNvPr id="45" name="TextBox 44">
          <a:extLst>
            <a:ext uri="{FF2B5EF4-FFF2-40B4-BE49-F238E27FC236}">
              <a16:creationId xmlns:a16="http://schemas.microsoft.com/office/drawing/2014/main" xmlns="" id="{00000000-0008-0000-0300-00009A000000}"/>
            </a:ext>
          </a:extLst>
        </xdr:cNvPr>
        <xdr:cNvSpPr txBox="1"/>
      </xdr:nvSpPr>
      <xdr:spPr>
        <a:xfrm>
          <a:off x="2412365" y="100913564"/>
          <a:ext cx="1009650" cy="71968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3C437B-CFA3-4168-B84E-F6FEBE0253B5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5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0</xdr:col>
      <xdr:colOff>424180</xdr:colOff>
      <xdr:row>49</xdr:row>
      <xdr:rowOff>91440</xdr:rowOff>
    </xdr:from>
    <xdr:to>
      <xdr:col>2</xdr:col>
      <xdr:colOff>157480</xdr:colOff>
      <xdr:row>53</xdr:row>
      <xdr:rowOff>58420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xmlns="" id="{00000000-0008-0000-0300-00009B000000}"/>
            </a:ext>
          </a:extLst>
        </xdr:cNvPr>
        <xdr:cNvSpPr txBox="1"/>
      </xdr:nvSpPr>
      <xdr:spPr>
        <a:xfrm>
          <a:off x="424180" y="101637465"/>
          <a:ext cx="100965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16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S2</a:t>
          </a:r>
          <a:endParaRPr lang="et-EE" sz="1600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pPr algn="ctr"/>
          <a:endParaRPr lang="en-US" sz="1600" b="0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152400</xdr:colOff>
      <xdr:row>49</xdr:row>
      <xdr:rowOff>91440</xdr:rowOff>
    </xdr:from>
    <xdr:to>
      <xdr:col>3</xdr:col>
      <xdr:colOff>495300</xdr:colOff>
      <xdr:row>53</xdr:row>
      <xdr:rowOff>58420</xdr:rowOff>
    </xdr:to>
    <xdr:sp macro="" textlink="Algandmed!AY23">
      <xdr:nvSpPr>
        <xdr:cNvPr id="47" name="TextBox 46">
          <a:extLst>
            <a:ext uri="{FF2B5EF4-FFF2-40B4-BE49-F238E27FC236}">
              <a16:creationId xmlns:a16="http://schemas.microsoft.com/office/drawing/2014/main" xmlns="" id="{00000000-0008-0000-0300-00009C000000}"/>
            </a:ext>
          </a:extLst>
        </xdr:cNvPr>
        <xdr:cNvSpPr txBox="1"/>
      </xdr:nvSpPr>
      <xdr:spPr>
        <a:xfrm>
          <a:off x="1428750" y="101637465"/>
          <a:ext cx="981075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94E309F-6229-4419-B919-14516B284DD6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 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223520</xdr:colOff>
      <xdr:row>49</xdr:row>
      <xdr:rowOff>91440</xdr:rowOff>
    </xdr:from>
    <xdr:to>
      <xdr:col>6</xdr:col>
      <xdr:colOff>566420</xdr:colOff>
      <xdr:row>53</xdr:row>
      <xdr:rowOff>58420</xdr:rowOff>
    </xdr:to>
    <xdr:sp macro="" textlink="Algandmed!BA23">
      <xdr:nvSpPr>
        <xdr:cNvPr id="48" name="TextBox 47">
          <a:extLst>
            <a:ext uri="{FF2B5EF4-FFF2-40B4-BE49-F238E27FC236}">
              <a16:creationId xmlns:a16="http://schemas.microsoft.com/office/drawing/2014/main" xmlns="" id="{00000000-0008-0000-0300-00009D000000}"/>
            </a:ext>
          </a:extLst>
        </xdr:cNvPr>
        <xdr:cNvSpPr txBox="1"/>
      </xdr:nvSpPr>
      <xdr:spPr>
        <a:xfrm>
          <a:off x="3414395" y="101637465"/>
          <a:ext cx="981075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9D1679-86A3-4339-A308-9F007DE7ABB0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#DIV/0!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497840</xdr:colOff>
      <xdr:row>49</xdr:row>
      <xdr:rowOff>91440</xdr:rowOff>
    </xdr:from>
    <xdr:to>
      <xdr:col>5</xdr:col>
      <xdr:colOff>231140</xdr:colOff>
      <xdr:row>53</xdr:row>
      <xdr:rowOff>58420</xdr:rowOff>
    </xdr:to>
    <xdr:sp macro="" textlink="Algandmed!AZ23">
      <xdr:nvSpPr>
        <xdr:cNvPr id="49" name="TextBox 48">
          <a:extLst>
            <a:ext uri="{FF2B5EF4-FFF2-40B4-BE49-F238E27FC236}">
              <a16:creationId xmlns:a16="http://schemas.microsoft.com/office/drawing/2014/main" xmlns="" id="{00000000-0008-0000-0300-00009E000000}"/>
            </a:ext>
          </a:extLst>
        </xdr:cNvPr>
        <xdr:cNvSpPr txBox="1"/>
      </xdr:nvSpPr>
      <xdr:spPr>
        <a:xfrm>
          <a:off x="2412365" y="101637465"/>
          <a:ext cx="100965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0FDC6D3-F5E1-4CA4-99D6-CDB96E932F85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22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6</xdr:col>
      <xdr:colOff>568960</xdr:colOff>
      <xdr:row>38</xdr:row>
      <xdr:rowOff>33020</xdr:rowOff>
    </xdr:from>
    <xdr:to>
      <xdr:col>8</xdr:col>
      <xdr:colOff>302260</xdr:colOff>
      <xdr:row>41</xdr:row>
      <xdr:rowOff>163864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xmlns="" id="{00000000-0008-0000-0300-00009F000000}"/>
            </a:ext>
          </a:extLst>
        </xdr:cNvPr>
        <xdr:cNvSpPr txBox="1"/>
      </xdr:nvSpPr>
      <xdr:spPr>
        <a:xfrm>
          <a:off x="4398010" y="99483545"/>
          <a:ext cx="1009650" cy="70234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6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GOAL</a:t>
          </a:r>
        </a:p>
      </xdr:txBody>
    </xdr:sp>
    <xdr:clientData/>
  </xdr:twoCellAnchor>
  <xdr:twoCellAnchor>
    <xdr:from>
      <xdr:col>8</xdr:col>
      <xdr:colOff>309880</xdr:colOff>
      <xdr:row>38</xdr:row>
      <xdr:rowOff>33020</xdr:rowOff>
    </xdr:from>
    <xdr:to>
      <xdr:col>10</xdr:col>
      <xdr:colOff>43180</xdr:colOff>
      <xdr:row>41</xdr:row>
      <xdr:rowOff>163864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xmlns="" id="{00000000-0008-0000-0300-0000A0000000}"/>
            </a:ext>
          </a:extLst>
        </xdr:cNvPr>
        <xdr:cNvSpPr txBox="1"/>
      </xdr:nvSpPr>
      <xdr:spPr>
        <a:xfrm>
          <a:off x="5415280" y="99483545"/>
          <a:ext cx="1009650" cy="70234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6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SHOTS TOTAL</a:t>
          </a:r>
        </a:p>
      </xdr:txBody>
    </xdr:sp>
    <xdr:clientData/>
  </xdr:twoCellAnchor>
  <xdr:twoCellAnchor>
    <xdr:from>
      <xdr:col>10</xdr:col>
      <xdr:colOff>38100</xdr:colOff>
      <xdr:row>38</xdr:row>
      <xdr:rowOff>33020</xdr:rowOff>
    </xdr:from>
    <xdr:to>
      <xdr:col>11</xdr:col>
      <xdr:colOff>381000</xdr:colOff>
      <xdr:row>41</xdr:row>
      <xdr:rowOff>163864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xmlns="" id="{00000000-0008-0000-0300-0000A1000000}"/>
            </a:ext>
          </a:extLst>
        </xdr:cNvPr>
        <xdr:cNvSpPr txBox="1"/>
      </xdr:nvSpPr>
      <xdr:spPr>
        <a:xfrm>
          <a:off x="6419850" y="99483545"/>
          <a:ext cx="981075" cy="702344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6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%     </a:t>
          </a:r>
        </a:p>
        <a:p>
          <a:pPr algn="ctr"/>
          <a:r>
            <a:rPr lang="et-EE" sz="16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GOAL</a:t>
          </a:r>
          <a:endParaRPr lang="en-US" sz="16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6</xdr:col>
      <xdr:colOff>568960</xdr:colOff>
      <xdr:row>45</xdr:row>
      <xdr:rowOff>129539</xdr:rowOff>
    </xdr:from>
    <xdr:to>
      <xdr:col>8</xdr:col>
      <xdr:colOff>302260</xdr:colOff>
      <xdr:row>49</xdr:row>
      <xdr:rowOff>87228</xdr:rowOff>
    </xdr:to>
    <xdr:sp macro="" textlink="Algandmed!BB22">
      <xdr:nvSpPr>
        <xdr:cNvPr id="53" name="TextBox 52">
          <a:extLst>
            <a:ext uri="{FF2B5EF4-FFF2-40B4-BE49-F238E27FC236}">
              <a16:creationId xmlns:a16="http://schemas.microsoft.com/office/drawing/2014/main" xmlns="" id="{00000000-0008-0000-0300-0000A2000000}"/>
            </a:ext>
          </a:extLst>
        </xdr:cNvPr>
        <xdr:cNvSpPr txBox="1"/>
      </xdr:nvSpPr>
      <xdr:spPr>
        <a:xfrm>
          <a:off x="4398010" y="100913564"/>
          <a:ext cx="1009650" cy="71968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A5D36D-EBB6-426F-A06E-5363FF721CC5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309880</xdr:colOff>
      <xdr:row>45</xdr:row>
      <xdr:rowOff>129539</xdr:rowOff>
    </xdr:from>
    <xdr:to>
      <xdr:col>10</xdr:col>
      <xdr:colOff>43180</xdr:colOff>
      <xdr:row>49</xdr:row>
      <xdr:rowOff>87228</xdr:rowOff>
    </xdr:to>
    <xdr:sp macro="" textlink="Algandmed!BG22">
      <xdr:nvSpPr>
        <xdr:cNvPr id="54" name="TextBox 53">
          <a:extLst>
            <a:ext uri="{FF2B5EF4-FFF2-40B4-BE49-F238E27FC236}">
              <a16:creationId xmlns:a16="http://schemas.microsoft.com/office/drawing/2014/main" xmlns="" id="{00000000-0008-0000-0300-0000A3000000}"/>
            </a:ext>
          </a:extLst>
        </xdr:cNvPr>
        <xdr:cNvSpPr txBox="1"/>
      </xdr:nvSpPr>
      <xdr:spPr>
        <a:xfrm>
          <a:off x="5415280" y="100913564"/>
          <a:ext cx="1009650" cy="71968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81F0789-791D-49C3-9361-BB1566293287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38100</xdr:colOff>
      <xdr:row>45</xdr:row>
      <xdr:rowOff>129539</xdr:rowOff>
    </xdr:from>
    <xdr:to>
      <xdr:col>11</xdr:col>
      <xdr:colOff>381000</xdr:colOff>
      <xdr:row>49</xdr:row>
      <xdr:rowOff>87228</xdr:rowOff>
    </xdr:to>
    <xdr:sp macro="" textlink="Algandmed!BC22">
      <xdr:nvSpPr>
        <xdr:cNvPr id="55" name="TextBox 54">
          <a:extLst>
            <a:ext uri="{FF2B5EF4-FFF2-40B4-BE49-F238E27FC236}">
              <a16:creationId xmlns:a16="http://schemas.microsoft.com/office/drawing/2014/main" xmlns="" id="{00000000-0008-0000-0300-0000A4000000}"/>
            </a:ext>
          </a:extLst>
        </xdr:cNvPr>
        <xdr:cNvSpPr txBox="1"/>
      </xdr:nvSpPr>
      <xdr:spPr>
        <a:xfrm>
          <a:off x="6419850" y="100913564"/>
          <a:ext cx="981075" cy="719689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E8B8C4B-FBA2-4A75-9051-B13E3F294AFF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6</xdr:col>
      <xdr:colOff>568960</xdr:colOff>
      <xdr:row>49</xdr:row>
      <xdr:rowOff>91440</xdr:rowOff>
    </xdr:from>
    <xdr:to>
      <xdr:col>8</xdr:col>
      <xdr:colOff>302260</xdr:colOff>
      <xdr:row>53</xdr:row>
      <xdr:rowOff>58420</xdr:rowOff>
    </xdr:to>
    <xdr:sp macro="" textlink="Algandmed!BB23">
      <xdr:nvSpPr>
        <xdr:cNvPr id="56" name="TextBox 55">
          <a:extLst>
            <a:ext uri="{FF2B5EF4-FFF2-40B4-BE49-F238E27FC236}">
              <a16:creationId xmlns:a16="http://schemas.microsoft.com/office/drawing/2014/main" xmlns="" id="{00000000-0008-0000-0300-0000A5000000}"/>
            </a:ext>
          </a:extLst>
        </xdr:cNvPr>
        <xdr:cNvSpPr txBox="1"/>
      </xdr:nvSpPr>
      <xdr:spPr>
        <a:xfrm>
          <a:off x="4398010" y="101637465"/>
          <a:ext cx="100965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3FEE7D9-1A24-4113-9A2A-77EB01DBBE43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309880</xdr:colOff>
      <xdr:row>49</xdr:row>
      <xdr:rowOff>91440</xdr:rowOff>
    </xdr:from>
    <xdr:to>
      <xdr:col>10</xdr:col>
      <xdr:colOff>43180</xdr:colOff>
      <xdr:row>53</xdr:row>
      <xdr:rowOff>58420</xdr:rowOff>
    </xdr:to>
    <xdr:sp macro="" textlink="Algandmed!BG23">
      <xdr:nvSpPr>
        <xdr:cNvPr id="57" name="TextBox 56">
          <a:extLst>
            <a:ext uri="{FF2B5EF4-FFF2-40B4-BE49-F238E27FC236}">
              <a16:creationId xmlns:a16="http://schemas.microsoft.com/office/drawing/2014/main" xmlns="" id="{00000000-0008-0000-0300-0000A6000000}"/>
            </a:ext>
          </a:extLst>
        </xdr:cNvPr>
        <xdr:cNvSpPr txBox="1"/>
      </xdr:nvSpPr>
      <xdr:spPr>
        <a:xfrm>
          <a:off x="5415280" y="101637465"/>
          <a:ext cx="100965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72D8F94-55DD-4726-8962-17463D02BCDC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38100</xdr:colOff>
      <xdr:row>49</xdr:row>
      <xdr:rowOff>91440</xdr:rowOff>
    </xdr:from>
    <xdr:to>
      <xdr:col>11</xdr:col>
      <xdr:colOff>381000</xdr:colOff>
      <xdr:row>53</xdr:row>
      <xdr:rowOff>58420</xdr:rowOff>
    </xdr:to>
    <xdr:sp macro="" textlink="Algandmed!BC23">
      <xdr:nvSpPr>
        <xdr:cNvPr id="58" name="TextBox 57">
          <a:extLst>
            <a:ext uri="{FF2B5EF4-FFF2-40B4-BE49-F238E27FC236}">
              <a16:creationId xmlns:a16="http://schemas.microsoft.com/office/drawing/2014/main" xmlns="" id="{00000000-0008-0000-0300-0000A7000000}"/>
            </a:ext>
          </a:extLst>
        </xdr:cNvPr>
        <xdr:cNvSpPr txBox="1"/>
      </xdr:nvSpPr>
      <xdr:spPr>
        <a:xfrm>
          <a:off x="6419850" y="101637465"/>
          <a:ext cx="981075" cy="72898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20629D-A74D-4F36-9FA4-11B3B04F2496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0</xdr:col>
      <xdr:colOff>424180</xdr:colOff>
      <xdr:row>53</xdr:row>
      <xdr:rowOff>68580</xdr:rowOff>
    </xdr:from>
    <xdr:to>
      <xdr:col>2</xdr:col>
      <xdr:colOff>157480</xdr:colOff>
      <xdr:row>57</xdr:row>
      <xdr:rowOff>35560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xmlns="" id="{00000000-0008-0000-0300-0000A8000000}"/>
            </a:ext>
          </a:extLst>
        </xdr:cNvPr>
        <xdr:cNvSpPr txBox="1"/>
      </xdr:nvSpPr>
      <xdr:spPr>
        <a:xfrm>
          <a:off x="424180" y="102376605"/>
          <a:ext cx="100965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t-EE" sz="1600" b="1" i="0">
            <a:solidFill>
              <a:srgbClr val="4D4D4D"/>
            </a:solidFill>
            <a:effectLst/>
            <a:latin typeface="Hanse" panose="02000000000000000000" pitchFamily="50" charset="0"/>
            <a:ea typeface="+mn-ea"/>
            <a:cs typeface="+mn-cs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16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S3</a:t>
          </a:r>
          <a:endParaRPr lang="et-EE" sz="1600">
            <a:solidFill>
              <a:srgbClr val="4D4D4D"/>
            </a:solidFill>
            <a:effectLst/>
            <a:latin typeface="Hanse" panose="02000000000000000000" pitchFamily="50" charset="0"/>
          </a:endParaRPr>
        </a:p>
        <a:p>
          <a:pPr algn="ctr"/>
          <a:endParaRPr lang="en-US" sz="1600" b="0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152400</xdr:colOff>
      <xdr:row>53</xdr:row>
      <xdr:rowOff>68580</xdr:rowOff>
    </xdr:from>
    <xdr:to>
      <xdr:col>3</xdr:col>
      <xdr:colOff>495300</xdr:colOff>
      <xdr:row>57</xdr:row>
      <xdr:rowOff>35560</xdr:rowOff>
    </xdr:to>
    <xdr:sp macro="" textlink="Algandmed!AY24">
      <xdr:nvSpPr>
        <xdr:cNvPr id="60" name="TextBox 59">
          <a:extLst>
            <a:ext uri="{FF2B5EF4-FFF2-40B4-BE49-F238E27FC236}">
              <a16:creationId xmlns:a16="http://schemas.microsoft.com/office/drawing/2014/main" xmlns="" id="{00000000-0008-0000-0300-0000A9000000}"/>
            </a:ext>
          </a:extLst>
        </xdr:cNvPr>
        <xdr:cNvSpPr txBox="1"/>
      </xdr:nvSpPr>
      <xdr:spPr>
        <a:xfrm>
          <a:off x="1428750" y="102376605"/>
          <a:ext cx="981075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C63F262-D1DD-4E0B-926B-847DFF13B799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 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223520</xdr:colOff>
      <xdr:row>53</xdr:row>
      <xdr:rowOff>68580</xdr:rowOff>
    </xdr:from>
    <xdr:to>
      <xdr:col>6</xdr:col>
      <xdr:colOff>566420</xdr:colOff>
      <xdr:row>57</xdr:row>
      <xdr:rowOff>35560</xdr:rowOff>
    </xdr:to>
    <xdr:sp macro="" textlink="Algandmed!BA24">
      <xdr:nvSpPr>
        <xdr:cNvPr id="61" name="TextBox 60">
          <a:extLst>
            <a:ext uri="{FF2B5EF4-FFF2-40B4-BE49-F238E27FC236}">
              <a16:creationId xmlns:a16="http://schemas.microsoft.com/office/drawing/2014/main" xmlns="" id="{00000000-0008-0000-0300-0000AA000000}"/>
            </a:ext>
          </a:extLst>
        </xdr:cNvPr>
        <xdr:cNvSpPr txBox="1"/>
      </xdr:nvSpPr>
      <xdr:spPr>
        <a:xfrm>
          <a:off x="3414395" y="102376605"/>
          <a:ext cx="981075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952C80-889A-4DAF-9108-6D1EC799F95C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#DIV/0!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497840</xdr:colOff>
      <xdr:row>53</xdr:row>
      <xdr:rowOff>68580</xdr:rowOff>
    </xdr:from>
    <xdr:to>
      <xdr:col>5</xdr:col>
      <xdr:colOff>231140</xdr:colOff>
      <xdr:row>57</xdr:row>
      <xdr:rowOff>35560</xdr:rowOff>
    </xdr:to>
    <xdr:sp macro="" textlink="Algandmed!AZ24">
      <xdr:nvSpPr>
        <xdr:cNvPr id="62" name="TextBox 61">
          <a:extLst>
            <a:ext uri="{FF2B5EF4-FFF2-40B4-BE49-F238E27FC236}">
              <a16:creationId xmlns:a16="http://schemas.microsoft.com/office/drawing/2014/main" xmlns="" id="{00000000-0008-0000-0300-0000AB000000}"/>
            </a:ext>
          </a:extLst>
        </xdr:cNvPr>
        <xdr:cNvSpPr txBox="1"/>
      </xdr:nvSpPr>
      <xdr:spPr>
        <a:xfrm>
          <a:off x="2412365" y="102376605"/>
          <a:ext cx="100965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9BC3705-FFB2-4629-B1E4-D53A249B5EF3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19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6</xdr:col>
      <xdr:colOff>568960</xdr:colOff>
      <xdr:row>53</xdr:row>
      <xdr:rowOff>68580</xdr:rowOff>
    </xdr:from>
    <xdr:to>
      <xdr:col>8</xdr:col>
      <xdr:colOff>302260</xdr:colOff>
      <xdr:row>57</xdr:row>
      <xdr:rowOff>35560</xdr:rowOff>
    </xdr:to>
    <xdr:sp macro="" textlink="Algandmed!BB24">
      <xdr:nvSpPr>
        <xdr:cNvPr id="63" name="TextBox 62">
          <a:extLst>
            <a:ext uri="{FF2B5EF4-FFF2-40B4-BE49-F238E27FC236}">
              <a16:creationId xmlns:a16="http://schemas.microsoft.com/office/drawing/2014/main" xmlns="" id="{00000000-0008-0000-0300-0000AC000000}"/>
            </a:ext>
          </a:extLst>
        </xdr:cNvPr>
        <xdr:cNvSpPr txBox="1"/>
      </xdr:nvSpPr>
      <xdr:spPr>
        <a:xfrm>
          <a:off x="4398010" y="102376605"/>
          <a:ext cx="100965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657C0F0-73E2-46B6-B058-68C014C29D15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309880</xdr:colOff>
      <xdr:row>53</xdr:row>
      <xdr:rowOff>68580</xdr:rowOff>
    </xdr:from>
    <xdr:to>
      <xdr:col>10</xdr:col>
      <xdr:colOff>43180</xdr:colOff>
      <xdr:row>57</xdr:row>
      <xdr:rowOff>35560</xdr:rowOff>
    </xdr:to>
    <xdr:sp macro="" textlink="Algandmed!BG24">
      <xdr:nvSpPr>
        <xdr:cNvPr id="64" name="TextBox 63">
          <a:extLst>
            <a:ext uri="{FF2B5EF4-FFF2-40B4-BE49-F238E27FC236}">
              <a16:creationId xmlns:a16="http://schemas.microsoft.com/office/drawing/2014/main" xmlns="" id="{00000000-0008-0000-0300-0000AD000000}"/>
            </a:ext>
          </a:extLst>
        </xdr:cNvPr>
        <xdr:cNvSpPr txBox="1"/>
      </xdr:nvSpPr>
      <xdr:spPr>
        <a:xfrm>
          <a:off x="5415280" y="102376605"/>
          <a:ext cx="100965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CEA33B-69AC-411D-8441-8BD5E1343227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3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38100</xdr:colOff>
      <xdr:row>53</xdr:row>
      <xdr:rowOff>68580</xdr:rowOff>
    </xdr:from>
    <xdr:to>
      <xdr:col>11</xdr:col>
      <xdr:colOff>381000</xdr:colOff>
      <xdr:row>57</xdr:row>
      <xdr:rowOff>35560</xdr:rowOff>
    </xdr:to>
    <xdr:sp macro="" textlink="Algandmed!BC24">
      <xdr:nvSpPr>
        <xdr:cNvPr id="65" name="TextBox 64">
          <a:extLst>
            <a:ext uri="{FF2B5EF4-FFF2-40B4-BE49-F238E27FC236}">
              <a16:creationId xmlns:a16="http://schemas.microsoft.com/office/drawing/2014/main" xmlns="" id="{00000000-0008-0000-0300-0000AE000000}"/>
            </a:ext>
          </a:extLst>
        </xdr:cNvPr>
        <xdr:cNvSpPr txBox="1"/>
      </xdr:nvSpPr>
      <xdr:spPr>
        <a:xfrm>
          <a:off x="6419850" y="102376605"/>
          <a:ext cx="981075" cy="72898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7875DE5-4FBB-45DC-922C-863A29D9D120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0</xdr:col>
      <xdr:colOff>424180</xdr:colOff>
      <xdr:row>41</xdr:row>
      <xdr:rowOff>160020</xdr:rowOff>
    </xdr:from>
    <xdr:to>
      <xdr:col>2</xdr:col>
      <xdr:colOff>157480</xdr:colOff>
      <xdr:row>45</xdr:row>
      <xdr:rowOff>127000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xmlns="" id="{00000000-0008-0000-0300-0000AF000000}"/>
            </a:ext>
          </a:extLst>
        </xdr:cNvPr>
        <xdr:cNvSpPr txBox="1"/>
      </xdr:nvSpPr>
      <xdr:spPr>
        <a:xfrm>
          <a:off x="424180" y="100182045"/>
          <a:ext cx="100965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t-EE" sz="1600" b="1" i="0">
              <a:solidFill>
                <a:srgbClr val="4D4D4D"/>
              </a:solidFill>
              <a:effectLst/>
              <a:latin typeface="Hanse" panose="02000000000000000000" pitchFamily="50" charset="0"/>
              <a:ea typeface="+mn-ea"/>
              <a:cs typeface="+mn-cs"/>
            </a:rPr>
            <a:t>KOKKU</a:t>
          </a:r>
          <a:endParaRPr lang="et-EE" sz="1600" b="0" i="0" u="none" strike="noStrike">
            <a:solidFill>
              <a:srgbClr val="4D4D4D"/>
            </a:solidFill>
            <a:effectLst/>
            <a:latin typeface="Hanse" panose="02000000000000000000" pitchFamily="50" charset="0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152400</xdr:colOff>
      <xdr:row>41</xdr:row>
      <xdr:rowOff>160020</xdr:rowOff>
    </xdr:from>
    <xdr:to>
      <xdr:col>3</xdr:col>
      <xdr:colOff>495300</xdr:colOff>
      <xdr:row>45</xdr:row>
      <xdr:rowOff>127000</xdr:rowOff>
    </xdr:to>
    <xdr:sp macro="" textlink="Algandmed!AY25">
      <xdr:nvSpPr>
        <xdr:cNvPr id="67" name="TextBox 66">
          <a:extLst>
            <a:ext uri="{FF2B5EF4-FFF2-40B4-BE49-F238E27FC236}">
              <a16:creationId xmlns:a16="http://schemas.microsoft.com/office/drawing/2014/main" xmlns="" id="{00000000-0008-0000-0300-0000B0000000}"/>
            </a:ext>
          </a:extLst>
        </xdr:cNvPr>
        <xdr:cNvSpPr txBox="1"/>
      </xdr:nvSpPr>
      <xdr:spPr>
        <a:xfrm>
          <a:off x="1428750" y="100182045"/>
          <a:ext cx="981075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235CD4E-5E7E-4052-9C4B-E5D7F6086004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 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5</xdr:col>
      <xdr:colOff>223520</xdr:colOff>
      <xdr:row>41</xdr:row>
      <xdr:rowOff>160020</xdr:rowOff>
    </xdr:from>
    <xdr:to>
      <xdr:col>6</xdr:col>
      <xdr:colOff>566420</xdr:colOff>
      <xdr:row>45</xdr:row>
      <xdr:rowOff>127000</xdr:rowOff>
    </xdr:to>
    <xdr:sp macro="" textlink="Algandmed!BA25">
      <xdr:nvSpPr>
        <xdr:cNvPr id="68" name="TextBox 67">
          <a:extLst>
            <a:ext uri="{FF2B5EF4-FFF2-40B4-BE49-F238E27FC236}">
              <a16:creationId xmlns:a16="http://schemas.microsoft.com/office/drawing/2014/main" xmlns="" id="{00000000-0008-0000-0300-0000B1000000}"/>
            </a:ext>
          </a:extLst>
        </xdr:cNvPr>
        <xdr:cNvSpPr txBox="1"/>
      </xdr:nvSpPr>
      <xdr:spPr>
        <a:xfrm>
          <a:off x="3414395" y="100182045"/>
          <a:ext cx="981075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A8CE7A-D603-4846-A805-F806BEE9C163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#DIV/0!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3</xdr:col>
      <xdr:colOff>497840</xdr:colOff>
      <xdr:row>41</xdr:row>
      <xdr:rowOff>160020</xdr:rowOff>
    </xdr:from>
    <xdr:to>
      <xdr:col>5</xdr:col>
      <xdr:colOff>231140</xdr:colOff>
      <xdr:row>45</xdr:row>
      <xdr:rowOff>127000</xdr:rowOff>
    </xdr:to>
    <xdr:sp macro="" textlink="Algandmed!AZ25">
      <xdr:nvSpPr>
        <xdr:cNvPr id="69" name="TextBox 68">
          <a:extLst>
            <a:ext uri="{FF2B5EF4-FFF2-40B4-BE49-F238E27FC236}">
              <a16:creationId xmlns:a16="http://schemas.microsoft.com/office/drawing/2014/main" xmlns="" id="{00000000-0008-0000-0300-0000B2000000}"/>
            </a:ext>
          </a:extLst>
        </xdr:cNvPr>
        <xdr:cNvSpPr txBox="1"/>
      </xdr:nvSpPr>
      <xdr:spPr>
        <a:xfrm>
          <a:off x="2412365" y="100182045"/>
          <a:ext cx="100965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BC34258-B253-412C-A24F-338B5DD42E79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46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6</xdr:col>
      <xdr:colOff>568960</xdr:colOff>
      <xdr:row>41</xdr:row>
      <xdr:rowOff>160020</xdr:rowOff>
    </xdr:from>
    <xdr:to>
      <xdr:col>8</xdr:col>
      <xdr:colOff>302260</xdr:colOff>
      <xdr:row>45</xdr:row>
      <xdr:rowOff>127000</xdr:rowOff>
    </xdr:to>
    <xdr:sp macro="" textlink="Algandmed!BB25">
      <xdr:nvSpPr>
        <xdr:cNvPr id="70" name="TextBox 69">
          <a:extLst>
            <a:ext uri="{FF2B5EF4-FFF2-40B4-BE49-F238E27FC236}">
              <a16:creationId xmlns:a16="http://schemas.microsoft.com/office/drawing/2014/main" xmlns="" id="{00000000-0008-0000-0300-0000B3000000}"/>
            </a:ext>
          </a:extLst>
        </xdr:cNvPr>
        <xdr:cNvSpPr txBox="1"/>
      </xdr:nvSpPr>
      <xdr:spPr>
        <a:xfrm>
          <a:off x="4398010" y="100182045"/>
          <a:ext cx="100965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2B48796-AAB1-427E-8C9B-F381B7039369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0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8</xdr:col>
      <xdr:colOff>309880</xdr:colOff>
      <xdr:row>41</xdr:row>
      <xdr:rowOff>160020</xdr:rowOff>
    </xdr:from>
    <xdr:to>
      <xdr:col>10</xdr:col>
      <xdr:colOff>43180</xdr:colOff>
      <xdr:row>45</xdr:row>
      <xdr:rowOff>127000</xdr:rowOff>
    </xdr:to>
    <xdr:sp macro="" textlink="Algandmed!BG25">
      <xdr:nvSpPr>
        <xdr:cNvPr id="71" name="TextBox 70">
          <a:extLst>
            <a:ext uri="{FF2B5EF4-FFF2-40B4-BE49-F238E27FC236}">
              <a16:creationId xmlns:a16="http://schemas.microsoft.com/office/drawing/2014/main" xmlns="" id="{00000000-0008-0000-0300-0000B4000000}"/>
            </a:ext>
          </a:extLst>
        </xdr:cNvPr>
        <xdr:cNvSpPr txBox="1"/>
      </xdr:nvSpPr>
      <xdr:spPr>
        <a:xfrm>
          <a:off x="5415280" y="100182045"/>
          <a:ext cx="1009650" cy="72898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D443601-B839-4195-A6D0-4F1AE00E7AB8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  <a:cs typeface="Calibri"/>
            </a:rPr>
            <a:pPr algn="ctr"/>
            <a:t>5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10</xdr:col>
      <xdr:colOff>38100</xdr:colOff>
      <xdr:row>41</xdr:row>
      <xdr:rowOff>160020</xdr:rowOff>
    </xdr:from>
    <xdr:to>
      <xdr:col>11</xdr:col>
      <xdr:colOff>381000</xdr:colOff>
      <xdr:row>45</xdr:row>
      <xdr:rowOff>127000</xdr:rowOff>
    </xdr:to>
    <xdr:sp macro="" textlink="Algandmed!BC25">
      <xdr:nvSpPr>
        <xdr:cNvPr id="72" name="TextBox 71">
          <a:extLst>
            <a:ext uri="{FF2B5EF4-FFF2-40B4-BE49-F238E27FC236}">
              <a16:creationId xmlns:a16="http://schemas.microsoft.com/office/drawing/2014/main" xmlns="" id="{00000000-0008-0000-0300-0000B5000000}"/>
            </a:ext>
          </a:extLst>
        </xdr:cNvPr>
        <xdr:cNvSpPr txBox="1"/>
      </xdr:nvSpPr>
      <xdr:spPr>
        <a:xfrm>
          <a:off x="6419850" y="100182045"/>
          <a:ext cx="981075" cy="72898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DC2F726-B369-402D-80E2-053DE1C6BD58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2</xdr:col>
      <xdr:colOff>142240</xdr:colOff>
      <xdr:row>19</xdr:row>
      <xdr:rowOff>45720</xdr:rowOff>
    </xdr:from>
    <xdr:to>
      <xdr:col>3</xdr:col>
      <xdr:colOff>495300</xdr:colOff>
      <xdr:row>23</xdr:row>
      <xdr:rowOff>7620</xdr:rowOff>
    </xdr:to>
    <xdr:sp macro="" textlink="Algandmed!AG22">
      <xdr:nvSpPr>
        <xdr:cNvPr id="73" name="TextBox 72">
          <a:extLst>
            <a:ext uri="{FF2B5EF4-FFF2-40B4-BE49-F238E27FC236}">
              <a16:creationId xmlns:a16="http://schemas.microsoft.com/office/drawing/2014/main" xmlns="" id="{00000000-0008-0000-0300-0000D8000000}"/>
            </a:ext>
          </a:extLst>
        </xdr:cNvPr>
        <xdr:cNvSpPr txBox="1"/>
      </xdr:nvSpPr>
      <xdr:spPr>
        <a:xfrm>
          <a:off x="1418590" y="95876745"/>
          <a:ext cx="991235" cy="723900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89EE-F900-4D7B-9BBB-9BB9CE394E20}" type="TxLink">
            <a:rPr lang="en-US" sz="1100" b="0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 </a:t>
          </a:fld>
          <a:endParaRPr lang="en-US" sz="2000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2</xdr:col>
      <xdr:colOff>152400</xdr:colOff>
      <xdr:row>45</xdr:row>
      <xdr:rowOff>129539</xdr:rowOff>
    </xdr:from>
    <xdr:to>
      <xdr:col>3</xdr:col>
      <xdr:colOff>495300</xdr:colOff>
      <xdr:row>49</xdr:row>
      <xdr:rowOff>87228</xdr:rowOff>
    </xdr:to>
    <xdr:sp macro="" textlink="Algandmed!AY22">
      <xdr:nvSpPr>
        <xdr:cNvPr id="74" name="TextBox 73">
          <a:extLst>
            <a:ext uri="{FF2B5EF4-FFF2-40B4-BE49-F238E27FC236}">
              <a16:creationId xmlns:a16="http://schemas.microsoft.com/office/drawing/2014/main" xmlns="" id="{00000000-0008-0000-0300-0000D9000000}"/>
            </a:ext>
          </a:extLst>
        </xdr:cNvPr>
        <xdr:cNvSpPr txBox="1"/>
      </xdr:nvSpPr>
      <xdr:spPr>
        <a:xfrm>
          <a:off x="1428750" y="100913564"/>
          <a:ext cx="981075" cy="71968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C38B4E7-E99B-4D1B-8329-7E60A1CF7C6E}" type="TxLink">
            <a:rPr lang="en-US" sz="20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pPr algn="ctr"/>
            <a:t> </a:t>
          </a:fld>
          <a:endParaRPr lang="en-US" sz="20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11</xdr:col>
      <xdr:colOff>434340</xdr:colOff>
      <xdr:row>11</xdr:row>
      <xdr:rowOff>139700</xdr:rowOff>
    </xdr:from>
    <xdr:to>
      <xdr:col>13</xdr:col>
      <xdr:colOff>76200</xdr:colOff>
      <xdr:row>15</xdr:row>
      <xdr:rowOff>87769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xmlns="" id="{00000000-0008-0000-0300-0000D7020000}"/>
            </a:ext>
          </a:extLst>
        </xdr:cNvPr>
        <xdr:cNvSpPr txBox="1"/>
      </xdr:nvSpPr>
      <xdr:spPr>
        <a:xfrm>
          <a:off x="7454265" y="94446725"/>
          <a:ext cx="1022985" cy="71006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6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%    SHOT</a:t>
          </a:r>
          <a:endParaRPr lang="en-US" sz="16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11</xdr:col>
      <xdr:colOff>434340</xdr:colOff>
      <xdr:row>19</xdr:row>
      <xdr:rowOff>45721</xdr:rowOff>
    </xdr:from>
    <xdr:to>
      <xdr:col>13</xdr:col>
      <xdr:colOff>76200</xdr:colOff>
      <xdr:row>23</xdr:row>
      <xdr:rowOff>7621</xdr:rowOff>
    </xdr:to>
    <xdr:sp macro="" textlink="Algandmed!AP22">
      <xdr:nvSpPr>
        <xdr:cNvPr id="76" name="TextBox 75">
          <a:extLst>
            <a:ext uri="{FF2B5EF4-FFF2-40B4-BE49-F238E27FC236}">
              <a16:creationId xmlns:a16="http://schemas.microsoft.com/office/drawing/2014/main" xmlns="" id="{00000000-0008-0000-0300-0000D8020000}"/>
            </a:ext>
          </a:extLst>
        </xdr:cNvPr>
        <xdr:cNvSpPr txBox="1"/>
      </xdr:nvSpPr>
      <xdr:spPr>
        <a:xfrm>
          <a:off x="7454265" y="95876746"/>
          <a:ext cx="1022985" cy="7239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9602AB-82FB-47B3-BD3A-236E6AD4718B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11</xdr:col>
      <xdr:colOff>434340</xdr:colOff>
      <xdr:row>23</xdr:row>
      <xdr:rowOff>7621</xdr:rowOff>
    </xdr:from>
    <xdr:to>
      <xdr:col>13</xdr:col>
      <xdr:colOff>76200</xdr:colOff>
      <xdr:row>26</xdr:row>
      <xdr:rowOff>147321</xdr:rowOff>
    </xdr:to>
    <xdr:sp macro="" textlink="Algandmed!AP23">
      <xdr:nvSpPr>
        <xdr:cNvPr id="77" name="TextBox 76">
          <a:extLst>
            <a:ext uri="{FF2B5EF4-FFF2-40B4-BE49-F238E27FC236}">
              <a16:creationId xmlns:a16="http://schemas.microsoft.com/office/drawing/2014/main" xmlns="" id="{00000000-0008-0000-0300-0000D9020000}"/>
            </a:ext>
          </a:extLst>
        </xdr:cNvPr>
        <xdr:cNvSpPr txBox="1"/>
      </xdr:nvSpPr>
      <xdr:spPr>
        <a:xfrm>
          <a:off x="7454265" y="96600646"/>
          <a:ext cx="1022985" cy="7112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746EE0-3997-4BEA-B0CF-ECCA182D4ACA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11</xdr:col>
      <xdr:colOff>434340</xdr:colOff>
      <xdr:row>26</xdr:row>
      <xdr:rowOff>149861</xdr:rowOff>
    </xdr:from>
    <xdr:to>
      <xdr:col>13</xdr:col>
      <xdr:colOff>76200</xdr:colOff>
      <xdr:row>30</xdr:row>
      <xdr:rowOff>111761</xdr:rowOff>
    </xdr:to>
    <xdr:sp macro="" textlink="Algandmed!AP24">
      <xdr:nvSpPr>
        <xdr:cNvPr id="78" name="TextBox 77">
          <a:extLst>
            <a:ext uri="{FF2B5EF4-FFF2-40B4-BE49-F238E27FC236}">
              <a16:creationId xmlns:a16="http://schemas.microsoft.com/office/drawing/2014/main" xmlns="" id="{00000000-0008-0000-0300-0000DA020000}"/>
            </a:ext>
          </a:extLst>
        </xdr:cNvPr>
        <xdr:cNvSpPr txBox="1"/>
      </xdr:nvSpPr>
      <xdr:spPr>
        <a:xfrm>
          <a:off x="7454265" y="97314386"/>
          <a:ext cx="1022985" cy="723900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F2E92BE-865F-4E0F-B2FB-31EC108505D2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11</xdr:col>
      <xdr:colOff>434340</xdr:colOff>
      <xdr:row>15</xdr:row>
      <xdr:rowOff>88901</xdr:rowOff>
    </xdr:from>
    <xdr:to>
      <xdr:col>13</xdr:col>
      <xdr:colOff>76200</xdr:colOff>
      <xdr:row>19</xdr:row>
      <xdr:rowOff>50801</xdr:rowOff>
    </xdr:to>
    <xdr:sp macro="" textlink="Algandmed!AP25">
      <xdr:nvSpPr>
        <xdr:cNvPr id="79" name="TextBox 78">
          <a:extLst>
            <a:ext uri="{FF2B5EF4-FFF2-40B4-BE49-F238E27FC236}">
              <a16:creationId xmlns:a16="http://schemas.microsoft.com/office/drawing/2014/main" xmlns="" id="{00000000-0008-0000-0300-0000DB020000}"/>
            </a:ext>
          </a:extLst>
        </xdr:cNvPr>
        <xdr:cNvSpPr txBox="1"/>
      </xdr:nvSpPr>
      <xdr:spPr>
        <a:xfrm>
          <a:off x="7454265" y="95157926"/>
          <a:ext cx="1022985" cy="723900"/>
        </a:xfrm>
        <a:prstGeom prst="rect">
          <a:avLst/>
        </a:prstGeom>
        <a:solidFill>
          <a:srgbClr val="FFFFFF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CABD47E-693C-4C77-82C5-8DD24A8F2A4F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11</xdr:col>
      <xdr:colOff>383540</xdr:colOff>
      <xdr:row>38</xdr:row>
      <xdr:rowOff>38100</xdr:rowOff>
    </xdr:from>
    <xdr:to>
      <xdr:col>13</xdr:col>
      <xdr:colOff>25400</xdr:colOff>
      <xdr:row>41</xdr:row>
      <xdr:rowOff>163969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xmlns="" id="{00000000-0008-0000-0300-0000DC020000}"/>
            </a:ext>
          </a:extLst>
        </xdr:cNvPr>
        <xdr:cNvSpPr txBox="1"/>
      </xdr:nvSpPr>
      <xdr:spPr>
        <a:xfrm>
          <a:off x="7403465" y="99488625"/>
          <a:ext cx="1022985" cy="697369"/>
        </a:xfrm>
        <a:prstGeom prst="rect">
          <a:avLst/>
        </a:prstGeom>
        <a:noFill/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t-EE" sz="1600" b="1" i="0" u="none" strike="noStrike">
              <a:solidFill>
                <a:srgbClr val="4D4D4D"/>
              </a:solidFill>
              <a:latin typeface="Hanse" panose="02000000000000000000" pitchFamily="50" charset="0"/>
            </a:rPr>
            <a:t>%    SHOT</a:t>
          </a:r>
          <a:endParaRPr lang="en-US" sz="1600" b="1" i="0" u="none" strike="noStrike">
            <a:solidFill>
              <a:srgbClr val="4D4D4D"/>
            </a:solidFill>
            <a:latin typeface="Hanse" panose="02000000000000000000" pitchFamily="50" charset="0"/>
          </a:endParaRPr>
        </a:p>
      </xdr:txBody>
    </xdr:sp>
    <xdr:clientData/>
  </xdr:twoCellAnchor>
  <xdr:twoCellAnchor>
    <xdr:from>
      <xdr:col>11</xdr:col>
      <xdr:colOff>383540</xdr:colOff>
      <xdr:row>45</xdr:row>
      <xdr:rowOff>121921</xdr:rowOff>
    </xdr:from>
    <xdr:to>
      <xdr:col>13</xdr:col>
      <xdr:colOff>25400</xdr:colOff>
      <xdr:row>49</xdr:row>
      <xdr:rowOff>83821</xdr:rowOff>
    </xdr:to>
    <xdr:sp macro="" textlink="Algandmed!BH22">
      <xdr:nvSpPr>
        <xdr:cNvPr id="81" name="TextBox 80">
          <a:extLst>
            <a:ext uri="{FF2B5EF4-FFF2-40B4-BE49-F238E27FC236}">
              <a16:creationId xmlns:a16="http://schemas.microsoft.com/office/drawing/2014/main" xmlns="" id="{00000000-0008-0000-0300-0000DD020000}"/>
            </a:ext>
          </a:extLst>
        </xdr:cNvPr>
        <xdr:cNvSpPr txBox="1"/>
      </xdr:nvSpPr>
      <xdr:spPr>
        <a:xfrm>
          <a:off x="7403465" y="100905946"/>
          <a:ext cx="1022985" cy="7239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3A755CC-B63B-41F0-997F-2AF3D2CA33D4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20,0%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11</xdr:col>
      <xdr:colOff>383540</xdr:colOff>
      <xdr:row>49</xdr:row>
      <xdr:rowOff>83820</xdr:rowOff>
    </xdr:from>
    <xdr:to>
      <xdr:col>13</xdr:col>
      <xdr:colOff>25400</xdr:colOff>
      <xdr:row>53</xdr:row>
      <xdr:rowOff>60959</xdr:rowOff>
    </xdr:to>
    <xdr:sp macro="" textlink="Algandmed!BH23">
      <xdr:nvSpPr>
        <xdr:cNvPr id="82" name="TextBox 81">
          <a:extLst>
            <a:ext uri="{FF2B5EF4-FFF2-40B4-BE49-F238E27FC236}">
              <a16:creationId xmlns:a16="http://schemas.microsoft.com/office/drawing/2014/main" xmlns="" id="{00000000-0008-0000-0300-0000DE020000}"/>
            </a:ext>
          </a:extLst>
        </xdr:cNvPr>
        <xdr:cNvSpPr txBox="1"/>
      </xdr:nvSpPr>
      <xdr:spPr>
        <a:xfrm>
          <a:off x="7403465" y="101629845"/>
          <a:ext cx="1022985" cy="739139"/>
        </a:xfrm>
        <a:prstGeom prst="rect">
          <a:avLst/>
        </a:prstGeom>
        <a:solidFill>
          <a:srgbClr val="FF0000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DED9040-E634-4CB5-BEF7-29892A7EF891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4,5%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11</xdr:col>
      <xdr:colOff>383540</xdr:colOff>
      <xdr:row>53</xdr:row>
      <xdr:rowOff>60960</xdr:rowOff>
    </xdr:from>
    <xdr:to>
      <xdr:col>13</xdr:col>
      <xdr:colOff>25400</xdr:colOff>
      <xdr:row>57</xdr:row>
      <xdr:rowOff>38099</xdr:rowOff>
    </xdr:to>
    <xdr:sp macro="" textlink="Algandmed!BH24">
      <xdr:nvSpPr>
        <xdr:cNvPr id="83" name="TextBox 82">
          <a:extLst>
            <a:ext uri="{FF2B5EF4-FFF2-40B4-BE49-F238E27FC236}">
              <a16:creationId xmlns:a16="http://schemas.microsoft.com/office/drawing/2014/main" xmlns="" id="{00000000-0008-0000-0300-0000DF020000}"/>
            </a:ext>
          </a:extLst>
        </xdr:cNvPr>
        <xdr:cNvSpPr txBox="1"/>
      </xdr:nvSpPr>
      <xdr:spPr>
        <a:xfrm>
          <a:off x="7403465" y="102368985"/>
          <a:ext cx="1022985" cy="739139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D1985EC-EFC6-40CF-8FD3-A5EF7E2BF694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15,8%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>
    <xdr:from>
      <xdr:col>11</xdr:col>
      <xdr:colOff>383540</xdr:colOff>
      <xdr:row>41</xdr:row>
      <xdr:rowOff>165101</xdr:rowOff>
    </xdr:from>
    <xdr:to>
      <xdr:col>13</xdr:col>
      <xdr:colOff>25400</xdr:colOff>
      <xdr:row>45</xdr:row>
      <xdr:rowOff>127001</xdr:rowOff>
    </xdr:to>
    <xdr:sp macro="" textlink="Algandmed!BH25">
      <xdr:nvSpPr>
        <xdr:cNvPr id="84" name="TextBox 83">
          <a:extLst>
            <a:ext uri="{FF2B5EF4-FFF2-40B4-BE49-F238E27FC236}">
              <a16:creationId xmlns:a16="http://schemas.microsoft.com/office/drawing/2014/main" xmlns="" id="{00000000-0008-0000-0300-0000E0020000}"/>
            </a:ext>
          </a:extLst>
        </xdr:cNvPr>
        <xdr:cNvSpPr txBox="1"/>
      </xdr:nvSpPr>
      <xdr:spPr>
        <a:xfrm>
          <a:off x="7403465" y="100187126"/>
          <a:ext cx="1022985" cy="723900"/>
        </a:xfrm>
        <a:prstGeom prst="rect">
          <a:avLst/>
        </a:prstGeom>
        <a:solidFill>
          <a:srgbClr val="2F75B5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02887E5-8285-4FEF-9E03-87C01EB79D58}" type="TxLink">
            <a:rPr lang="en-US" sz="2000" b="1" i="0" u="none" strike="noStrike">
              <a:solidFill>
                <a:srgbClr val="4D4D4D"/>
              </a:solidFill>
              <a:latin typeface="+mn-lt"/>
              <a:cs typeface="Calibri"/>
            </a:rPr>
            <a:pPr algn="ctr"/>
            <a:t>10,9%</a:t>
          </a:fld>
          <a:endParaRPr lang="en-US" sz="2000" b="1" i="0" u="none" strike="noStrike">
            <a:solidFill>
              <a:srgbClr val="4D4D4D"/>
            </a:solidFill>
            <a:latin typeface="+mn-lt"/>
          </a:endParaRPr>
        </a:p>
      </xdr:txBody>
    </xdr:sp>
    <xdr:clientData/>
  </xdr:twoCellAnchor>
  <xdr:twoCellAnchor editAs="oneCell">
    <xdr:from>
      <xdr:col>0</xdr:col>
      <xdr:colOff>72349</xdr:colOff>
      <xdr:row>0</xdr:row>
      <xdr:rowOff>0</xdr:rowOff>
    </xdr:from>
    <xdr:to>
      <xdr:col>2</xdr:col>
      <xdr:colOff>374073</xdr:colOff>
      <xdr:row>4</xdr:row>
      <xdr:rowOff>145473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xmlns="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72349" y="92211525"/>
          <a:ext cx="1578074" cy="90747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in/Desktop/Proov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lgandmed"/>
      <sheetName val="Sheet1"/>
      <sheetName val="Esitlus"/>
      <sheetName val="Sheet2"/>
      <sheetName val="Lõppandmed"/>
      <sheetName val="Lisa1"/>
      <sheetName val="Lisa2"/>
      <sheetName val="PP1"/>
      <sheetName val="PP2"/>
      <sheetName val="PP3"/>
      <sheetName val="PP4"/>
      <sheetName val="PP5"/>
      <sheetName val="PP6"/>
      <sheetName val="PP7"/>
      <sheetName val="PP8"/>
      <sheetName val="PP9"/>
      <sheetName val="PP10"/>
      <sheetName val="PP11"/>
      <sheetName val="PP12"/>
      <sheetName val="PP13"/>
      <sheetName val="PP14"/>
      <sheetName val="PP15"/>
      <sheetName val="PP16"/>
      <sheetName val="PP17"/>
      <sheetName val="PP18"/>
      <sheetName val="PP19"/>
      <sheetName val="PP20"/>
      <sheetName val="PP21"/>
      <sheetName val="PP22"/>
      <sheetName val="PP23"/>
      <sheetName val="PP24"/>
      <sheetName val="PP25"/>
      <sheetName val="PP26"/>
      <sheetName val="PP27"/>
      <sheetName val="PP28"/>
      <sheetName val="PP29"/>
      <sheetName val="PP30"/>
      <sheetName val="PP31"/>
      <sheetName val="PP32"/>
      <sheetName val="PP33"/>
      <sheetName val="PP34"/>
    </sheetNames>
    <sheetDataSet>
      <sheetData sheetId="0"/>
      <sheetData sheetId="1"/>
      <sheetData sheetId="2">
        <row r="2779">
          <cell r="U2779">
            <v>1</v>
          </cell>
        </row>
      </sheetData>
      <sheetData sheetId="3"/>
      <sheetData sheetId="4">
        <row r="5">
          <cell r="E5" t="str">
            <v>LÖÖK VÄRAVALE</v>
          </cell>
        </row>
      </sheetData>
      <sheetData sheetId="5">
        <row r="8">
          <cell r="S8">
            <v>0.43243243243243246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26" Type="http://schemas.openxmlformats.org/officeDocument/2006/relationships/control" Target="../activeX/activeX24.xml"/><Relationship Id="rId39" Type="http://schemas.openxmlformats.org/officeDocument/2006/relationships/control" Target="../activeX/activeX37.xml"/><Relationship Id="rId21" Type="http://schemas.openxmlformats.org/officeDocument/2006/relationships/control" Target="../activeX/activeX19.xml"/><Relationship Id="rId34" Type="http://schemas.openxmlformats.org/officeDocument/2006/relationships/control" Target="../activeX/activeX32.xml"/><Relationship Id="rId42" Type="http://schemas.openxmlformats.org/officeDocument/2006/relationships/control" Target="../activeX/activeX40.xml"/><Relationship Id="rId47" Type="http://schemas.openxmlformats.org/officeDocument/2006/relationships/control" Target="../activeX/activeX45.xml"/><Relationship Id="rId50" Type="http://schemas.openxmlformats.org/officeDocument/2006/relationships/control" Target="../activeX/activeX48.xml"/><Relationship Id="rId55" Type="http://schemas.openxmlformats.org/officeDocument/2006/relationships/control" Target="../activeX/activeX53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ntrol" Target="../activeX/activeX23.xml"/><Relationship Id="rId33" Type="http://schemas.openxmlformats.org/officeDocument/2006/relationships/control" Target="../activeX/activeX31.xml"/><Relationship Id="rId38" Type="http://schemas.openxmlformats.org/officeDocument/2006/relationships/control" Target="../activeX/activeX36.xml"/><Relationship Id="rId46" Type="http://schemas.openxmlformats.org/officeDocument/2006/relationships/control" Target="../activeX/activeX44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29" Type="http://schemas.openxmlformats.org/officeDocument/2006/relationships/control" Target="../activeX/activeX27.xml"/><Relationship Id="rId41" Type="http://schemas.openxmlformats.org/officeDocument/2006/relationships/control" Target="../activeX/activeX39.xml"/><Relationship Id="rId54" Type="http://schemas.openxmlformats.org/officeDocument/2006/relationships/control" Target="../activeX/activeX5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32" Type="http://schemas.openxmlformats.org/officeDocument/2006/relationships/control" Target="../activeX/activeX30.xml"/><Relationship Id="rId37" Type="http://schemas.openxmlformats.org/officeDocument/2006/relationships/control" Target="../activeX/activeX35.xml"/><Relationship Id="rId40" Type="http://schemas.openxmlformats.org/officeDocument/2006/relationships/control" Target="../activeX/activeX38.xml"/><Relationship Id="rId45" Type="http://schemas.openxmlformats.org/officeDocument/2006/relationships/control" Target="../activeX/activeX43.xml"/><Relationship Id="rId53" Type="http://schemas.openxmlformats.org/officeDocument/2006/relationships/control" Target="../activeX/activeX51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28" Type="http://schemas.openxmlformats.org/officeDocument/2006/relationships/control" Target="../activeX/activeX26.xml"/><Relationship Id="rId36" Type="http://schemas.openxmlformats.org/officeDocument/2006/relationships/control" Target="../activeX/activeX34.xml"/><Relationship Id="rId49" Type="http://schemas.openxmlformats.org/officeDocument/2006/relationships/control" Target="../activeX/activeX47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31" Type="http://schemas.openxmlformats.org/officeDocument/2006/relationships/control" Target="../activeX/activeX29.xml"/><Relationship Id="rId44" Type="http://schemas.openxmlformats.org/officeDocument/2006/relationships/control" Target="../activeX/activeX42.xml"/><Relationship Id="rId52" Type="http://schemas.openxmlformats.org/officeDocument/2006/relationships/control" Target="../activeX/activeX50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27" Type="http://schemas.openxmlformats.org/officeDocument/2006/relationships/control" Target="../activeX/activeX25.xml"/><Relationship Id="rId30" Type="http://schemas.openxmlformats.org/officeDocument/2006/relationships/control" Target="../activeX/activeX28.xml"/><Relationship Id="rId35" Type="http://schemas.openxmlformats.org/officeDocument/2006/relationships/control" Target="../activeX/activeX33.xml"/><Relationship Id="rId43" Type="http://schemas.openxmlformats.org/officeDocument/2006/relationships/control" Target="../activeX/activeX41.xml"/><Relationship Id="rId48" Type="http://schemas.openxmlformats.org/officeDocument/2006/relationships/control" Target="../activeX/activeX46.xml"/><Relationship Id="rId56" Type="http://schemas.openxmlformats.org/officeDocument/2006/relationships/control" Target="../activeX/activeX54.xml"/><Relationship Id="rId8" Type="http://schemas.openxmlformats.org/officeDocument/2006/relationships/control" Target="../activeX/activeX6.xml"/><Relationship Id="rId51" Type="http://schemas.openxmlformats.org/officeDocument/2006/relationships/control" Target="../activeX/activeX49.xml"/><Relationship Id="rId3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N16225"/>
  <sheetViews>
    <sheetView tabSelected="1" zoomScale="80" zoomScaleNormal="80" workbookViewId="0">
      <selection activeCell="AC1435" sqref="AC1435"/>
    </sheetView>
  </sheetViews>
  <sheetFormatPr defaultRowHeight="15"/>
  <cols>
    <col min="1" max="1" width="8.7109375" style="115" customWidth="1"/>
    <col min="2" max="2" width="14.28515625" style="115" customWidth="1"/>
    <col min="3" max="3" width="16" style="115" customWidth="1"/>
    <col min="4" max="4" width="9.140625" style="115"/>
    <col min="5" max="5" width="14.42578125" style="115" customWidth="1"/>
    <col min="6" max="6" width="10" style="115" customWidth="1"/>
    <col min="7" max="7" width="16.42578125" style="115" customWidth="1"/>
    <col min="8" max="15" width="9.140625" style="115"/>
    <col min="16" max="16" width="13.28515625" style="115" customWidth="1"/>
    <col min="17" max="22" width="9.140625" style="115"/>
    <col min="23" max="23" width="14.7109375" style="115" customWidth="1"/>
    <col min="24" max="27" width="8.85546875" style="115"/>
    <col min="28" max="28" width="10.140625" style="246" customWidth="1"/>
    <col min="29" max="29" width="8.85546875" style="115"/>
    <col min="30" max="30" width="11.5703125" customWidth="1"/>
    <col min="31" max="31" width="9.42578125" customWidth="1"/>
    <col min="32" max="32" width="12" customWidth="1"/>
    <col min="33" max="33" width="10.7109375" customWidth="1"/>
    <col min="34" max="34" width="13.42578125" customWidth="1"/>
    <col min="35" max="35" width="8.85546875" customWidth="1"/>
    <col min="37" max="37" width="10.5703125" customWidth="1"/>
    <col min="39" max="39" width="10.28515625" customWidth="1"/>
    <col min="40" max="40" width="10.85546875" customWidth="1"/>
    <col min="42" max="42" width="10" customWidth="1"/>
    <col min="44" max="44" width="8.85546875" style="115"/>
    <col min="45" max="45" width="10.7109375" customWidth="1"/>
    <col min="47" max="47" width="9" customWidth="1"/>
    <col min="50" max="50" width="9.42578125" bestFit="1" customWidth="1"/>
    <col min="53" max="53" width="9.5703125" customWidth="1"/>
    <col min="54" max="54" width="9.7109375" customWidth="1"/>
    <col min="56" max="56" width="9.42578125" customWidth="1"/>
    <col min="57" max="57" width="10.28515625" customWidth="1"/>
  </cols>
  <sheetData>
    <row r="1" spans="1:63">
      <c r="A1" s="115" t="s">
        <v>289</v>
      </c>
      <c r="B1" s="115" t="s">
        <v>223</v>
      </c>
      <c r="C1" s="115" t="s">
        <v>224</v>
      </c>
      <c r="D1" s="115" t="s">
        <v>225</v>
      </c>
      <c r="E1" s="115" t="s">
        <v>226</v>
      </c>
      <c r="F1" s="115" t="s">
        <v>227</v>
      </c>
      <c r="G1" s="115" t="s">
        <v>0</v>
      </c>
      <c r="H1" s="115" t="s">
        <v>228</v>
      </c>
      <c r="I1" s="115" t="s">
        <v>229</v>
      </c>
      <c r="J1" s="115" t="s">
        <v>230</v>
      </c>
      <c r="K1" s="115" t="s">
        <v>231</v>
      </c>
      <c r="L1" s="115" t="s">
        <v>257</v>
      </c>
      <c r="M1" s="115" t="s">
        <v>258</v>
      </c>
      <c r="N1" s="115" t="s">
        <v>274</v>
      </c>
      <c r="O1" s="115" t="s">
        <v>275</v>
      </c>
      <c r="P1" s="115" t="s">
        <v>276</v>
      </c>
      <c r="Q1" s="115" t="s">
        <v>277</v>
      </c>
      <c r="R1" s="115" t="s">
        <v>278</v>
      </c>
      <c r="S1" s="115" t="s">
        <v>279</v>
      </c>
      <c r="T1" s="115" t="s">
        <v>280</v>
      </c>
      <c r="U1" s="115" t="s">
        <v>281</v>
      </c>
      <c r="V1" s="115" t="s">
        <v>308</v>
      </c>
      <c r="W1" s="115" t="s">
        <v>400</v>
      </c>
      <c r="X1" s="115" t="s">
        <v>255</v>
      </c>
      <c r="AA1" s="115" t="s">
        <v>283</v>
      </c>
      <c r="AB1" s="246" t="s">
        <v>463</v>
      </c>
    </row>
    <row r="2" spans="1:63">
      <c r="A2" s="346" t="s">
        <v>590</v>
      </c>
      <c r="B2" s="346" t="s">
        <v>594</v>
      </c>
      <c r="C2" s="346">
        <v>0</v>
      </c>
      <c r="D2" s="346" t="s">
        <v>5</v>
      </c>
      <c r="E2" s="346" t="s">
        <v>6</v>
      </c>
      <c r="F2" s="346" t="s">
        <v>3</v>
      </c>
      <c r="G2" s="346"/>
      <c r="H2" s="346"/>
      <c r="I2" s="346" t="s">
        <v>595</v>
      </c>
      <c r="J2" s="346"/>
      <c r="K2" s="346"/>
      <c r="L2" s="346"/>
      <c r="M2" s="346"/>
      <c r="N2" s="346"/>
      <c r="O2" s="346"/>
      <c r="P2" s="346"/>
      <c r="Q2" s="346"/>
      <c r="R2" s="346"/>
      <c r="S2" s="346"/>
      <c r="T2" s="346">
        <v>23800</v>
      </c>
      <c r="U2" s="346"/>
      <c r="V2" s="346"/>
      <c r="X2" s="115">
        <f>mapValues(E2,F2,"P265")</f>
        <v>1</v>
      </c>
      <c r="Y2" s="115" t="e">
        <f>X1+X2</f>
        <v>#VALUE!</v>
      </c>
      <c r="Z2" s="115" t="e">
        <f>VALUE(MID(B2,FIND(" ",B2)+1,FIND(" ",B2,FIND(" ",B2)+1)-FIND(" ",B2)))</f>
        <v>#VALUE!</v>
      </c>
      <c r="AA2" s="115">
        <f>T2/1000</f>
        <v>23.8</v>
      </c>
      <c r="AB2" s="246">
        <f>IF(ROUND(C2/60000,0)=0,1,ROUND(C2/60000,0))</f>
        <v>1</v>
      </c>
      <c r="AC2" s="115">
        <v>-22</v>
      </c>
      <c r="AD2" s="115">
        <v>-18</v>
      </c>
      <c r="AH2" s="382" t="s">
        <v>5</v>
      </c>
      <c r="AI2" s="382"/>
      <c r="AJ2" s="382"/>
      <c r="AW2" s="382" t="s">
        <v>1</v>
      </c>
      <c r="AX2" s="382"/>
      <c r="AY2" s="382"/>
    </row>
    <row r="3" spans="1:63">
      <c r="A3" s="346" t="s">
        <v>590</v>
      </c>
      <c r="B3" s="346" t="s">
        <v>596</v>
      </c>
      <c r="C3" s="346">
        <v>11800</v>
      </c>
      <c r="D3" s="346" t="s">
        <v>17</v>
      </c>
      <c r="E3" s="346" t="s">
        <v>6</v>
      </c>
      <c r="F3" s="346" t="s">
        <v>3</v>
      </c>
      <c r="G3" s="346"/>
      <c r="H3" s="346"/>
      <c r="I3" s="346" t="s">
        <v>561</v>
      </c>
      <c r="J3" s="346"/>
      <c r="K3" s="346"/>
      <c r="L3" s="346" t="s">
        <v>577</v>
      </c>
      <c r="M3" s="346"/>
      <c r="N3" s="346"/>
      <c r="O3" s="346"/>
      <c r="P3" s="346"/>
      <c r="Q3" s="346"/>
      <c r="R3" s="346"/>
      <c r="S3" s="346"/>
      <c r="T3" s="346">
        <v>18760</v>
      </c>
      <c r="U3" s="346"/>
      <c r="V3" s="346"/>
      <c r="X3" s="115">
        <f t="shared" ref="X3:X66" si="0">mapValues(E3,F3,"P265")</f>
        <v>1</v>
      </c>
      <c r="Y3" s="115">
        <f t="shared" ref="Y3:Y66" si="1">X2+X3</f>
        <v>2</v>
      </c>
      <c r="Z3" s="115" t="e">
        <f t="shared" ref="Z3:Z66" si="2">VALUE(MID(B3,FIND(" ",B3)+1,FIND(" ",B3,FIND(" ",B3)+1)-FIND(" ",B3)))</f>
        <v>#VALUE!</v>
      </c>
      <c r="AA3" s="115">
        <f t="shared" ref="AA3:AA66" si="3">T3/1000</f>
        <v>18.760000000000002</v>
      </c>
      <c r="AB3" s="246">
        <f t="shared" ref="AB3:AB66" si="4">IF(ROUND(C3/60000,0)=0,1,ROUND(C3/60000,0))</f>
        <v>1</v>
      </c>
      <c r="AC3" s="115">
        <v>-12</v>
      </c>
      <c r="AD3" s="115">
        <v>-18</v>
      </c>
      <c r="AH3" s="382"/>
      <c r="AI3" s="382"/>
      <c r="AJ3" s="382"/>
      <c r="AW3" s="382"/>
      <c r="AX3" s="382"/>
      <c r="AY3" s="382"/>
    </row>
    <row r="4" spans="1:63">
      <c r="A4" s="346" t="s">
        <v>590</v>
      </c>
      <c r="B4" s="346" t="s">
        <v>597</v>
      </c>
      <c r="C4" s="346">
        <v>23560</v>
      </c>
      <c r="D4" s="346" t="s">
        <v>1</v>
      </c>
      <c r="E4" s="346" t="s">
        <v>2</v>
      </c>
      <c r="F4" s="346" t="s">
        <v>156</v>
      </c>
      <c r="G4" s="346"/>
      <c r="H4" s="346"/>
      <c r="I4" s="346" t="s">
        <v>595</v>
      </c>
      <c r="J4" s="346"/>
      <c r="K4" s="346"/>
      <c r="L4" s="346"/>
      <c r="M4" s="346"/>
      <c r="N4" s="346"/>
      <c r="O4" s="346"/>
      <c r="P4" s="346"/>
      <c r="Q4" s="346"/>
      <c r="R4" s="346"/>
      <c r="S4" s="346"/>
      <c r="T4" s="346">
        <v>60040</v>
      </c>
      <c r="U4" s="346"/>
      <c r="V4" s="346"/>
      <c r="X4" s="115">
        <f t="shared" si="0"/>
        <v>1</v>
      </c>
      <c r="Y4" s="115">
        <f t="shared" si="1"/>
        <v>2</v>
      </c>
      <c r="Z4" s="115" t="e">
        <f t="shared" si="2"/>
        <v>#VALUE!</v>
      </c>
      <c r="AA4" s="115">
        <f t="shared" si="3"/>
        <v>60.04</v>
      </c>
      <c r="AB4" s="246">
        <f t="shared" si="4"/>
        <v>1</v>
      </c>
      <c r="AC4" s="115">
        <v>-20</v>
      </c>
      <c r="AD4" s="115">
        <v>-51</v>
      </c>
      <c r="BG4">
        <v>-22</v>
      </c>
      <c r="BH4">
        <v>-12</v>
      </c>
      <c r="BI4">
        <v>-20</v>
      </c>
      <c r="BJ4">
        <v>-19</v>
      </c>
      <c r="BK4">
        <v>-16</v>
      </c>
    </row>
    <row r="5" spans="1:63">
      <c r="A5" s="346" t="s">
        <v>590</v>
      </c>
      <c r="B5" s="346" t="s">
        <v>598</v>
      </c>
      <c r="C5" s="346">
        <v>71600</v>
      </c>
      <c r="D5" s="346" t="s">
        <v>14</v>
      </c>
      <c r="E5" s="346" t="s">
        <v>6</v>
      </c>
      <c r="F5" s="346" t="s">
        <v>3</v>
      </c>
      <c r="G5" s="346"/>
      <c r="H5" s="346"/>
      <c r="I5" s="346" t="s">
        <v>563</v>
      </c>
      <c r="J5" s="346"/>
      <c r="K5" s="346"/>
      <c r="L5" s="346" t="s">
        <v>568</v>
      </c>
      <c r="M5" s="346"/>
      <c r="N5" s="346"/>
      <c r="O5" s="346"/>
      <c r="P5" s="346"/>
      <c r="Q5" s="346"/>
      <c r="R5" s="346"/>
      <c r="S5" s="346"/>
      <c r="T5" s="346">
        <v>21320</v>
      </c>
      <c r="U5" s="346"/>
      <c r="V5" s="346"/>
      <c r="X5" s="115">
        <f t="shared" si="0"/>
        <v>1</v>
      </c>
      <c r="Y5" s="115">
        <f t="shared" si="1"/>
        <v>2</v>
      </c>
      <c r="Z5" s="115" t="e">
        <f t="shared" si="2"/>
        <v>#VALUE!</v>
      </c>
      <c r="AA5" s="115">
        <f t="shared" si="3"/>
        <v>21.32</v>
      </c>
      <c r="AB5" s="246">
        <f t="shared" si="4"/>
        <v>1</v>
      </c>
      <c r="AC5" s="115">
        <v>-19</v>
      </c>
      <c r="AD5" s="115">
        <v>-47</v>
      </c>
      <c r="AF5" t="s">
        <v>41</v>
      </c>
      <c r="AG5" s="346" t="s">
        <v>703</v>
      </c>
      <c r="AH5" t="s">
        <v>9</v>
      </c>
      <c r="AI5" t="s">
        <v>8</v>
      </c>
      <c r="AJ5" t="s">
        <v>19</v>
      </c>
      <c r="AK5" t="s">
        <v>7</v>
      </c>
      <c r="AL5" s="115" t="s">
        <v>163</v>
      </c>
      <c r="AM5" t="s">
        <v>310</v>
      </c>
      <c r="AN5" t="s">
        <v>156</v>
      </c>
      <c r="AO5" s="1" t="s">
        <v>3</v>
      </c>
      <c r="AU5" t="s">
        <v>41</v>
      </c>
      <c r="AV5" s="346" t="s">
        <v>703</v>
      </c>
      <c r="AW5" t="s">
        <v>9</v>
      </c>
      <c r="AX5" t="s">
        <v>8</v>
      </c>
      <c r="AY5" t="s">
        <v>19</v>
      </c>
      <c r="AZ5" t="s">
        <v>7</v>
      </c>
      <c r="BA5" s="115" t="s">
        <v>163</v>
      </c>
      <c r="BB5" t="s">
        <v>310</v>
      </c>
      <c r="BC5" t="s">
        <v>156</v>
      </c>
      <c r="BD5" s="1" t="s">
        <v>3</v>
      </c>
    </row>
    <row r="6" spans="1:63">
      <c r="A6" s="346" t="s">
        <v>590</v>
      </c>
      <c r="B6" s="346" t="s">
        <v>599</v>
      </c>
      <c r="C6" s="346">
        <v>80920</v>
      </c>
      <c r="D6" s="346" t="s">
        <v>17</v>
      </c>
      <c r="E6" s="346" t="s">
        <v>6</v>
      </c>
      <c r="F6" s="346" t="s">
        <v>310</v>
      </c>
      <c r="G6" s="346"/>
      <c r="H6" s="346"/>
      <c r="I6" s="346" t="s">
        <v>561</v>
      </c>
      <c r="J6" s="346"/>
      <c r="K6" s="346"/>
      <c r="L6" s="346" t="s">
        <v>567</v>
      </c>
      <c r="M6" s="346"/>
      <c r="N6" s="346"/>
      <c r="O6" s="346"/>
      <c r="P6" s="346"/>
      <c r="Q6" s="346"/>
      <c r="R6" s="346"/>
      <c r="S6" s="346"/>
      <c r="T6" s="346">
        <v>61480</v>
      </c>
      <c r="U6" s="346"/>
      <c r="V6" s="346"/>
      <c r="X6" s="115">
        <f t="shared" si="0"/>
        <v>-2</v>
      </c>
      <c r="Y6" s="115">
        <f t="shared" si="1"/>
        <v>-1</v>
      </c>
      <c r="Z6" s="115" t="e">
        <f t="shared" si="2"/>
        <v>#VALUE!</v>
      </c>
      <c r="AA6" s="115">
        <f t="shared" si="3"/>
        <v>61.48</v>
      </c>
      <c r="AB6" s="246">
        <f t="shared" si="4"/>
        <v>1</v>
      </c>
      <c r="AC6" s="115">
        <v>-16</v>
      </c>
      <c r="AD6" s="115">
        <v>-60</v>
      </c>
      <c r="AE6" t="s">
        <v>36</v>
      </c>
      <c r="AF6">
        <f>SUM(AG6:AO6)</f>
        <v>94</v>
      </c>
      <c r="AG6">
        <f>COUNTIFS(D:D,"AA",F:F,"ATONGOAL")+COUNTIFS(D:D,"DA",F:F,"ATONGOAL")</f>
        <v>0</v>
      </c>
      <c r="AH6">
        <f>COUNTIFS(D:D,"AA",F:F,"ATON")+COUNTIFS(D:D,"DA",F:F,"ATON")</f>
        <v>1</v>
      </c>
      <c r="AI6">
        <f>COUNTIFS(D:D,"AA",F:F,"ATOF")+COUNTIFS(D:D,"DA",F:F,"ATOF")</f>
        <v>2</v>
      </c>
      <c r="AJ6">
        <f>COUNTIFS(D:D,"AA",F:F,"ATBK")+COUNTIFS(D:D,"DA",F:F,"ATBK")</f>
        <v>2</v>
      </c>
      <c r="AK6">
        <f>COUNTIFS(D:D,"AA",F:F,"WINSTAN",E:E,"POS")+COUNTIFS(D:D,"DA",F:F,"WINSTAN",E:E,"POS")</f>
        <v>6</v>
      </c>
      <c r="AL6" s="115">
        <f>COUNTIFS(F:F,"WINSTANTI",E:E,"POS")</f>
        <v>2</v>
      </c>
      <c r="AM6" s="115">
        <f>COUNTIFS(D:D,"AA",F:F,"ENTRY")+COUNTIFS(D:D,"DA",F:F,"ENTRY")</f>
        <v>10</v>
      </c>
      <c r="AN6" s="115">
        <f>COUNTIFS(D:D,"AA",F:F,"KEEPOS")+COUNTIFS(D:D,"DA",F:F,"KEEPOS")</f>
        <v>9</v>
      </c>
      <c r="AO6">
        <f>COUNTIFS(D:D,"AA",E:E,"NEG")+COUNTIFS(D:D,"DA",E:E,"NEG")</f>
        <v>62</v>
      </c>
      <c r="AT6" t="s">
        <v>38</v>
      </c>
      <c r="AU6">
        <f>SUM(AV6:BD6)</f>
        <v>155</v>
      </c>
      <c r="AV6">
        <f>COUNTIFS(D:D,"DD",F:F,"ATONGOAL")+COUNTIFS(D:D,"AD",F:F,"ATONGOAL")</f>
        <v>2</v>
      </c>
      <c r="AW6">
        <f>COUNTIFS(D:D,"DD",F:F,"ATON")+COUNTIFS(D:D,"AD",F:F,"ATON")</f>
        <v>6</v>
      </c>
      <c r="AX6">
        <f>COUNTIFS(D:D,"DD",F:F,"ATOF")+COUNTIFS(D:D,"AD",F:F,"ATOF")</f>
        <v>5</v>
      </c>
      <c r="AY6">
        <f>COUNTIFS(D:D,"DD",F:F,"ATBK")+COUNTIFS(D:D,"AD",F:F,"ATBK")</f>
        <v>2</v>
      </c>
      <c r="AZ6">
        <f>COUNTIFS(D:D,"DD",F:F,"WINSTAN",E:E,"NEG")+COUNTIFS(D:D,"AD",F:F,"WINSTAN",E:E,"NEG")</f>
        <v>9</v>
      </c>
      <c r="BA6" s="115">
        <f>COUNTIFS(D:D,"DD",F:F,"WINSTAN",E:E,"NEG")+COUNTIFS(D:D,"AD",F:F,"WINSTANTI",E:E,"NEG")</f>
        <v>6</v>
      </c>
      <c r="BB6" s="115">
        <f>COUNTIFS(D:D,"DD",F:F,"ENTRY")+COUNTIFS(D:D,"AD",F:F,"ENTRY")</f>
        <v>7</v>
      </c>
      <c r="BC6" s="115">
        <f>COUNTIFS(D:D,"DD",F:F,"KEEPOS")+COUNTIFS(D:D,"AD",F:F,"KEEPOS")</f>
        <v>58</v>
      </c>
      <c r="BD6">
        <f>COUNTIFS(D:D,"DD",E:E,"POS")+COUNTIFS(D:D,"AD",E:E,"POS")</f>
        <v>60</v>
      </c>
    </row>
    <row r="7" spans="1:63">
      <c r="A7" s="346" t="s">
        <v>590</v>
      </c>
      <c r="B7" s="346" t="s">
        <v>600</v>
      </c>
      <c r="C7" s="346">
        <v>135400</v>
      </c>
      <c r="D7" s="346" t="s">
        <v>1</v>
      </c>
      <c r="E7" s="346" t="s">
        <v>2</v>
      </c>
      <c r="F7" s="346" t="s">
        <v>156</v>
      </c>
      <c r="G7" s="346"/>
      <c r="H7" s="346"/>
      <c r="I7" s="346" t="s">
        <v>595</v>
      </c>
      <c r="J7" s="346"/>
      <c r="K7" s="346"/>
      <c r="L7" s="346"/>
      <c r="M7" s="346"/>
      <c r="N7" s="346"/>
      <c r="O7" s="346"/>
      <c r="P7" s="346"/>
      <c r="Q7" s="346"/>
      <c r="R7" s="346"/>
      <c r="S7" s="346"/>
      <c r="T7" s="346">
        <v>13560</v>
      </c>
      <c r="U7" s="346"/>
      <c r="V7" s="346"/>
      <c r="X7" s="115">
        <f t="shared" si="0"/>
        <v>1</v>
      </c>
      <c r="Y7" s="115">
        <f t="shared" si="1"/>
        <v>-1</v>
      </c>
      <c r="Z7" s="115" t="e">
        <f t="shared" si="2"/>
        <v>#VALUE!</v>
      </c>
      <c r="AA7" s="115">
        <f t="shared" si="3"/>
        <v>13.56</v>
      </c>
      <c r="AB7" s="246">
        <f t="shared" si="4"/>
        <v>2</v>
      </c>
      <c r="AC7" s="115">
        <v>-24</v>
      </c>
      <c r="AD7" s="115">
        <v>-77</v>
      </c>
      <c r="AG7" t="s">
        <v>9</v>
      </c>
      <c r="AH7" s="189" t="s">
        <v>466</v>
      </c>
      <c r="AI7" t="s">
        <v>468</v>
      </c>
      <c r="AJ7" s="346" t="s">
        <v>721</v>
      </c>
      <c r="AM7">
        <f>SUM(AG6:AM6)</f>
        <v>23</v>
      </c>
      <c r="AV7" s="115" t="s">
        <v>9</v>
      </c>
      <c r="AW7" t="s">
        <v>467</v>
      </c>
      <c r="AX7" s="115" t="s">
        <v>468</v>
      </c>
      <c r="AY7" s="346" t="s">
        <v>722</v>
      </c>
      <c r="BB7">
        <f>SUM(AV6:BB6)</f>
        <v>37</v>
      </c>
    </row>
    <row r="8" spans="1:63">
      <c r="A8" s="346" t="s">
        <v>590</v>
      </c>
      <c r="B8" s="346" t="s">
        <v>601</v>
      </c>
      <c r="C8" s="346">
        <v>136960</v>
      </c>
      <c r="D8" s="346" t="s">
        <v>14</v>
      </c>
      <c r="E8" s="346" t="s">
        <v>6</v>
      </c>
      <c r="F8" s="346" t="s">
        <v>3</v>
      </c>
      <c r="G8" s="346"/>
      <c r="H8" s="346"/>
      <c r="I8" s="346" t="s">
        <v>563</v>
      </c>
      <c r="J8" s="346"/>
      <c r="K8" s="346"/>
      <c r="L8" s="346" t="s">
        <v>564</v>
      </c>
      <c r="M8" s="346"/>
      <c r="N8" s="346"/>
      <c r="O8" s="346"/>
      <c r="P8" s="346"/>
      <c r="Q8" s="346"/>
      <c r="R8" s="346"/>
      <c r="S8" s="346"/>
      <c r="T8" s="346">
        <v>16360</v>
      </c>
      <c r="U8" s="346"/>
      <c r="V8" s="346"/>
      <c r="X8" s="115">
        <f t="shared" si="0"/>
        <v>1</v>
      </c>
      <c r="Y8" s="115">
        <f t="shared" si="1"/>
        <v>2</v>
      </c>
      <c r="Z8" s="115" t="e">
        <f t="shared" si="2"/>
        <v>#VALUE!</v>
      </c>
      <c r="AA8" s="115">
        <f t="shared" si="3"/>
        <v>16.36</v>
      </c>
      <c r="AB8" s="246">
        <f t="shared" si="4"/>
        <v>2</v>
      </c>
      <c r="AC8" s="115">
        <v>-225</v>
      </c>
      <c r="AD8" s="115">
        <v>-95</v>
      </c>
      <c r="AG8">
        <f>SUM(AG6:AH6)</f>
        <v>1</v>
      </c>
      <c r="AH8">
        <f>SUM(AG6:AJ6)</f>
        <v>5</v>
      </c>
      <c r="AI8" s="153">
        <f>AH6/AH8</f>
        <v>0.2</v>
      </c>
      <c r="AJ8" s="153">
        <f>AG6/AH8</f>
        <v>0</v>
      </c>
      <c r="AV8" s="115">
        <f>SUM(AV6:AW6)</f>
        <v>8</v>
      </c>
      <c r="AW8">
        <f>SUM(AV6:AY6)</f>
        <v>15</v>
      </c>
      <c r="AX8" s="153">
        <f>AW6/AW8</f>
        <v>0.4</v>
      </c>
      <c r="AY8" s="153">
        <f>AV6/AW8</f>
        <v>0.13333333333333333</v>
      </c>
    </row>
    <row r="9" spans="1:63">
      <c r="A9" s="346" t="s">
        <v>590</v>
      </c>
      <c r="B9" s="346" t="s">
        <v>602</v>
      </c>
      <c r="C9" s="346">
        <v>141320</v>
      </c>
      <c r="D9" s="346" t="s">
        <v>17</v>
      </c>
      <c r="E9" s="346" t="s">
        <v>2</v>
      </c>
      <c r="F9" s="346" t="s">
        <v>156</v>
      </c>
      <c r="G9" s="346"/>
      <c r="H9" s="346"/>
      <c r="I9" s="346" t="s">
        <v>561</v>
      </c>
      <c r="J9" s="346"/>
      <c r="K9" s="346"/>
      <c r="L9" s="346" t="s">
        <v>571</v>
      </c>
      <c r="M9" s="346"/>
      <c r="N9" s="346"/>
      <c r="O9" s="346"/>
      <c r="P9" s="346"/>
      <c r="Q9" s="346"/>
      <c r="R9" s="346"/>
      <c r="S9" s="346"/>
      <c r="T9" s="346">
        <v>22160</v>
      </c>
      <c r="U9" s="346"/>
      <c r="V9" s="346"/>
      <c r="X9" s="115">
        <f t="shared" si="0"/>
        <v>1</v>
      </c>
      <c r="Y9" s="115">
        <f t="shared" si="1"/>
        <v>2</v>
      </c>
      <c r="Z9" s="115" t="e">
        <f t="shared" si="2"/>
        <v>#VALUE!</v>
      </c>
      <c r="AA9" s="115">
        <f t="shared" si="3"/>
        <v>22.16</v>
      </c>
      <c r="AB9" s="246">
        <f t="shared" si="4"/>
        <v>2</v>
      </c>
      <c r="AC9" s="115">
        <v>-251</v>
      </c>
      <c r="AD9" s="115">
        <v>-2</v>
      </c>
    </row>
    <row r="10" spans="1:63">
      <c r="A10" s="346" t="s">
        <v>590</v>
      </c>
      <c r="B10" s="346" t="s">
        <v>603</v>
      </c>
      <c r="C10" s="346">
        <v>151480</v>
      </c>
      <c r="D10" s="346" t="s">
        <v>14</v>
      </c>
      <c r="E10" s="346" t="s">
        <v>6</v>
      </c>
      <c r="F10" s="346" t="s">
        <v>3</v>
      </c>
      <c r="G10" s="346"/>
      <c r="H10" s="346"/>
      <c r="I10" s="346" t="s">
        <v>561</v>
      </c>
      <c r="J10" s="346"/>
      <c r="K10" s="346"/>
      <c r="L10" s="346" t="s">
        <v>567</v>
      </c>
      <c r="M10" s="346"/>
      <c r="N10" s="346"/>
      <c r="O10" s="346"/>
      <c r="P10" s="346"/>
      <c r="Q10" s="346"/>
      <c r="R10" s="346"/>
      <c r="S10" s="346"/>
      <c r="T10" s="346">
        <v>26840</v>
      </c>
      <c r="U10" s="346"/>
      <c r="V10" s="346"/>
      <c r="X10" s="115">
        <f t="shared" si="0"/>
        <v>1</v>
      </c>
      <c r="Y10" s="115">
        <f t="shared" si="1"/>
        <v>2</v>
      </c>
      <c r="Z10" s="115" t="e">
        <f t="shared" si="2"/>
        <v>#VALUE!</v>
      </c>
      <c r="AA10" s="115">
        <f t="shared" si="3"/>
        <v>26.84</v>
      </c>
      <c r="AB10" s="246">
        <f t="shared" si="4"/>
        <v>3</v>
      </c>
      <c r="AC10" s="115">
        <v>-255</v>
      </c>
      <c r="AD10" s="115">
        <v>-6</v>
      </c>
      <c r="AK10" s="115"/>
    </row>
    <row r="11" spans="1:63">
      <c r="A11" s="346" t="s">
        <v>590</v>
      </c>
      <c r="B11" s="346" t="s">
        <v>604</v>
      </c>
      <c r="C11" s="346">
        <v>166320</v>
      </c>
      <c r="D11" s="346" t="s">
        <v>17</v>
      </c>
      <c r="E11" s="346" t="s">
        <v>6</v>
      </c>
      <c r="F11" s="346" t="s">
        <v>3</v>
      </c>
      <c r="G11" s="346"/>
      <c r="H11" s="346"/>
      <c r="I11" s="346" t="s">
        <v>561</v>
      </c>
      <c r="J11" s="346"/>
      <c r="K11" s="346"/>
      <c r="L11" s="346" t="s">
        <v>570</v>
      </c>
      <c r="M11" s="346"/>
      <c r="N11" s="346"/>
      <c r="O11" s="346"/>
      <c r="P11" s="346"/>
      <c r="Q11" s="346"/>
      <c r="R11" s="346"/>
      <c r="S11" s="346"/>
      <c r="T11" s="346">
        <v>32680</v>
      </c>
      <c r="U11" s="346"/>
      <c r="V11" s="346"/>
      <c r="X11" s="115">
        <f t="shared" si="0"/>
        <v>1</v>
      </c>
      <c r="Y11" s="115">
        <f t="shared" si="1"/>
        <v>2</v>
      </c>
      <c r="Z11" s="115" t="e">
        <f t="shared" si="2"/>
        <v>#VALUE!</v>
      </c>
      <c r="AA11" s="115">
        <f t="shared" si="3"/>
        <v>32.68</v>
      </c>
      <c r="AB11" s="246">
        <f t="shared" si="4"/>
        <v>3</v>
      </c>
      <c r="AC11" s="115">
        <v>-250</v>
      </c>
      <c r="AD11" s="115">
        <v>-129</v>
      </c>
      <c r="AE11" s="1"/>
      <c r="AF11" s="1"/>
      <c r="AG11" s="1" t="s">
        <v>2</v>
      </c>
      <c r="AH11" s="1" t="s">
        <v>6</v>
      </c>
      <c r="AV11" t="s">
        <v>2</v>
      </c>
      <c r="AW11" t="s">
        <v>6</v>
      </c>
    </row>
    <row r="12" spans="1:63">
      <c r="A12" s="346" t="s">
        <v>590</v>
      </c>
      <c r="B12" s="346" t="s">
        <v>605</v>
      </c>
      <c r="C12" s="346">
        <v>192000</v>
      </c>
      <c r="D12" s="346" t="s">
        <v>1</v>
      </c>
      <c r="E12" s="346" t="s">
        <v>2</v>
      </c>
      <c r="F12" s="346" t="s">
        <v>156</v>
      </c>
      <c r="G12" s="346"/>
      <c r="H12" s="346"/>
      <c r="I12" s="346" t="s">
        <v>595</v>
      </c>
      <c r="J12" s="346"/>
      <c r="K12" s="346"/>
      <c r="L12" s="346"/>
      <c r="M12" s="346"/>
      <c r="N12" s="346"/>
      <c r="O12" s="346"/>
      <c r="P12" s="346"/>
      <c r="Q12" s="346"/>
      <c r="R12" s="346"/>
      <c r="S12" s="346"/>
      <c r="T12" s="346">
        <v>20160</v>
      </c>
      <c r="U12" s="346"/>
      <c r="V12" s="346"/>
      <c r="X12" s="115">
        <f t="shared" si="0"/>
        <v>1</v>
      </c>
      <c r="Y12" s="115">
        <f t="shared" si="1"/>
        <v>2</v>
      </c>
      <c r="Z12" s="115" t="e">
        <f t="shared" si="2"/>
        <v>#VALUE!</v>
      </c>
      <c r="AA12" s="115">
        <f t="shared" si="3"/>
        <v>20.16</v>
      </c>
      <c r="AB12" s="246">
        <f t="shared" si="4"/>
        <v>3</v>
      </c>
      <c r="AC12" s="115">
        <v>-127</v>
      </c>
      <c r="AD12" s="115">
        <v>-164</v>
      </c>
      <c r="AE12" s="1" t="s">
        <v>5</v>
      </c>
      <c r="AF12" s="1">
        <f>COUNTIFS(D:D,"AA")</f>
        <v>62</v>
      </c>
      <c r="AG12" s="1">
        <f>COUNTIFS(D:D,"AA",E:E,"POS")</f>
        <v>21</v>
      </c>
      <c r="AH12" s="1">
        <f>COUNTIFS(D:D,"AA",E:E,"NEG")</f>
        <v>37</v>
      </c>
      <c r="AT12" t="s">
        <v>1</v>
      </c>
      <c r="AU12">
        <f>COUNTIFS(D:D,"DD")</f>
        <v>71</v>
      </c>
      <c r="AV12">
        <f>COUNTIFS(D:D,"DD",E:E,"POS")</f>
        <v>40</v>
      </c>
      <c r="AW12">
        <f>COUNTIFS(D:D,"DD",E:E,"NEG")</f>
        <v>28</v>
      </c>
    </row>
    <row r="13" spans="1:63">
      <c r="A13" s="346" t="s">
        <v>590</v>
      </c>
      <c r="B13" s="346" t="s">
        <v>606</v>
      </c>
      <c r="C13" s="346">
        <v>200160</v>
      </c>
      <c r="D13" s="346" t="s">
        <v>14</v>
      </c>
      <c r="E13" s="346" t="s">
        <v>6</v>
      </c>
      <c r="F13" s="346" t="s">
        <v>3</v>
      </c>
      <c r="G13" s="346"/>
      <c r="H13" s="346"/>
      <c r="I13" s="346" t="s">
        <v>563</v>
      </c>
      <c r="J13" s="346"/>
      <c r="K13" s="346"/>
      <c r="L13" s="346" t="s">
        <v>569</v>
      </c>
      <c r="M13" s="346"/>
      <c r="N13" s="346"/>
      <c r="O13" s="346"/>
      <c r="P13" s="346"/>
      <c r="Q13" s="346"/>
      <c r="R13" s="346"/>
      <c r="S13" s="346"/>
      <c r="T13" s="346">
        <v>24920</v>
      </c>
      <c r="U13" s="346"/>
      <c r="V13" s="346"/>
      <c r="X13" s="115">
        <f t="shared" si="0"/>
        <v>1</v>
      </c>
      <c r="Y13" s="115">
        <f t="shared" si="1"/>
        <v>2</v>
      </c>
      <c r="Z13" s="115" t="e">
        <f t="shared" si="2"/>
        <v>#VALUE!</v>
      </c>
      <c r="AA13" s="115">
        <f t="shared" si="3"/>
        <v>24.92</v>
      </c>
      <c r="AB13" s="246">
        <f t="shared" si="4"/>
        <v>3</v>
      </c>
      <c r="AC13" s="115">
        <v>-122</v>
      </c>
      <c r="AD13" s="115">
        <v>-213</v>
      </c>
      <c r="AE13" s="1" t="s">
        <v>14</v>
      </c>
      <c r="AF13" s="1">
        <f>COUNTIFS(D:D,"DA")</f>
        <v>35</v>
      </c>
      <c r="AG13" s="1">
        <f>COUNTIFS(D:D,"DA",E:E,"POS")</f>
        <v>9</v>
      </c>
      <c r="AH13" s="1">
        <f>COUNTIFS(D:D,"DA",E:E,"NEG")</f>
        <v>25</v>
      </c>
      <c r="AT13" t="s">
        <v>17</v>
      </c>
      <c r="AU13">
        <f>COUNTIFS(D:D,"AD")</f>
        <v>47</v>
      </c>
      <c r="AV13">
        <f>COUNTIFS(D:D,"AD",E:E,"POS")</f>
        <v>20</v>
      </c>
      <c r="AW13">
        <f>COUNTIFS(D:D,"AD",E:E,"NEG")</f>
        <v>26</v>
      </c>
    </row>
    <row r="14" spans="1:63">
      <c r="A14" s="346" t="s">
        <v>590</v>
      </c>
      <c r="B14" s="346" t="s">
        <v>607</v>
      </c>
      <c r="C14" s="346">
        <v>213080</v>
      </c>
      <c r="D14" s="346" t="s">
        <v>17</v>
      </c>
      <c r="E14" s="346" t="s">
        <v>6</v>
      </c>
      <c r="F14" s="346" t="s">
        <v>3</v>
      </c>
      <c r="G14" s="346"/>
      <c r="H14" s="346"/>
      <c r="I14" s="346" t="s">
        <v>565</v>
      </c>
      <c r="J14" s="346"/>
      <c r="K14" s="346"/>
      <c r="L14" s="346" t="s">
        <v>559</v>
      </c>
      <c r="M14" s="346"/>
      <c r="N14" s="346"/>
      <c r="O14" s="346"/>
      <c r="P14" s="346"/>
      <c r="Q14" s="346"/>
      <c r="R14" s="346"/>
      <c r="S14" s="346"/>
      <c r="T14" s="346">
        <v>17480</v>
      </c>
      <c r="U14" s="346"/>
      <c r="V14" s="346"/>
      <c r="X14" s="115">
        <f t="shared" si="0"/>
        <v>1</v>
      </c>
      <c r="Y14" s="115">
        <f t="shared" si="1"/>
        <v>2</v>
      </c>
      <c r="Z14" s="115" t="e">
        <f t="shared" si="2"/>
        <v>#VALUE!</v>
      </c>
      <c r="AA14" s="115">
        <f t="shared" si="3"/>
        <v>17.48</v>
      </c>
      <c r="AB14" s="246">
        <f t="shared" si="4"/>
        <v>4</v>
      </c>
      <c r="AC14" s="115">
        <v>-112</v>
      </c>
      <c r="AD14" s="115">
        <v>-211</v>
      </c>
    </row>
    <row r="15" spans="1:63">
      <c r="A15" s="346" t="s">
        <v>590</v>
      </c>
      <c r="B15" s="346" t="s">
        <v>608</v>
      </c>
      <c r="C15" s="346">
        <v>224160</v>
      </c>
      <c r="D15" s="346" t="s">
        <v>1</v>
      </c>
      <c r="E15" s="346" t="s">
        <v>2</v>
      </c>
      <c r="F15" s="346" t="s">
        <v>156</v>
      </c>
      <c r="G15" s="346"/>
      <c r="H15" s="346"/>
      <c r="I15" s="346" t="s">
        <v>595</v>
      </c>
      <c r="J15" s="346"/>
      <c r="K15" s="346"/>
      <c r="L15" s="346"/>
      <c r="M15" s="346"/>
      <c r="N15" s="346"/>
      <c r="O15" s="346"/>
      <c r="P15" s="346"/>
      <c r="Q15" s="346"/>
      <c r="R15" s="346"/>
      <c r="S15" s="346"/>
      <c r="T15" s="346">
        <v>33960</v>
      </c>
      <c r="U15" s="346"/>
      <c r="V15" s="346"/>
      <c r="X15" s="115">
        <f t="shared" si="0"/>
        <v>1</v>
      </c>
      <c r="Y15" s="115">
        <f t="shared" si="1"/>
        <v>2</v>
      </c>
      <c r="Z15" s="115" t="e">
        <f t="shared" si="2"/>
        <v>#VALUE!</v>
      </c>
      <c r="AA15" s="115">
        <f t="shared" si="3"/>
        <v>33.96</v>
      </c>
      <c r="AB15" s="246">
        <f t="shared" si="4"/>
        <v>4</v>
      </c>
      <c r="AC15" s="115">
        <v>-89</v>
      </c>
      <c r="AD15" s="115">
        <v>-312</v>
      </c>
    </row>
    <row r="16" spans="1:63">
      <c r="A16" s="346" t="s">
        <v>590</v>
      </c>
      <c r="B16" s="346" t="s">
        <v>609</v>
      </c>
      <c r="C16" s="346">
        <v>246120</v>
      </c>
      <c r="D16" s="346" t="s">
        <v>14</v>
      </c>
      <c r="E16" s="346" t="s">
        <v>6</v>
      </c>
      <c r="F16" s="346" t="s">
        <v>3</v>
      </c>
      <c r="G16" s="346"/>
      <c r="H16" s="346"/>
      <c r="I16" s="346" t="s">
        <v>563</v>
      </c>
      <c r="J16" s="346"/>
      <c r="K16" s="346"/>
      <c r="L16" s="346" t="s">
        <v>564</v>
      </c>
      <c r="M16" s="346"/>
      <c r="N16" s="346"/>
      <c r="O16" s="346"/>
      <c r="P16" s="346"/>
      <c r="Q16" s="346"/>
      <c r="R16" s="346"/>
      <c r="S16" s="346"/>
      <c r="T16" s="346">
        <v>20840</v>
      </c>
      <c r="U16" s="346"/>
      <c r="V16" s="346"/>
      <c r="X16" s="115">
        <f t="shared" si="0"/>
        <v>1</v>
      </c>
      <c r="Y16" s="115">
        <f t="shared" si="1"/>
        <v>2</v>
      </c>
      <c r="Z16" s="115" t="e">
        <f t="shared" si="2"/>
        <v>#VALUE!</v>
      </c>
      <c r="AA16" s="115">
        <f t="shared" si="3"/>
        <v>20.84</v>
      </c>
      <c r="AB16" s="246">
        <f t="shared" si="4"/>
        <v>4</v>
      </c>
      <c r="AC16" s="115">
        <v>-80</v>
      </c>
      <c r="AD16" s="115">
        <v>-331</v>
      </c>
    </row>
    <row r="17" spans="1:66">
      <c r="A17" s="346" t="s">
        <v>590</v>
      </c>
      <c r="B17" s="346" t="s">
        <v>610</v>
      </c>
      <c r="C17" s="346">
        <v>254960</v>
      </c>
      <c r="D17" s="346" t="s">
        <v>17</v>
      </c>
      <c r="E17" s="346" t="s">
        <v>2</v>
      </c>
      <c r="F17" s="346" t="s">
        <v>163</v>
      </c>
      <c r="G17" s="346"/>
      <c r="H17" s="346"/>
      <c r="I17" s="346" t="s">
        <v>561</v>
      </c>
      <c r="J17" s="346"/>
      <c r="K17" s="346"/>
      <c r="L17" s="346" t="s">
        <v>567</v>
      </c>
      <c r="M17" s="346"/>
      <c r="N17" s="346"/>
      <c r="O17" s="346"/>
      <c r="P17" s="346"/>
      <c r="Q17" s="346"/>
      <c r="R17" s="346"/>
      <c r="S17" s="346"/>
      <c r="T17" s="346">
        <v>22360</v>
      </c>
      <c r="U17" s="346"/>
      <c r="V17" s="346"/>
      <c r="X17" s="115">
        <f t="shared" si="0"/>
        <v>4</v>
      </c>
      <c r="Y17" s="115">
        <f t="shared" si="1"/>
        <v>5</v>
      </c>
      <c r="Z17" s="115" t="e">
        <f t="shared" si="2"/>
        <v>#VALUE!</v>
      </c>
      <c r="AA17" s="115">
        <f t="shared" si="3"/>
        <v>22.36</v>
      </c>
      <c r="AB17" s="246">
        <f t="shared" si="4"/>
        <v>4</v>
      </c>
      <c r="AC17" s="115">
        <v>61</v>
      </c>
      <c r="AD17" s="115">
        <v>-319</v>
      </c>
      <c r="AG17" s="115" t="s">
        <v>400</v>
      </c>
      <c r="AH17" t="s">
        <v>41</v>
      </c>
      <c r="AI17" t="s">
        <v>401</v>
      </c>
      <c r="AJ17" s="346" t="s">
        <v>703</v>
      </c>
      <c r="AK17" s="346" t="s">
        <v>723</v>
      </c>
      <c r="AL17" t="s">
        <v>9</v>
      </c>
      <c r="AM17" t="s">
        <v>8</v>
      </c>
      <c r="AN17" t="s">
        <v>19</v>
      </c>
      <c r="AO17" t="s">
        <v>402</v>
      </c>
      <c r="AP17" t="s">
        <v>403</v>
      </c>
      <c r="AQ17" t="s">
        <v>7</v>
      </c>
      <c r="AR17" t="s">
        <v>163</v>
      </c>
      <c r="AS17" t="s">
        <v>310</v>
      </c>
      <c r="AT17" t="s">
        <v>156</v>
      </c>
      <c r="AU17" t="s">
        <v>3</v>
      </c>
      <c r="AY17" t="s">
        <v>400</v>
      </c>
      <c r="AZ17" t="s">
        <v>41</v>
      </c>
      <c r="BA17" s="115" t="s">
        <v>401</v>
      </c>
      <c r="BB17" s="346" t="s">
        <v>703</v>
      </c>
      <c r="BC17" s="346" t="s">
        <v>723</v>
      </c>
      <c r="BD17" t="s">
        <v>9</v>
      </c>
      <c r="BE17" t="s">
        <v>8</v>
      </c>
      <c r="BF17" t="s">
        <v>19</v>
      </c>
      <c r="BG17" s="115" t="s">
        <v>402</v>
      </c>
      <c r="BH17" s="115" t="s">
        <v>403</v>
      </c>
      <c r="BI17" t="s">
        <v>310</v>
      </c>
      <c r="BJ17" t="s">
        <v>7</v>
      </c>
      <c r="BK17" s="115" t="s">
        <v>163</v>
      </c>
      <c r="BL17" t="s">
        <v>310</v>
      </c>
      <c r="BM17" t="s">
        <v>156</v>
      </c>
      <c r="BN17" t="s">
        <v>3</v>
      </c>
    </row>
    <row r="18" spans="1:66">
      <c r="A18" s="346" t="s">
        <v>590</v>
      </c>
      <c r="B18" s="346" t="s">
        <v>611</v>
      </c>
      <c r="C18" s="346">
        <v>270320</v>
      </c>
      <c r="D18" s="346" t="s">
        <v>5</v>
      </c>
      <c r="E18" s="346" t="s">
        <v>2</v>
      </c>
      <c r="F18" s="346" t="s">
        <v>310</v>
      </c>
      <c r="G18" s="346" t="s">
        <v>29</v>
      </c>
      <c r="H18" s="346"/>
      <c r="I18" s="346"/>
      <c r="J18" s="346"/>
      <c r="K18" s="346"/>
      <c r="L18" s="346"/>
      <c r="M18" s="346"/>
      <c r="N18" s="346"/>
      <c r="O18" s="346"/>
      <c r="P18" s="346"/>
      <c r="Q18" s="346"/>
      <c r="R18" s="346"/>
      <c r="S18" s="346"/>
      <c r="T18" s="346">
        <v>18160</v>
      </c>
      <c r="U18" s="346"/>
      <c r="V18" s="346"/>
      <c r="X18" s="115">
        <f t="shared" si="0"/>
        <v>2</v>
      </c>
      <c r="Y18" s="115">
        <f t="shared" si="1"/>
        <v>6</v>
      </c>
      <c r="Z18" s="115" t="e">
        <f t="shared" si="2"/>
        <v>#VALUE!</v>
      </c>
      <c r="AA18" s="115">
        <f t="shared" si="3"/>
        <v>18.16</v>
      </c>
      <c r="AB18" s="246">
        <f t="shared" si="4"/>
        <v>5</v>
      </c>
      <c r="AC18" s="115">
        <v>165</v>
      </c>
      <c r="AE18" t="s">
        <v>5</v>
      </c>
      <c r="AF18" s="346" t="s">
        <v>563</v>
      </c>
      <c r="AH18" s="115">
        <f>COUNTIFS(D:D,"AA",I:I,"S1",G:G,"",M:M,"")</f>
        <v>0</v>
      </c>
      <c r="AI18" s="246" t="e">
        <f>AH18/Esitlus!$I$22</f>
        <v>#DIV/0!</v>
      </c>
      <c r="AJ18" s="3">
        <f>COUNTIFS(D:D,"AA",F:F,"ATONGOAL",I:I,"S1",G:G,"",E:E,"POS",M:M,"")</f>
        <v>0</v>
      </c>
      <c r="AK18" s="153" t="e">
        <f t="shared" ref="AK18:AK21" si="5">AJ18/AH18</f>
        <v>#DIV/0!</v>
      </c>
      <c r="AL18" s="3">
        <f>COUNTIFS(D:D,"AA",F:F,"ATON",I:I,"S1",G:G,"",E:E,"POS",M:M,"")</f>
        <v>0</v>
      </c>
      <c r="AM18" s="3">
        <f>COUNTIFS(D:D,"AA",F:F,"ATOF",I:I,"S1",G:G,"",E:E,"POS",M:M,"")</f>
        <v>0</v>
      </c>
      <c r="AN18" s="3">
        <f>COUNTIFS(D:D,"AA",F:F,"ATBK",I:I,"S1",G:G,"",E:E,"POS",M:M,"")</f>
        <v>0</v>
      </c>
      <c r="AO18">
        <f>SUM(AJ18,AL18:AN18)</f>
        <v>0</v>
      </c>
      <c r="AP18" s="153" t="e">
        <f t="shared" ref="AP18:AP21" si="6">AO18/AH18</f>
        <v>#DIV/0!</v>
      </c>
      <c r="AQ18">
        <f>COUNTIFS(D:D,"AA",F:F,"WINSTAN",I:I,"S1",E:E,"POS",G:G,"",M:M,"")</f>
        <v>0</v>
      </c>
      <c r="AR18" s="115">
        <f>COUNTIFS(D:D,"AA",F:F,"WINSTANTI",I:I,"S1",E:E,"POS",G:G,"",M:M,"")</f>
        <v>0</v>
      </c>
      <c r="AS18" s="115">
        <f>COUNTIFS(D:D,"AA",F:F,"ENTRY",I:I,"S1",G:G,"",E:E,"POS",M:M,"")</f>
        <v>0</v>
      </c>
      <c r="AT18" s="100">
        <f>COUNTIFS(D:D,"AA",F:F,"KEEPOS",I:I,"S1",E:E,"POS",G:G,"",M:M,"")</f>
        <v>0</v>
      </c>
      <c r="AU18">
        <f>COUNTIFS(D:D,"AA",E:E,"NEG",I:I,"S1",G:G,"",M:M,"")</f>
        <v>0</v>
      </c>
      <c r="AW18" t="s">
        <v>1</v>
      </c>
      <c r="AX18" s="346" t="s">
        <v>563</v>
      </c>
      <c r="AZ18" s="115">
        <f>COUNTIFS(D:D,"DD",I:I,"S1",G:G,"",M:M,"")</f>
        <v>0</v>
      </c>
      <c r="BA18" s="246" t="e">
        <f>AZ18/Esitlus!$I$22</f>
        <v>#DIV/0!</v>
      </c>
      <c r="BB18">
        <f>COUNTIFS(D:D,"DD",F:F,"ATONGOAL",I:I,"S1",G:G,"",E:E,"NEG",M:M,"")</f>
        <v>0</v>
      </c>
      <c r="BC18" s="153" t="e">
        <f>BB18/AZ18</f>
        <v>#DIV/0!</v>
      </c>
      <c r="BD18">
        <f>COUNTIFS(D:D,"DD",F:F,"ATON",I:I,"S1",G:G,"",E:E,"NEG",M:M,"")</f>
        <v>0</v>
      </c>
      <c r="BE18">
        <f>COUNTIFS(D:D,"DD",F:F,"ATOF",I:I,"S1",G:G,"",E:E,"NEG",M:M,"")</f>
        <v>0</v>
      </c>
      <c r="BF18">
        <f>COUNTIFS(D:D,"DD",F:F,"ATBK",I:I,"S1",G:G,"",E:E,"NEG",M:M,"")</f>
        <v>0</v>
      </c>
      <c r="BG18">
        <f>SUM(BB18,BD18:BF18)</f>
        <v>0</v>
      </c>
      <c r="BH18" s="153" t="e">
        <f>BG18/AZ18</f>
        <v>#DIV/0!</v>
      </c>
      <c r="BI18" s="115">
        <f>COUNTIFS(D:D,"DD",F:F,"ENTRY",I:I,"S1",G:G,"",E:E,"NEG",M:M,"")</f>
        <v>0</v>
      </c>
      <c r="BJ18">
        <f>COUNTIFS(D:D,"DD",F:F,"WINSTAN",I:I,"S1",E:E,"NEG",G:G,"",M:M,"")</f>
        <v>0</v>
      </c>
      <c r="BK18" s="115">
        <f>COUNTIFS(D:D,"DD",F:F,"WINSTANTI",I:I,"S1",E:E,"NEG",G:G,"",M:M,"")</f>
        <v>0</v>
      </c>
      <c r="BL18" s="115">
        <f>COUNTIFS(D:D,"DD",F:F,"ENTRY",I:I,"S1",E:E,"NEG",G:G,"",M:M,"")</f>
        <v>0</v>
      </c>
      <c r="BM18" s="100">
        <f>COUNTIFS(D:D,"DD",F:F,"KEEPOS",I:I,"S1",E:E,"NEG",G:G,"",M:M,"")</f>
        <v>0</v>
      </c>
      <c r="BN18">
        <f>COUNTIFS(D:D,"DD",E:E,"POS",I:I,"S1",G:G,"",M:M,"")</f>
        <v>0</v>
      </c>
    </row>
    <row r="19" spans="1:66">
      <c r="A19" s="346" t="s">
        <v>590</v>
      </c>
      <c r="B19" s="346" t="s">
        <v>612</v>
      </c>
      <c r="C19" s="346">
        <v>281480</v>
      </c>
      <c r="D19" s="346" t="s">
        <v>5</v>
      </c>
      <c r="E19" s="346" t="s">
        <v>6</v>
      </c>
      <c r="F19" s="346" t="s">
        <v>3</v>
      </c>
      <c r="G19" s="346"/>
      <c r="H19" s="346"/>
      <c r="I19" s="346"/>
      <c r="J19" s="346"/>
      <c r="K19" s="346"/>
      <c r="L19" s="346"/>
      <c r="M19" s="346"/>
      <c r="N19" s="346"/>
      <c r="O19" s="346"/>
      <c r="P19" s="346"/>
      <c r="Q19" s="346"/>
      <c r="R19" s="346"/>
      <c r="S19" s="346"/>
      <c r="T19" s="346">
        <v>19680</v>
      </c>
      <c r="U19" s="346"/>
      <c r="V19" s="346"/>
      <c r="X19" s="115">
        <f t="shared" si="0"/>
        <v>1</v>
      </c>
      <c r="Y19" s="115">
        <f t="shared" si="1"/>
        <v>3</v>
      </c>
      <c r="Z19" s="115" t="e">
        <f t="shared" si="2"/>
        <v>#VALUE!</v>
      </c>
      <c r="AA19" s="115">
        <f t="shared" si="3"/>
        <v>19.68</v>
      </c>
      <c r="AB19" s="246">
        <f t="shared" si="4"/>
        <v>5</v>
      </c>
      <c r="AC19" s="115">
        <v>158</v>
      </c>
      <c r="AF19" s="346" t="s">
        <v>561</v>
      </c>
      <c r="AH19" s="115">
        <f>COUNTIFS(D:D,"AA",I:I,"S2",G:G,"",M:M,"")</f>
        <v>0</v>
      </c>
      <c r="AI19" s="246" t="e">
        <f>AH19/Esitlus!$I$22</f>
        <v>#DIV/0!</v>
      </c>
      <c r="AJ19" s="3">
        <f>COUNTIFS(D:D,"AA",F:F,"ATONGOAL",I:I,"S2",G:G,"",E:E,"POS",M:M,"")</f>
        <v>0</v>
      </c>
      <c r="AK19" s="153" t="e">
        <f t="shared" si="5"/>
        <v>#DIV/0!</v>
      </c>
      <c r="AL19" s="3">
        <f>COUNTIFS(D:D,"AA",F:F,"ATON",I:I,"S2",G:G,"",E:E,"POS",M:M,"")</f>
        <v>0</v>
      </c>
      <c r="AM19" s="3">
        <f>COUNTIFS(D:D,"AA",F:F,"ATOF",I:I,"S2",G:G,"",E:E,"POS",M:M,"")</f>
        <v>0</v>
      </c>
      <c r="AN19" s="3">
        <f>COUNTIFS(D:D,"AA",F:F,"ATBK",I:I,"S2",G:G,"",E:E,"POS",M:M,"")</f>
        <v>0</v>
      </c>
      <c r="AO19" s="115">
        <f t="shared" ref="AO19:AO20" si="7">SUM(AJ19,AL19:AN19)</f>
        <v>0</v>
      </c>
      <c r="AP19" s="153" t="e">
        <f t="shared" si="6"/>
        <v>#DIV/0!</v>
      </c>
      <c r="AQ19">
        <f>COUNTIFS(D:D,"AA",F:F,"WINSTAN",I:I,"S2",E:E,"POS",G:G,"",M:M,"")</f>
        <v>0</v>
      </c>
      <c r="AR19" s="115">
        <f>COUNTIFS(D:D,"AA",F:F,"WINSTANTI",I:I,"S2",E:E,"POS",G:G,"",M:M,"")</f>
        <v>0</v>
      </c>
      <c r="AS19" s="115">
        <f>COUNTIFS(D:D,"AA",F:F,"ENTRY",I:I,"S2",G:G,"",E:E,"POS",M:M,"")</f>
        <v>0</v>
      </c>
      <c r="AT19" s="100">
        <f>COUNTIFS(D:D,"AA",F:F,"KEEPOS",I:I,"S2",E:E,"POS",G:G,"",M:M,"")</f>
        <v>0</v>
      </c>
      <c r="AU19">
        <f>COUNTIFS(D:D,"AA",E:E,"NEG",I:I,"S2",G:G,"",M:M,"")</f>
        <v>0</v>
      </c>
      <c r="AX19" s="346" t="s">
        <v>561</v>
      </c>
      <c r="AZ19" s="115">
        <f>COUNTIFS(D:D,"DD",I:I,"S2",G:G,"",M:M,"")</f>
        <v>0</v>
      </c>
      <c r="BA19" s="246" t="e">
        <f>AZ19/Esitlus!$I$22</f>
        <v>#DIV/0!</v>
      </c>
      <c r="BB19">
        <f>COUNTIFS(D:D,"DD",F:F,"ATONGOAL",I:I,"S2",G:G,"",E:E,"NEG",M:M,"")</f>
        <v>0</v>
      </c>
      <c r="BC19" s="153" t="e">
        <f t="shared" ref="BC19:BC21" si="8">BB19/AZ19</f>
        <v>#DIV/0!</v>
      </c>
      <c r="BD19">
        <f>COUNTIFS(D:D,"DD",F:F,"ATON",I:I,"S2",G:G,"",E:E,"NEG",M:M,"")</f>
        <v>0</v>
      </c>
      <c r="BE19">
        <f>COUNTIFS(D:D,"DD",F:F,"ATOF",I:I,"S2",G:G,"",E:E,"NEG",M:M,"")</f>
        <v>0</v>
      </c>
      <c r="BF19">
        <f>COUNTIFS(D:D,"DD",F:F,"ATBK",I:I,"S2",G:G,"",E:E,"NEG",M:M,"")</f>
        <v>0</v>
      </c>
      <c r="BG19" s="115">
        <f t="shared" ref="BG19:BG20" si="9">SUM(BB19,BD19:BF19)</f>
        <v>0</v>
      </c>
      <c r="BH19" s="153" t="e">
        <f t="shared" ref="BH19:BH21" si="10">BG19/AZ19</f>
        <v>#DIV/0!</v>
      </c>
      <c r="BI19" s="115">
        <f>COUNTIFS(D:D,"DD",F:F,"ENTRY",I:I,"S2",G:G,"",E:E,"NEG",M:M,"")</f>
        <v>0</v>
      </c>
      <c r="BJ19">
        <f>COUNTIFS(D:D,"DD",F:F,"WINSTAN",I:I,"S2",E:E,"NEG",G:G,"",M:M,"")</f>
        <v>0</v>
      </c>
      <c r="BK19" s="115">
        <f>COUNTIFS(D:D,"DD",F:F,"WINSTANTI",I:I,"S2",E:E,"NEG",G:G,"",M:M,"")</f>
        <v>0</v>
      </c>
      <c r="BL19" s="115">
        <f>COUNTIFS(D:D,"DD",F:F,"ENTRY",I:I,"S2",E:E,"NEG",G:G,"",M:M,"")</f>
        <v>0</v>
      </c>
      <c r="BM19" s="100">
        <f>COUNTIFS(D:D,"DD",F:F,"KEEPOS",I:I,"S2",E:E,"NEG",G:G,"",M:M,"")</f>
        <v>0</v>
      </c>
      <c r="BN19">
        <f>COUNTIFS(D:D,"DD",E:E,"POS",I:I,"S2",G:G,"",M:M,"")</f>
        <v>0</v>
      </c>
    </row>
    <row r="20" spans="1:66">
      <c r="A20" s="346" t="s">
        <v>590</v>
      </c>
      <c r="B20" s="346" t="s">
        <v>613</v>
      </c>
      <c r="C20" s="346">
        <v>314720</v>
      </c>
      <c r="D20" s="346" t="s">
        <v>1</v>
      </c>
      <c r="E20" s="346" t="s">
        <v>6</v>
      </c>
      <c r="F20" s="346" t="s">
        <v>3</v>
      </c>
      <c r="G20" s="346" t="s">
        <v>29</v>
      </c>
      <c r="H20" s="346"/>
      <c r="I20" s="346"/>
      <c r="J20" s="346"/>
      <c r="K20" s="346"/>
      <c r="L20" s="346"/>
      <c r="M20" s="346"/>
      <c r="N20" s="346"/>
      <c r="O20" s="346"/>
      <c r="P20" s="346"/>
      <c r="Q20" s="346"/>
      <c r="R20" s="346"/>
      <c r="S20" s="346"/>
      <c r="T20" s="346">
        <v>13920</v>
      </c>
      <c r="U20" s="346"/>
      <c r="V20" s="346"/>
      <c r="X20" s="115">
        <f t="shared" si="0"/>
        <v>1</v>
      </c>
      <c r="Y20" s="115">
        <f t="shared" si="1"/>
        <v>2</v>
      </c>
      <c r="Z20" s="115" t="e">
        <f t="shared" si="2"/>
        <v>#VALUE!</v>
      </c>
      <c r="AA20" s="115">
        <f t="shared" si="3"/>
        <v>13.92</v>
      </c>
      <c r="AB20" s="246">
        <f t="shared" si="4"/>
        <v>5</v>
      </c>
      <c r="AF20" s="346" t="s">
        <v>565</v>
      </c>
      <c r="AH20" s="115">
        <f>COUNTIFS(D:D,"AA",I:I,"S3",G:G,"",M:M,"")</f>
        <v>0</v>
      </c>
      <c r="AI20" s="246" t="e">
        <f>AH20/Esitlus!$I$22</f>
        <v>#DIV/0!</v>
      </c>
      <c r="AJ20" s="3">
        <f>COUNTIFS(D:D,"AA",F:F,"ATONGOAL",I:I,"S3",G:G,"",E:E,"POS",M:M,"")</f>
        <v>0</v>
      </c>
      <c r="AK20" s="153" t="e">
        <f t="shared" si="5"/>
        <v>#DIV/0!</v>
      </c>
      <c r="AL20" s="3">
        <f>COUNTIFS(D:D,"AA",F:F,"ATON",I:I,"S3",G:G,"",E:E,"POS",M:M,"")</f>
        <v>0</v>
      </c>
      <c r="AM20" s="3">
        <f>COUNTIFS(D:D,"AA",F:F,"ATOF",I:I,"S3",G:G,"",E:E,"POS",M:M,"")</f>
        <v>0</v>
      </c>
      <c r="AN20" s="3">
        <f>COUNTIFS(D:D,"AA",F:F,"ATBK",I:I,"S3",G:G,"",E:E,"POS",M:M,"")</f>
        <v>0</v>
      </c>
      <c r="AO20" s="115">
        <f t="shared" si="7"/>
        <v>0</v>
      </c>
      <c r="AP20" s="153" t="e">
        <f t="shared" si="6"/>
        <v>#DIV/0!</v>
      </c>
      <c r="AQ20">
        <f>COUNTIFS(D:D,"AA",F:F,"WINSTAN",I:I,"S3",E:E,"POS",G:G,"",M:M,"")</f>
        <v>0</v>
      </c>
      <c r="AR20" s="115">
        <f>COUNTIFS(D:D,"AA",F:F,"WINSTANTI",I:I,"S3",E:E,"POS",G:G,"",M:M,"")</f>
        <v>0</v>
      </c>
      <c r="AS20" s="115">
        <f>COUNTIFS(D:D,"AA",F:F,"ENTRY",I:I,"S3",G:G,"",E:E,"POS",M:M,"")</f>
        <v>0</v>
      </c>
      <c r="AT20" s="100">
        <f>COUNTIFS(D:D,"AA",F:F,"KEEPOS",I:I,"S3",E:E,"POS",G:G,"",M:M,"")</f>
        <v>0</v>
      </c>
      <c r="AU20">
        <f>COUNTIFS(D:D,"AA",E:E,"NEG",I:I,"S3",G:G,"",M:M,"")</f>
        <v>0</v>
      </c>
      <c r="AX20" s="346" t="s">
        <v>565</v>
      </c>
      <c r="AZ20" s="115">
        <f>COUNTIFS(D:D,"DD",I:I,"S3",G:G,"",M:M,"")</f>
        <v>0</v>
      </c>
      <c r="BA20" s="246" t="e">
        <f>AZ20/Esitlus!$I$22</f>
        <v>#DIV/0!</v>
      </c>
      <c r="BB20">
        <f>COUNTIFS(D:D,"DD",F:F,"ATONGOAL",I:I,"S3",G:G,"",E:E,"NEG",M:M,"")</f>
        <v>0</v>
      </c>
      <c r="BC20" s="153" t="e">
        <f t="shared" si="8"/>
        <v>#DIV/0!</v>
      </c>
      <c r="BD20">
        <f>COUNTIFS(D:D,"DD",F:F,"ATON",I:I,"S3",G:G,"",E:E,"NEG",M:M,"")</f>
        <v>0</v>
      </c>
      <c r="BE20">
        <f>COUNTIFS(D:D,"DD",F:F,"ATOF",I:I,"S3",G:G,"",E:E,"NEG",M:M,"")</f>
        <v>0</v>
      </c>
      <c r="BF20">
        <f>COUNTIFS(D:D,"DD",F:F,"ATBK",I:I,"S3",G:G,"",E:E,"NEG",M:M,"")</f>
        <v>0</v>
      </c>
      <c r="BG20" s="115">
        <f t="shared" si="9"/>
        <v>0</v>
      </c>
      <c r="BH20" s="153" t="e">
        <f t="shared" si="10"/>
        <v>#DIV/0!</v>
      </c>
      <c r="BI20" s="115">
        <f>COUNTIFS(D:D,"DD",F:F,"ENTRY",I:I,"S3",G:G,"",E:E,"NEG",M:M,"")</f>
        <v>0</v>
      </c>
      <c r="BJ20">
        <f>COUNTIFS(D:D,"DD",F:F,"WINSTAN",I:I,"S3",E:E,"NEG",G:G,"",M:M,"")</f>
        <v>0</v>
      </c>
      <c r="BK20" s="115">
        <f>COUNTIFS(D:D,"DD",F:F,"WINSTANTI",I:I,"S3",E:E,"NEG",G:G,"",M:M,"")</f>
        <v>0</v>
      </c>
      <c r="BL20" s="115">
        <f>COUNTIFS(D:D,"DD",F:F,"ENTRY",I:I,"S3",E:E,"NEG",G:G,"",M:M,"")</f>
        <v>0</v>
      </c>
      <c r="BM20" s="100">
        <f>COUNTIFS(D:D,"DD",F:F,"KEEPOS",I:I,"S3",E:E,"NEG",G:G,"",M:M,"")</f>
        <v>0</v>
      </c>
      <c r="BN20">
        <f>COUNTIFS(D:D,"DD",E:E,"POS",I:I,"S3",G:G,"",M:M,"")</f>
        <v>0</v>
      </c>
    </row>
    <row r="21" spans="1:66">
      <c r="A21" s="346" t="s">
        <v>590</v>
      </c>
      <c r="B21" s="346" t="s">
        <v>614</v>
      </c>
      <c r="C21" s="346">
        <v>321640</v>
      </c>
      <c r="D21" s="346" t="s">
        <v>1</v>
      </c>
      <c r="E21" s="346" t="s">
        <v>2</v>
      </c>
      <c r="F21" s="346" t="s">
        <v>156</v>
      </c>
      <c r="G21" s="346"/>
      <c r="H21" s="346"/>
      <c r="I21" s="346" t="s">
        <v>595</v>
      </c>
      <c r="J21" s="346"/>
      <c r="K21" s="346"/>
      <c r="L21" s="346"/>
      <c r="M21" s="346"/>
      <c r="N21" s="346"/>
      <c r="O21" s="346"/>
      <c r="P21" s="346"/>
      <c r="Q21" s="346"/>
      <c r="R21" s="346"/>
      <c r="S21" s="346"/>
      <c r="T21" s="346">
        <v>42960</v>
      </c>
      <c r="U21" s="346"/>
      <c r="V21" s="346"/>
      <c r="X21" s="115">
        <f t="shared" si="0"/>
        <v>1</v>
      </c>
      <c r="Y21" s="115">
        <f t="shared" si="1"/>
        <v>2</v>
      </c>
      <c r="Z21" s="115" t="e">
        <f t="shared" si="2"/>
        <v>#VALUE!</v>
      </c>
      <c r="AA21" s="115">
        <f t="shared" si="3"/>
        <v>42.96</v>
      </c>
      <c r="AB21" s="246">
        <f t="shared" si="4"/>
        <v>5</v>
      </c>
      <c r="AF21" t="s">
        <v>45</v>
      </c>
      <c r="AH21">
        <f>SUM(AH18:AH20)</f>
        <v>0</v>
      </c>
      <c r="AI21" s="246" t="e">
        <f>AH21/Esitlus!$I$22</f>
        <v>#DIV/0!</v>
      </c>
      <c r="AJ21" s="115">
        <f t="shared" ref="AJ21:AU21" si="11">SUM(AJ18:AJ20)</f>
        <v>0</v>
      </c>
      <c r="AK21" s="153" t="e">
        <f t="shared" si="5"/>
        <v>#DIV/0!</v>
      </c>
      <c r="AL21" s="115">
        <f t="shared" si="11"/>
        <v>0</v>
      </c>
      <c r="AM21" s="115">
        <f t="shared" si="11"/>
        <v>0</v>
      </c>
      <c r="AN21" s="115">
        <f t="shared" si="11"/>
        <v>0</v>
      </c>
      <c r="AO21" s="115">
        <f t="shared" si="11"/>
        <v>0</v>
      </c>
      <c r="AP21" s="153" t="e">
        <f t="shared" si="6"/>
        <v>#DIV/0!</v>
      </c>
      <c r="AQ21" s="115">
        <f t="shared" si="11"/>
        <v>0</v>
      </c>
      <c r="AR21" s="115">
        <f t="shared" si="11"/>
        <v>0</v>
      </c>
      <c r="AS21" s="115">
        <f t="shared" si="11"/>
        <v>0</v>
      </c>
      <c r="AT21" s="115">
        <f t="shared" si="11"/>
        <v>0</v>
      </c>
      <c r="AU21" s="115">
        <f t="shared" si="11"/>
        <v>0</v>
      </c>
      <c r="AZ21">
        <f>SUM(AZ18:AZ20)</f>
        <v>0</v>
      </c>
      <c r="BA21" s="246" t="e">
        <f>AZ21/Esitlus!$I$22</f>
        <v>#DIV/0!</v>
      </c>
      <c r="BB21" s="115">
        <f t="shared" ref="BB21:BN21" si="12">SUM(BB18:BB20)</f>
        <v>0</v>
      </c>
      <c r="BC21" s="153" t="e">
        <f t="shared" si="8"/>
        <v>#DIV/0!</v>
      </c>
      <c r="BD21" s="115">
        <f t="shared" si="12"/>
        <v>0</v>
      </c>
      <c r="BE21" s="115">
        <f t="shared" si="12"/>
        <v>0</v>
      </c>
      <c r="BF21" s="115">
        <f t="shared" si="12"/>
        <v>0</v>
      </c>
      <c r="BG21" s="115">
        <f t="shared" si="12"/>
        <v>0</v>
      </c>
      <c r="BH21" s="153" t="e">
        <f t="shared" si="10"/>
        <v>#DIV/0!</v>
      </c>
      <c r="BI21" s="115">
        <f t="shared" si="12"/>
        <v>0</v>
      </c>
      <c r="BJ21" s="115">
        <f t="shared" si="12"/>
        <v>0</v>
      </c>
      <c r="BK21" s="115">
        <f t="shared" si="12"/>
        <v>0</v>
      </c>
      <c r="BL21" s="115">
        <f t="shared" si="12"/>
        <v>0</v>
      </c>
      <c r="BM21" s="115">
        <f t="shared" si="12"/>
        <v>0</v>
      </c>
      <c r="BN21" s="115">
        <f t="shared" si="12"/>
        <v>0</v>
      </c>
    </row>
    <row r="22" spans="1:66">
      <c r="A22" s="346" t="s">
        <v>590</v>
      </c>
      <c r="B22" s="346" t="s">
        <v>615</v>
      </c>
      <c r="C22" s="346">
        <v>352600</v>
      </c>
      <c r="D22" s="346" t="s">
        <v>14</v>
      </c>
      <c r="E22" s="346" t="s">
        <v>6</v>
      </c>
      <c r="F22" s="346" t="s">
        <v>3</v>
      </c>
      <c r="G22" s="346"/>
      <c r="H22" s="346"/>
      <c r="I22" s="346" t="s">
        <v>561</v>
      </c>
      <c r="J22" s="346"/>
      <c r="K22" s="346"/>
      <c r="L22" s="346" t="s">
        <v>571</v>
      </c>
      <c r="M22" s="346"/>
      <c r="N22" s="346"/>
      <c r="O22" s="346"/>
      <c r="P22" s="346"/>
      <c r="Q22" s="346"/>
      <c r="R22" s="346"/>
      <c r="S22" s="346"/>
      <c r="T22" s="346">
        <v>22440</v>
      </c>
      <c r="U22" s="346"/>
      <c r="V22" s="346"/>
      <c r="X22" s="115">
        <f t="shared" si="0"/>
        <v>1</v>
      </c>
      <c r="Y22" s="115">
        <f t="shared" si="1"/>
        <v>2</v>
      </c>
      <c r="Z22" s="115" t="e">
        <f t="shared" si="2"/>
        <v>#VALUE!</v>
      </c>
      <c r="AA22" s="115">
        <f t="shared" si="3"/>
        <v>22.44</v>
      </c>
      <c r="AB22" s="246">
        <f t="shared" si="4"/>
        <v>6</v>
      </c>
      <c r="AE22" t="s">
        <v>24</v>
      </c>
      <c r="AF22" s="346" t="s">
        <v>563</v>
      </c>
      <c r="AH22" s="115">
        <f>COUNTIFS(D:D,"DA",I:I,"S1",G:G,"",M:M,"")</f>
        <v>17</v>
      </c>
      <c r="AI22" s="246" t="e">
        <f>AH22/Esitlus!$I$22</f>
        <v>#DIV/0!</v>
      </c>
      <c r="AJ22" s="3">
        <f>COUNTIFS(D:D,"DA",F:F,"ATONGOAL",I:I,"S1",E:E,"POS")</f>
        <v>0</v>
      </c>
      <c r="AK22" s="153">
        <f>AJ22/AH22</f>
        <v>0</v>
      </c>
      <c r="AL22" s="3">
        <f>COUNTIFS(D:D,"DA",F:F,"ATON",I:I,"S1",E:E,"POS")</f>
        <v>0</v>
      </c>
      <c r="AM22" s="3">
        <f>COUNTIFS(D:D,"DA",F:F,"ATOF",I:I,"S1",E:E,"POS")</f>
        <v>0</v>
      </c>
      <c r="AN22" s="3">
        <f>COUNTIFS(D:D,"DA",F:F,"ATBK",I:I,"S1",E:E,"POS")</f>
        <v>0</v>
      </c>
      <c r="AO22" s="115">
        <f>SUM(AJ22,AL22:AN22)</f>
        <v>0</v>
      </c>
      <c r="AP22" s="153">
        <f>AO22/AH22</f>
        <v>0</v>
      </c>
      <c r="AQ22">
        <f>COUNTIFS(D:D,"DA",F:F,"WINSTAN",I:I,"S1",E:E,"POS")</f>
        <v>3</v>
      </c>
      <c r="AR22" s="115">
        <f>COUNTIFS(D:D,"DA",F:F,"WINSTANTI",I:I,"S1",E:E,"POS")</f>
        <v>1</v>
      </c>
      <c r="AS22" s="115">
        <f>COUNTIFS(D:D,"DA",F:F,"ENTRY",I:I,"S1",E:E,"POS")</f>
        <v>0</v>
      </c>
      <c r="AT22" s="100">
        <f>COUNTIFS(D:D,"DA",F:F,"KEEPOS",I:I,"S1",E:E,"POS")</f>
        <v>0</v>
      </c>
      <c r="AU22" s="115">
        <f>COUNTIFS(D:D,"DA",E:E,"NEG",I:I,"S1")</f>
        <v>13</v>
      </c>
      <c r="AW22" t="s">
        <v>17</v>
      </c>
      <c r="AX22" s="346" t="s">
        <v>563</v>
      </c>
      <c r="AZ22" s="115">
        <f>COUNTIFS(D:D,"AD",I:I,"S1",G:G,"",M:M,"")</f>
        <v>5</v>
      </c>
      <c r="BA22" s="246" t="e">
        <f>AZ22/Esitlus!$I$22</f>
        <v>#DIV/0!</v>
      </c>
      <c r="BB22">
        <f>COUNTIFS(D:D,"AD",F:F,"ATONGOAL",I:I,"S1",E:E,"NEG")</f>
        <v>0</v>
      </c>
      <c r="BC22" s="153">
        <f>BB22/AZ22</f>
        <v>0</v>
      </c>
      <c r="BD22">
        <f>COUNTIFS(D:D,"AD",F:F,"ATON",I:I,"S1",E:E,"NEG")</f>
        <v>1</v>
      </c>
      <c r="BE22">
        <f>COUNTIFS(D:D,"AD",F:F,"ATOF",I:I,"S1",E:E,"NEG")</f>
        <v>0</v>
      </c>
      <c r="BF22">
        <f>COUNTIFS(D:D,"AD",F:F,"ATBK",I:I,"S1",E:E,"NEG",M:M,"")</f>
        <v>0</v>
      </c>
      <c r="BG22" s="115">
        <f>SUM(BB22,BD22:BF22)</f>
        <v>1</v>
      </c>
      <c r="BH22" s="153">
        <f>BG22/AZ22</f>
        <v>0.2</v>
      </c>
      <c r="BI22" s="115">
        <f>COUNTIFS(D:D,"AD",F:F,"ENTRY",I:I,"S1",E:E,"NEG",M:M,"")</f>
        <v>1</v>
      </c>
      <c r="BJ22">
        <f>COUNTIFS(D:D,"AD",F:F,"WINSTAN",I:I,"S1",E:E,"NEG",M:M,"")</f>
        <v>0</v>
      </c>
      <c r="BK22" s="115">
        <f>COUNTIFS(D:D,"AD",F:F,"WINSTANTI",I:I,"S1",E:E,"NEG",M:M,"")</f>
        <v>0</v>
      </c>
      <c r="BL22" s="115">
        <f>COUNTIFS(D:D,"AD",F:F,"ENTRY",I:I,"S1",E:E,"NEG",M:M,"")</f>
        <v>1</v>
      </c>
      <c r="BM22" s="100">
        <f>COUNTIFS(D:D,"AD",F:F,"KEEPOS",I:I,"S1",E:E,"NEG")</f>
        <v>0</v>
      </c>
      <c r="BN22">
        <f>COUNTIFS(D:D,"AD",E:E,"POS",I:I,"S1")</f>
        <v>3</v>
      </c>
    </row>
    <row r="23" spans="1:66">
      <c r="A23" s="346" t="s">
        <v>590</v>
      </c>
      <c r="B23" s="346" t="s">
        <v>616</v>
      </c>
      <c r="C23" s="346">
        <v>372560</v>
      </c>
      <c r="D23" s="346" t="s">
        <v>1</v>
      </c>
      <c r="E23" s="346" t="s">
        <v>2</v>
      </c>
      <c r="F23" s="346" t="s">
        <v>156</v>
      </c>
      <c r="G23" s="346"/>
      <c r="H23" s="346"/>
      <c r="I23" s="346" t="s">
        <v>595</v>
      </c>
      <c r="J23" s="346"/>
      <c r="K23" s="346"/>
      <c r="L23" s="346"/>
      <c r="M23" s="346"/>
      <c r="N23" s="346"/>
      <c r="O23" s="346"/>
      <c r="P23" s="346"/>
      <c r="Q23" s="346"/>
      <c r="R23" s="346"/>
      <c r="S23" s="346"/>
      <c r="T23" s="346">
        <v>22000</v>
      </c>
      <c r="U23" s="346"/>
      <c r="V23" s="346"/>
      <c r="X23" s="115">
        <f t="shared" si="0"/>
        <v>1</v>
      </c>
      <c r="Y23" s="115">
        <f t="shared" si="1"/>
        <v>2</v>
      </c>
      <c r="Z23" s="115" t="e">
        <f t="shared" si="2"/>
        <v>#VALUE!</v>
      </c>
      <c r="AA23" s="115">
        <f t="shared" si="3"/>
        <v>22</v>
      </c>
      <c r="AB23" s="246">
        <f t="shared" si="4"/>
        <v>6</v>
      </c>
      <c r="AF23" s="346" t="s">
        <v>561</v>
      </c>
      <c r="AH23" s="115">
        <f>COUNTIFS(D:D,"DA",I:I,"S2",G:G,"",M:M,"")</f>
        <v>14</v>
      </c>
      <c r="AI23" s="246" t="e">
        <f>AH23/Esitlus!$I$22</f>
        <v>#DIV/0!</v>
      </c>
      <c r="AJ23" s="3">
        <f>COUNTIFS(D:D,"DA",F:F,"ATONGOAL",I:I,"S2",E:E,"POS")</f>
        <v>0</v>
      </c>
      <c r="AK23" s="153">
        <f>AJ23/AH23</f>
        <v>0</v>
      </c>
      <c r="AL23" s="3">
        <f>COUNTIFS(D:D,"DA",F:F,"ATON",I:I,"S2",E:E,"POS")</f>
        <v>0</v>
      </c>
      <c r="AM23" s="3">
        <f>COUNTIFS(D:D,"DA",F:F,"ATOF",I:I,"S2",E:E,"POS")</f>
        <v>0</v>
      </c>
      <c r="AN23" s="3">
        <f>COUNTIFS(D:D,"DA",F:F,"ATBK",I:I,"S2",E:E,"POS")</f>
        <v>0</v>
      </c>
      <c r="AO23" s="115">
        <f>SUM(AJ23,AL23:AN23)</f>
        <v>0</v>
      </c>
      <c r="AP23" s="153">
        <f>AO23/AH23</f>
        <v>0</v>
      </c>
      <c r="AQ23">
        <f>COUNTIFS(D:D,"DA",F:F,"WINSTAN",I:I,"S2",E:E,"POS")</f>
        <v>0</v>
      </c>
      <c r="AR23" s="115">
        <f>COUNTIFS(D:D,"DA",F:F,"WINSTANTI",I:I,"S2",E:E,"POS")</f>
        <v>0</v>
      </c>
      <c r="AS23" s="115">
        <f>COUNTIFS(D:D,"DA",F:F,"ENTRY",I:I,"S2",E:E,"POS")</f>
        <v>2</v>
      </c>
      <c r="AT23" s="100">
        <f>COUNTIFS(D:D,"DA",F:F,"KEEPOS",I:I,"S2",E:E,"POS")</f>
        <v>1</v>
      </c>
      <c r="AU23" s="115">
        <f>COUNTIFS(D:D,"DA",E:E,"NEG",I:I,"S2")</f>
        <v>10</v>
      </c>
      <c r="AX23" s="346" t="s">
        <v>561</v>
      </c>
      <c r="AZ23" s="115">
        <f>COUNTIFS(D:D,"AD",I:I,"S2",G:G,"",M:M,"")</f>
        <v>22</v>
      </c>
      <c r="BA23" s="246" t="e">
        <f>AZ23/Esitlus!$I$22</f>
        <v>#DIV/0!</v>
      </c>
      <c r="BB23">
        <f>COUNTIFS(D:D,"AD",F:F,"ATONGOAL",I:I,"S2",E:E,"NEG")</f>
        <v>0</v>
      </c>
      <c r="BC23" s="153">
        <f>BB23/AZ23</f>
        <v>0</v>
      </c>
      <c r="BD23">
        <f>COUNTIFS(D:D,"AD",F:F,"ATON",I:I,"S2",E:E,"NEG")</f>
        <v>0</v>
      </c>
      <c r="BE23">
        <f>COUNTIFS(D:D,"AD",F:F,"ATOF",I:I,"S2",E:E,"NEG")</f>
        <v>1</v>
      </c>
      <c r="BF23">
        <f>COUNTIFS(D:D,"AD",F:F,"ATBK",I:I,"S2",E:E,"NEG")</f>
        <v>0</v>
      </c>
      <c r="BG23" s="115">
        <f>SUM(BB23,BD23:BF23)</f>
        <v>1</v>
      </c>
      <c r="BH23" s="153">
        <f>BG23/AZ23</f>
        <v>4.5454545454545456E-2</v>
      </c>
      <c r="BI23" s="115">
        <f>COUNTIFS(D:D,"AD",F:F,"ENTRY",I:I,"LOPRESS",E:E,"NEG")</f>
        <v>0</v>
      </c>
      <c r="BJ23">
        <f>COUNTIFS(D:D,"AD",F:F,"WINSTAN",I:I,"S2",E:E,"NEG")</f>
        <v>1</v>
      </c>
      <c r="BK23" s="115">
        <f>COUNTIFS(D:D,"AD",F:F,"WINSTANTI",I:I,"S2",E:E,"NEG")</f>
        <v>0</v>
      </c>
      <c r="BL23" s="115">
        <f>COUNTIFS(D:D,"AD",F:F,"ENTRY",I:I,"S2",E:E,"NEG")</f>
        <v>2</v>
      </c>
      <c r="BM23" s="100">
        <f>COUNTIFS(D:D,"AD",F:F,"KEEPOS",I:I,"S2",E:E,"NEG")</f>
        <v>0</v>
      </c>
      <c r="BN23">
        <f>COUNTIFS(D:D,"AD",E:E,"POS",I:I,"S2")</f>
        <v>9</v>
      </c>
    </row>
    <row r="24" spans="1:66">
      <c r="A24" s="346" t="s">
        <v>590</v>
      </c>
      <c r="B24" s="346" t="s">
        <v>617</v>
      </c>
      <c r="C24" s="346">
        <v>390840</v>
      </c>
      <c r="D24" s="346" t="s">
        <v>5</v>
      </c>
      <c r="E24" s="346" t="s">
        <v>6</v>
      </c>
      <c r="F24" s="346" t="s">
        <v>3</v>
      </c>
      <c r="G24" s="346"/>
      <c r="H24" s="346"/>
      <c r="I24" s="346" t="s">
        <v>595</v>
      </c>
      <c r="J24" s="346"/>
      <c r="K24" s="346"/>
      <c r="L24" s="346"/>
      <c r="M24" s="346"/>
      <c r="N24" s="346"/>
      <c r="O24" s="346"/>
      <c r="P24" s="346"/>
      <c r="Q24" s="346"/>
      <c r="R24" s="346"/>
      <c r="S24" s="346"/>
      <c r="T24" s="346">
        <v>19280</v>
      </c>
      <c r="U24" s="346"/>
      <c r="V24" s="346"/>
      <c r="X24" s="115">
        <f t="shared" si="0"/>
        <v>1</v>
      </c>
      <c r="Y24" s="115">
        <f t="shared" si="1"/>
        <v>2</v>
      </c>
      <c r="Z24" s="115" t="e">
        <f t="shared" si="2"/>
        <v>#VALUE!</v>
      </c>
      <c r="AA24" s="115">
        <f t="shared" si="3"/>
        <v>19.28</v>
      </c>
      <c r="AB24" s="246">
        <f>IF(ROUND(C24/60000,0)=0,1,ROUND(C24/60000,0))</f>
        <v>7</v>
      </c>
      <c r="AF24" s="346" t="s">
        <v>565</v>
      </c>
      <c r="AH24" s="115">
        <f>COUNTIFS(D:D,"DA",I:I,"S3",G:G,"",M:M,"")</f>
        <v>4</v>
      </c>
      <c r="AI24" s="246" t="e">
        <f>AH24/Esitlus!$I$22</f>
        <v>#DIV/0!</v>
      </c>
      <c r="AJ24" s="3">
        <f>COUNTIFS(D:D,"DA",F:F,"ATONGOAL",I:I,"S3",E:E,"POS")</f>
        <v>0</v>
      </c>
      <c r="AK24" s="153">
        <f>AJ24/AH24</f>
        <v>0</v>
      </c>
      <c r="AL24" s="3">
        <f>COUNTIFS(D:D,"DA",F:F,"ATON",I:I,"S3",E:E,"POS")</f>
        <v>0</v>
      </c>
      <c r="AM24" s="3">
        <f>COUNTIFS(D:D,"DA",F:F,"ATOF",I:I,"S3",E:E,"POS")</f>
        <v>0</v>
      </c>
      <c r="AN24" s="3">
        <f>COUNTIFS(D:D,"DA",F:F,"ATBK",I:I,"S3",E:E,"POS")</f>
        <v>0</v>
      </c>
      <c r="AO24" s="115">
        <f>SUM(AJ24,AL24:AN24)</f>
        <v>0</v>
      </c>
      <c r="AP24" s="153">
        <f>AO24/AH24</f>
        <v>0</v>
      </c>
      <c r="AQ24">
        <f>COUNTIFS(D:D,"DA",F:F,"WINSTAN",I:I,"S3",E:E,"POS")</f>
        <v>0</v>
      </c>
      <c r="AR24" s="115">
        <f>COUNTIFS(D:D,"DA",F:F,"WINSTANTI",I:I,"S3",E:E,"POS")</f>
        <v>0</v>
      </c>
      <c r="AS24" s="115">
        <f>COUNTIFS(D:D,"DA",F:F,"ENTRY",I:I,"S3",E:E,"POS")</f>
        <v>2</v>
      </c>
      <c r="AT24" s="100">
        <f>COUNTIFS(D:D,"DA",F:F,"KEEPOS",I:I,"S3",E:E,"POS")</f>
        <v>0</v>
      </c>
      <c r="AU24" s="115">
        <f>COUNTIFS(D:D,"DA",E:E,"NEG",I:I,"S3")</f>
        <v>2</v>
      </c>
      <c r="AX24" s="346" t="s">
        <v>565</v>
      </c>
      <c r="AZ24" s="115">
        <f>COUNTIFS(D:D,"AD",I:I,"S3",G:G,"",M:M,"")</f>
        <v>19</v>
      </c>
      <c r="BA24" s="246" t="e">
        <f>AZ24/Esitlus!$I$22</f>
        <v>#DIV/0!</v>
      </c>
      <c r="BB24">
        <f>COUNTIFS(D:D,"AD",F:F,"ATONGOAL",I:I,"S3",E:E,"NEG")</f>
        <v>0</v>
      </c>
      <c r="BC24" s="153">
        <f>BB24/AZ24</f>
        <v>0</v>
      </c>
      <c r="BD24">
        <f>COUNTIFS(D:D,"AD",F:F,"ATON",I:I,"S3",E:E,"NEG")</f>
        <v>1</v>
      </c>
      <c r="BE24">
        <f>COUNTIFS(D:D,"AD",F:F,"ATOF",I:I,"S3",E:E,"NEG")</f>
        <v>2</v>
      </c>
      <c r="BF24">
        <f>COUNTIFS(D:D,"AD",F:F,"ATBK",I:I,"S3",E:E,"NEG")</f>
        <v>0</v>
      </c>
      <c r="BG24" s="115">
        <f>SUM(BB24,BD24:BF24)</f>
        <v>3</v>
      </c>
      <c r="BH24" s="153">
        <f>BG24/AZ24</f>
        <v>0.15789473684210525</v>
      </c>
      <c r="BI24" s="115">
        <f>COUNTIFS(D:D,"AD",F:F,"ENTRY",I:I,"S3",E:E,"NEG")</f>
        <v>0</v>
      </c>
      <c r="BJ24">
        <f>COUNTIFS(D:D,"AD",F:F,"WINSTAN",I:I,"S3",E:E,"NEG")</f>
        <v>2</v>
      </c>
      <c r="BK24" s="115">
        <f>COUNTIFS(D:D,"AD",F:F,"WINSTANTI",I:I,"S3",E:E,"NEG")</f>
        <v>0</v>
      </c>
      <c r="BL24" s="115">
        <f>COUNTIFS(D:D,"AD",F:F,"ENTRY",I:I,"S3",E:E,"NEG")</f>
        <v>0</v>
      </c>
      <c r="BM24" s="100">
        <f>COUNTIFS(D:D,"AD",F:F,"KEEPOS",I:I,"S3",E:E,"NEG")</f>
        <v>0</v>
      </c>
      <c r="BN24">
        <f>COUNTIFS(D:D,"AD",E:E,"POS",I:I,"S3")</f>
        <v>7</v>
      </c>
    </row>
    <row r="25" spans="1:66">
      <c r="A25" s="346" t="s">
        <v>590</v>
      </c>
      <c r="B25" s="346" t="s">
        <v>618</v>
      </c>
      <c r="C25" s="346">
        <v>394880</v>
      </c>
      <c r="D25" s="346" t="s">
        <v>17</v>
      </c>
      <c r="E25" s="346" t="s">
        <v>2</v>
      </c>
      <c r="F25" s="346" t="s">
        <v>156</v>
      </c>
      <c r="G25" s="346"/>
      <c r="H25" s="346"/>
      <c r="I25" s="346" t="s">
        <v>561</v>
      </c>
      <c r="J25" s="346"/>
      <c r="K25" s="346"/>
      <c r="L25" s="346" t="s">
        <v>566</v>
      </c>
      <c r="M25" s="346"/>
      <c r="N25" s="346"/>
      <c r="O25" s="346"/>
      <c r="P25" s="346"/>
      <c r="Q25" s="346"/>
      <c r="R25" s="346"/>
      <c r="S25" s="346"/>
      <c r="T25" s="346">
        <v>19480</v>
      </c>
      <c r="U25" s="346"/>
      <c r="V25" s="346"/>
      <c r="X25" s="115">
        <f t="shared" si="0"/>
        <v>1</v>
      </c>
      <c r="Y25" s="115">
        <f t="shared" si="1"/>
        <v>2</v>
      </c>
      <c r="Z25" s="115" t="e">
        <f t="shared" si="2"/>
        <v>#VALUE!</v>
      </c>
      <c r="AA25" s="115">
        <f t="shared" si="3"/>
        <v>19.48</v>
      </c>
      <c r="AB25" s="246">
        <f t="shared" si="4"/>
        <v>7</v>
      </c>
      <c r="AF25" t="s">
        <v>45</v>
      </c>
      <c r="AH25">
        <f>SUM(AH22:AH24)</f>
        <v>35</v>
      </c>
      <c r="AI25" s="246" t="e">
        <f>AH25/Esitlus!$I$22</f>
        <v>#DIV/0!</v>
      </c>
      <c r="AJ25" s="115">
        <f t="shared" ref="AJ25" si="13">SUM(AJ22:AJ24)</f>
        <v>0</v>
      </c>
      <c r="AK25" s="153">
        <f>AJ25/AH25</f>
        <v>0</v>
      </c>
      <c r="AL25" s="115">
        <f>SUM(AL22:AL24)</f>
        <v>0</v>
      </c>
      <c r="AM25" s="115">
        <f>SUM(AM22:AM24)</f>
        <v>0</v>
      </c>
      <c r="AN25" s="115">
        <f>SUM(AN22:AN24)</f>
        <v>0</v>
      </c>
      <c r="AO25" s="115">
        <f>SUM(AJ25,AL25:AN25)</f>
        <v>0</v>
      </c>
      <c r="AP25" s="153">
        <f>AO25/AH25</f>
        <v>0</v>
      </c>
      <c r="AQ25" s="115">
        <f>SUM(AQ22:AQ24)</f>
        <v>3</v>
      </c>
      <c r="AR25" s="115">
        <f>SUM(AR22:AR24)</f>
        <v>1</v>
      </c>
      <c r="AS25" s="115">
        <f>SUM(AS22:AS24)</f>
        <v>4</v>
      </c>
      <c r="AT25" s="115">
        <f>SUM(AT22:AT24)</f>
        <v>1</v>
      </c>
      <c r="AU25" s="115">
        <f>SUM(AU22:AU24)</f>
        <v>25</v>
      </c>
      <c r="AX25" t="s">
        <v>45</v>
      </c>
      <c r="AZ25">
        <f>SUM(AZ22:AZ24)</f>
        <v>46</v>
      </c>
      <c r="BA25" s="246" t="e">
        <f>AZ25/Esitlus!$I$22</f>
        <v>#DIV/0!</v>
      </c>
      <c r="BB25" s="115">
        <f t="shared" ref="BB25" si="14">SUM(BB22:BB24)</f>
        <v>0</v>
      </c>
      <c r="BC25" s="153">
        <f>BB25/AZ25</f>
        <v>0</v>
      </c>
      <c r="BD25" s="115">
        <f>SUM(BD22:BD24)</f>
        <v>2</v>
      </c>
      <c r="BE25" s="115">
        <f>SUM(BE22:BE24)</f>
        <v>3</v>
      </c>
      <c r="BF25" s="115">
        <f>SUM(BF22:BF24)</f>
        <v>0</v>
      </c>
      <c r="BG25" s="115">
        <f>SUM(BB25,BD25:BF25)</f>
        <v>5</v>
      </c>
      <c r="BH25" s="153">
        <f>BG25/AZ25</f>
        <v>0.10869565217391304</v>
      </c>
      <c r="BI25" s="115">
        <f t="shared" ref="BI25:BN25" si="15">SUM(BI22:BI24)</f>
        <v>1</v>
      </c>
      <c r="BJ25" s="115">
        <f t="shared" si="15"/>
        <v>3</v>
      </c>
      <c r="BK25" s="115">
        <f t="shared" si="15"/>
        <v>0</v>
      </c>
      <c r="BL25" s="115">
        <f t="shared" si="15"/>
        <v>3</v>
      </c>
      <c r="BM25" s="115">
        <f t="shared" si="15"/>
        <v>0</v>
      </c>
      <c r="BN25" s="115">
        <f t="shared" si="15"/>
        <v>19</v>
      </c>
    </row>
    <row r="26" spans="1:66">
      <c r="A26" s="346" t="s">
        <v>590</v>
      </c>
      <c r="B26" s="346" t="s">
        <v>619</v>
      </c>
      <c r="C26" s="346">
        <v>402360</v>
      </c>
      <c r="D26" s="346" t="s">
        <v>14</v>
      </c>
      <c r="E26" s="346" t="s">
        <v>6</v>
      </c>
      <c r="F26" s="346" t="s">
        <v>3</v>
      </c>
      <c r="G26" s="346"/>
      <c r="H26" s="346"/>
      <c r="I26" s="346" t="s">
        <v>561</v>
      </c>
      <c r="J26" s="346"/>
      <c r="K26" s="346"/>
      <c r="L26" s="346" t="s">
        <v>571</v>
      </c>
      <c r="M26" s="346"/>
      <c r="N26" s="346"/>
      <c r="O26" s="346"/>
      <c r="P26" s="346"/>
      <c r="Q26" s="346"/>
      <c r="R26" s="346"/>
      <c r="S26" s="346"/>
      <c r="T26" s="346">
        <v>21160</v>
      </c>
      <c r="U26" s="346"/>
      <c r="V26" s="346"/>
      <c r="X26" s="115">
        <f t="shared" si="0"/>
        <v>1</v>
      </c>
      <c r="Y26" s="115">
        <f t="shared" si="1"/>
        <v>2</v>
      </c>
      <c r="Z26" s="115" t="e">
        <f t="shared" si="2"/>
        <v>#VALUE!</v>
      </c>
      <c r="AA26" s="115">
        <f t="shared" si="3"/>
        <v>21.16</v>
      </c>
      <c r="AB26" s="246">
        <f t="shared" si="4"/>
        <v>7</v>
      </c>
      <c r="AJ26" s="346" t="s">
        <v>703</v>
      </c>
      <c r="AK26" t="s">
        <v>477</v>
      </c>
      <c r="AL26" t="s">
        <v>310</v>
      </c>
      <c r="AM26" t="s">
        <v>156</v>
      </c>
      <c r="AN26" t="s">
        <v>3</v>
      </c>
      <c r="AZ26" s="115"/>
      <c r="BA26" s="115"/>
      <c r="BB26" s="346" t="s">
        <v>703</v>
      </c>
      <c r="BC26" s="115" t="s">
        <v>477</v>
      </c>
      <c r="BD26" s="115" t="s">
        <v>310</v>
      </c>
      <c r="BE26" s="115" t="s">
        <v>156</v>
      </c>
      <c r="BF26" s="115" t="s">
        <v>3</v>
      </c>
      <c r="BG26" s="115"/>
      <c r="BH26" s="115"/>
      <c r="BJ26" s="115"/>
      <c r="BK26" s="115"/>
      <c r="BL26" s="115"/>
    </row>
    <row r="27" spans="1:66">
      <c r="A27" s="346" t="s">
        <v>590</v>
      </c>
      <c r="B27" s="346" t="s">
        <v>620</v>
      </c>
      <c r="C27" s="346">
        <v>411520</v>
      </c>
      <c r="D27" s="346" t="s">
        <v>17</v>
      </c>
      <c r="E27" s="346" t="s">
        <v>6</v>
      </c>
      <c r="F27" s="346" t="s">
        <v>7</v>
      </c>
      <c r="G27" s="346"/>
      <c r="H27" s="346"/>
      <c r="I27" s="346" t="s">
        <v>561</v>
      </c>
      <c r="J27" s="346"/>
      <c r="K27" s="346"/>
      <c r="L27" s="346" t="s">
        <v>567</v>
      </c>
      <c r="M27" s="346"/>
      <c r="N27" s="346"/>
      <c r="O27" s="346"/>
      <c r="P27" s="346"/>
      <c r="Q27" s="346"/>
      <c r="R27" s="346"/>
      <c r="S27" s="346"/>
      <c r="T27" s="346">
        <v>22800</v>
      </c>
      <c r="U27" s="346"/>
      <c r="V27" s="346"/>
      <c r="X27" s="115">
        <f t="shared" si="0"/>
        <v>-6</v>
      </c>
      <c r="Y27" s="115">
        <f t="shared" si="1"/>
        <v>-5</v>
      </c>
      <c r="Z27" s="115" t="e">
        <f t="shared" si="2"/>
        <v>#VALUE!</v>
      </c>
      <c r="AA27" s="115">
        <f t="shared" si="3"/>
        <v>22.8</v>
      </c>
      <c r="AB27" s="246">
        <f t="shared" si="4"/>
        <v>7</v>
      </c>
      <c r="AJ27">
        <f>AJ25</f>
        <v>0</v>
      </c>
      <c r="AK27">
        <f>SUM(AL25:AN25)</f>
        <v>0</v>
      </c>
      <c r="AL27">
        <f>SUM(AQ25:AS25)</f>
        <v>8</v>
      </c>
      <c r="AM27">
        <f>AT25</f>
        <v>1</v>
      </c>
      <c r="AN27">
        <f>AU25</f>
        <v>25</v>
      </c>
      <c r="BB27" s="115">
        <f>BB25</f>
        <v>0</v>
      </c>
      <c r="BC27" s="115">
        <f>SUM(BD25:BF25)</f>
        <v>5</v>
      </c>
      <c r="BD27" s="115">
        <f>SUM(BI25:BK25)</f>
        <v>4</v>
      </c>
      <c r="BE27" s="115">
        <f>BM25</f>
        <v>0</v>
      </c>
      <c r="BF27" s="115">
        <f>BN25</f>
        <v>19</v>
      </c>
    </row>
    <row r="28" spans="1:66">
      <c r="A28" s="346" t="s">
        <v>590</v>
      </c>
      <c r="B28" s="346" t="s">
        <v>621</v>
      </c>
      <c r="C28" s="346">
        <v>465680</v>
      </c>
      <c r="D28" s="346" t="s">
        <v>1</v>
      </c>
      <c r="E28" s="346" t="s">
        <v>2</v>
      </c>
      <c r="F28" s="346" t="s">
        <v>156</v>
      </c>
      <c r="G28" s="346"/>
      <c r="H28" s="346"/>
      <c r="I28" s="346"/>
      <c r="J28" s="346"/>
      <c r="K28" s="346"/>
      <c r="L28" s="346"/>
      <c r="M28" s="346" t="s">
        <v>10</v>
      </c>
      <c r="N28" s="346"/>
      <c r="O28" s="346"/>
      <c r="P28" s="346"/>
      <c r="Q28" s="346"/>
      <c r="R28" s="346"/>
      <c r="S28" s="346"/>
      <c r="T28" s="346">
        <v>9920</v>
      </c>
      <c r="U28" s="346"/>
      <c r="V28" s="346"/>
      <c r="X28" s="115">
        <f t="shared" si="0"/>
        <v>1</v>
      </c>
      <c r="Y28" s="115">
        <f t="shared" si="1"/>
        <v>-5</v>
      </c>
      <c r="Z28" s="115" t="e">
        <f t="shared" si="2"/>
        <v>#VALUE!</v>
      </c>
      <c r="AA28" s="115">
        <f t="shared" si="3"/>
        <v>9.92</v>
      </c>
      <c r="AB28" s="246">
        <f t="shared" si="4"/>
        <v>8</v>
      </c>
    </row>
    <row r="29" spans="1:66">
      <c r="A29" s="346" t="s">
        <v>590</v>
      </c>
      <c r="B29" s="346" t="s">
        <v>622</v>
      </c>
      <c r="C29" s="346">
        <v>475720</v>
      </c>
      <c r="D29" s="346" t="s">
        <v>5</v>
      </c>
      <c r="E29" s="346" t="s">
        <v>6</v>
      </c>
      <c r="F29" s="346" t="s">
        <v>3</v>
      </c>
      <c r="G29" s="346" t="s">
        <v>27</v>
      </c>
      <c r="H29" s="346"/>
      <c r="I29" s="346" t="s">
        <v>595</v>
      </c>
      <c r="J29" s="346"/>
      <c r="K29" s="346"/>
      <c r="L29" s="346"/>
      <c r="M29" s="346"/>
      <c r="N29" s="346"/>
      <c r="O29" s="346"/>
      <c r="P29" s="346"/>
      <c r="Q29" s="346"/>
      <c r="R29" s="346"/>
      <c r="S29" s="346"/>
      <c r="T29" s="346">
        <v>15200</v>
      </c>
      <c r="U29" s="346"/>
      <c r="V29" s="346"/>
      <c r="X29" s="115">
        <f t="shared" si="0"/>
        <v>1</v>
      </c>
      <c r="Y29" s="115">
        <f t="shared" si="1"/>
        <v>2</v>
      </c>
      <c r="Z29" s="115" t="e">
        <f t="shared" si="2"/>
        <v>#VALUE!</v>
      </c>
      <c r="AA29" s="115">
        <f t="shared" si="3"/>
        <v>15.2</v>
      </c>
      <c r="AB29" s="246">
        <f t="shared" si="4"/>
        <v>8</v>
      </c>
    </row>
    <row r="30" spans="1:66">
      <c r="A30" s="346" t="s">
        <v>590</v>
      </c>
      <c r="B30" s="346" t="s">
        <v>623</v>
      </c>
      <c r="C30" s="346">
        <v>523560</v>
      </c>
      <c r="D30" s="346" t="s">
        <v>1</v>
      </c>
      <c r="E30" s="346" t="s">
        <v>2</v>
      </c>
      <c r="F30" s="346" t="s">
        <v>156</v>
      </c>
      <c r="G30" s="346"/>
      <c r="H30" s="346"/>
      <c r="I30" s="346" t="s">
        <v>595</v>
      </c>
      <c r="J30" s="346"/>
      <c r="K30" s="346"/>
      <c r="L30" s="346"/>
      <c r="M30" s="346"/>
      <c r="N30" s="346"/>
      <c r="O30" s="346"/>
      <c r="P30" s="346"/>
      <c r="Q30" s="346"/>
      <c r="R30" s="346"/>
      <c r="S30" s="346"/>
      <c r="T30" s="346">
        <v>20360</v>
      </c>
      <c r="U30" s="346"/>
      <c r="V30" s="346"/>
      <c r="X30" s="115">
        <f t="shared" si="0"/>
        <v>1</v>
      </c>
      <c r="Y30" s="115">
        <f t="shared" si="1"/>
        <v>2</v>
      </c>
      <c r="Z30" s="115" t="e">
        <f t="shared" si="2"/>
        <v>#VALUE!</v>
      </c>
      <c r="AA30" s="115">
        <f t="shared" si="3"/>
        <v>20.36</v>
      </c>
      <c r="AB30" s="246">
        <f t="shared" si="4"/>
        <v>9</v>
      </c>
      <c r="AG30" s="1"/>
      <c r="AH30" t="s">
        <v>41</v>
      </c>
      <c r="AI30" s="346" t="s">
        <v>703</v>
      </c>
      <c r="AJ30" t="s">
        <v>9</v>
      </c>
      <c r="AK30" t="s">
        <v>8</v>
      </c>
      <c r="AL30" t="s">
        <v>19</v>
      </c>
      <c r="AM30" t="s">
        <v>7</v>
      </c>
      <c r="AN30" s="115" t="s">
        <v>163</v>
      </c>
      <c r="AO30" t="s">
        <v>310</v>
      </c>
      <c r="AP30" t="s">
        <v>156</v>
      </c>
      <c r="AQ30" s="1" t="s">
        <v>3</v>
      </c>
      <c r="AV30" s="1"/>
      <c r="AX30" s="346" t="s">
        <v>703</v>
      </c>
      <c r="AY30" t="s">
        <v>9</v>
      </c>
      <c r="AZ30" t="s">
        <v>8</v>
      </c>
      <c r="BA30" t="s">
        <v>19</v>
      </c>
      <c r="BB30" t="s">
        <v>7</v>
      </c>
      <c r="BC30" s="115" t="s">
        <v>163</v>
      </c>
      <c r="BD30" t="s">
        <v>310</v>
      </c>
      <c r="BE30" t="s">
        <v>156</v>
      </c>
      <c r="BF30" s="1" t="s">
        <v>3</v>
      </c>
    </row>
    <row r="31" spans="1:66">
      <c r="A31" s="346" t="s">
        <v>590</v>
      </c>
      <c r="B31" s="346" t="s">
        <v>624</v>
      </c>
      <c r="C31" s="346">
        <v>548520</v>
      </c>
      <c r="D31" s="346" t="s">
        <v>5</v>
      </c>
      <c r="E31" s="346" t="s">
        <v>2</v>
      </c>
      <c r="F31" s="346" t="s">
        <v>310</v>
      </c>
      <c r="G31" s="346"/>
      <c r="H31" s="346"/>
      <c r="I31" s="346" t="s">
        <v>595</v>
      </c>
      <c r="J31" s="346"/>
      <c r="K31" s="346"/>
      <c r="L31" s="346"/>
      <c r="M31" s="346"/>
      <c r="N31" s="346"/>
      <c r="O31" s="346"/>
      <c r="P31" s="346"/>
      <c r="Q31" s="346"/>
      <c r="R31" s="346"/>
      <c r="S31" s="346"/>
      <c r="T31" s="346">
        <v>60520</v>
      </c>
      <c r="U31" s="346"/>
      <c r="V31" s="346"/>
      <c r="X31" s="115">
        <f t="shared" si="0"/>
        <v>2</v>
      </c>
      <c r="Y31" s="115">
        <f t="shared" si="1"/>
        <v>3</v>
      </c>
      <c r="Z31" s="115" t="e">
        <f t="shared" si="2"/>
        <v>#VALUE!</v>
      </c>
      <c r="AA31" s="115">
        <f t="shared" si="3"/>
        <v>60.52</v>
      </c>
      <c r="AB31" s="246">
        <f t="shared" si="4"/>
        <v>9</v>
      </c>
      <c r="AE31" t="s">
        <v>5</v>
      </c>
      <c r="AF31" t="s">
        <v>11</v>
      </c>
      <c r="AG31" s="346" t="s">
        <v>563</v>
      </c>
      <c r="AH31">
        <f>AI31+AJ31+AK31+AL31+AM31+AQ31</f>
        <v>0</v>
      </c>
      <c r="AI31">
        <f>COUNTIFS(D:D,"AA",H:H,"SHORT",F:F,"ATONGOAL",I:I,"S1",G:G,"",M:M,"")</f>
        <v>0</v>
      </c>
      <c r="AJ31">
        <f>COUNTIFS(D:D,"AA",H:H,"SHORT",F:F,"ATON",I:I,"S1",G:G,"",M:M,"")</f>
        <v>0</v>
      </c>
      <c r="AK31">
        <f>COUNTIFS(D:D,"AA",H:H,"SHORT",F:F,"ATOF",I:I,"S1",G:G,"",M:M,"")</f>
        <v>0</v>
      </c>
      <c r="AL31">
        <f>COUNTIFS(D:D,"AA",H:H,"SHORT",F:F,"ATBK",I:I,"S1",G:G,"",M:M,"")</f>
        <v>0</v>
      </c>
      <c r="AM31">
        <f>COUNTIFS(D:D,"AA",H:H,"SHORT",F:F,"WINSTAN",I:I,"S1",E:E,"POS",G:G,"",M:M,"")</f>
        <v>0</v>
      </c>
      <c r="AN31" s="115">
        <f>COUNTIFS(D:D,"AA",H:H,"SHORT",F:F,"WINSTANTI",I:I,"S1",E:E,"POS",G:G,"",M:M,"")</f>
        <v>0</v>
      </c>
      <c r="AO31" s="115">
        <f>COUNTIFS(D:D,"AA",H:H,"SHORT",F:F,"ENTRY",I:I,"S1",G:G,"",M:M,"")</f>
        <v>0</v>
      </c>
      <c r="AP31" s="115">
        <f>COUNTIFS(D:D,"AA",H:H,"SHORT",F:F,"KEEPOS",I:I,"S1",G:G,"",M:M,"")</f>
        <v>0</v>
      </c>
      <c r="AQ31">
        <f>COUNTIFS(D:D,"AA",H:H,"SHORT",E:E,"NEG",I:I,"S1",G:G,"",M:M,"")</f>
        <v>0</v>
      </c>
      <c r="AR31"/>
      <c r="AT31" t="s">
        <v>1</v>
      </c>
      <c r="AU31" t="s">
        <v>11</v>
      </c>
      <c r="AV31" s="346" t="s">
        <v>563</v>
      </c>
      <c r="AX31">
        <f>COUNTIFS(D:D,"DD",H:H,"SHORT",F:F,"ATONGOAL",I:I,"S1",G:G,"",M:M,"")</f>
        <v>0</v>
      </c>
      <c r="AY31">
        <f>COUNTIFS(D:D,"DD",H:H,"SHORT",F:F,"ATON",I:I,"S1",G:G,"",M:M,"")</f>
        <v>0</v>
      </c>
      <c r="AZ31">
        <f>COUNTIFS(D:D,"DD",H:H,"SHORT",F:F,"ATOF",I:I,"S1",G:G,"",M:M,"")</f>
        <v>0</v>
      </c>
      <c r="BA31">
        <f>COUNTIFS(D:D,"DD",H:H,"SHORT",F:F,"ATBK",I:I,"S1",G:G,"",M:M,"")</f>
        <v>0</v>
      </c>
      <c r="BB31">
        <f>COUNTIFS(D:D,"DD",H:H,"SHORT",F:F,"WINSTAN",I:I,"S1",E:E,"NEG",G:G,"",M:M,"")</f>
        <v>0</v>
      </c>
      <c r="BC31" s="115">
        <f>COUNTIFS(D:D,"DD",H:H,"SHORT",F:F,"WINSTANTI",I:I,"S1",E:E,"NEG",G:G,"",M:M,"")</f>
        <v>0</v>
      </c>
      <c r="BD31" s="115">
        <f>COUNTIFS(D:D,"DD",H:H,"SHORT",F:F,"ENTRY",I:I,"S1",E:E,"NEG",G:G,"",M:M,"")</f>
        <v>0</v>
      </c>
      <c r="BE31" s="115">
        <f>COUNTIFS(D:D,"DD",H:H,"SHORT",F:F,"KEEPOS",I:I,"S1",E:E,"NEG",G:G,"",M:M,"")</f>
        <v>0</v>
      </c>
      <c r="BF31">
        <f>COUNTIFS(D:D,"DD",H:H,"SHORT",E:E,"POS",I:I,"S1",G:G,"",M:M,"")</f>
        <v>0</v>
      </c>
    </row>
    <row r="32" spans="1:66">
      <c r="A32" s="346" t="s">
        <v>590</v>
      </c>
      <c r="B32" s="346" t="s">
        <v>625</v>
      </c>
      <c r="C32" s="346">
        <v>615720</v>
      </c>
      <c r="D32" s="346" t="s">
        <v>1</v>
      </c>
      <c r="E32" s="346" t="s">
        <v>2</v>
      </c>
      <c r="F32" s="346" t="s">
        <v>156</v>
      </c>
      <c r="G32" s="346" t="s">
        <v>29</v>
      </c>
      <c r="H32" s="346"/>
      <c r="I32" s="346"/>
      <c r="J32" s="346"/>
      <c r="K32" s="346"/>
      <c r="L32" s="346"/>
      <c r="M32" s="346"/>
      <c r="N32" s="346"/>
      <c r="O32" s="346"/>
      <c r="P32" s="346"/>
      <c r="Q32" s="346"/>
      <c r="R32" s="346"/>
      <c r="S32" s="346"/>
      <c r="T32" s="346">
        <v>18040</v>
      </c>
      <c r="U32" s="346"/>
      <c r="V32" s="346"/>
      <c r="X32" s="115">
        <f t="shared" si="0"/>
        <v>1</v>
      </c>
      <c r="Y32" s="115">
        <f t="shared" si="1"/>
        <v>3</v>
      </c>
      <c r="Z32" s="115" t="e">
        <f t="shared" si="2"/>
        <v>#VALUE!</v>
      </c>
      <c r="AA32" s="115">
        <f t="shared" si="3"/>
        <v>18.04</v>
      </c>
      <c r="AB32" s="246">
        <f t="shared" si="4"/>
        <v>10</v>
      </c>
      <c r="AG32" s="346" t="s">
        <v>561</v>
      </c>
      <c r="AH32">
        <f>AI32+AJ32+AK32+AL32+AM32+AQ32</f>
        <v>0</v>
      </c>
      <c r="AI32">
        <f>COUNTIFS(D:D,"AA",H:H,"SHORT",F:F,"ATONGOAL",I:I,"S2",G:G,"",M:M,"")</f>
        <v>0</v>
      </c>
      <c r="AJ32">
        <f>COUNTIFS(D:D,"AA",H:H,"SHORT",F:F,"ATON",I:I,"S2",G:G,"",M:M,"")</f>
        <v>0</v>
      </c>
      <c r="AK32">
        <f>COUNTIFS(D:D,"AA",H:H,"SHORT",F:F,"ATOF",I:I,"S2",G:G,"",M:M,"")</f>
        <v>0</v>
      </c>
      <c r="AL32">
        <f>COUNTIFS(D:D,"AA",H:H,"SHORT",F:F,"ATBK",I:I,"S2",G:G,"",M:M,"")</f>
        <v>0</v>
      </c>
      <c r="AM32">
        <f>COUNTIFS(D:D,"AA",H:H,"SHORT",F:F,"WINSTAN",I:I,"S2",E:E,"POS",G:G,"",M:M,"")</f>
        <v>0</v>
      </c>
      <c r="AN32" s="115">
        <f>COUNTIFS(D:D,"AA",H:H,"SHORT",F:F,"WINSTANTI",I:I,"S2",E:E,"POS",G:G,"",M:M,"")</f>
        <v>0</v>
      </c>
      <c r="AO32" s="115">
        <f>COUNTIFS(D:D,"AA",H:H,"SHORT",F:F,"ENTRY",I:I,"S2",G:G,"",M:M,"")</f>
        <v>0</v>
      </c>
      <c r="AP32" s="115">
        <f>COUNTIFS(D:D,"AA",H:H,"SHORT",F:F,"KEEPOS",I:I,"S2",G:G,"",M:M,"")</f>
        <v>0</v>
      </c>
      <c r="AQ32">
        <f>COUNTIFS(D:D,"AA",H:H,"SHORT",E:E,"NEG",I:I,"S2",G:G,"",M:M,"")</f>
        <v>0</v>
      </c>
      <c r="AR32"/>
      <c r="AV32" s="346" t="s">
        <v>561</v>
      </c>
      <c r="AX32">
        <f>COUNTIFS(D:D,"DD",H:H,"SHORT",F:F,"ATONGOAL",I:I,"S2",G:G,"",M:M,"")</f>
        <v>0</v>
      </c>
      <c r="AY32">
        <f>COUNTIFS(D:D,"DD",H:H,"SHORT",F:F,"ATON",I:I,"S2",G:G,"",M:M,"")</f>
        <v>0</v>
      </c>
      <c r="AZ32">
        <f>COUNTIFS(D:D,"DD",H:H,"SHORT",F:F,"ATOF",I:I,"S2",G:G,"",M:M,"")</f>
        <v>0</v>
      </c>
      <c r="BA32">
        <f>COUNTIFS(D:D,"DD",H:H,"SHORT",F:F,"ATBK",I:I,"S2",G:G,"",M:M,"")</f>
        <v>0</v>
      </c>
      <c r="BB32">
        <f>COUNTIFS(D:D,"DD",H:H,"SHORT",F:F,"WINSTAN",I:I,"S2",E:E,"NEG",G:G,"",M:M,"")</f>
        <v>0</v>
      </c>
      <c r="BC32" s="115">
        <f>COUNTIFS(D:D,"DD",H:H,"SHORT",F:F,"WINSTANTI",I:I,"S2",E:E,"NEG",G:G,"",M:M,"")</f>
        <v>0</v>
      </c>
      <c r="BD32" s="115">
        <f>COUNTIFS(D:D,"DD",H:H,"SHORT",F:F,"ENTRY",I:I,"S2",E:E,"NEG",G:G,"",M:M,"")</f>
        <v>0</v>
      </c>
      <c r="BE32" s="115">
        <f>COUNTIFS(D:D,"DD",H:H,"SHORT",F:F,"KEEPOS",I:I,"S2",E:E,"NEG",G:G,"",M:M,"")</f>
        <v>0</v>
      </c>
      <c r="BF32">
        <f>COUNTIFS(D:D,"DD",H:H,"SHORT",E:E,"POS",I:I,"S2",G:G,"",M:M,"")</f>
        <v>0</v>
      </c>
    </row>
    <row r="33" spans="1:58">
      <c r="A33" s="346" t="s">
        <v>590</v>
      </c>
      <c r="B33" s="346" t="s">
        <v>626</v>
      </c>
      <c r="C33" s="346">
        <v>628600</v>
      </c>
      <c r="D33" s="346" t="s">
        <v>5</v>
      </c>
      <c r="E33" s="346"/>
      <c r="F33" s="346"/>
      <c r="G33" s="346" t="s">
        <v>29</v>
      </c>
      <c r="H33" s="346"/>
      <c r="I33" s="346"/>
      <c r="J33" s="346"/>
      <c r="K33" s="346"/>
      <c r="L33" s="346"/>
      <c r="M33" s="346"/>
      <c r="N33" s="346"/>
      <c r="O33" s="346"/>
      <c r="P33" s="346"/>
      <c r="Q33" s="346"/>
      <c r="R33" s="346"/>
      <c r="S33" s="346"/>
      <c r="T33" s="346">
        <v>14480</v>
      </c>
      <c r="U33" s="346"/>
      <c r="V33" s="346"/>
      <c r="X33" s="115">
        <f t="shared" si="0"/>
        <v>0</v>
      </c>
      <c r="Y33" s="115">
        <f t="shared" si="1"/>
        <v>1</v>
      </c>
      <c r="Z33" s="115" t="e">
        <f t="shared" si="2"/>
        <v>#VALUE!</v>
      </c>
      <c r="AA33" s="115">
        <f t="shared" si="3"/>
        <v>14.48</v>
      </c>
      <c r="AB33" s="246">
        <f t="shared" si="4"/>
        <v>10</v>
      </c>
      <c r="AG33" s="346" t="s">
        <v>565</v>
      </c>
      <c r="AH33">
        <f>AI33+AJ33+AK33+AL33+AM33+AQ33</f>
        <v>0</v>
      </c>
      <c r="AI33">
        <f>COUNTIFS(D:D,"AA",H:H,"SHORT",F:F,"ATONGOAL",I:I,"S3",G:G,"",M:M,"")</f>
        <v>0</v>
      </c>
      <c r="AJ33">
        <f>COUNTIFS(D:D,"AA",H:H,"SHORT",F:F,"ATON",I:I,"S3",G:G,"",M:M,"")</f>
        <v>0</v>
      </c>
      <c r="AK33">
        <f>COUNTIFS(D:D,"AA",H:H,"SHORT",F:F,"ATOF",I:I,"S3",G:G,"",M:M,"")</f>
        <v>0</v>
      </c>
      <c r="AL33">
        <f>COUNTIFS(D:D,"AA",H:H,"SHORT",F:F,"ATBK",I:I,"S3",G:G,"",M:M,"")</f>
        <v>0</v>
      </c>
      <c r="AM33">
        <f>COUNTIFS(D:D,"AA",H:H,"SHORT",F:F,"WINSTAN",I:I,"S3",E:E,"POS",G:G,"",M:M,"")</f>
        <v>0</v>
      </c>
      <c r="AN33" s="115">
        <f>COUNTIFS(D:D,"AA",H:H,"SHORT",F:F,"WINSTANTI",I:I,"S3",E:E,"POS",G:G,"",M:M,"")</f>
        <v>0</v>
      </c>
      <c r="AO33" s="115">
        <f>COUNTIFS(D:D,"AA",H:H,"SHORT",F:F,"ENTRY",I:I,"S3",G:G,"",M:M,"")</f>
        <v>0</v>
      </c>
      <c r="AP33" s="115">
        <f>COUNTIFS(D:D,"AA",H:H,"SHORT",F:F,"KEEPOS",I:I,"S3",G:G,"",M:M,"")</f>
        <v>0</v>
      </c>
      <c r="AQ33">
        <f>COUNTIFS(D:D,"AA",H:H,"SHORT",E:E,"NEG",I:I,"S3",G:G,"",M:M,"")</f>
        <v>0</v>
      </c>
      <c r="AR33"/>
      <c r="AV33" s="346" t="s">
        <v>565</v>
      </c>
      <c r="AX33">
        <f>COUNTIFS(D:D,"DD",H:H,"SHORT",F:F,"ATONGOAL",I:I,"S3",G:G,"",M:M,"")</f>
        <v>0</v>
      </c>
      <c r="AY33">
        <f>COUNTIFS(D:D,"DD",H:H,"SHORT",F:F,"ATON",I:I,"S3",G:G,"",M:M,"")</f>
        <v>0</v>
      </c>
      <c r="AZ33">
        <f>COUNTIFS(D:D,"DD",H:H,"SHORT",F:F,"ATOF",I:I,"S3",G:G,"",M:M,"")</f>
        <v>0</v>
      </c>
      <c r="BA33">
        <f>COUNTIFS(D:D,"DD",H:H,"SHORT",F:F,"ATBK",I:I,"S3",G:G,"",M:M,"")</f>
        <v>0</v>
      </c>
      <c r="BB33">
        <f>COUNTIFS(D:D,"DD",H:H,"SHORT",F:F,"WINSTAN",I:I,"S3",E:E,"NEG",G:G,"",M:M,"")</f>
        <v>0</v>
      </c>
      <c r="BC33" s="115">
        <f>COUNTIFS(E:E,"DD",I:I,"SHORT",G:G,"WINSTANTI",J:J,"S3",F:F,"NEG",H:H,"",N:N,"")</f>
        <v>0</v>
      </c>
      <c r="BD33" s="115">
        <f>COUNTIFS(E:E,"DD",I:I,"SHORT",G:G,"ENTRY",J:J,"S3",F:F,"NEG",H:H,"",N:N,"")</f>
        <v>0</v>
      </c>
      <c r="BE33" s="115">
        <f>COUNTIFS(E:E,"DD",I:I,"SHORT",G:G,"KEEPOS",J:J,"S3",F:F,"NEG",H:H,"",N:N,"")</f>
        <v>0</v>
      </c>
      <c r="BF33">
        <f>COUNTIFS(D:D,"DD",H:H,"SHORT",E:E,"POS",I:I,"S3",G:G,"",M:M,"")</f>
        <v>0</v>
      </c>
    </row>
    <row r="34" spans="1:58">
      <c r="A34" s="346" t="s">
        <v>590</v>
      </c>
      <c r="B34" s="346" t="s">
        <v>627</v>
      </c>
      <c r="C34" s="346">
        <v>636080</v>
      </c>
      <c r="D34" s="346" t="s">
        <v>5</v>
      </c>
      <c r="E34" s="346" t="s">
        <v>2</v>
      </c>
      <c r="F34" s="346" t="s">
        <v>310</v>
      </c>
      <c r="G34" s="346"/>
      <c r="H34" s="346"/>
      <c r="I34" s="346" t="s">
        <v>595</v>
      </c>
      <c r="J34" s="346"/>
      <c r="K34" s="346"/>
      <c r="L34" s="346"/>
      <c r="M34" s="346"/>
      <c r="N34" s="346"/>
      <c r="O34" s="346"/>
      <c r="P34" s="346"/>
      <c r="Q34" s="346"/>
      <c r="R34" s="346"/>
      <c r="S34" s="346"/>
      <c r="T34" s="346">
        <v>33520</v>
      </c>
      <c r="U34" s="346"/>
      <c r="V34" s="346"/>
      <c r="X34" s="115">
        <f t="shared" si="0"/>
        <v>2</v>
      </c>
      <c r="Y34" s="115">
        <f t="shared" si="1"/>
        <v>2</v>
      </c>
      <c r="Z34" s="115" t="e">
        <f t="shared" si="2"/>
        <v>#VALUE!</v>
      </c>
      <c r="AA34" s="115">
        <f t="shared" si="3"/>
        <v>33.520000000000003</v>
      </c>
      <c r="AB34" s="246">
        <f t="shared" si="4"/>
        <v>11</v>
      </c>
      <c r="AG34" t="s">
        <v>41</v>
      </c>
      <c r="AH34">
        <f>AH31+AH32+AH33</f>
        <v>0</v>
      </c>
      <c r="AI34" s="115">
        <f t="shared" ref="AI34:AL34" si="16">AI31+AI32+AI33</f>
        <v>0</v>
      </c>
      <c r="AJ34" s="115">
        <f t="shared" si="16"/>
        <v>0</v>
      </c>
      <c r="AK34" s="115">
        <f t="shared" si="16"/>
        <v>0</v>
      </c>
      <c r="AL34" s="115">
        <f t="shared" si="16"/>
        <v>0</v>
      </c>
      <c r="AM34" s="115">
        <f>AM31+AM32+AM33</f>
        <v>0</v>
      </c>
      <c r="AN34" s="115">
        <f>AN31+AN32+AN33</f>
        <v>0</v>
      </c>
      <c r="AO34" s="115">
        <f>AO31+AO32+AO33</f>
        <v>0</v>
      </c>
      <c r="AP34" s="115">
        <f>AP31+AP32+AP33</f>
        <v>0</v>
      </c>
      <c r="AQ34" s="115">
        <f>AQ31+AQ32+AQ33</f>
        <v>0</v>
      </c>
      <c r="AR34"/>
      <c r="AV34" t="s">
        <v>41</v>
      </c>
      <c r="AX34">
        <f>AX31+AX32+AX33</f>
        <v>0</v>
      </c>
      <c r="AY34" s="115">
        <f t="shared" ref="AY34:BE34" si="17">AY31+AY32+AY33</f>
        <v>0</v>
      </c>
      <c r="AZ34" s="115">
        <f t="shared" si="17"/>
        <v>0</v>
      </c>
      <c r="BA34" s="115">
        <f t="shared" si="17"/>
        <v>0</v>
      </c>
      <c r="BB34" s="115">
        <f t="shared" si="17"/>
        <v>0</v>
      </c>
      <c r="BC34" s="115">
        <f t="shared" si="17"/>
        <v>0</v>
      </c>
      <c r="BD34" s="115">
        <f t="shared" si="17"/>
        <v>0</v>
      </c>
      <c r="BE34" s="115">
        <f t="shared" si="17"/>
        <v>0</v>
      </c>
      <c r="BF34" s="115">
        <f>BF31+BF32+BF33</f>
        <v>0</v>
      </c>
    </row>
    <row r="35" spans="1:58">
      <c r="A35" s="346" t="s">
        <v>590</v>
      </c>
      <c r="B35" s="346" t="s">
        <v>628</v>
      </c>
      <c r="C35" s="346">
        <v>662600</v>
      </c>
      <c r="D35" s="346" t="s">
        <v>1</v>
      </c>
      <c r="E35" s="346" t="s">
        <v>2</v>
      </c>
      <c r="F35" s="346" t="s">
        <v>156</v>
      </c>
      <c r="G35" s="346"/>
      <c r="H35" s="346"/>
      <c r="I35" s="346" t="s">
        <v>595</v>
      </c>
      <c r="J35" s="346"/>
      <c r="K35" s="346"/>
      <c r="L35" s="346"/>
      <c r="M35" s="346"/>
      <c r="N35" s="346"/>
      <c r="O35" s="346"/>
      <c r="P35" s="346"/>
      <c r="Q35" s="346"/>
      <c r="R35" s="346"/>
      <c r="S35" s="346"/>
      <c r="T35" s="346">
        <v>31720</v>
      </c>
      <c r="U35" s="346"/>
      <c r="V35" s="346"/>
      <c r="X35" s="115">
        <f t="shared" si="0"/>
        <v>1</v>
      </c>
      <c r="Y35" s="115">
        <f t="shared" si="1"/>
        <v>3</v>
      </c>
      <c r="Z35" s="115" t="e">
        <f t="shared" si="2"/>
        <v>#VALUE!</v>
      </c>
      <c r="AA35" s="115">
        <f t="shared" si="3"/>
        <v>31.72</v>
      </c>
      <c r="AB35" s="246">
        <f t="shared" si="4"/>
        <v>11</v>
      </c>
      <c r="AR35"/>
    </row>
    <row r="36" spans="1:58">
      <c r="A36" s="346" t="s">
        <v>590</v>
      </c>
      <c r="B36" s="346" t="s">
        <v>629</v>
      </c>
      <c r="C36" s="346">
        <v>682120</v>
      </c>
      <c r="D36" s="346" t="s">
        <v>14</v>
      </c>
      <c r="E36" s="346" t="s">
        <v>2</v>
      </c>
      <c r="F36" s="346" t="s">
        <v>7</v>
      </c>
      <c r="G36" s="346"/>
      <c r="H36" s="346"/>
      <c r="I36" s="346" t="s">
        <v>563</v>
      </c>
      <c r="J36" s="346"/>
      <c r="K36" s="346"/>
      <c r="L36" s="346" t="s">
        <v>568</v>
      </c>
      <c r="M36" s="346"/>
      <c r="N36" s="346"/>
      <c r="O36" s="346"/>
      <c r="P36" s="346"/>
      <c r="Q36" s="346"/>
      <c r="R36" s="346"/>
      <c r="S36" s="346"/>
      <c r="T36" s="346">
        <v>23800</v>
      </c>
      <c r="U36" s="346"/>
      <c r="V36" s="346"/>
      <c r="X36" s="115">
        <f t="shared" si="0"/>
        <v>6</v>
      </c>
      <c r="Y36" s="115">
        <f t="shared" si="1"/>
        <v>7</v>
      </c>
      <c r="Z36" s="115" t="e">
        <f t="shared" si="2"/>
        <v>#VALUE!</v>
      </c>
      <c r="AA36" s="115">
        <f t="shared" si="3"/>
        <v>23.8</v>
      </c>
      <c r="AB36" s="246">
        <f t="shared" si="4"/>
        <v>11</v>
      </c>
      <c r="AG36" s="1"/>
      <c r="AH36" t="s">
        <v>41</v>
      </c>
      <c r="AI36" s="346" t="s">
        <v>703</v>
      </c>
      <c r="AJ36" t="s">
        <v>9</v>
      </c>
      <c r="AK36" t="s">
        <v>8</v>
      </c>
      <c r="AL36" t="s">
        <v>19</v>
      </c>
      <c r="AM36" t="s">
        <v>7</v>
      </c>
      <c r="AN36" s="115" t="s">
        <v>163</v>
      </c>
      <c r="AO36" t="s">
        <v>310</v>
      </c>
      <c r="AP36" t="s">
        <v>156</v>
      </c>
      <c r="AQ36" s="1" t="s">
        <v>3</v>
      </c>
      <c r="AR36"/>
      <c r="AV36" s="1"/>
      <c r="AX36" s="346" t="s">
        <v>703</v>
      </c>
      <c r="AY36" t="s">
        <v>9</v>
      </c>
      <c r="AZ36" t="s">
        <v>8</v>
      </c>
      <c r="BA36" t="s">
        <v>19</v>
      </c>
      <c r="BB36" t="s">
        <v>7</v>
      </c>
      <c r="BC36" s="115" t="s">
        <v>163</v>
      </c>
      <c r="BD36" s="115" t="s">
        <v>310</v>
      </c>
      <c r="BE36" s="115" t="s">
        <v>156</v>
      </c>
      <c r="BF36" s="1" t="s">
        <v>3</v>
      </c>
    </row>
    <row r="37" spans="1:58">
      <c r="A37" s="346" t="s">
        <v>590</v>
      </c>
      <c r="B37" s="346" t="s">
        <v>630</v>
      </c>
      <c r="C37" s="346">
        <v>748760</v>
      </c>
      <c r="D37" s="346" t="s">
        <v>5</v>
      </c>
      <c r="E37" s="346" t="s">
        <v>2</v>
      </c>
      <c r="F37" s="346" t="s">
        <v>9</v>
      </c>
      <c r="G37" s="346"/>
      <c r="H37" s="346"/>
      <c r="I37" s="346"/>
      <c r="J37" s="346"/>
      <c r="K37" s="346"/>
      <c r="L37" s="346"/>
      <c r="M37" s="346" t="s">
        <v>164</v>
      </c>
      <c r="N37" s="346"/>
      <c r="O37" s="346"/>
      <c r="P37" s="346"/>
      <c r="Q37" s="346"/>
      <c r="R37" s="346"/>
      <c r="S37" s="346"/>
      <c r="T37" s="346">
        <v>10080</v>
      </c>
      <c r="U37" s="346"/>
      <c r="V37" s="346"/>
      <c r="X37" s="115">
        <f t="shared" si="0"/>
        <v>12</v>
      </c>
      <c r="Y37" s="115">
        <f t="shared" si="1"/>
        <v>18</v>
      </c>
      <c r="Z37" s="115" t="e">
        <f t="shared" si="2"/>
        <v>#VALUE!</v>
      </c>
      <c r="AA37" s="115">
        <f t="shared" si="3"/>
        <v>10.08</v>
      </c>
      <c r="AB37" s="246">
        <f t="shared" si="4"/>
        <v>12</v>
      </c>
      <c r="AE37" t="s">
        <v>5</v>
      </c>
      <c r="AF37" t="s">
        <v>23</v>
      </c>
      <c r="AG37" s="346" t="s">
        <v>563</v>
      </c>
      <c r="AH37">
        <f>AI37+AJ37+AK37+AL37+AM37+AQ37</f>
        <v>0</v>
      </c>
      <c r="AI37">
        <f>COUNTIFS(D:D,"AA",H:H,"SHORTLONG",F:F,"ATONGOAL",I:I,"S1",G:G,"",M:M,"")</f>
        <v>0</v>
      </c>
      <c r="AJ37">
        <f>COUNTIFS(D:D,"AA",H:H,"SHORTLONG",F:F,"ATON",I:I,"S1",G:G,"",M:M,"")</f>
        <v>0</v>
      </c>
      <c r="AK37">
        <f>COUNTIFS(D:D,"AA",H:H,"SHORTLONG",F:F,"ATOF",I:I,"S1",G:G,"",M:M,"")</f>
        <v>0</v>
      </c>
      <c r="AL37">
        <f>COUNTIFS(D:D,"AA",H:H,"SHORTLONG",F:F,"ATBK",I:I,"S1",G:G,"",M:M,"")</f>
        <v>0</v>
      </c>
      <c r="AM37">
        <f>COUNTIFS(D:D,"AA",H:H,"SHORTLONG",F:F,"WINSTAN",I:I,"S1",E:E,"POS",G:G,"",M:M,"")</f>
        <v>0</v>
      </c>
      <c r="AN37" s="115">
        <f>COUNTIFS(D:D,"AA",H:H,"SHORTLONG",F:F,"WINSTANTI",I:I,"S1",E:E,"POS",G:G,"",M:M,"")</f>
        <v>0</v>
      </c>
      <c r="AO37" s="115">
        <f>COUNTIFS(D:D,"AA",H:H,"SHORTLONG",F:F,"ENTRY",I:I,"S1",G:G,"",M:M,"")</f>
        <v>0</v>
      </c>
      <c r="AP37" s="115">
        <f>COUNTIFS(D:D,"AA",H:H,"SHORTLONG",F:F,"KEEPOS",I:I,"S1",G:G,"",M:M,"")</f>
        <v>0</v>
      </c>
      <c r="AQ37">
        <f>COUNTIFS(D:D,"AA",H:H,"SHORTLONG",E:E,"NEG",I:I,"S1",G:G,"",M:M,"")</f>
        <v>0</v>
      </c>
      <c r="AR37"/>
      <c r="AT37" t="s">
        <v>1</v>
      </c>
      <c r="AU37" t="s">
        <v>23</v>
      </c>
      <c r="AV37" s="346" t="s">
        <v>563</v>
      </c>
      <c r="AX37">
        <f>COUNTIFS(D:D,"DD",H:H,"SHORTLONG",F:F,"ATONGOAL",I:I,"S1",G:G,"",M:M,"")</f>
        <v>0</v>
      </c>
      <c r="AY37">
        <f>COUNTIFS(D:D,"DD",H:H,"SHORTLONG",F:F,"ATON",I:I,"S1",G:G,"",M:M,"")</f>
        <v>0</v>
      </c>
      <c r="AZ37">
        <f>COUNTIFS(D:D,"DD",H:H,"SHORTLONG",F:F,"ATOF",I:I,"S1",G:G,"",M:M,"")</f>
        <v>0</v>
      </c>
      <c r="BA37">
        <f>COUNTIFS(D:D,"DD",H:H,"SHORTLONG",F:F,"ATBK",I:I,"S1",G:G,"",M:M,"")</f>
        <v>0</v>
      </c>
      <c r="BB37">
        <f>COUNTIFS(D:D,"DD",H:H,"SHORTLONG",F:F,"WINSTAN",I:I,"S1",E:E,"NEG",G:G,"",M:M,"")</f>
        <v>0</v>
      </c>
      <c r="BC37" s="115">
        <f>COUNTIFS(D:D,"DD",H:H,"SHORTLONG",F:F,"WINSTANTI",I:I,"S1",E:E,"NEG",G:G,"",M:M,"")</f>
        <v>0</v>
      </c>
      <c r="BD37" s="115">
        <f>COUNTIFS(D:D,"DD",H:H,"SHORTLONG",F:F,"ENTRY",I:I,"S1",E:E,"NEG",G:G,"",M:M,"")</f>
        <v>0</v>
      </c>
      <c r="BE37" s="115">
        <f>COUNTIFS(D:D,"DD",H:H,"SHORTLONG",F:F,"KEEPOS",I:I,"S1",E:E,"NEG",G:G,"",M:M,"")</f>
        <v>0</v>
      </c>
      <c r="BF37">
        <f>COUNTIFS(D:D,"DD",H:H,"SHORTLONG",E:E,"POS",I:I,"S1",G:G,"",M:M,"")</f>
        <v>0</v>
      </c>
    </row>
    <row r="38" spans="1:58">
      <c r="A38" s="346" t="s">
        <v>590</v>
      </c>
      <c r="B38" s="346" t="s">
        <v>631</v>
      </c>
      <c r="C38" s="346">
        <v>758440</v>
      </c>
      <c r="D38" s="346" t="s">
        <v>1</v>
      </c>
      <c r="E38" s="346" t="s">
        <v>2</v>
      </c>
      <c r="F38" s="346" t="s">
        <v>156</v>
      </c>
      <c r="G38" s="346"/>
      <c r="H38" s="346"/>
      <c r="I38" s="346" t="s">
        <v>595</v>
      </c>
      <c r="J38" s="346"/>
      <c r="K38" s="346"/>
      <c r="L38" s="346"/>
      <c r="M38" s="346"/>
      <c r="N38" s="346"/>
      <c r="O38" s="346"/>
      <c r="P38" s="346"/>
      <c r="Q38" s="346"/>
      <c r="R38" s="346"/>
      <c r="S38" s="346"/>
      <c r="T38" s="346">
        <v>50000</v>
      </c>
      <c r="U38" s="346"/>
      <c r="V38" s="346"/>
      <c r="X38" s="115">
        <f t="shared" si="0"/>
        <v>1</v>
      </c>
      <c r="Y38" s="115">
        <f t="shared" si="1"/>
        <v>13</v>
      </c>
      <c r="Z38" s="115" t="e">
        <f t="shared" si="2"/>
        <v>#VALUE!</v>
      </c>
      <c r="AA38" s="115">
        <f t="shared" si="3"/>
        <v>50</v>
      </c>
      <c r="AB38" s="246">
        <f t="shared" si="4"/>
        <v>13</v>
      </c>
      <c r="AG38" s="346" t="s">
        <v>561</v>
      </c>
      <c r="AH38">
        <f>AI38+AJ38+AK38+AL38+AM38+AQ38</f>
        <v>0</v>
      </c>
      <c r="AI38">
        <f>COUNTIFS(D:D,"AA",H:H,"SHORTLONG",F:F,"ATONGOAL",I:I,"S2",G:G,"",M:M,"")</f>
        <v>0</v>
      </c>
      <c r="AJ38">
        <f>COUNTIFS(D:D,"AA",H:H,"SHORTLONG",F:F,"ATON",I:I,"S2",G:G,"",M:M,"")</f>
        <v>0</v>
      </c>
      <c r="AK38">
        <f>COUNTIFS(D:D,"AA",H:H,"SHORTLONG",F:F,"ATOF",I:I,"S2",G:G,"",M:M,"")</f>
        <v>0</v>
      </c>
      <c r="AL38">
        <f>COUNTIFS(D:D,"AA",H:H,"SHORTLONG",F:F,"ATBK",I:I,"S2",G:G,"",M:M,"")</f>
        <v>0</v>
      </c>
      <c r="AM38">
        <f>COUNTIFS(D:D,"AA",H:H,"SHORTLONG",F:F,"WINSTAN",I:I,"S2",E:E,"POS",G:G,"",M:M,"")</f>
        <v>0</v>
      </c>
      <c r="AN38" s="115">
        <f>COUNTIFS(D:D,"AA",H:H,"SHORTLONG",F:F,"WINSTANTI",I:I,"S2",E:E,"POS",G:G,"",M:M,"")</f>
        <v>0</v>
      </c>
      <c r="AO38" s="115">
        <f>COUNTIFS(D:D,"AA",H:H,"SHORTLONG",F:F,"ENTRY",I:I,"S2",G:G,"",M:M,"")</f>
        <v>0</v>
      </c>
      <c r="AP38" s="115">
        <f>COUNTIFS(D:D,"AA",H:H,"SHORTLONG",F:F,"KEEPOS",I:I,"S2",G:G,"",M:M,"")</f>
        <v>0</v>
      </c>
      <c r="AQ38">
        <f>COUNTIFS(D:D,"AA",H:H,"SHORTLONG",E:E,"NEG",I:I,"S2",G:G,"",M:M,"")</f>
        <v>0</v>
      </c>
      <c r="AR38"/>
      <c r="AV38" s="346" t="s">
        <v>561</v>
      </c>
      <c r="AX38">
        <f>COUNTIFS(D:D,"DD",H:H,"SHORTLONG",F:F,"ATONGOAL",I:I,"S2",G:G,"",M:M,"")</f>
        <v>0</v>
      </c>
      <c r="AY38">
        <f>COUNTIFS(D:D,"DD",H:H,"SHORTLONG",F:F,"ATON",I:I,"S2",G:G,"",M:M,"")</f>
        <v>0</v>
      </c>
      <c r="AZ38">
        <f>COUNTIFS(D:D,"DD",H:H,"SHORTLONG",F:F,"ATOF",I:I,"S2",G:G,"",M:M,"")</f>
        <v>0</v>
      </c>
      <c r="BA38">
        <f>COUNTIFS(D:D,"DD",H:H,"SHORTLONG",F:F,"ATBK",I:I,"S2",G:G,"",M:M,"")</f>
        <v>0</v>
      </c>
      <c r="BB38">
        <f>COUNTIFS(D:D,"DD",H:H,"SHORTLONG",F:F,"WINSTAN",I:I,"S2",E:E,"NEG",G:G,"",M:M,"")</f>
        <v>0</v>
      </c>
      <c r="BC38" s="115">
        <f>COUNTIFS(D:D,"DD",H:H,"SHORTLONG",F:F,"WINSTANTI",I:I,"S2",E:E,"NEG",G:G,"",M:M,"")</f>
        <v>0</v>
      </c>
      <c r="BD38" s="115">
        <f>COUNTIFS(D:D,"DD",H:H,"SHORTLONG",F:F,"ENTRY",I:I,"S2",E:E,"NEG",G:G,"",M:M,"")</f>
        <v>0</v>
      </c>
      <c r="BE38" s="115">
        <f>COUNTIFS(D:D,"DD",H:H,"SHORTLONG",F:F,"KEEPOS",I:I,"S2",E:E,"NEG",G:G,"",M:M,"")</f>
        <v>0</v>
      </c>
      <c r="BF38">
        <f>COUNTIFS(D:D,"DD",H:H,"SHORTLONG",E:E,"POS",I:I,"S2",G:G,"",M:M,"")</f>
        <v>0</v>
      </c>
    </row>
    <row r="39" spans="1:58">
      <c r="A39" s="346" t="s">
        <v>590</v>
      </c>
      <c r="B39" s="346" t="s">
        <v>632</v>
      </c>
      <c r="C39" s="346">
        <v>796200</v>
      </c>
      <c r="D39" s="346" t="s">
        <v>14</v>
      </c>
      <c r="E39" s="346" t="s">
        <v>6</v>
      </c>
      <c r="F39" s="346" t="s">
        <v>3</v>
      </c>
      <c r="G39" s="346"/>
      <c r="H39" s="346"/>
      <c r="I39" s="346" t="s">
        <v>563</v>
      </c>
      <c r="J39" s="346"/>
      <c r="K39" s="346"/>
      <c r="L39" s="346" t="s">
        <v>569</v>
      </c>
      <c r="M39" s="346"/>
      <c r="N39" s="346"/>
      <c r="O39" s="346"/>
      <c r="P39" s="346"/>
      <c r="Q39" s="346"/>
      <c r="R39" s="346"/>
      <c r="S39" s="346"/>
      <c r="T39" s="346">
        <v>17560</v>
      </c>
      <c r="U39" s="346"/>
      <c r="V39" s="346"/>
      <c r="X39" s="115">
        <f t="shared" si="0"/>
        <v>1</v>
      </c>
      <c r="Y39" s="115">
        <f t="shared" si="1"/>
        <v>2</v>
      </c>
      <c r="Z39" s="115" t="e">
        <f t="shared" si="2"/>
        <v>#VALUE!</v>
      </c>
      <c r="AA39" s="115">
        <f t="shared" si="3"/>
        <v>17.559999999999999</v>
      </c>
      <c r="AB39" s="246">
        <f t="shared" si="4"/>
        <v>13</v>
      </c>
      <c r="AG39" s="346" t="s">
        <v>565</v>
      </c>
      <c r="AH39">
        <f>AI39+AJ39+AK39+AL39+AM39+AQ39</f>
        <v>0</v>
      </c>
      <c r="AI39">
        <f>COUNTIFS(D:D,"AA",H:H,"SHORTLONG",F:F,"ATONGOAL",I:I,"S3",G:G,"",M:M,"")</f>
        <v>0</v>
      </c>
      <c r="AJ39">
        <f>COUNTIFS(D:D,"AA",H:H,"SHORTLONG",F:F,"ATON",I:I,"S3",G:G,"",M:M,"")</f>
        <v>0</v>
      </c>
      <c r="AK39">
        <f>COUNTIFS(D:D,"AA",H:H,"SHORTLONG",F:F,"ATOF",I:I,"S3",G:G,"",M:M,"")</f>
        <v>0</v>
      </c>
      <c r="AL39">
        <f>COUNTIFS(D:D,"AA",H:H,"SHORTLONG",F:F,"ATBK",I:I,"S3",G:G,"",M:M,"")</f>
        <v>0</v>
      </c>
      <c r="AM39">
        <f>COUNTIFS(D:D,"AA",H:H,"SHORTLONG",F:F,"WINSTAN",I:I,"S3",E:E,"POS",G:G,"",M:M,"")</f>
        <v>0</v>
      </c>
      <c r="AN39" s="115">
        <f>COUNTIFS(D:D,"AA",H:H,"SHORTLONG",F:F,"WINSTANTI",I:I,"S3",E:E,"POS",G:G,"",M:M,"")</f>
        <v>0</v>
      </c>
      <c r="AO39" s="115">
        <f>COUNTIFS(D:D,"AA",H:H,"SHORTLONG",F:F,"ENTRY",I:I,"S3",G:G,"",M:M,"")</f>
        <v>0</v>
      </c>
      <c r="AP39" s="115">
        <f>COUNTIFS(D:D,"AA",H:H,"SHORTLONG",F:F,"KEEPOS",I:I,"S3",G:G,"",M:M,"")</f>
        <v>0</v>
      </c>
      <c r="AQ39">
        <f>COUNTIFS(D:D,"AA",H:H,"SHORTLONG",E:E,"NEG",I:I,"S3",G:G,"",M:M,"")</f>
        <v>0</v>
      </c>
      <c r="AR39"/>
      <c r="AV39" s="346" t="s">
        <v>565</v>
      </c>
      <c r="AX39">
        <f>COUNTIFS(D:D,"DD",H:H,"SHORTLONG",F:F,"ATONGOAL",I:I,"S3",G:G,"",M:M,"")</f>
        <v>0</v>
      </c>
      <c r="AY39">
        <f>COUNTIFS(D:D,"DD",H:H,"SHORTLONG",F:F,"ATON",I:I,"S3",G:G,"",M:M,"")</f>
        <v>0</v>
      </c>
      <c r="AZ39">
        <f>COUNTIFS(D:D,"DD",H:H,"SHORTLONG",F:F,"ATOF",I:I,"S3",G:G,"",M:M,"")</f>
        <v>0</v>
      </c>
      <c r="BA39">
        <f>COUNTIFS(D:D,"DD",H:H,"SHORTLONG",F:F,"ATBK",I:I,"S3",G:G,"",M:M,"")</f>
        <v>0</v>
      </c>
      <c r="BB39">
        <f>COUNTIFS(D:D,"DD",H:H,"SHORTLONG",F:F,"WINSTAN",I:I,"S3",E:E,"NEG",G:G,"",M:M,"")</f>
        <v>0</v>
      </c>
      <c r="BC39" s="115">
        <f>COUNTIFS(E:E,"DD",I:I,"SHORTLONG",G:G,"WINSTANTI",J:J,"S3",F:F,"NEG",H:H,"",N:N,"")</f>
        <v>0</v>
      </c>
      <c r="BD39" s="115">
        <f>COUNTIFS(E:E,"DD",I:I,"SHORTLONG",G:G,"ENTRY",J:J,"S3",F:F,"NEG",H:H,"",N:N,"")</f>
        <v>0</v>
      </c>
      <c r="BE39" s="115">
        <f>COUNTIFS(E:E,"DD",I:I,"SHORTLONG",G:G,"KEEPOS",J:J,"S3",F:F,"NEG",H:H,"",N:N,"")</f>
        <v>0</v>
      </c>
      <c r="BF39">
        <f>COUNTIFS(D:D,"DD",H:H,"SHORTLONG",E:E,"POS",I:I,"S3",G:G,"",M:M,"")</f>
        <v>0</v>
      </c>
    </row>
    <row r="40" spans="1:58">
      <c r="A40" s="346" t="s">
        <v>590</v>
      </c>
      <c r="B40" s="346" t="s">
        <v>633</v>
      </c>
      <c r="C40" s="346">
        <v>827480</v>
      </c>
      <c r="D40" s="346" t="s">
        <v>1</v>
      </c>
      <c r="E40" s="346"/>
      <c r="F40" s="346"/>
      <c r="G40" s="346" t="s">
        <v>29</v>
      </c>
      <c r="H40" s="346"/>
      <c r="I40" s="346"/>
      <c r="J40" s="346"/>
      <c r="K40" s="346"/>
      <c r="L40" s="346"/>
      <c r="M40" s="346"/>
      <c r="N40" s="346"/>
      <c r="O40" s="346"/>
      <c r="P40" s="346"/>
      <c r="Q40" s="346"/>
      <c r="R40" s="346"/>
      <c r="S40" s="346"/>
      <c r="T40" s="346">
        <v>17080</v>
      </c>
      <c r="U40" s="346"/>
      <c r="V40" s="346"/>
      <c r="X40" s="115">
        <f t="shared" si="0"/>
        <v>0</v>
      </c>
      <c r="Y40" s="115">
        <f t="shared" si="1"/>
        <v>1</v>
      </c>
      <c r="Z40" s="115" t="e">
        <f t="shared" si="2"/>
        <v>#VALUE!</v>
      </c>
      <c r="AA40" s="115">
        <f t="shared" si="3"/>
        <v>17.079999999999998</v>
      </c>
      <c r="AB40" s="246">
        <f t="shared" si="4"/>
        <v>14</v>
      </c>
      <c r="AG40" t="s">
        <v>41</v>
      </c>
      <c r="AH40">
        <f>AH37+AH38+AH39</f>
        <v>0</v>
      </c>
      <c r="AI40" s="115">
        <f t="shared" ref="AI40:AL40" si="18">AI37+AI38+AI39</f>
        <v>0</v>
      </c>
      <c r="AJ40" s="115">
        <f t="shared" si="18"/>
        <v>0</v>
      </c>
      <c r="AK40" s="115">
        <f t="shared" si="18"/>
        <v>0</v>
      </c>
      <c r="AL40" s="115">
        <f t="shared" si="18"/>
        <v>0</v>
      </c>
      <c r="AM40" s="115">
        <f>AM37+AM38+AM39</f>
        <v>0</v>
      </c>
      <c r="AN40" s="115">
        <f>AN37+AN38+AN39</f>
        <v>0</v>
      </c>
      <c r="AO40" s="115">
        <f>AO37+AO38+AO39</f>
        <v>0</v>
      </c>
      <c r="AP40" s="115">
        <f>AP37+AP38+AP39</f>
        <v>0</v>
      </c>
      <c r="AQ40" s="115">
        <f>AQ37+AQ38+AQ39</f>
        <v>0</v>
      </c>
      <c r="AR40"/>
      <c r="AV40" t="s">
        <v>41</v>
      </c>
      <c r="AX40">
        <f>AX37+AX38+AX39</f>
        <v>0</v>
      </c>
      <c r="AY40" s="115">
        <f t="shared" ref="AY40:BE40" si="19">AY37+AY38+AY39</f>
        <v>0</v>
      </c>
      <c r="AZ40" s="115">
        <f t="shared" si="19"/>
        <v>0</v>
      </c>
      <c r="BA40" s="115">
        <f t="shared" si="19"/>
        <v>0</v>
      </c>
      <c r="BB40" s="115">
        <f t="shared" si="19"/>
        <v>0</v>
      </c>
      <c r="BC40" s="115">
        <f t="shared" si="19"/>
        <v>0</v>
      </c>
      <c r="BD40" s="115">
        <f t="shared" si="19"/>
        <v>0</v>
      </c>
      <c r="BE40" s="115">
        <f t="shared" si="19"/>
        <v>0</v>
      </c>
      <c r="BF40" s="115">
        <f>BF37+BF38+BF39</f>
        <v>0</v>
      </c>
    </row>
    <row r="41" spans="1:58">
      <c r="A41" s="346" t="s">
        <v>590</v>
      </c>
      <c r="B41" s="346" t="s">
        <v>634</v>
      </c>
      <c r="C41" s="346">
        <v>837560</v>
      </c>
      <c r="D41" s="346" t="s">
        <v>1</v>
      </c>
      <c r="E41" s="346" t="s">
        <v>6</v>
      </c>
      <c r="F41" s="346" t="s">
        <v>3</v>
      </c>
      <c r="G41" s="346"/>
      <c r="H41" s="346"/>
      <c r="I41" s="346" t="s">
        <v>595</v>
      </c>
      <c r="J41" s="346"/>
      <c r="K41" s="346"/>
      <c r="L41" s="346"/>
      <c r="M41" s="346"/>
      <c r="N41" s="346"/>
      <c r="O41" s="346"/>
      <c r="P41" s="346"/>
      <c r="Q41" s="346"/>
      <c r="R41" s="346"/>
      <c r="S41" s="346"/>
      <c r="T41" s="346">
        <v>15560</v>
      </c>
      <c r="U41" s="346"/>
      <c r="V41" s="346"/>
      <c r="X41" s="115">
        <f t="shared" si="0"/>
        <v>1</v>
      </c>
      <c r="Y41" s="115">
        <f t="shared" si="1"/>
        <v>1</v>
      </c>
      <c r="Z41" s="115" t="e">
        <f t="shared" si="2"/>
        <v>#VALUE!</v>
      </c>
      <c r="AA41" s="115">
        <f t="shared" si="3"/>
        <v>15.56</v>
      </c>
      <c r="AB41" s="246">
        <f t="shared" si="4"/>
        <v>14</v>
      </c>
      <c r="AR41"/>
    </row>
    <row r="42" spans="1:58">
      <c r="A42" s="346" t="s">
        <v>590</v>
      </c>
      <c r="B42" s="346" t="s">
        <v>635</v>
      </c>
      <c r="C42" s="346">
        <v>848440</v>
      </c>
      <c r="D42" s="346" t="s">
        <v>1</v>
      </c>
      <c r="E42" s="346" t="s">
        <v>6</v>
      </c>
      <c r="F42" s="346" t="s">
        <v>7</v>
      </c>
      <c r="G42" s="346"/>
      <c r="H42" s="346"/>
      <c r="I42" s="346" t="s">
        <v>595</v>
      </c>
      <c r="J42" s="346"/>
      <c r="K42" s="346"/>
      <c r="L42" s="346"/>
      <c r="M42" s="346"/>
      <c r="N42" s="346"/>
      <c r="O42" s="346"/>
      <c r="P42" s="346"/>
      <c r="Q42" s="346"/>
      <c r="R42" s="346"/>
      <c r="S42" s="346"/>
      <c r="T42" s="346">
        <v>52160</v>
      </c>
      <c r="U42" s="346"/>
      <c r="V42" s="346"/>
      <c r="X42" s="115">
        <f t="shared" si="0"/>
        <v>-6</v>
      </c>
      <c r="Y42" s="115">
        <f t="shared" si="1"/>
        <v>-5</v>
      </c>
      <c r="Z42" s="115" t="e">
        <f t="shared" si="2"/>
        <v>#VALUE!</v>
      </c>
      <c r="AA42" s="115">
        <f t="shared" si="3"/>
        <v>52.16</v>
      </c>
      <c r="AB42" s="246">
        <f t="shared" si="4"/>
        <v>14</v>
      </c>
      <c r="AG42" s="1"/>
      <c r="AH42" t="s">
        <v>41</v>
      </c>
      <c r="AI42" s="346" t="s">
        <v>703</v>
      </c>
      <c r="AJ42" t="s">
        <v>9</v>
      </c>
      <c r="AK42" t="s">
        <v>8</v>
      </c>
      <c r="AL42" t="s">
        <v>19</v>
      </c>
      <c r="AM42" t="s">
        <v>7</v>
      </c>
      <c r="AN42" s="115" t="s">
        <v>163</v>
      </c>
      <c r="AO42" s="115" t="s">
        <v>310</v>
      </c>
      <c r="AP42" t="s">
        <v>156</v>
      </c>
      <c r="AQ42" s="1" t="s">
        <v>3</v>
      </c>
      <c r="AR42"/>
      <c r="AV42" s="1"/>
      <c r="AX42" s="346" t="s">
        <v>703</v>
      </c>
      <c r="AY42" t="s">
        <v>9</v>
      </c>
      <c r="AZ42" t="s">
        <v>8</v>
      </c>
      <c r="BA42" t="s">
        <v>19</v>
      </c>
      <c r="BB42" t="s">
        <v>7</v>
      </c>
      <c r="BC42" s="115" t="s">
        <v>163</v>
      </c>
      <c r="BD42" s="115" t="s">
        <v>310</v>
      </c>
      <c r="BE42" s="115" t="s">
        <v>156</v>
      </c>
      <c r="BF42" s="1" t="s">
        <v>3</v>
      </c>
    </row>
    <row r="43" spans="1:58">
      <c r="A43" s="346" t="s">
        <v>590</v>
      </c>
      <c r="B43" s="346" t="s">
        <v>636</v>
      </c>
      <c r="C43" s="346">
        <v>928960</v>
      </c>
      <c r="D43" s="346" t="s">
        <v>1</v>
      </c>
      <c r="E43" s="346" t="s">
        <v>6</v>
      </c>
      <c r="F43" s="346" t="s">
        <v>19</v>
      </c>
      <c r="G43" s="346"/>
      <c r="H43" s="346"/>
      <c r="I43" s="346"/>
      <c r="J43" s="346"/>
      <c r="K43" s="346"/>
      <c r="L43" s="346"/>
      <c r="M43" s="346" t="s">
        <v>4</v>
      </c>
      <c r="N43" s="346"/>
      <c r="O43" s="346"/>
      <c r="P43" s="346"/>
      <c r="Q43" s="346"/>
      <c r="R43" s="346"/>
      <c r="S43" s="346"/>
      <c r="T43" s="346">
        <v>17840</v>
      </c>
      <c r="U43" s="346"/>
      <c r="V43" s="346"/>
      <c r="X43" s="115">
        <f t="shared" si="0"/>
        <v>-8</v>
      </c>
      <c r="Y43" s="115">
        <f t="shared" si="1"/>
        <v>-14</v>
      </c>
      <c r="Z43" s="115" t="e">
        <f t="shared" si="2"/>
        <v>#VALUE!</v>
      </c>
      <c r="AA43" s="115">
        <f t="shared" si="3"/>
        <v>17.84</v>
      </c>
      <c r="AB43" s="246">
        <f>IF(ROUND(C43/60000,0)=0,1,ROUND(C43/60000,0))</f>
        <v>15</v>
      </c>
      <c r="AE43" t="s">
        <v>5</v>
      </c>
      <c r="AF43" t="s">
        <v>18</v>
      </c>
      <c r="AG43" s="346" t="s">
        <v>563</v>
      </c>
      <c r="AH43">
        <f>AI43+AJ43+AK43+AL43+AM43+AQ43</f>
        <v>0</v>
      </c>
      <c r="AI43">
        <f>COUNTIFS(D:D,"AA",H:H,"LONG",F:F,"ATONGOAL",I:I,"S1",G:G,"",M:M,"")</f>
        <v>0</v>
      </c>
      <c r="AJ43">
        <f>COUNTIFS(D:D,"AA",H:H,"LONG",F:F,"ATON",I:I,"S1",G:G,"",M:M,"")</f>
        <v>0</v>
      </c>
      <c r="AK43">
        <f>COUNTIFS(D:D,"AA",H:H,"LONG",F:F,"ATOF",I:I,"S1",G:G,"",M:M,"")</f>
        <v>0</v>
      </c>
      <c r="AL43">
        <f>COUNTIFS(D:D,"AA",H:H,"LONG",F:F,"ATBK",I:I,"S1",G:G,"",M:M,"")</f>
        <v>0</v>
      </c>
      <c r="AM43">
        <f>COUNTIFS(D:D,"AA",H:H,"LONG",F:F,"WINSTAN",I:I,"S1",E:E,"POS",G:G,"",M:M,"")</f>
        <v>0</v>
      </c>
      <c r="AN43" s="115">
        <f>COUNTIFS(D:D,"AA",H:H,"LONG",F:F,"WINSTANTI",I:I,"S1",E:E,"POS",G:G,"",M:M,"")</f>
        <v>0</v>
      </c>
      <c r="AO43" s="115">
        <f>COUNTIFS(D:D,"AA",H:H,"LONG",F:F,"ENTRY",I:I,"S1",G:G,"",M:M,"")</f>
        <v>0</v>
      </c>
      <c r="AP43" s="115">
        <f>COUNTIFS(D:D,"AA",H:H,"LONG",F:F,"KEEPOS",I:I,"S1",G:G,"",M:M,"")</f>
        <v>0</v>
      </c>
      <c r="AQ43">
        <f>COUNTIFS(D:D,"AA",H:H,"LONG",E:E,"NEG",I:I,"S1",G:G,"",M:M,"")</f>
        <v>0</v>
      </c>
      <c r="AR43"/>
      <c r="AT43" t="s">
        <v>1</v>
      </c>
      <c r="AU43" t="s">
        <v>18</v>
      </c>
      <c r="AV43" s="346" t="s">
        <v>563</v>
      </c>
      <c r="AX43">
        <f>COUNTIFS(D:D,"DD",H:H,"LONG",F:F,"ATONGOAL",I:I,"S1",G:G,"",M:M,"")</f>
        <v>0</v>
      </c>
      <c r="AY43">
        <f>COUNTIFS(D:D,"DD",H:H,"LONG",F:F,"ATON",I:I,"S1",G:G,"",M:M,"")</f>
        <v>0</v>
      </c>
      <c r="AZ43">
        <f>COUNTIFS(D:D,"DD",H:H,"LONG",F:F,"ATOF",I:I,"S1",G:G,"",M:M,"")</f>
        <v>0</v>
      </c>
      <c r="BA43">
        <f>COUNTIFS(D:D,"DD",H:H,"LONG",F:F,"ATBK",I:I,"S1",G:G,"",M:M,"")</f>
        <v>0</v>
      </c>
      <c r="BB43">
        <f>COUNTIFS(D:D,"DD",H:H,"LONG",F:F,"WINSTAN",I:I,"S1",E:E,"NEG",G:G,"",M:M,"")</f>
        <v>0</v>
      </c>
      <c r="BC43" s="115">
        <f>COUNTIFS(D:D,"DD",H:H,"LONG",F:F,"WINSTANTI",I:I,"S1",E:E,"NEG",G:G,"",M:M,"")</f>
        <v>0</v>
      </c>
      <c r="BD43" s="115">
        <f>COUNTIFS(D:D,"DD",H:H,"LONG",F:F,"ENTRY",I:I,"S1",E:E,"NEG",G:G,"",M:M,"")</f>
        <v>0</v>
      </c>
      <c r="BE43" s="115">
        <f>COUNTIFS(D:D,"DD",H:H,"LONG",F:F,"KEEPOS",I:I,"S1",E:E,"NEG",G:G,"",M:M,"")</f>
        <v>0</v>
      </c>
      <c r="BF43">
        <f>COUNTIFS(D:D,"DD",H:H,"LONG",E:E,"POS",I:I,"S1",G:G,"",M:M,"")</f>
        <v>0</v>
      </c>
    </row>
    <row r="44" spans="1:58">
      <c r="A44" s="346" t="s">
        <v>590</v>
      </c>
      <c r="B44" s="346" t="s">
        <v>637</v>
      </c>
      <c r="C44" s="346">
        <v>1068240</v>
      </c>
      <c r="D44" s="346" t="s">
        <v>1</v>
      </c>
      <c r="E44" s="346" t="s">
        <v>6</v>
      </c>
      <c r="F44" s="346" t="s">
        <v>7</v>
      </c>
      <c r="G44" s="346" t="s">
        <v>29</v>
      </c>
      <c r="H44" s="346"/>
      <c r="I44" s="346"/>
      <c r="J44" s="346"/>
      <c r="K44" s="346"/>
      <c r="L44" s="346"/>
      <c r="M44" s="346"/>
      <c r="N44" s="346"/>
      <c r="O44" s="346"/>
      <c r="P44" s="346"/>
      <c r="Q44" s="346"/>
      <c r="R44" s="346"/>
      <c r="S44" s="346"/>
      <c r="T44" s="346">
        <v>20840</v>
      </c>
      <c r="U44" s="346"/>
      <c r="V44" s="346"/>
      <c r="X44" s="115">
        <f t="shared" si="0"/>
        <v>-6</v>
      </c>
      <c r="Y44" s="115">
        <f t="shared" si="1"/>
        <v>-14</v>
      </c>
      <c r="Z44" s="115" t="e">
        <f t="shared" si="2"/>
        <v>#VALUE!</v>
      </c>
      <c r="AA44" s="115">
        <f t="shared" si="3"/>
        <v>20.84</v>
      </c>
      <c r="AB44" s="246">
        <f t="shared" si="4"/>
        <v>18</v>
      </c>
      <c r="AG44" s="346" t="s">
        <v>561</v>
      </c>
      <c r="AH44">
        <f>AI44+AJ44+AK44+AL44+AM44+AQ44</f>
        <v>0</v>
      </c>
      <c r="AI44">
        <f>COUNTIFS(D:D,"AA",H:H,"LONG",F:F,"ATONGOAL",I:I,"S2",G:G,"",M:M,"")</f>
        <v>0</v>
      </c>
      <c r="AJ44">
        <f>COUNTIFS(D:D,"AA",H:H,"LONG",F:F,"ATON",I:I,"S2",G:G,"",M:M,"")</f>
        <v>0</v>
      </c>
      <c r="AK44">
        <f>COUNTIFS(D:D,"AA",H:H,"LONG",F:F,"ATOF",I:I,"S2",G:G,"",M:M,"")</f>
        <v>0</v>
      </c>
      <c r="AL44">
        <f>COUNTIFS(D:D,"AA",H:H,"LONG",F:F,"ATBK",I:I,"S2",G:G,"",M:M,"")</f>
        <v>0</v>
      </c>
      <c r="AM44">
        <f>COUNTIFS(D:D,"AA",H:H,"LONG",F:F,"WINSTAN",I:I,"S2",E:E,"POS",G:G,"",M:M,"")</f>
        <v>0</v>
      </c>
      <c r="AN44" s="115">
        <f>COUNTIFS(D:D,"AA",H:H,"LONG",F:F,"WINSTANTI",I:I,"S2",E:E,"POS",G:G,"",M:M,"")</f>
        <v>0</v>
      </c>
      <c r="AO44" s="115">
        <f>COUNTIFS(D:D,"AA",H:H,"LONG",F:F,"ENTRY",I:I,"S2",G:G,"",M:M,"")</f>
        <v>0</v>
      </c>
      <c r="AP44" s="115">
        <f>COUNTIFS(D:D,"AA",H:H,"LONG",F:F,"KEEPOS",I:I,"S2",G:G,"",M:M,"")</f>
        <v>0</v>
      </c>
      <c r="AQ44">
        <f>COUNTIFS(D:D,"AA",H:H,"LONG",E:E,"NEG",I:I,"S2",G:G,"",M:M,"")</f>
        <v>0</v>
      </c>
      <c r="AR44"/>
      <c r="AV44" s="346" t="s">
        <v>561</v>
      </c>
      <c r="AX44">
        <f>COUNTIFS(D:D,"DD",H:H,"LONG",F:F,"ATONGOAL",I:I,"S2",G:G,"",M:M,"")</f>
        <v>0</v>
      </c>
      <c r="AY44">
        <f>COUNTIFS(D:D,"DD",H:H,"LONG",F:F,"ATON",I:I,"S2",G:G,"",M:M,"")</f>
        <v>0</v>
      </c>
      <c r="AZ44">
        <f>COUNTIFS(D:D,"DD",H:H,"LONG",F:F,"ATOF",I:I,"S2",G:G,"",M:M,"")</f>
        <v>0</v>
      </c>
      <c r="BA44">
        <f>COUNTIFS(D:D,"DD",H:H,"LONG",F:F,"ATBK",I:I,"S2",G:G,"",M:M,"")</f>
        <v>0</v>
      </c>
      <c r="BB44">
        <f>COUNTIFS(D:D,"DD",H:H,"LONG",F:F,"WINSTAN",I:I,"S2",E:E,"NEG",G:G,"",M:M,"")</f>
        <v>0</v>
      </c>
      <c r="BC44" s="115">
        <f>COUNTIFS(D:D,"DD",H:H,"LONG",F:F,"WINSTANTI",I:I,"S2",E:E,"NEG",G:G,"",M:M,"")</f>
        <v>0</v>
      </c>
      <c r="BD44" s="115">
        <f>COUNTIFS(D:D,"DD",H:H,"LONG",F:F,"ENTRY",I:I,"S2",E:E,"NEG",G:G,"",M:M,"")</f>
        <v>0</v>
      </c>
      <c r="BE44" s="115">
        <f>COUNTIFS(D:D,"DD",H:H,"LONG",F:F,"KEEPOS",I:I,"S2",E:E,"NEG",G:G,"",M:M,"")</f>
        <v>0</v>
      </c>
      <c r="BF44">
        <f>COUNTIFS(D:D,"DD",H:H,"LONG",E:E,"POS",I:I,"S2",G:G,"",M:M,"")</f>
        <v>0</v>
      </c>
    </row>
    <row r="45" spans="1:58">
      <c r="A45" s="346" t="s">
        <v>590</v>
      </c>
      <c r="B45" s="346" t="s">
        <v>638</v>
      </c>
      <c r="C45" s="346">
        <v>1108360</v>
      </c>
      <c r="D45" s="346" t="s">
        <v>1</v>
      </c>
      <c r="E45" s="346" t="s">
        <v>6</v>
      </c>
      <c r="F45" s="346" t="s">
        <v>19</v>
      </c>
      <c r="G45" s="346"/>
      <c r="H45" s="346"/>
      <c r="I45" s="346"/>
      <c r="J45" s="346"/>
      <c r="K45" s="346"/>
      <c r="L45" s="346"/>
      <c r="M45" s="346" t="s">
        <v>4</v>
      </c>
      <c r="N45" s="346"/>
      <c r="O45" s="346"/>
      <c r="P45" s="346"/>
      <c r="Q45" s="346"/>
      <c r="R45" s="346"/>
      <c r="S45" s="346"/>
      <c r="T45" s="346">
        <v>15480</v>
      </c>
      <c r="U45" s="346"/>
      <c r="V45" s="346"/>
      <c r="X45" s="115">
        <f t="shared" si="0"/>
        <v>-8</v>
      </c>
      <c r="Y45" s="115">
        <f t="shared" si="1"/>
        <v>-14</v>
      </c>
      <c r="Z45" s="115" t="e">
        <f t="shared" si="2"/>
        <v>#VALUE!</v>
      </c>
      <c r="AA45" s="115">
        <f t="shared" si="3"/>
        <v>15.48</v>
      </c>
      <c r="AB45" s="246">
        <f t="shared" si="4"/>
        <v>18</v>
      </c>
      <c r="AG45" s="346" t="s">
        <v>565</v>
      </c>
      <c r="AH45">
        <f>AI45+AJ45+AK45+AL45+AM45+AQ45</f>
        <v>0</v>
      </c>
      <c r="AI45">
        <f>COUNTIFS(D:D,"AA",H:H,"LONG",F:F,"ATONGOAL",I:I,"S3",G:G,"",M:M,"")</f>
        <v>0</v>
      </c>
      <c r="AJ45">
        <f>COUNTIFS(D:D,"AA",H:H,"LONG",F:F,"ATON",I:I,"S3",G:G,"",M:M,"")</f>
        <v>0</v>
      </c>
      <c r="AK45">
        <f>COUNTIFS(D:D,"AA",H:H,"LONG",F:F,"ATOF",I:I,"S3",G:G,"",M:M,"")</f>
        <v>0</v>
      </c>
      <c r="AL45">
        <f>COUNTIFS(D:D,"AA",H:H,"LONG",F:F,"ATBK",I:I,"S3",G:G,"",M:M,"")</f>
        <v>0</v>
      </c>
      <c r="AM45">
        <f>COUNTIFS(D:D,"AA",H:H,"LONG",F:F,"WINSTAN",I:I,"S3",E:E,"POS",G:G,"",M:M,"")</f>
        <v>0</v>
      </c>
      <c r="AN45" s="115">
        <f>COUNTIFS(D:D,"AA",H:H,"LONG",F:F,"WINSTANTI",I:I,"S3",E:E,"POS",G:G,"",M:M,"")</f>
        <v>0</v>
      </c>
      <c r="AO45" s="115">
        <f>COUNTIFS(D:D,"AA",H:H,"LONG",F:F,"ENTRY",I:I,"S3",G:G,"",M:M,"")</f>
        <v>0</v>
      </c>
      <c r="AP45" s="115">
        <f>COUNTIFS(D:D,"AA",H:H,"LONG",F:F,"KEEPOS",I:I,"S3",G:G,"",M:M,"")</f>
        <v>0</v>
      </c>
      <c r="AQ45">
        <f>COUNTIFS(D:D,"AA",H:H,"LONG",E:E,"NEG",I:I,"S3",G:G,"",M:M,"")</f>
        <v>0</v>
      </c>
      <c r="AR45"/>
      <c r="AV45" s="346" t="s">
        <v>565</v>
      </c>
      <c r="AX45">
        <f>COUNTIFS(D:D,"DD",H:H,"LONG",F:F,"ATONGOAL",I:I,"S3",G:G,"",M:M,"")</f>
        <v>0</v>
      </c>
      <c r="AY45">
        <f>COUNTIFS(D:D,"DD",H:H,"LONG",F:F,"ATON",I:I,"S3",G:G,"",M:M,"")</f>
        <v>0</v>
      </c>
      <c r="AZ45">
        <f>COUNTIFS(D:D,"DD",H:H,"LONG",F:F,"ATOF",I:I,"S3",G:G,"",M:M,"")</f>
        <v>0</v>
      </c>
      <c r="BA45">
        <f>COUNTIFS(D:D,"DD",H:H,"LONG",F:F,"ATBK",I:I,"S3",G:G,"",M:M,"")</f>
        <v>0</v>
      </c>
      <c r="BB45">
        <f>COUNTIFS(D:D,"DD",H:H,"LONG",F:F,"WINSTAN",I:I,"S3",E:E,"NEG",G:G,"",M:M,"")</f>
        <v>0</v>
      </c>
      <c r="BC45" s="115">
        <f>COUNTIFS(E:E,"DD",I:I,"LONG",G:G,"WINSTANTI",J:J,"S3",F:F,"NEG",H:H,"",N:N,"")</f>
        <v>0</v>
      </c>
      <c r="BD45" s="115">
        <f>COUNTIFS(E:E,"DD",I:I,"LONG",G:G,"ENTRY",J:J,"S3",F:F,"NEG",H:H,"",N:N,"")</f>
        <v>0</v>
      </c>
      <c r="BE45" s="115">
        <f>COUNTIFS(E:E,"DD",I:I,"LONG",G:G,"KEEPOS",J:J,"S3",F:F,"NEG",H:H,"",N:N,"")</f>
        <v>0</v>
      </c>
      <c r="BF45">
        <f>COUNTIFS(D:D,"DD",H:H,"LONG",E:E,"POS",I:I,"S3",G:G,"",M:M,"")</f>
        <v>0</v>
      </c>
    </row>
    <row r="46" spans="1:58">
      <c r="A46" s="346" t="s">
        <v>590</v>
      </c>
      <c r="B46" s="346" t="s">
        <v>639</v>
      </c>
      <c r="C46" s="346">
        <v>1111840</v>
      </c>
      <c r="D46" s="346" t="s">
        <v>14</v>
      </c>
      <c r="E46" s="346" t="s">
        <v>6</v>
      </c>
      <c r="F46" s="346" t="s">
        <v>3</v>
      </c>
      <c r="G46" s="346"/>
      <c r="H46" s="346"/>
      <c r="I46" s="346" t="s">
        <v>563</v>
      </c>
      <c r="J46" s="346"/>
      <c r="K46" s="346"/>
      <c r="L46" s="346" t="s">
        <v>568</v>
      </c>
      <c r="M46" s="346"/>
      <c r="N46" s="346"/>
      <c r="O46" s="346"/>
      <c r="P46" s="346"/>
      <c r="Q46" s="346"/>
      <c r="R46" s="346"/>
      <c r="S46" s="346"/>
      <c r="T46" s="346">
        <v>17840</v>
      </c>
      <c r="U46" s="346"/>
      <c r="V46" s="346"/>
      <c r="X46" s="115">
        <f t="shared" si="0"/>
        <v>1</v>
      </c>
      <c r="Y46" s="115">
        <f t="shared" si="1"/>
        <v>-7</v>
      </c>
      <c r="Z46" s="115" t="e">
        <f t="shared" si="2"/>
        <v>#VALUE!</v>
      </c>
      <c r="AA46" s="115">
        <f t="shared" si="3"/>
        <v>17.84</v>
      </c>
      <c r="AB46" s="246">
        <f t="shared" si="4"/>
        <v>19</v>
      </c>
      <c r="AG46" t="s">
        <v>41</v>
      </c>
      <c r="AH46">
        <f>AH43+AH44+AH45</f>
        <v>0</v>
      </c>
      <c r="AI46" s="115">
        <f t="shared" ref="AI46:AL46" si="20">AI43+AI44+AI45</f>
        <v>0</v>
      </c>
      <c r="AJ46" s="115">
        <f t="shared" si="20"/>
        <v>0</v>
      </c>
      <c r="AK46" s="115">
        <f t="shared" si="20"/>
        <v>0</v>
      </c>
      <c r="AL46" s="115">
        <f t="shared" si="20"/>
        <v>0</v>
      </c>
      <c r="AM46" s="115">
        <f>AM43+AM44+AM45</f>
        <v>0</v>
      </c>
      <c r="AN46" s="115">
        <f>AN43+AN44+AN45</f>
        <v>0</v>
      </c>
      <c r="AO46" s="115">
        <f>AO43+AO44+AO45</f>
        <v>0</v>
      </c>
      <c r="AP46" s="115">
        <f>AP43+AP44+AP45</f>
        <v>0</v>
      </c>
      <c r="AQ46" s="115">
        <f>AQ43+AQ44+AQ45</f>
        <v>0</v>
      </c>
      <c r="AR46"/>
      <c r="AV46" t="s">
        <v>41</v>
      </c>
      <c r="AX46">
        <f>AX43+AX44+AX45</f>
        <v>0</v>
      </c>
      <c r="AY46" s="115">
        <f t="shared" ref="AY46:BE46" si="21">AY43+AY44+AY45</f>
        <v>0</v>
      </c>
      <c r="AZ46" s="115">
        <f t="shared" si="21"/>
        <v>0</v>
      </c>
      <c r="BA46" s="115">
        <f t="shared" si="21"/>
        <v>0</v>
      </c>
      <c r="BB46" s="115">
        <f t="shared" si="21"/>
        <v>0</v>
      </c>
      <c r="BC46" s="115">
        <f t="shared" si="21"/>
        <v>0</v>
      </c>
      <c r="BD46" s="115">
        <f t="shared" si="21"/>
        <v>0</v>
      </c>
      <c r="BE46" s="115">
        <f t="shared" si="21"/>
        <v>0</v>
      </c>
      <c r="BF46" s="115">
        <f>BF43+BF44+BF45</f>
        <v>0</v>
      </c>
    </row>
    <row r="47" spans="1:58">
      <c r="A47" s="346" t="s">
        <v>590</v>
      </c>
      <c r="B47" s="346" t="s">
        <v>640</v>
      </c>
      <c r="C47" s="346">
        <v>1122320</v>
      </c>
      <c r="D47" s="346" t="s">
        <v>1</v>
      </c>
      <c r="E47" s="346" t="s">
        <v>2</v>
      </c>
      <c r="F47" s="346" t="s">
        <v>156</v>
      </c>
      <c r="G47" s="346"/>
      <c r="H47" s="346"/>
      <c r="I47" s="346" t="s">
        <v>595</v>
      </c>
      <c r="J47" s="346"/>
      <c r="K47" s="346"/>
      <c r="L47" s="346"/>
      <c r="M47" s="346"/>
      <c r="N47" s="346"/>
      <c r="O47" s="346"/>
      <c r="P47" s="346"/>
      <c r="Q47" s="346"/>
      <c r="R47" s="346"/>
      <c r="S47" s="346"/>
      <c r="T47" s="346">
        <v>22560</v>
      </c>
      <c r="U47" s="346"/>
      <c r="V47" s="346"/>
      <c r="X47" s="115">
        <f t="shared" si="0"/>
        <v>1</v>
      </c>
      <c r="Y47" s="115">
        <f t="shared" si="1"/>
        <v>2</v>
      </c>
      <c r="Z47" s="115" t="e">
        <f t="shared" si="2"/>
        <v>#VALUE!</v>
      </c>
      <c r="AA47" s="115">
        <f t="shared" si="3"/>
        <v>22.56</v>
      </c>
      <c r="AB47" s="246">
        <f t="shared" si="4"/>
        <v>19</v>
      </c>
    </row>
    <row r="48" spans="1:58" s="346" customFormat="1">
      <c r="A48" s="346" t="s">
        <v>590</v>
      </c>
      <c r="B48" s="346" t="s">
        <v>641</v>
      </c>
      <c r="C48" s="346">
        <v>1132880</v>
      </c>
      <c r="D48" s="346" t="s">
        <v>14</v>
      </c>
      <c r="E48" s="346" t="s">
        <v>6</v>
      </c>
      <c r="F48" s="346" t="s">
        <v>3</v>
      </c>
      <c r="I48" s="346" t="s">
        <v>561</v>
      </c>
      <c r="L48" s="346" t="s">
        <v>566</v>
      </c>
      <c r="T48" s="346">
        <v>38400</v>
      </c>
      <c r="X48" s="346">
        <f t="shared" ref="X48" si="22">mapValues(E48,F48,"P265")</f>
        <v>1</v>
      </c>
      <c r="Y48" s="346">
        <f t="shared" ref="Y48" si="23">X47+X48</f>
        <v>2</v>
      </c>
      <c r="Z48" s="346" t="e">
        <f t="shared" ref="Z48" si="24">VALUE(MID(B48,FIND(" ",B48)+1,FIND(" ",B48,FIND(" ",B48)+1)-FIND(" ",B48)))</f>
        <v>#VALUE!</v>
      </c>
      <c r="AA48" s="346">
        <f t="shared" ref="AA48" si="25">T48/1000</f>
        <v>38.4</v>
      </c>
      <c r="AB48" s="246">
        <f t="shared" si="4"/>
        <v>19</v>
      </c>
      <c r="AG48" s="346" t="s">
        <v>561</v>
      </c>
      <c r="AH48" s="346">
        <f>AI48+AJ48+AK48+AL48+AM48+AQ48</f>
        <v>0</v>
      </c>
      <c r="AI48" s="346">
        <f>COUNTIFS(D:D,"AA",H:H,"LONG",F:F,"ATONGOAL",I:I,"S2",G:G,"",M:M,"")</f>
        <v>0</v>
      </c>
      <c r="AJ48" s="346">
        <f>COUNTIFS(D:D,"AA",H:H,"LONG",F:F,"ATON",I:I,"S2",G:G,"",M:M,"")</f>
        <v>0</v>
      </c>
      <c r="AK48" s="346">
        <f>COUNTIFS(D:D,"AA",H:H,"LONG",F:F,"ATOF",I:I,"S2",G:G,"",M:M,"")</f>
        <v>0</v>
      </c>
      <c r="AL48" s="346">
        <f>COUNTIFS(D:D,"AA",H:H,"LONG",F:F,"ATBK",I:I,"S2",G:G,"",M:M,"")</f>
        <v>0</v>
      </c>
      <c r="AM48" s="346">
        <f>COUNTIFS(D:D,"AA",H:H,"LONG",F:F,"WINSTAN",I:I,"S2",E:E,"POS",G:G,"",M:M,"")</f>
        <v>0</v>
      </c>
      <c r="AN48" s="346">
        <f>COUNTIFS(D:D,"AA",H:H,"LONG",F:F,"WINSTANTI",I:I,"S2",E:E,"POS",G:G,"",M:M,"")</f>
        <v>0</v>
      </c>
      <c r="AO48" s="346">
        <f>COUNTIFS(D:D,"AA",H:H,"LONG",F:F,"ENTRY",I:I,"S2",G:G,"",M:M,"")</f>
        <v>0</v>
      </c>
      <c r="AP48" s="346">
        <f>COUNTIFS(D:D,"AA",H:H,"LONG",F:F,"KEEPOS",I:I,"S2",G:G,"",M:M,"")</f>
        <v>0</v>
      </c>
      <c r="AQ48" s="346">
        <f>COUNTIFS(D:D,"AA",H:H,"LONG",E:E,"NEG",I:I,"S2",G:G,"",M:M,"")</f>
        <v>0</v>
      </c>
      <c r="AV48" s="346" t="s">
        <v>561</v>
      </c>
      <c r="AX48" s="346">
        <f>COUNTIFS(D:D,"DD",H:H,"LONG",F:F,"ATONGOAL",I:I,"S2",G:G,"",M:M,"")</f>
        <v>0</v>
      </c>
      <c r="AY48" s="346">
        <f>COUNTIFS(D:D,"DD",H:H,"LONG",F:F,"ATON",I:I,"S2",G:G,"",M:M,"")</f>
        <v>0</v>
      </c>
      <c r="AZ48" s="346">
        <f>COUNTIFS(D:D,"DD",H:H,"LONG",F:F,"ATOF",I:I,"S2",G:G,"",M:M,"")</f>
        <v>0</v>
      </c>
      <c r="BA48" s="346">
        <f>COUNTIFS(D:D,"DD",H:H,"LONG",F:F,"ATBK",I:I,"S2",G:G,"",M:M,"")</f>
        <v>0</v>
      </c>
      <c r="BB48" s="346">
        <f>COUNTIFS(D:D,"DD",H:H,"LONG",F:F,"WINSTAN",I:I,"S2",E:E,"NEG",G:G,"",M:M,"")</f>
        <v>0</v>
      </c>
      <c r="BC48" s="346">
        <f>COUNTIFS(D:D,"DD",H:H,"LONG",F:F,"WINSTANTI",I:I,"S2",E:E,"NEG",G:G,"",M:M,"")</f>
        <v>0</v>
      </c>
      <c r="BD48" s="346">
        <f>COUNTIFS(D:D,"DD",H:H,"LONG",F:F,"ENTRY",I:I,"S2",E:E,"NEG",G:G,"",M:M,"")</f>
        <v>0</v>
      </c>
      <c r="BE48" s="346">
        <f>COUNTIFS(D:D,"DD",H:H,"LONG",F:F,"KEEPOS",I:I,"S2",E:E,"NEG",G:G,"",M:M,"")</f>
        <v>0</v>
      </c>
      <c r="BF48" s="346">
        <f>COUNTIFS(D:D,"DD",H:H,"LONG",E:E,"POS",I:I,"S2",G:G,"",M:M,"")</f>
        <v>0</v>
      </c>
    </row>
    <row r="49" spans="1:57">
      <c r="A49" s="346" t="s">
        <v>590</v>
      </c>
      <c r="B49" s="346" t="s">
        <v>642</v>
      </c>
      <c r="C49" s="346">
        <v>1166400</v>
      </c>
      <c r="D49" s="346" t="s">
        <v>1</v>
      </c>
      <c r="E49" s="346" t="s">
        <v>6</v>
      </c>
      <c r="F49" s="346" t="s">
        <v>9</v>
      </c>
      <c r="G49" s="346" t="s">
        <v>29</v>
      </c>
      <c r="H49" s="346"/>
      <c r="I49" s="346" t="s">
        <v>595</v>
      </c>
      <c r="J49" s="346"/>
      <c r="K49" s="346"/>
      <c r="L49" s="346"/>
      <c r="M49" s="346"/>
      <c r="N49" s="346"/>
      <c r="O49" s="346"/>
      <c r="P49" s="346"/>
      <c r="Q49" s="346"/>
      <c r="R49" s="346"/>
      <c r="S49" s="346"/>
      <c r="T49" s="346">
        <v>26240</v>
      </c>
      <c r="U49" s="346"/>
      <c r="V49" s="346"/>
      <c r="X49" s="115">
        <f t="shared" si="0"/>
        <v>-12</v>
      </c>
      <c r="Y49" s="115">
        <f t="shared" si="1"/>
        <v>-11</v>
      </c>
      <c r="Z49" s="115" t="e">
        <f t="shared" si="2"/>
        <v>#VALUE!</v>
      </c>
      <c r="AA49" s="115">
        <f t="shared" si="3"/>
        <v>26.24</v>
      </c>
      <c r="AB49" s="246">
        <f t="shared" si="4"/>
        <v>19</v>
      </c>
    </row>
    <row r="50" spans="1:57">
      <c r="A50" s="346" t="s">
        <v>590</v>
      </c>
      <c r="B50" s="346" t="s">
        <v>643</v>
      </c>
      <c r="C50" s="346">
        <v>1191520</v>
      </c>
      <c r="D50" s="346" t="s">
        <v>5</v>
      </c>
      <c r="E50" s="346" t="s">
        <v>2</v>
      </c>
      <c r="F50" s="346" t="s">
        <v>7</v>
      </c>
      <c r="G50" s="346" t="s">
        <v>27</v>
      </c>
      <c r="H50" s="346"/>
      <c r="I50" s="346" t="s">
        <v>595</v>
      </c>
      <c r="J50" s="346"/>
      <c r="K50" s="346"/>
      <c r="L50" s="346"/>
      <c r="M50" s="346"/>
      <c r="N50" s="346"/>
      <c r="O50" s="346"/>
      <c r="P50" s="346"/>
      <c r="Q50" s="346"/>
      <c r="R50" s="346"/>
      <c r="S50" s="346"/>
      <c r="T50" s="346">
        <v>22880</v>
      </c>
      <c r="U50" s="346"/>
      <c r="V50" s="346"/>
      <c r="W50" s="346"/>
      <c r="X50" s="115">
        <f t="shared" si="0"/>
        <v>6</v>
      </c>
      <c r="Y50" s="115">
        <f t="shared" si="1"/>
        <v>-6</v>
      </c>
      <c r="Z50" s="115" t="e">
        <f t="shared" si="2"/>
        <v>#VALUE!</v>
      </c>
      <c r="AA50" s="115">
        <f t="shared" si="3"/>
        <v>22.88</v>
      </c>
      <c r="AB50" s="246">
        <f t="shared" si="4"/>
        <v>20</v>
      </c>
    </row>
    <row r="51" spans="1:57">
      <c r="A51" s="346" t="s">
        <v>590</v>
      </c>
      <c r="B51" s="346" t="s">
        <v>644</v>
      </c>
      <c r="C51" s="346">
        <v>1243200</v>
      </c>
      <c r="D51" s="346" t="s">
        <v>5</v>
      </c>
      <c r="E51" s="346" t="s">
        <v>6</v>
      </c>
      <c r="F51" s="346" t="s">
        <v>3</v>
      </c>
      <c r="G51" s="346" t="s">
        <v>10</v>
      </c>
      <c r="H51" s="346"/>
      <c r="I51" s="346"/>
      <c r="J51" s="346"/>
      <c r="K51" s="346"/>
      <c r="L51" s="346"/>
      <c r="M51" s="346"/>
      <c r="N51" s="346"/>
      <c r="O51" s="346"/>
      <c r="P51" s="346"/>
      <c r="Q51" s="346"/>
      <c r="R51" s="346"/>
      <c r="S51" s="346"/>
      <c r="T51" s="346">
        <v>11440</v>
      </c>
      <c r="U51" s="346"/>
      <c r="V51" s="346"/>
      <c r="W51" s="346"/>
      <c r="X51" s="115">
        <f t="shared" si="0"/>
        <v>1</v>
      </c>
      <c r="Y51" s="115">
        <f t="shared" si="1"/>
        <v>7</v>
      </c>
      <c r="Z51" s="115" t="e">
        <f t="shared" si="2"/>
        <v>#VALUE!</v>
      </c>
      <c r="AA51" s="115">
        <f t="shared" si="3"/>
        <v>11.44</v>
      </c>
      <c r="AB51" s="246">
        <f t="shared" si="4"/>
        <v>21</v>
      </c>
      <c r="AF51" t="s">
        <v>13</v>
      </c>
      <c r="AG51" t="s">
        <v>12</v>
      </c>
      <c r="AH51" t="s">
        <v>16</v>
      </c>
      <c r="AI51" t="s">
        <v>33</v>
      </c>
      <c r="AJ51" t="s">
        <v>28</v>
      </c>
      <c r="AK51" t="s">
        <v>32</v>
      </c>
      <c r="AL51" t="s">
        <v>34</v>
      </c>
      <c r="AM51" t="s">
        <v>26</v>
      </c>
      <c r="AN51" t="s">
        <v>31</v>
      </c>
      <c r="AO51" t="s">
        <v>22</v>
      </c>
      <c r="AU51" t="s">
        <v>13</v>
      </c>
      <c r="AV51" t="s">
        <v>12</v>
      </c>
      <c r="AW51" t="s">
        <v>16</v>
      </c>
      <c r="AX51" t="s">
        <v>33</v>
      </c>
      <c r="AY51" t="s">
        <v>30</v>
      </c>
      <c r="AZ51" t="s">
        <v>28</v>
      </c>
      <c r="BA51" t="s">
        <v>32</v>
      </c>
      <c r="BB51" t="s">
        <v>34</v>
      </c>
      <c r="BC51" t="s">
        <v>26</v>
      </c>
      <c r="BD51" t="s">
        <v>31</v>
      </c>
      <c r="BE51" t="s">
        <v>22</v>
      </c>
    </row>
    <row r="52" spans="1:57">
      <c r="A52" s="346" t="s">
        <v>590</v>
      </c>
      <c r="B52" s="346" t="s">
        <v>645</v>
      </c>
      <c r="C52" s="346">
        <v>1244840</v>
      </c>
      <c r="D52" s="346" t="s">
        <v>14</v>
      </c>
      <c r="E52" s="346" t="s">
        <v>6</v>
      </c>
      <c r="F52" s="346" t="s">
        <v>3</v>
      </c>
      <c r="G52" s="346"/>
      <c r="H52" s="346"/>
      <c r="I52" s="346" t="s">
        <v>565</v>
      </c>
      <c r="J52" s="346"/>
      <c r="K52" s="346"/>
      <c r="L52" s="346" t="s">
        <v>560</v>
      </c>
      <c r="M52" s="346"/>
      <c r="N52" s="346"/>
      <c r="O52" s="346"/>
      <c r="P52" s="346"/>
      <c r="Q52" s="346"/>
      <c r="R52" s="346"/>
      <c r="S52" s="346"/>
      <c r="T52" s="346">
        <v>20880</v>
      </c>
      <c r="U52" s="346"/>
      <c r="V52" s="346"/>
      <c r="W52" s="346"/>
      <c r="X52" s="115">
        <f t="shared" si="0"/>
        <v>1</v>
      </c>
      <c r="Y52" s="115">
        <f t="shared" si="1"/>
        <v>2</v>
      </c>
      <c r="Z52" s="115" t="e">
        <f t="shared" si="2"/>
        <v>#VALUE!</v>
      </c>
      <c r="AA52" s="115">
        <f t="shared" si="3"/>
        <v>20.88</v>
      </c>
      <c r="AB52" s="246">
        <f t="shared" si="4"/>
        <v>21</v>
      </c>
      <c r="AD52" t="s">
        <v>35</v>
      </c>
      <c r="AE52" s="346" t="s">
        <v>703</v>
      </c>
      <c r="AF52">
        <f>COUNTIFS(D:D,"AA",F:F,"ATONGOAL",J:J,"CROSS")+COUNTIFS(D:D,"DA",F:F,"ATONGOAL",K:K,"CROSS")+COUNTIFS(D:D,"AA",F:F,"ATONGOAL",K:K,"CROSS")+COUNTIFS(D:D,"DA",F:F,"ATONGOAL",J:J,"CROSS")</f>
        <v>0</v>
      </c>
      <c r="AG52">
        <f>COUNTIFS(D:D,"AA",F:F,"ATONGOAL",J:J,"SWITCH")+COUNTIFS(D:D,"DA",F:F,"ATONGOAL",K:K,"SWITCH")+COUNTIFS(D:D,"AA",F:F,"ATONGOAL",K:K,"SWITCH")+COUNTIFS(D:D,"DA",F:F,"ATONGOAL",J:J,"SWITCH")</f>
        <v>0</v>
      </c>
      <c r="AH52">
        <f>COUNTIFS(D:D,"AA",F:F,"ATONGOAL",J:J,"SIDES")+COUNTIFS(D:D,"DA",F:F,"ATONGOAL",K:K,"SIDES")+COUNTIFS(D:D,"AA",F:F,"ATONGOAL",K:K,"SIDES")+COUNTIFS(D:D,"DA",F:F,"ATONGOAL",J:J,"SIDES")</f>
        <v>0</v>
      </c>
      <c r="AI52">
        <f>COUNTIFS(D:D,"AA",F:F,"ATONGOAL",J:J,"CONTRA")+COUNTIFS(D:D,"DA",F:F,"ATONGOAL",K:K,"CONTRA")+COUNTIFS(D:D,"AA",F:F,"ATONGOAL",K:K,"CONTRA")+COUNTIFS(D:D,"DA",F:F,"ATONGOAL",J:J,"CONTRA")</f>
        <v>0</v>
      </c>
      <c r="AJ52">
        <f>COUNTIFS(D:D,"AA",F:F,"ATONGOAL",J:J,"DUEL")+COUNTIFS(D:D,"DA",F:F,"ATONGOAL",K:K,"DUEL")+COUNTIFS(D:D,"AA",F:F,"ATONGOAL",K:K,"DUEL")+COUNTIFS(D:D,"DA",F:F,"ATONGOAL",J:J,"DUEL")</f>
        <v>0</v>
      </c>
      <c r="AK52">
        <f>COUNTIFS(D:D,"AA",F:F,"ATONGOAL",J:J,"PASS")+COUNTIFS(D:D,"DA",F:F,"ATONGOAL",K:K,"PASS")+COUNTIFS(D:D,"AA",F:F,"ATONGOAL",K:K,"PASS")+COUNTIFS(D:D,"DA",F:F,"ATONGOAL",J:J,"PASS")</f>
        <v>0</v>
      </c>
      <c r="AL52">
        <f>COUNTIFS(D:D,"AA",F:F,"ATONGOAL",J:J,"2nd BALL")+COUNTIFS(D:D,"DA",F:F,"ATONGOAL",K:K,"2nd BALL")+COUNTIFS(D:D,"AA",F:F,"ATONGOAL",K:K,"2nd BALL")+COUNTIFS(D:D,"DA",F:F,"ATONGOAL",J:J,"2nd BALL")</f>
        <v>0</v>
      </c>
      <c r="AM52">
        <f>COUNTIFS(D:D,"AA",F:F,"ATONGOAL",J:J,"SHOT")+COUNTIFS(D:D,"DA",F:F,"ATONGOAL",K:K,"SHOT")+COUNTIFS(D:D,"AA",F:F,"ATONGOAL",K:K,"SHOT")+COUNTIFS(D:D,"DA",F:F,"ATONGOAL",J:J,"SHOT")</f>
        <v>0</v>
      </c>
      <c r="AN52">
        <f>COUNTIFS(D:D,"AA",F:F,"ATONGOAL",J:J,"DEEP")+COUNTIFS(D:D,"DA",F:F,"ATONGOAL",K:K,"DEEP")+COUNTIFS(D:D,"AA",F:F,"ATONGOAL",K:K,"DEEP")+COUNTIFS(D:D,"DA",F:F,"ATONGOAL",J:J,"DEEP")</f>
        <v>0</v>
      </c>
      <c r="AO52" s="29">
        <f>COUNTIFS(D:D,"AA",F:F,"ATONGOAL",J:J,"DIAGO")+COUNTIFS(D:D,"DA",F:F,"ATONGOAL",K:K,"DIAGO")+COUNTIFS(D:D,"AA",F:F,"ATONGOAL",K:K,"DIAGO")+COUNTIFS(D:D,"DA",F:F,"ATONGOAL",J:J,"DIAGO")</f>
        <v>0</v>
      </c>
      <c r="AS52" t="s">
        <v>39</v>
      </c>
      <c r="AT52" s="346" t="s">
        <v>703</v>
      </c>
      <c r="AU52">
        <f>COUNTIFS(D:D,"DD",F:F,"ATONGOAL",J:J,"CROSS")+COUNTIFS(D:D,"AD",F:F,"ATONGOAL",K:K,"CROSS")+COUNTIFS(D:D,"DD",F:F,"ATONGOAL",K:K,"CROSS")+COUNTIFS(D:D,"AD",F:F,"ATONGOAL",J:J,"CROSS")</f>
        <v>0</v>
      </c>
      <c r="AV52">
        <f>COUNTIFS(D:D,"DD",F:F,"ATONGOAL",J:J,"SWITCH")+COUNTIFS(D:D,"AD",F:F,"ATONGOAL",K:K,"SWITCH")+COUNTIFS(D:D,"DD",F:F,"ATONGOAL",K:K,"SWITCH")+COUNTIFS(D:D,"AD",F:F,"ATONGOAL",J:J,"SWITCH")</f>
        <v>0</v>
      </c>
      <c r="AW52">
        <f>COUNTIFS(D:D,"DD",F:F,"ATONGOAL",J:J,"SIDES")+COUNTIFS(D:D,"AD",F:F,"ATONGOAL",K:K,"SIDES")+COUNTIFS(D:D,"DD",F:F,"ATONGOAL",K:K,"SIDES")+COUNTIFS(D:D,"AD",F:F,"ATONGOAL",J:J,"SIDES")</f>
        <v>0</v>
      </c>
      <c r="AX52">
        <f>COUNTIFS(D:D,"DD",F:F,"ATONGOAL",J:J,"CONTRA")+COUNTIFS(D:D,"AD",F:F,"ATONGOAL",K:K,"CONTRA")+COUNTIFS(D:D,"DD",F:F,"ATONGOAL",K:K,"CONTRA")+COUNTIFS(D:D,"AD",F:F,"ATONGOAL",J:J,"CONTRA")</f>
        <v>0</v>
      </c>
      <c r="AY52">
        <f>COUNTIFS(D:D,"DD",F:F,"ATONGOAL",J:J,"SAFE")+COUNTIFS(D:D,"AD",F:F,"ATONGOAL",K:K,"SAFE")+COUNTIFS(D:D,"DD",F:F,"ATONGOAL",K:K,"SAFE")+COUNTIFS(D:D,"AD",F:F,"ATONGOAL",J:J,"SAFE")</f>
        <v>0</v>
      </c>
      <c r="AZ52">
        <f>COUNTIFS(D:D,"DD",F:F,"ATONGOAL",J:J,"DUEL")+COUNTIFS(D:D,"AD",F:F,"ATONGOAL",K:K,"DUEL")+COUNTIFS(D:D,"DD",F:F,"ATONGOAL",K:K,"DUEL")+COUNTIFS(D:D,"AD",F:F,"ATONGOAL",J:J,"DUEL")</f>
        <v>0</v>
      </c>
      <c r="BA52">
        <f>COUNTIFS(D:D,"DD",F:F,"ATONGOAL",J:J,"PASS")+COUNTIFS(D:D,"AD",F:F,"ATONGOAL",K:K,"PASS")+COUNTIFS(D:D,"DD",F:F,"ATONGOAL",K:K,"PASS")+COUNTIFS(D:D,"AD",F:F,"ATONGOAL",J:J,"PASS")</f>
        <v>0</v>
      </c>
      <c r="BB52">
        <f>COUNTIFS(D:D,"DD",F:F,"ATONGOAL",J:J,"2nd BALL")+COUNTIFS(D:D,"AD",F:F,"ATONGOAL",K:K,"2nd BALL")+COUNTIFS(D:D,"DD",F:F,"ATONGOAL",K:K,"2nd BALL")+COUNTIFS(D:D,"AD",F:F,"ATONGOAL",J:J,"2nd BALL")</f>
        <v>0</v>
      </c>
      <c r="BC52">
        <f>COUNTIFS(D:D,"DD",F:F,"ATONGOAL",J:J,"SHOT")+COUNTIFS(D:D,"AD",F:F,"ATONGOAL",K:K,"SHOT")+COUNTIFS(D:D,"DD",F:F,"ATONGOAL",K:K,"SHOT")+COUNTIFS(D:D,"AD",F:F,"ATONGOAL",J:J,"SHOT")</f>
        <v>0</v>
      </c>
      <c r="BD52">
        <f>COUNTIFS(D:D,"DD",F:F,"ATONGOAL",J:J,"DEEP")+COUNTIFS(D:D,"AD",F:F,"ATONGOAL",K:K,"DEEP")+COUNTIFS(D:D,"DD",F:F,"ATONGOAL",K:K,"DEEP")+COUNTIFS(D:D,"AD",F:F,"ATONGOAL",J:J,"DEEP")</f>
        <v>0</v>
      </c>
      <c r="BE52" s="29">
        <f>COUNTIFS(D:D,"DD",F:F,"ATONGOAL",J:J,"DIAGO")+COUNTIFS(D:D,"AD",F:F,"ATONGOAL",K:K,"DIAGO")+COUNTIFS(D:D,"DD",F:F,"ATONGOAL",K:K,"DIAGO")+COUNTIFS(D:D,"AD",F:F,"ATONGOAL",J:J,"DIAGO")</f>
        <v>0</v>
      </c>
    </row>
    <row r="53" spans="1:57">
      <c r="A53" s="346" t="s">
        <v>590</v>
      </c>
      <c r="B53" s="346" t="s">
        <v>646</v>
      </c>
      <c r="C53" s="346">
        <v>1253400</v>
      </c>
      <c r="D53" s="346" t="s">
        <v>17</v>
      </c>
      <c r="E53" s="346" t="s">
        <v>2</v>
      </c>
      <c r="F53" s="346" t="s">
        <v>156</v>
      </c>
      <c r="G53" s="346"/>
      <c r="H53" s="346"/>
      <c r="I53" s="346" t="s">
        <v>565</v>
      </c>
      <c r="J53" s="346"/>
      <c r="K53" s="346"/>
      <c r="L53" s="346" t="s">
        <v>560</v>
      </c>
      <c r="M53" s="346"/>
      <c r="N53" s="346"/>
      <c r="O53" s="346"/>
      <c r="P53" s="346"/>
      <c r="Q53" s="346"/>
      <c r="R53" s="346"/>
      <c r="S53" s="346"/>
      <c r="T53" s="346">
        <v>19200</v>
      </c>
      <c r="U53" s="346"/>
      <c r="V53" s="346"/>
      <c r="W53" s="346"/>
      <c r="X53" s="115">
        <f t="shared" si="0"/>
        <v>1</v>
      </c>
      <c r="Y53" s="115">
        <f t="shared" si="1"/>
        <v>2</v>
      </c>
      <c r="Z53" s="115" t="e">
        <f t="shared" si="2"/>
        <v>#VALUE!</v>
      </c>
      <c r="AA53" s="115">
        <f t="shared" si="3"/>
        <v>19.2</v>
      </c>
      <c r="AB53" s="246">
        <f t="shared" si="4"/>
        <v>21</v>
      </c>
      <c r="AE53" t="s">
        <v>9</v>
      </c>
      <c r="AF53">
        <f>COUNTIFS(D:D,"AA",F:F,"ATON",J:J,"CROSS")+COUNTIFS(D:D,"DA",F:F,"ATON",K:K,"CROSS")+COUNTIFS(D:D,"AA",F:F,"ATON",K:K,"CROSS")+COUNTIFS(D:D,"DA",F:F,"ATON",J:J,"CROSS")</f>
        <v>0</v>
      </c>
      <c r="AG53">
        <f>COUNTIFS(D:D,"AA",F:F,"ATON",J:J,"SWITCH")+COUNTIFS(D:D,"DA",F:F,"ATON",K:K,"SWITCH")+COUNTIFS(D:D,"AA",F:F,"ATON",K:K,"SWITCH")+COUNTIFS(D:D,"DA",F:F,"ATON",J:J,"SWITCH")</f>
        <v>0</v>
      </c>
      <c r="AH53">
        <f>COUNTIFS(D:D,"AA",F:F,"ATON",J:J,"SIDES")+COUNTIFS(D:D,"DA",F:F,"ATON",K:K,"SIDES")+COUNTIFS(D:D,"AA",F:F,"ATON",K:K,"SIDES")+COUNTIFS(D:D,"DA",F:F,"ATON",J:J,"SIDES")</f>
        <v>0</v>
      </c>
      <c r="AI53">
        <f>COUNTIFS(D:D,"AA",F:F,"ATON",J:J,"CONTRA")+COUNTIFS(D:D,"DA",F:F,"ATON",K:K,"CONTRA")+COUNTIFS(D:D,"AA",F:F,"ATON",K:K,"CONTRA")+COUNTIFS(D:D,"DA",F:F,"ATON",J:J,"CONTRA")</f>
        <v>0</v>
      </c>
      <c r="AJ53">
        <f>COUNTIFS(D:D,"AA",F:F,"ATON",J:J,"DUEL")+COUNTIFS(D:D,"DA",F:F,"ATON",K:K,"DUEL")+COUNTIFS(D:D,"AA",F:F,"ATON",K:K,"DUEL")+COUNTIFS(D:D,"DA",F:F,"ATON",J:J,"DUEL")</f>
        <v>0</v>
      </c>
      <c r="AK53">
        <f>COUNTIFS(D:D,"AA",F:F,"ATON",J:J,"PASS")+COUNTIFS(D:D,"DA",F:F,"ATON",K:K,"PASS")+COUNTIFS(D:D,"AA",F:F,"ATON",K:K,"PASS")+COUNTIFS(D:D,"DA",F:F,"ATON",J:J,"PASS")</f>
        <v>0</v>
      </c>
      <c r="AL53">
        <f>COUNTIFS(D:D,"AA",F:F,"ATON",J:J,"2nd BALL")+COUNTIFS(D:D,"DA",F:F,"ATON",K:K,"2nd BALL")+COUNTIFS(D:D,"AA",F:F,"ATON",K:K,"2nd BALL")+COUNTIFS(D:D,"DA",F:F,"ATON",J:J,"2nd BALL")</f>
        <v>0</v>
      </c>
      <c r="AM53">
        <f>COUNTIFS(D:D,"AA",F:F,"ATON",J:J,"SHOT")+COUNTIFS(D:D,"DA",F:F,"ATON",K:K,"SHOT")+COUNTIFS(D:D,"AA",F:F,"ATON",K:K,"SHOT")+COUNTIFS(D:D,"DA",F:F,"ATON",J:J,"SHOT")</f>
        <v>0</v>
      </c>
      <c r="AN53">
        <f>COUNTIFS(D:D,"AA",F:F,"ATON",J:J,"DEEP")+COUNTIFS(D:D,"DA",F:F,"ATON",K:K,"DEEP")+COUNTIFS(D:D,"AA",F:F,"ATON",K:K,"DEEP")+COUNTIFS(D:D,"DA",F:F,"ATON",J:J,"DEEP")</f>
        <v>0</v>
      </c>
      <c r="AO53" s="29">
        <f>COUNTIFS(D:D,"AA",F:F,"ATON",J:J,"DIAGO")+COUNTIFS(D:D,"DA",F:F,"ATON",K:K,"DIAGO")+COUNTIFS(D:D,"AA",F:F,"ATON",K:K,"DIAGO")+COUNTIFS(D:D,"DA",F:F,"ATON",J:J,"DIAGO")</f>
        <v>0</v>
      </c>
      <c r="AT53" t="s">
        <v>9</v>
      </c>
      <c r="AU53">
        <f>COUNTIFS(D:D,"DD",F:F,"ATON",J:J,"CROSS")+COUNTIFS(D:D,"AD",F:F,"ATON",K:K,"CROSS")+COUNTIFS(D:D,"DD",F:F,"ATON",K:K,"CROSS")+COUNTIFS(D:D,"AD",F:F,"ATON",J:J,"CROSS")</f>
        <v>0</v>
      </c>
      <c r="AV53">
        <f>COUNTIFS(D:D,"DD",F:F,"ATON",J:J,"SWITCH")+COUNTIFS(D:D,"AD",F:F,"ATON",K:K,"SWITCH")+COUNTIFS(D:D,"DD",F:F,"ATON",K:K,"SWITCH")+COUNTIFS(D:D,"AD",F:F,"ATON",J:J,"SWITCH")</f>
        <v>0</v>
      </c>
      <c r="AW53">
        <f>COUNTIFS(D:D,"DD",F:F,"ATON",J:J,"SIDES")+COUNTIFS(D:D,"AD",F:F,"ATON",K:K,"SIDES")+COUNTIFS(D:D,"DD",F:F,"ATON",K:K,"SIDES")+COUNTIFS(D:D,"AD",F:F,"ATON",J:J,"SIDES")</f>
        <v>0</v>
      </c>
      <c r="AX53">
        <f>COUNTIFS(D:D,"DD",F:F,"ATON",J:J,"CONTRA")+COUNTIFS(D:D,"AD",F:F,"ATON",K:K,"CONTRA")+COUNTIFS(D:D,"DD",F:F,"ATON",K:K,"CONTRA")+COUNTIFS(D:D,"AD",F:F,"ATON",J:J,"CONTRA")</f>
        <v>0</v>
      </c>
      <c r="AY53">
        <f>COUNTIFS(D:D,"DD",F:F,"ATON",J:J,"SAFE")+COUNTIFS(D:D,"AD",F:F,"ATON",K:K,"SAFE")+COUNTIFS(D:D,"DD",F:F,"ATON",K:K,"SAFE")+COUNTIFS(D:D,"AD",F:F,"ATON",J:J,"SAFE")</f>
        <v>0</v>
      </c>
      <c r="AZ53">
        <f>COUNTIFS(D:D,"DD",F:F,"ATON",J:J,"DUEL")+COUNTIFS(D:D,"AD",F:F,"ATON",K:K,"DUEL")+COUNTIFS(D:D,"DD",F:F,"ATON",K:K,"DUEL")+COUNTIFS(D:D,"AD",F:F,"ATON",J:J,"DUEL")</f>
        <v>0</v>
      </c>
      <c r="BA53">
        <f>COUNTIFS(D:D,"DD",F:F,"ATON",J:J,"PASS")+COUNTIFS(D:D,"AD",F:F,"ATON",K:K,"PASS")+COUNTIFS(D:D,"DD",F:F,"ATON",K:K,"PASS")+COUNTIFS(D:D,"AD",F:F,"ATON",J:J,"PASS")</f>
        <v>0</v>
      </c>
      <c r="BB53">
        <f>COUNTIFS(D:D,"DD",F:F,"ATON",J:J,"2nd BALL")+COUNTIFS(D:D,"AD",F:F,"ATON",K:K,"2nd BALL")+COUNTIFS(D:D,"DD",F:F,"ATON",K:K,"2nd BALL")+COUNTIFS(D:D,"AD",F:F,"ATON",J:J,"2nd BALL")</f>
        <v>0</v>
      </c>
      <c r="BC53">
        <f>COUNTIFS(D:D,"DD",F:F,"ATON",J:J,"SHOT")+COUNTIFS(D:D,"AD",F:F,"ATON",K:K,"SHOT")+COUNTIFS(D:D,"DD",F:F,"ATON",K:K,"SHOT")+COUNTIFS(D:D,"AD",F:F,"ATON",J:J,"SHOT")</f>
        <v>0</v>
      </c>
      <c r="BD53">
        <f>COUNTIFS(D:D,"DD",F:F,"ATON",J:J,"DEEP")+COUNTIFS(D:D,"AD",F:F,"ATON",K:K,"DEEP")+COUNTIFS(D:D,"DD",F:F,"ATON",K:K,"DEEP")+COUNTIFS(D:D,"AD",F:F,"ATON",J:J,"DEEP")</f>
        <v>0</v>
      </c>
      <c r="BE53" s="29">
        <f>COUNTIFS(D:D,"DD",F:F,"ATON",J:J,"DIAGO")+COUNTIFS(D:D,"AD",F:F,"ATON",K:K,"DIAGO")+COUNTIFS(D:D,"DD",F:F,"ATON",K:K,"DIAGO")+COUNTIFS(D:D,"AD",F:F,"ATON",J:J,"DIAGO")</f>
        <v>0</v>
      </c>
    </row>
    <row r="54" spans="1:57">
      <c r="A54" s="346" t="s">
        <v>590</v>
      </c>
      <c r="B54" s="346" t="s">
        <v>647</v>
      </c>
      <c r="C54" s="346">
        <v>1275440</v>
      </c>
      <c r="D54" s="346" t="s">
        <v>5</v>
      </c>
      <c r="E54" s="346" t="s">
        <v>2</v>
      </c>
      <c r="F54" s="346" t="s">
        <v>156</v>
      </c>
      <c r="G54" s="346" t="s">
        <v>29</v>
      </c>
      <c r="H54" s="346"/>
      <c r="I54" s="346"/>
      <c r="J54" s="346"/>
      <c r="K54" s="346"/>
      <c r="L54" s="346"/>
      <c r="M54" s="346"/>
      <c r="N54" s="346"/>
      <c r="O54" s="346"/>
      <c r="P54" s="346"/>
      <c r="Q54" s="346"/>
      <c r="R54" s="346"/>
      <c r="S54" s="346"/>
      <c r="T54" s="346">
        <v>13600</v>
      </c>
      <c r="U54" s="346"/>
      <c r="V54" s="346"/>
      <c r="W54" s="346"/>
      <c r="X54" s="115">
        <f t="shared" si="0"/>
        <v>1</v>
      </c>
      <c r="Y54" s="115">
        <f t="shared" si="1"/>
        <v>2</v>
      </c>
      <c r="Z54" s="115" t="e">
        <f t="shared" si="2"/>
        <v>#VALUE!</v>
      </c>
      <c r="AA54" s="115">
        <f t="shared" si="3"/>
        <v>13.6</v>
      </c>
      <c r="AB54" s="246">
        <f t="shared" si="4"/>
        <v>21</v>
      </c>
      <c r="AE54" t="s">
        <v>8</v>
      </c>
      <c r="AF54">
        <f>COUNTIFS(D:D,"AA",F:F,"ATOF",J:J,"CROSS")+COUNTIFS(D:D,"DA",F:F,"ATOF",K:K,"CROSS")+COUNTIFS(D:D,"AA",F:F,"ATOF",K:K,"CROSS")+COUNTIFS(D:D,"DA",F:F,"ATOF",J:J,"CROSS")</f>
        <v>0</v>
      </c>
      <c r="AG54">
        <f>COUNTIFS(D:D,"AA",F:F,"ATOF",J:J,"SWITCH")+COUNTIFS(D:D,"DA",F:F,"ATOF",K:K,"SWITCH")+COUNTIFS(D:D,"AA",F:F,"ATOF",K:K,"SWITCH")+COUNTIFS(D:D,"DA",F:F,"ATOF",J:J,"SWITCH")</f>
        <v>0</v>
      </c>
      <c r="AH54">
        <f>COUNTIFS(D:D,"AA",F:F,"ATOF",J:J,"SIDES")+COUNTIFS(D:D,"DA",F:F,"ATOF",K:K,"SIDES")+COUNTIFS(D:D,"AA",F:F,"ATOF",K:K,"SIDES")+COUNTIFS(D:D,"DA",F:F,"ATOF",J:J,"SIDES")</f>
        <v>0</v>
      </c>
      <c r="AI54">
        <f>COUNTIFS(D:D,"AA",F:F,"ATOF",J:J,"CONTRA")+COUNTIFS(D:D,"DA",F:F,"ATOF",K:K,"CONTRA")+COUNTIFS(D:D,"AA",F:F,"ATOF",K:K,"CONTRA")+COUNTIFS(D:D,"DA",F:F,"ATOF",J:J,"CONTRA")</f>
        <v>0</v>
      </c>
      <c r="AJ54">
        <f>COUNTIFS(D:D,"AA",F:F,"ATOF",J:J,"DUEL")+COUNTIFS(D:D,"DA",F:F,"ATOF",K:K,"DUEL")+COUNTIFS(D:D,"AA",F:F,"ATOF",K:K,"DUEL")+COUNTIFS(D:D,"DA",F:F,"ATOF",J:J,"DUEL")</f>
        <v>0</v>
      </c>
      <c r="AK54">
        <f>COUNTIFS(D:D,"AA",F:F,"ATOF",J:J,"PASS")+COUNTIFS(D:D,"DA",F:F,"ATOF",K:K,"PASS")+COUNTIFS(D:D,"AA",F:F,"ATOF",K:K,"PASS")+COUNTIFS(D:D,"DA",F:F,"ATOF",J:J,"PASS")</f>
        <v>0</v>
      </c>
      <c r="AL54">
        <f>COUNTIFS(D:D,"AA",F:F,"ATOF",J:J,"2nd BALL")+COUNTIFS(D:D,"DA",F:F,"ATOF",K:K,"2nd BALL")+COUNTIFS(D:D,"AA",F:F,"ATOF",K:K,"2nd BALL")+COUNTIFS(D:D,"DA",F:F,"ATOF",J:J,"2nd BALL")</f>
        <v>0</v>
      </c>
      <c r="AM54">
        <f>COUNTIFS(D:D,"AA",F:F,"ATOF",J:J,"SHOT")+COUNTIFS(D:D,"DA",F:F,"ATOF",K:K,"SHOT")+COUNTIFS(D:D,"AA",F:F,"ATOF",K:K,"SHOT")+COUNTIFS(D:D,"DA",F:F,"ATOF",J:J,"SHOT")</f>
        <v>0</v>
      </c>
      <c r="AN54">
        <f>COUNTIFS(D:D,"AA",F:F,"ATOF",J:J,"DEEP")+COUNTIFS(D:D,"DA",F:F,"ATOF",K:K,"DEEP")+COUNTIFS(D:D,"AA",F:F,"ATOF",K:K,"DEEP")+COUNTIFS(D:D,"DA",F:F,"ATOF",J:J,"DEEP")</f>
        <v>0</v>
      </c>
      <c r="AO54" s="29">
        <f>COUNTIFS(D:D,"AA",F:F,"ATOF",J:J,"DIAGO")+COUNTIFS(D:D,"DA",F:F,"ATOF",K:K,"DIAGO")+COUNTIFS(D:D,"AA",F:F,"ATOF",K:K,"DIAGO")+COUNTIFS(D:D,"DA",F:F,"ATOF",J:J,"DIAGO")</f>
        <v>0</v>
      </c>
      <c r="AT54" t="s">
        <v>8</v>
      </c>
      <c r="AU54">
        <f>COUNTIFS(D:D,"DD",F:F,"ATOF",J:J,"CROSS")+COUNTIFS(D:D,"AD",F:F,"ATOF",K:K,"CROSS")+COUNTIFS(D:D,"DD",F:F,"ATOF",K:K,"CROSS")+COUNTIFS(D:D,"AD",F:F,"ATOF",J:J,"CROSS")</f>
        <v>0</v>
      </c>
      <c r="AV54">
        <f>COUNTIFS(D:D,"DD",F:F,"ATOF",J:J,"SWITCH")+COUNTIFS(D:D,"AD",F:F,"ATOF",K:K,"SWITCH")+COUNTIFS(D:D,"DD",F:F,"ATOF",K:K,"SWITCH")+COUNTIFS(D:D,"AD",F:F,"ATOF",J:J,"SWITCH")</f>
        <v>0</v>
      </c>
      <c r="AW54">
        <f>COUNTIFS(D:D,"DD",F:F,"ATOF",J:J,"SIDES")+COUNTIFS(D:D,"AD",F:F,"ATOF",K:K,"SIDES")+COUNTIFS(D:D,"DD",F:F,"ATOF",K:K,"SIDES")+COUNTIFS(D:D,"AD",F:F,"ATOF",J:J,"SIDES")</f>
        <v>0</v>
      </c>
      <c r="AX54">
        <f>COUNTIFS(D:D,"DD",F:F,"ATOF",J:J,"CONTRA")+COUNTIFS(D:D,"AD",F:F,"ATOF",K:K,"CONTRA")+COUNTIFS(D:D,"DD",F:F,"ATOF",K:K,"CONTRA")+COUNTIFS(D:D,"AD",F:F,"ATOF",J:J,"CONTRA")</f>
        <v>0</v>
      </c>
      <c r="AY54">
        <f>COUNTIFS(D:D,"DD",F:F,"ATOF",J:J,"SAFE")+COUNTIFS(D:D,"AD",F:F,"ATOF",K:K,"SAFE")+COUNTIFS(D:D,"DD",F:F,"ATOF",K:K,"SAFE")+COUNTIFS(D:D,"AD",F:F,"ATOF",J:J,"SAFE")</f>
        <v>0</v>
      </c>
      <c r="AZ54">
        <f>COUNTIFS(D:D,"DD",F:F,"ATOF",J:J,"DUEL")+COUNTIFS(D:D,"AD",F:F,"ATOF",K:K,"DUEL")+COUNTIFS(D:D,"DD",F:F,"ATOF",K:K,"DUEL")+COUNTIFS(D:D,"AD",F:F,"ATOF",J:J,"DUEL")</f>
        <v>0</v>
      </c>
      <c r="BA54">
        <f>COUNTIFS(D:D,"DD",F:F,"ATOF",J:J,"PASS")+COUNTIFS(D:D,"AD",F:F,"ATOF",K:K,"PASS")+COUNTIFS(D:D,"DD",F:F,"ATOF",K:K,"PASS")+COUNTIFS(D:D,"AD",F:F,"ATOF",J:J,"PASS")</f>
        <v>0</v>
      </c>
      <c r="BB54">
        <f>COUNTIFS(D:D,"DD",F:F,"ATOF",J:J,"2nd BALL")+COUNTIFS(D:D,"AD",F:F,"ATOF",K:K,"2nd BALL")+COUNTIFS(D:D,"DD",F:F,"ATOF",K:K,"2nd BALL")+COUNTIFS(D:D,"AD",F:F,"ATOF",J:J,"2nd BALL")</f>
        <v>0</v>
      </c>
      <c r="BC54">
        <f>COUNTIFS(D:D,"DD",F:F,"ATOF",J:J,"SHOT")+COUNTIFS(D:D,"AD",F:F,"ATOF",K:K,"SHOT")+COUNTIFS(D:D,"DD",F:F,"ATOF",K:K,"SHOT")+COUNTIFS(D:D,"AD",F:F,"ATOF",J:J,"SHOT")</f>
        <v>0</v>
      </c>
      <c r="BD54">
        <f>COUNTIFS(D:D,"DD",F:F,"ATOF",J:J,"DEEP")+COUNTIFS(D:D,"AD",F:F,"ATOF",K:K,"DEEP")+COUNTIFS(D:D,"DD",F:F,"ATOF",K:K,"DEEP")+COUNTIFS(D:D,"AD",F:F,"ATOF",J:J,"DEEP")</f>
        <v>0</v>
      </c>
      <c r="BE54" s="29">
        <f>COUNTIFS(D:D,"DD",F:F,"ATOF",J:J,"DIAGO")+COUNTIFS(D:D,"AD",F:F,"ATOF",K:K,"DIAGO")+COUNTIFS(D:D,"DD",F:F,"ATOF",K:K,"DIAGO")+COUNTIFS(D:D,"AD",F:F,"ATOF",J:J,"DIAGO")</f>
        <v>0</v>
      </c>
    </row>
    <row r="55" spans="1:57">
      <c r="A55" s="346" t="s">
        <v>590</v>
      </c>
      <c r="B55" s="346" t="s">
        <v>648</v>
      </c>
      <c r="C55" s="346">
        <v>1313960</v>
      </c>
      <c r="D55" s="346" t="s">
        <v>5</v>
      </c>
      <c r="E55" s="346" t="s">
        <v>6</v>
      </c>
      <c r="F55" s="346" t="s">
        <v>3</v>
      </c>
      <c r="G55" s="346"/>
      <c r="H55" s="346"/>
      <c r="I55" s="346" t="s">
        <v>595</v>
      </c>
      <c r="J55" s="346"/>
      <c r="K55" s="346"/>
      <c r="L55" s="346"/>
      <c r="M55" s="346"/>
      <c r="N55" s="346"/>
      <c r="O55" s="346"/>
      <c r="P55" s="346"/>
      <c r="Q55" s="346"/>
      <c r="R55" s="346"/>
      <c r="S55" s="346"/>
      <c r="T55" s="346">
        <v>26640</v>
      </c>
      <c r="U55" s="346"/>
      <c r="V55" s="346"/>
      <c r="W55" s="346"/>
      <c r="X55" s="115">
        <f t="shared" si="0"/>
        <v>1</v>
      </c>
      <c r="Y55" s="115">
        <f t="shared" si="1"/>
        <v>2</v>
      </c>
      <c r="Z55" s="115" t="e">
        <f t="shared" si="2"/>
        <v>#VALUE!</v>
      </c>
      <c r="AA55" s="115">
        <f t="shared" si="3"/>
        <v>26.64</v>
      </c>
      <c r="AB55" s="246">
        <f t="shared" si="4"/>
        <v>22</v>
      </c>
      <c r="AE55" t="s">
        <v>19</v>
      </c>
      <c r="AF55">
        <f>COUNTIFS(D:D,"AA",F:F,"ATBK",J:J,"CROSS")+COUNTIFS(D:D,"DA",F:F,"ATBK",K:K,"CROSS")+COUNTIFS(D:D,"AA",F:F,"ATBK",K:K,"CROSS")+COUNTIFS(D:D,"DA",F:F,"ATBK",J:J,"CROSS")</f>
        <v>0</v>
      </c>
      <c r="AG55">
        <f>COUNTIFS(D:D,"AA",F:F,"ATBK",J:J,"SWITCH")+COUNTIFS(D:D,"DA",F:F,"ATBK",K:K,"SWITCH")+COUNTIFS(D:D,"AA",F:F,"ATBK",K:K,"SWITCH")+COUNTIFS(D:D,"DA",F:F,"ATBK",J:J,"SWITCH")</f>
        <v>0</v>
      </c>
      <c r="AH55">
        <f>COUNTIFS(D:D,"AA",F:F,"ATBK",J:J,"SIDES")+COUNTIFS(D:D,"DA",F:F,"ATBK",K:K,"SIDES")+COUNTIFS(D:D,"AA",F:F,"ATBK",K:K,"SIDES")+COUNTIFS(D:D,"DA",F:F,"ATBK",J:J,"SIDES")</f>
        <v>0</v>
      </c>
      <c r="AI55">
        <f>COUNTIFS(D:D,"AA",F:F,"ATBK",J:J,"CONTRA")+COUNTIFS(D:D,"DA",F:F,"ATBK",K:K,"CONTRA")+COUNTIFS(D:D,"AA",F:F,"ATBK",K:K,"CONTRA")+COUNTIFS(D:D,"DA",F:F,"ATBK",J:J,"CONTRA")</f>
        <v>0</v>
      </c>
      <c r="AJ55">
        <f>COUNTIFS(D:D,"AA",F:F,"ATBK",J:J,"DUEL")+COUNTIFS(D:D,"DA",F:F,"ATBK",K:K,"DUEL")+COUNTIFS(D:D,"AA",F:F,"ATBK",K:K,"DUEL")+COUNTIFS(D:D,"DA",F:F,"ATBK",J:J,"DUEL")</f>
        <v>0</v>
      </c>
      <c r="AK55">
        <f>COUNTIFS(D:D,"AA",F:F,"ATBK",J:J,"PASS")+COUNTIFS(D:D,"DA",F:F,"ATBK",K:K,"PASS")+COUNTIFS(D:D,"AA",F:F,"ATBK",K:K,"PASS")+COUNTIFS(D:D,"DA",F:F,"ATBK",J:J,"PASS")</f>
        <v>0</v>
      </c>
      <c r="AL55">
        <f>COUNTIFS(D:D,"AA",F:F,"ATBK",J:J,"2nd BALL")+COUNTIFS(D:D,"DA",F:F,"ATBK",K:K,"2nd BALL")+COUNTIFS(D:D,"AA",F:F,"ATBK",K:K,"2nd BALL")+COUNTIFS(D:D,"DA",F:F,"ATBK",J:J,"2nd BALL")</f>
        <v>0</v>
      </c>
      <c r="AM55">
        <f>COUNTIFS(D:D,"AA",F:F,"ATBK",J:J,"SHOT")+COUNTIFS(D:D,"DA",F:F,"ATBK",K:K,"SHOT")+COUNTIFS(D:D,"AA",F:F,"ATBK",K:K,"SHOT")+COUNTIFS(D:D,"DA",F:F,"ATBK",J:J,"SHOT")</f>
        <v>0</v>
      </c>
      <c r="AN55">
        <f>COUNTIFS(D:D,"AA",F:F,"ATBK",J:J,"DEEP")+COUNTIFS(D:D,"DA",F:F,"ATBK",K:K,"DEEP")+COUNTIFS(D:D,"AA",F:F,"ATBK",K:K,"DEEP")+COUNTIFS(D:D,"DA",F:F,"ATBK",J:J,"DEEP")</f>
        <v>0</v>
      </c>
      <c r="AO55" s="29">
        <f>COUNTIFS(D:D,"AA",F:F,"ATBK",J:J,"DIAGO")+COUNTIFS(D:D,"DA",F:F,"ATBK",K:K,"DIAGO")+COUNTIFS(D:D,"AA",F:F,"ATBK",K:K,"DIAGO")+COUNTIFS(D:D,"DA",F:F,"ATBK",J:J,"DIAGO")</f>
        <v>0</v>
      </c>
      <c r="AT55" t="s">
        <v>19</v>
      </c>
      <c r="AU55">
        <f>COUNTIFS(D:D,"DD",F:F,"ATBK",J:J,"CROSS")+COUNTIFS(D:D,"AD",F:F,"ATBK",K:K,"CROSS")+COUNTIFS(D:D,"DD",F:F,"ATBK",K:K,"CROSS")+COUNTIFS(D:D,"AD",F:F,"ATBK",J:J,"CROSS")</f>
        <v>0</v>
      </c>
      <c r="AV55">
        <f>COUNTIFS(D:D,"DD",F:F,"ATBK",J:J,"SWITCH")+COUNTIFS(D:D,"AD",F:F,"ATBK",K:K,"SWITCH")+COUNTIFS(D:D,"DD",F:F,"ATBK",K:K,"SWITCH")+COUNTIFS(D:D,"AD",F:F,"ATBK",J:J,"SWITCH")</f>
        <v>0</v>
      </c>
      <c r="AW55">
        <f>COUNTIFS(D:D,"DD",F:F,"ATBK",J:J,"SIDES")+COUNTIFS(D:D,"AD",F:F,"ATBK",K:K,"SIDES")+COUNTIFS(D:D,"DD",F:F,"ATBK",K:K,"SIDES")+COUNTIFS(D:D,"AD",F:F,"ATBK",J:J,"SIDES")</f>
        <v>0</v>
      </c>
      <c r="AX55">
        <f>COUNTIFS(D:D,"DD",F:F,"ATBK",J:J,"CONTRA")+COUNTIFS(D:D,"AD",F:F,"ATBK",K:K,"CONTRA")+COUNTIFS(D:D,"DD",F:F,"ATBK",K:K,"CONTRA")+COUNTIFS(D:D,"AD",F:F,"ATBK",J:J,"CONTRA")</f>
        <v>0</v>
      </c>
      <c r="AY55">
        <f>COUNTIFS(D:D,"DD",F:F,"ATBK",J:J,"SAFE")+COUNTIFS(D:D,"AD",F:F,"ATBK",K:K,"SAFE")+COUNTIFS(D:D,"DD",F:F,"ATBK",K:K,"SAFE")+COUNTIFS(D:D,"AD",F:F,"ATBK",J:J,"SAFE")</f>
        <v>0</v>
      </c>
      <c r="AZ55">
        <f>COUNTIFS(D:D,"DD",F:F,"ATBK",J:J,"DUEL")+COUNTIFS(D:D,"AD",F:F,"ATBK",K:K,"DUEL")+COUNTIFS(D:D,"DD",F:F,"ATBK",K:K,"DUEL")+COUNTIFS(D:D,"AD",F:F,"ATBK",J:J,"DUEL")</f>
        <v>0</v>
      </c>
      <c r="BA55">
        <f>COUNTIFS(D:D,"DD",F:F,"ATBK",J:J,"PASS")+COUNTIFS(D:D,"AD",F:F,"ATBK",K:K,"PASS")+COUNTIFS(D:D,"DD",F:F,"ATBK",K:K,"PASS")+COUNTIFS(D:D,"AD",F:F,"ATBK",J:J,"PASS")</f>
        <v>0</v>
      </c>
      <c r="BB55">
        <f>COUNTIFS(D:D,"DD",F:F,"ATBK",J:J,"PASS")+COUNTIFS(D:D,"AD",F:F,"ATBK",K:K,"PASS")+COUNTIFS(D:D,"DD",F:F,"ATBK",K:K,"PASS")+COUNTIFS(D:D,"AD",F:F,"ATBK",J:J,"PASS")</f>
        <v>0</v>
      </c>
      <c r="BC55">
        <f>COUNTIFS(D:D,"DD",F:F,"ATBK",J:J,"SHOT")+COUNTIFS(D:D,"AD",F:F,"ATBK",K:K,"SHOT")+COUNTIFS(D:D,"DD",F:F,"ATBK",K:K,"SHOT")+COUNTIFS(D:D,"AD",F:F,"ATBK",J:J,"SHOT")</f>
        <v>0</v>
      </c>
      <c r="BD55">
        <f>COUNTIFS(D:D,"DD",F:F,"ATBK",J:J,"DEEP")+COUNTIFS(D:D,"AD",F:F,"ATBK",K:K,"DEEP")+COUNTIFS(D:D,"DD",F:F,"ATBK",K:K,"DEEP")+COUNTIFS(D:D,"AD",F:F,"ATBK",J:J,"DEEP")</f>
        <v>0</v>
      </c>
      <c r="BE55" s="29">
        <f>COUNTIFS(D:D,"DD",F:F,"ATBK",J:J,"DIAGO")+COUNTIFS(D:D,"AD",F:F,"ATBK",K:K,"DIAGO")+COUNTIFS(D:D,"DD",F:F,"ATBK",K:K,"DIAGO")+COUNTIFS(D:D,"AD",F:F,"ATBK",J:J,"DIAGO")</f>
        <v>0</v>
      </c>
    </row>
    <row r="56" spans="1:57">
      <c r="A56" s="346" t="s">
        <v>590</v>
      </c>
      <c r="B56" s="346" t="s">
        <v>649</v>
      </c>
      <c r="C56" s="346">
        <v>1327240</v>
      </c>
      <c r="D56" s="346" t="s">
        <v>17</v>
      </c>
      <c r="E56" s="346" t="s">
        <v>2</v>
      </c>
      <c r="F56" s="346" t="s">
        <v>156</v>
      </c>
      <c r="G56" s="346"/>
      <c r="H56" s="346"/>
      <c r="I56" s="346" t="s">
        <v>595</v>
      </c>
      <c r="J56" s="346"/>
      <c r="K56" s="346"/>
      <c r="L56" s="346" t="s">
        <v>560</v>
      </c>
      <c r="M56" s="346"/>
      <c r="N56" s="346"/>
      <c r="O56" s="346"/>
      <c r="P56" s="346"/>
      <c r="Q56" s="346"/>
      <c r="R56" s="346"/>
      <c r="S56" s="346"/>
      <c r="T56" s="346">
        <v>30880</v>
      </c>
      <c r="U56" s="346"/>
      <c r="V56" s="346"/>
      <c r="W56" s="346"/>
      <c r="X56" s="115">
        <f t="shared" si="0"/>
        <v>1</v>
      </c>
      <c r="Y56" s="115">
        <f t="shared" si="1"/>
        <v>2</v>
      </c>
      <c r="Z56" s="115" t="e">
        <f t="shared" si="2"/>
        <v>#VALUE!</v>
      </c>
      <c r="AA56" s="115">
        <f t="shared" si="3"/>
        <v>30.88</v>
      </c>
      <c r="AB56" s="246">
        <f t="shared" si="4"/>
        <v>22</v>
      </c>
      <c r="AE56" t="s">
        <v>7</v>
      </c>
      <c r="AF56">
        <f>COUNTIFS(D:D,"AA",F:F,"WINSTAN",J:J,"CROSS",E:E,"POS")+COUNTIFS(D:D,"DA",F:F,"WINSTAN",K:K,"CROSS",E:E,"POS")+COUNTIFS(D:D,"AA",F:F,"WINSTAN",K:K,"CROSS",E:E,"POS")+COUNTIFS(D:D,"DA",F:F,"WINSTAN",J:J,"CROSS",E:E,"POS")</f>
        <v>0</v>
      </c>
      <c r="AG56">
        <f>COUNTIFS(D:D,"AA",F:F,"WINSTAN",J:J,"SWITCH",E:E,"POS")+COUNTIFS(D:D,"DA",F:F,"WINSTAN",K:K,"SWITCH",E:E,"POS")+COUNTIFS(D:D,"AA",F:F,"WINSTAN",K:K,"SWITCH",E:E,"POS")+COUNTIFS(D:D,"DA",F:F,"WINSTAN",J:J,"SWITCH",E:E,"POS")</f>
        <v>0</v>
      </c>
      <c r="AH56">
        <f>COUNTIFS(D:D,"AA",F:F,"WINSTAN",J:J,"SIDES",E:E,"POS")+COUNTIFS(D:D,"DA",F:F,"WINSTAN",K:K,"SIDES",E:E,"POS")+COUNTIFS(D:D,"AA",F:F,"WINSTAN",K:K,"SIDES",E:E,"POS")+COUNTIFS(D:D,"DA",F:F,"WINSTAN",J:J,"SIDES",E:E,"POS")</f>
        <v>0</v>
      </c>
      <c r="AI56">
        <f>COUNTIFS(D:D,"AA",F:F,"WINSTAN",J:J,"CONTRA",E:E,"POS")+COUNTIFS(D:D,"DA",F:F,"WINSTAN",K:K,"CONTRA",E:E,"POS")+COUNTIFS(D:D,"AA",F:F,"WINSTAN",K:K,"CONTRA",E:E,"POS")+COUNTIFS(D:D,"DA",F:F,"WINSTAN",J:J,"CONTRA",E:E,"POS")</f>
        <v>0</v>
      </c>
      <c r="AJ56">
        <f>COUNTIFS(D:D,"AA",F:F,"WINSTAN",J:J,"DUEL",E:E,"POS")+COUNTIFS(D:D,"DA",F:F,"WINSTAN",K:K,"DUEL",E:E,"POS")+COUNTIFS(D:D,"AA",F:F,"WINSTAN",K:K,"DUEL",E:E,"POS")+COUNTIFS(D:D,"DA",F:F,"WINSTAN",J:J,"DUEL",E:E,"POS")</f>
        <v>0</v>
      </c>
      <c r="AK56">
        <f>COUNTIFS(D:D,"AA",F:F,"WINSTAN",J:J,"PASS",E:E,"POS")+COUNTIFS(D:D,"DA",F:F,"WINSTAN",K:K,"PASS",E:E,"POS")+COUNTIFS(D:D,"AA",F:F,"WINSTAN",K:K,"PASS",E:E,"POS")+COUNTIFS(D:D,"DA",F:F,"WINSTAN",J:J,"PASS",E:E,"POS")</f>
        <v>0</v>
      </c>
      <c r="AL56">
        <f>COUNTIFS(D:D,"AA",F:F,"WINSTAN",J:J,"2nd BALL",E:E,"POS")+COUNTIFS(D:D,"DA",F:F,"WINSTAN",K:K,"2nd BALL",E:E,"POS")+COUNTIFS(D:D,"AA",F:F,"WINSTAN",K:K,"2nd BALL",E:E,"POS")+COUNTIFS(D:D,"DA",F:F,"WINSTAN",J:J,"2nd BALL",E:E,"POS")</f>
        <v>0</v>
      </c>
      <c r="AN56">
        <f>COUNTIFS(D:D,"AA",F:F,"WINSTAN",J:J,"DEEP")+COUNTIFS(D:D,"DA",F:F,"WINSTAN",K:K,"DEEP")+COUNTIFS(D:D,"AA",F:F,"WINSTAN",K:K,"DEEP")+COUNTIFS(D:D,"DA",F:F,"WINSTAN",J:J,"DEEP")</f>
        <v>0</v>
      </c>
      <c r="AO56" s="29">
        <f>COUNTIFS(D:D,"AA",F:F,"WINSTAN",J:J,"DIAGO")+COUNTIFS(D:D,"DA",F:F,"WINSTAN",K:K,"DIAGO")+COUNTIFS(D:D,"AA",F:F,"WINSTAN",K:K,"DIAGO")+COUNTIFS(D:D,"DA",F:F,"WINSTAN",J:J,"DIAGO")</f>
        <v>0</v>
      </c>
      <c r="AT56" t="s">
        <v>7</v>
      </c>
      <c r="AU56">
        <f>COUNTIFS(D:D,"DD",F:F,"WINSTAN",J:J,"CROSS",E:E,"NEG")+COUNTIFS(D:D,"AD",F:F,"WINSTAN",K:K,"CROSS",E:E,"NEG")+COUNTIFS(D:D,"DD",F:F,"WINSTAN",K:K,"CROSS",E:E,"NEG")+COUNTIFS(D:D,"AD",F:F,"WINSTAN",J:J,"CROSS",E:E,"NEG")</f>
        <v>0</v>
      </c>
      <c r="AV56">
        <f>COUNTIFS(D:D,"DD",F:F,"WINSTAN",J:J,"SWITCH",E:E,"NEG")+COUNTIFS(D:D,"AD",F:F,"WINSTAN",K:K,"SWITCH",E:E,"NEG")+COUNTIFS(D:D,"DD",F:F,"WINSTAN",K:K,"SWITCH",E:E,"NEG")+COUNTIFS(D:D,"AD",F:F,"WINSTAN",J:J,"SWITCH",E:E,"NEG")</f>
        <v>0</v>
      </c>
      <c r="AW56">
        <f>COUNTIFS(D:D,"DD",F:F,"WINSTAN",J:J,"SIDES",E:E,"NEG")+COUNTIFS(D:D,"AD",F:F,"WINSTAN",K:K,"SIDES",E:E,"NEG")+COUNTIFS(D:D,"DD",F:F,"WINSTAN",K:K,"SIDES",E:E,"NEG")+COUNTIFS(D:D,"AD",F:F,"WINSTAN",J:J,"SIDES",E:E,"NEG")</f>
        <v>0</v>
      </c>
      <c r="AX56">
        <f>COUNTIFS(D:D,"DD",F:F,"WINSTAN",J:J,"CONTRA",E:E,"NEG")+COUNTIFS(D:D,"AD",F:F,"WINSTAN",K:K,"CONTRA",E:E,"NEG")+COUNTIFS(D:D,"DD",F:F,"WINSTAN",K:K,"CONTRA",E:E,"NEG")+COUNTIFS(D:D,"AD",F:F,"WINSTAN",J:J,"CONTRA",E:E,"NEG")</f>
        <v>0</v>
      </c>
      <c r="AY56">
        <f>COUNTIFS(D:D,"DD",F:F,"WINSTAN",J:J,"SAFE",E:E,"NEG")+COUNTIFS(D:D,"AD",F:F,"WINSTAN",K:K,"SAFE",E:E,"NEG")+COUNTIFS(D:D,"DD",F:F,"WINSTAN",K:K,"SAFE",E:E,"NEG")+COUNTIFS(D:D,"AD",F:F,"WINSTAN",J:J,"SAFE",E:E,"NEG")</f>
        <v>0</v>
      </c>
      <c r="AZ56">
        <f>COUNTIFS(D:D,"DD",F:F,"WINSTAN",J:J,"DUEL",E:E,"NEG")+COUNTIFS(D:D,"AD",F:F,"WINSTAN",K:K,"DUEL",E:E,"NEG")+COUNTIFS(D:D,"DD",F:F,"WINSTAN",K:K,"DUEL",E:E,"NEG")+COUNTIFS(D:D,"AD",F:F,"WINSTAN",J:J,"DUEL",E:E,"NEG")</f>
        <v>0</v>
      </c>
      <c r="BA56">
        <f>COUNTIFS(D:D,"DD",F:F,"WINSTAN",J:J,"PASS",E:E,"NEG")+COUNTIFS(D:D,"AD",F:F,"WINSTAN",K:K,"PASS",E:E,"NEG")+COUNTIFS(D:D,"DD",F:F,"WINSTAN",K:K,"PASS",E:E,"NEG")+COUNTIFS(D:D,"AD",F:F,"WINSTAN",J:J,"PASS",E:E,"NEG")</f>
        <v>0</v>
      </c>
      <c r="BB56">
        <f>COUNTIFS(D:D,"DD",F:F,"WINSTAN",J:J,"2nd BALL",E:E,"NEG")+COUNTIFS(D:D,"AD",F:F,"WINSTAN",K:K,"2nd BALL",E:E,"NEG")+COUNTIFS(D:D,"DD",F:F,"WINSTAN",K:K,"2nd BALL",E:E,"NEG")+COUNTIFS(D:D,"AD",F:F,"WINSTAN",J:J,"2nd BALL",E:E,"NEG")</f>
        <v>0</v>
      </c>
      <c r="BD56">
        <f>COUNTIFS(D:D,"DD",F:F,"WINSTAN",J:J,"DEEP")+COUNTIFS(D:D,"AD",F:F,"WINSTAN",K:K,"DEEP")+COUNTIFS(D:D,"DD",F:F,"WINSTAN",K:K,"DEEP")+COUNTIFS(D:D,"AD",F:F,"WINSTAN",J:J,"DEEP")</f>
        <v>0</v>
      </c>
      <c r="BE56" s="29">
        <f>COUNTIFS(D:D,"DD",F:F,"WINSTAN",J:J,"DIAGO")+COUNTIFS(D:D,"AD",F:F,"WINSTAN",K:K,"DIAGO")+COUNTIFS(D:D,"DD",F:F,"WINSTAN",K:K,"DIAGO")+COUNTIFS(D:D,"AD",F:F,"WINSTAN",J:J,"DIAGO")</f>
        <v>0</v>
      </c>
    </row>
    <row r="57" spans="1:57" s="115" customFormat="1">
      <c r="A57" s="346" t="s">
        <v>590</v>
      </c>
      <c r="B57" s="346" t="s">
        <v>650</v>
      </c>
      <c r="C57" s="346">
        <v>1371520</v>
      </c>
      <c r="D57" s="346" t="s">
        <v>5</v>
      </c>
      <c r="E57" s="346" t="s">
        <v>2</v>
      </c>
      <c r="F57" s="346" t="s">
        <v>156</v>
      </c>
      <c r="G57" s="346" t="s">
        <v>29</v>
      </c>
      <c r="H57" s="346"/>
      <c r="I57" s="346"/>
      <c r="J57" s="346"/>
      <c r="K57" s="346"/>
      <c r="L57" s="346"/>
      <c r="M57" s="346"/>
      <c r="N57" s="346"/>
      <c r="O57" s="346"/>
      <c r="P57" s="346"/>
      <c r="Q57" s="346"/>
      <c r="R57" s="346"/>
      <c r="S57" s="346"/>
      <c r="T57" s="346">
        <v>9640</v>
      </c>
      <c r="U57" s="346"/>
      <c r="V57" s="346"/>
      <c r="W57" s="346"/>
      <c r="X57" s="115">
        <f t="shared" si="0"/>
        <v>1</v>
      </c>
      <c r="Y57" s="115">
        <f t="shared" si="1"/>
        <v>2</v>
      </c>
      <c r="Z57" s="115" t="e">
        <f t="shared" si="2"/>
        <v>#VALUE!</v>
      </c>
      <c r="AA57" s="115">
        <f t="shared" si="3"/>
        <v>9.64</v>
      </c>
      <c r="AB57" s="246">
        <f t="shared" si="4"/>
        <v>23</v>
      </c>
      <c r="AE57" s="115" t="s">
        <v>163</v>
      </c>
      <c r="AF57" s="115">
        <f>COUNTIFS(D:D,"AA",F:F,"WINSTANTI",J:J,"CROSS",E:E,"POS")+COUNTIFS(D:D,"DA",F:F,"WINSTANTI",K:K,"CROSS",E:E,"POS")+COUNTIFS(D:D,"AA",F:F,"WINSTANTI",K:K,"CROSS",E:E,"POS")+COUNTIFS(D:D,"DA",F:F,"WINSTANTI",J:J,"CROSS",E:E,"POS")</f>
        <v>0</v>
      </c>
      <c r="AG57" s="115">
        <f>COUNTIFS(D:D,"AA",F:F,"WINSTANTI",J:J,"SWITCH",E:E,"POS")+COUNTIFS(D:D,"DA",F:F,"WINSTANTI",K:K,"SWITCH",E:E,"POS")+COUNTIFS(D:D,"AA",F:F,"WINSTANTI",K:K,"SWITCH",E:E,"POS")+COUNTIFS(D:D,"DA",F:F,"WINSTANTI",J:J,"SWITCH",E:E,"POS")</f>
        <v>0</v>
      </c>
      <c r="AH57" s="115">
        <f>COUNTIFS(D:D,"AA",F:F,"WINSTANTI",J:J,"SIDES",E:E,"POS")+COUNTIFS(D:D,"DA",F:F,"WINSTANTI",K:K,"SIDES",E:E,"POS")+COUNTIFS(D:D,"AA",F:F,"WINSTANTI",K:K,"SIDES",E:E,"POS")+COUNTIFS(D:D,"DA",F:F,"WINSTANTI",J:J,"SIDES",E:E,"POS")</f>
        <v>0</v>
      </c>
      <c r="AI57" s="115">
        <f>COUNTIFS(D:D,"AA",F:F,"WINSTANTI",J:J,"CONTRA",E:E,"POS")+COUNTIFS(D:D,"DA",F:F,"WINSTANTI",K:K,"CONTRA",E:E,"POS")+COUNTIFS(D:D,"AA",F:F,"WINSTANTI",K:K,"CONTRA",E:E,"POS")+COUNTIFS(D:D,"DA",F:F,"WINSTANTI",J:J,"CONTRA",E:E,"POS")</f>
        <v>0</v>
      </c>
      <c r="AJ57" s="115">
        <f>COUNTIFS(D:D,"AA",F:F,"WINSTANTI",J:J,"DUEL",E:E,"POS")+COUNTIFS(D:D,"DA",F:F,"WINSTANTI",K:K,"DUEL",E:E,"POS")+COUNTIFS(D:D,"AA",F:F,"WINSTANTI",K:K,"DUEL",E:E,"POS")+COUNTIFS(D:D,"DA",F:F,"WINSTANTI",J:J,"DUEL",E:E,"POS")</f>
        <v>0</v>
      </c>
      <c r="AK57" s="115">
        <f>COUNTIFS(D:D,"AA",F:F,"WINSTANTI",J:J,"PASS",E:E,"POS")+COUNTIFS(D:D,"DA",F:F,"WINSTANTI",K:K,"PASS",E:E,"POS")+COUNTIFS(D:D,"AA",F:F,"WINSTANTI",K:K,"PASS",E:E,"POS")+COUNTIFS(D:D,"DA",F:F,"WINSTANTI",J:J,"PASS",E:E,"POS")</f>
        <v>0</v>
      </c>
      <c r="AL57" s="115">
        <f>COUNTIFS(D:D,"AA",F:F,"WINSTANTI",J:J,"2nd BALL",E:E,"POS")+COUNTIFS(D:D,"DA",F:F,"WINSTANTI",K:K,"2nd BALL",E:E,"POS")+COUNTIFS(D:D,"AA",F:F,"WINSTANTI",K:K,"2nd BALL",E:E,"POS")+COUNTIFS(D:D,"DA",F:F,"WINSTANTI",J:J,"2nd BALL",E:E,"POS")</f>
        <v>0</v>
      </c>
      <c r="AN57" s="115">
        <f>COUNTIFS(D:D,"AA",F:F,"WINSTANTI",J:J,"DEEP")+COUNTIFS(D:D,"DA",F:F,"WINSTANTI",K:K,"DEEP")+COUNTIFS(D:D,"AA",F:F,"WINSTANTI",K:K,"DEEP")+COUNTIFS(D:D,"DA",F:F,"WINSTANTI",J:J,"DEEP")</f>
        <v>0</v>
      </c>
      <c r="AO57" s="115">
        <f>COUNTIFS(D:D,"AA",F:F,"WINSTANTI",J:J,"DIAGO")+COUNTIFS(D:D,"DA",F:F,"WINSTANTI",K:K,"DIAGO")+COUNTIFS(D:D,"AA",F:F,"WINSTANTI",K:K,"DIAGO")+COUNTIFS(D:D,"DA",F:F,"WINSTANTI",J:J,"DIAGO")</f>
        <v>0</v>
      </c>
      <c r="AT57" s="115" t="s">
        <v>163</v>
      </c>
      <c r="AU57" s="115">
        <f>COUNTIFS(D:D,"DD",F:F,"WINSTANTI",J:J,"CROSS",E:E,"NEG")+COUNTIFS(D:D,"AD",F:F,"WINSTANTI",K:K,"CROSS",E:E,"NEG")+COUNTIFS(D:D,"DD",F:F,"WINSTANTI",K:K,"CROSS",E:E,"NEG")+COUNTIFS(D:D,"AD",F:F,"WINSTANTI",J:J,"CROSS",E:E,"NEG")</f>
        <v>0</v>
      </c>
      <c r="AV57" s="115">
        <f>COUNTIFS(D:D,"DD",F:F,"WINSTANTI",J:J,"SWITCH",E:E,"NEG")+COUNTIFS(D:D,"AD",F:F,"WINSTANTI",K:K,"SWITCH",E:E,"NEG")+COUNTIFS(D:D,"DD",F:F,"WINSTANTI",K:K,"SWITCH",E:E,"NEG")+COUNTIFS(D:D,"AD",F:F,"WINSTANTI",J:J,"SWITCH",E:E,"NEG")</f>
        <v>0</v>
      </c>
      <c r="AW57" s="115">
        <f>COUNTIFS(D:D,"DD",F:F,"WINSTANTI",J:J,"SIDES",E:E,"NEG")+COUNTIFS(D:D,"AD",F:F,"WINSTANTI",K:K,"SIDES",E:E,"NEG")+COUNTIFS(D:D,"DD",F:F,"WINSTANTI",K:K,"SIDES",E:E,"NEG")+COUNTIFS(D:D,"AD",F:F,"WINSTANTI",J:J,"SIDES",E:E,"NEG")</f>
        <v>0</v>
      </c>
      <c r="AX57" s="115">
        <f>COUNTIFS(D:D,"DD",F:F,"WINSTANTI",J:J,"CONTRA",E:E,"NEG")+COUNTIFS(D:D,"AD",F:F,"WINSTANTI",K:K,"CONTRA",E:E,"NEG")+COUNTIFS(D:D,"DD",F:F,"WINSTANTI",K:K,"CONTRA",E:E,"NEG")+COUNTIFS(D:D,"AD",F:F,"WINSTANTI",J:J,"CONTRA",E:E,"NEG")</f>
        <v>0</v>
      </c>
      <c r="AY57" s="115">
        <f>COUNTIFS(D:D,"DD",F:F,"WINSTANTI",J:J,"SAFE",E:E,"NEG")+COUNTIFS(D:D,"AD",F:F,"WINSTANTI",K:K,"SAFE",E:E,"NEG")+COUNTIFS(D:D,"DD",F:F,"WINSTANTI",K:K,"SAFE",E:E,"NEG")+COUNTIFS(D:D,"AD",F:F,"WINSTANTI",J:J,"SAFE",E:E,"NEG")</f>
        <v>0</v>
      </c>
      <c r="AZ57" s="115">
        <f>COUNTIFS(D:D,"DD",F:F,"WINSTANTI",J:J,"DUEL",E:E,"NEG")+COUNTIFS(D:D,"AD",F:F,"WINSTANTI",K:K,"DUEL",E:E,"NEG")+COUNTIFS(D:D,"DD",F:F,"WINSTANTI",K:K,"DUEL",E:E,"NEG")+COUNTIFS(D:D,"AD",F:F,"WINSTANTI",J:J,"DUEL",E:E,"NEG")</f>
        <v>0</v>
      </c>
      <c r="BA57" s="115">
        <f>COUNTIFS(D:D,"DD",F:F,"WINSTANTI",J:J,"PASS",E:E,"NEG")+COUNTIFS(D:D,"AD",F:F,"WINSTANTI",K:K,"PASS",E:E,"NEG")+COUNTIFS(D:D,"DD",F:F,"WINSTANTI",K:K,"PASS",E:E,"NEG")+COUNTIFS(D:D,"AD",F:F,"WINSTANTI",J:J,"PASS",E:E,"NEG")</f>
        <v>0</v>
      </c>
      <c r="BB57" s="115">
        <f>COUNTIFS(D:D,"DD",F:F,"WINSTANTI",J:J,"2nd BALL",E:E,"NEG")+COUNTIFS(D:D,"AD",F:F,"WINSTANTI",K:K,"2nd BALL",E:E,"NEG")+COUNTIFS(D:D,"DD",F:F,"WINSTANTI",K:K,"2nd BALL",E:E,"NEG")+COUNTIFS(D:D,"AD",F:F,"WINSTANTI",J:J,"2nd BALL",E:E,"NEG")</f>
        <v>0</v>
      </c>
      <c r="BD57" s="115">
        <f>COUNTIFS(D:D,"DD",F:F,"WINSTANTI",J:J,"DEEP")+COUNTIFS(D:D,"AD",F:F,"WINSTANTI",K:K,"DEEP")+COUNTIFS(D:D,"DD",F:F,"WINSTANTI",K:K,"DEEP")+COUNTIFS(D:D,"AD",F:F,"WINSTANTI",J:J,"DEEP")</f>
        <v>0</v>
      </c>
      <c r="BE57" s="115">
        <f>COUNTIFS(D:D,"DD",F:F,"WINSTANTI",J:J,"DIAGO")+COUNTIFS(D:D,"AD",F:F,"WINSTANTI",K:K,"DIAGO")+COUNTIFS(D:D,"DD",F:F,"WINSTANTI",K:K,"DIAGO")+COUNTIFS(D:D,"AD",F:F,"WINSTANTI",J:J,"DIAGO")</f>
        <v>0</v>
      </c>
    </row>
    <row r="58" spans="1:57" s="115" customFormat="1">
      <c r="A58" s="346" t="s">
        <v>590</v>
      </c>
      <c r="B58" s="346" t="s">
        <v>651</v>
      </c>
      <c r="C58" s="346">
        <v>1389320</v>
      </c>
      <c r="D58" s="346" t="s">
        <v>5</v>
      </c>
      <c r="E58" s="346" t="s">
        <v>6</v>
      </c>
      <c r="F58" s="346" t="s">
        <v>3</v>
      </c>
      <c r="G58" s="346" t="s">
        <v>29</v>
      </c>
      <c r="H58" s="346"/>
      <c r="I58" s="346"/>
      <c r="J58" s="346"/>
      <c r="K58" s="346"/>
      <c r="L58" s="346"/>
      <c r="M58" s="346"/>
      <c r="N58" s="346"/>
      <c r="O58" s="346"/>
      <c r="P58" s="346"/>
      <c r="Q58" s="346"/>
      <c r="R58" s="346"/>
      <c r="S58" s="346"/>
      <c r="T58" s="346">
        <v>12920</v>
      </c>
      <c r="U58" s="346"/>
      <c r="V58" s="346"/>
      <c r="W58" s="346"/>
      <c r="X58" s="115">
        <f t="shared" si="0"/>
        <v>1</v>
      </c>
      <c r="Y58" s="115">
        <f t="shared" si="1"/>
        <v>2</v>
      </c>
      <c r="Z58" s="115" t="e">
        <f t="shared" si="2"/>
        <v>#VALUE!</v>
      </c>
      <c r="AA58" s="115">
        <f t="shared" si="3"/>
        <v>12.92</v>
      </c>
      <c r="AB58" s="246">
        <f t="shared" si="4"/>
        <v>23</v>
      </c>
      <c r="AE58" s="115" t="s">
        <v>310</v>
      </c>
      <c r="AF58" s="115">
        <f>COUNTIFS(D:D,"AA",F:F,"ENTRY",J:J,"CROSS",E:E,"POS")+COUNTIFS(D:D,"DA",F:F,"ENTRY",K:K,"CROSS",E:E,"POS")+COUNTIFS(D:D,"AA",F:F,"ENTRY",K:K,"CROSS",E:E,"POS")+COUNTIFS(D:D,"DA",F:F,"ENTRY",J:J,"CROSS",E:E,"POS")</f>
        <v>0</v>
      </c>
      <c r="AG58" s="115">
        <f>COUNTIFS(D:D,"AA",F:F,"ENTRY",J:J,"SWITCH",E:E,"POS")+COUNTIFS(D:D,"DA",F:F,"ENTRY",K:K,"SWITCH",E:E,"POS")+COUNTIFS(D:D,"AA",F:F,"ENTRY",K:K,"SWITCH",E:E,"POS")+COUNTIFS(D:D,"DA",F:F,"ENTRY",J:J,"SWITCH",E:E,"POS")</f>
        <v>0</v>
      </c>
      <c r="AH58" s="115">
        <f>COUNTIFS(D:D,"AA",F:F,"ENTRY",J:J,"SIDES",E:E,"POS")+COUNTIFS(D:D,"DA",F:F,"ENTRY",K:K,"SIDES",E:E,"POS")+COUNTIFS(D:D,"AA",F:F,"ENTRY",K:K,"SIDES",E:E,"POS")+COUNTIFS(D:D,"DA",F:F,"ENTRY",J:J,"SIDES",E:E,"POS")</f>
        <v>0</v>
      </c>
      <c r="AI58" s="115">
        <f>COUNTIFS(D:D,"AA",F:F,"ENTRY",J:J,"CONTRA",E:E,"POS")+COUNTIFS(D:D,"DA",F:F,"ENTRY",K:K,"CONTRA",E:E,"POS")+COUNTIFS(D:D,"AA",F:F,"ENTRY",K:K,"CONTRA",E:E,"POS")+COUNTIFS(D:D,"DA",F:F,"ENTRY",J:J,"CONTRA",E:E,"POS")</f>
        <v>0</v>
      </c>
      <c r="AJ58" s="115">
        <f>COUNTIFS(D:D,"AA",F:F,"ENTRY",J:J,"DUEL",E:E,"POS")+COUNTIFS(D:D,"DA",F:F,"ENTRY",K:K,"DUEL",E:E,"POS")+COUNTIFS(D:D,"AA",F:F,"ENTRY",K:K,"DUEL",E:E,"POS")+COUNTIFS(D:D,"DA",F:F,"ENTRY",J:J,"DUEL",E:E,"POS")</f>
        <v>0</v>
      </c>
      <c r="AK58" s="115">
        <f>COUNTIFS(D:D,"AA",F:F,"ENTRY",J:J,"PASS",E:E,"POS")+COUNTIFS(D:D,"DA",F:F,"ENTRY",K:K,"PASS",E:E,"POS")+COUNTIFS(D:D,"AA",F:F,"ENTRY",K:K,"PASS",E:E,"POS")+COUNTIFS(D:D,"DA",F:F,"ENTRY",J:J,"PASS",E:E,"POS")</f>
        <v>0</v>
      </c>
      <c r="AL58" s="115">
        <f>COUNTIFS(D:D,"AA",F:F,"ENTRY",J:J,"2nd BALL",E:E,"POS")+COUNTIFS(D:D,"DA",F:F,"ENTRY",K:K,"2nd BALL",E:E,"POS")+COUNTIFS(D:D,"AA",F:F,"ENTRY",K:K,"2nd BALL",E:E,"POS")+COUNTIFS(D:D,"DA",F:F,"ENTRY",J:J,"2nd BALL",E:E,"POS")</f>
        <v>0</v>
      </c>
      <c r="AN58" s="115">
        <f>COUNTIFS(D:D,"AA",F:F,"ENTRY",J:J,"DEEP")+COUNTIFS(D:D,"DA",F:F,"ENTRY",K:K,"DEEP")+COUNTIFS(D:D,"AA",F:F,"ENTRY",K:K,"DEEP")+COUNTIFS(D:D,"DA",F:F,"ENTRY",J:J,"DEEP")</f>
        <v>0</v>
      </c>
      <c r="AO58" s="115">
        <f>COUNTIFS(D:D,"AA",F:F,"ENTRY",J:J,"DIAGO")+COUNTIFS(D:D,"DA",F:F,"ENTRY",K:K,"DIAGO")+COUNTIFS(D:D,"AA",F:F,"ENTRY",K:K,"DIAGO")+COUNTIFS(D:D,"DA",F:F,"ENTRY",J:J,"DIAGO")</f>
        <v>0</v>
      </c>
      <c r="AT58" s="115" t="s">
        <v>310</v>
      </c>
      <c r="AU58" s="115">
        <f>COUNTIFS(D:D,"DD",F:F,"ENTRY",J:J,"CROSS",E:E,"NEG")+COUNTIFS(D:D,"AD",F:F,"ENTRY",K:K,"CROSS",E:E,"NEG")+COUNTIFS(D:D,"DD",F:F,"ENTRY",K:K,"CROSS",E:E,"NEG")+COUNTIFS(D:D,"AD",F:F,"ENTRY",J:J,"CROSS",E:E,"NEG")</f>
        <v>0</v>
      </c>
      <c r="AV58" s="115">
        <f>COUNTIFS(D:D,"DD",F:F,"ENTRY",J:J,"SWITCH",E:E,"NEG")+COUNTIFS(D:D,"AD",F:F,"ENTRY",K:K,"SWITCH",E:E,"NEG")+COUNTIFS(D:D,"DD",F:F,"ENTRY",K:K,"SWITCH",E:E,"NEG")+COUNTIFS(D:D,"AD",F:F,"ENTRY",J:J,"SWITCH",E:E,"NEG")</f>
        <v>0</v>
      </c>
      <c r="AW58" s="115">
        <f>COUNTIFS(D:D,"DD",F:F,"ENTRY",J:J,"SIDES",E:E,"NEG")+COUNTIFS(D:D,"AD",F:F,"ENTRY",K:K,"SIDES",E:E,"NEG")+COUNTIFS(D:D,"DD",F:F,"ENTRY",K:K,"SIDES",E:E,"NEG")+COUNTIFS(D:D,"AD",F:F,"ENTRY",J:J,"SIDES",E:E,"NEG")</f>
        <v>0</v>
      </c>
      <c r="AX58" s="115">
        <f>COUNTIFS(D:D,"DD",F:F,"ENTRY",J:J,"CONTRA",E:E,"NEG")+COUNTIFS(D:D,"AD",F:F,"ENTRY",K:K,"CONTRA",E:E,"NEG")+COUNTIFS(D:D,"DD",F:F,"ENTRY",K:K,"CONTRA",E:E,"NEG")+COUNTIFS(D:D,"AD",F:F,"ENTRY",J:J,"CONTRA",E:E,"NEG")</f>
        <v>0</v>
      </c>
      <c r="AY58" s="115">
        <f>COUNTIFS(D:D,"DD",F:F,"ENTRY",J:J,"SAFE",E:E,"NEG")+COUNTIFS(D:D,"AD",F:F,"ENTRY",K:K,"SAFE",E:E,"NEG")+COUNTIFS(D:D,"DD",F:F,"ENTRY",K:K,"SAFE",E:E,"NEG")+COUNTIFS(D:D,"AD",F:F,"ENTRY",J:J,"SAFE",E:E,"NEG")</f>
        <v>0</v>
      </c>
      <c r="AZ58" s="115">
        <f>COUNTIFS(D:D,"DD",F:F,"ENTRY",J:J,"DUEL",E:E,"NEG")+COUNTIFS(D:D,"AD",F:F,"ENTRY",K:K,"DUEL",E:E,"NEG")+COUNTIFS(D:D,"DD",F:F,"ENTRY",K:K,"DUEL",E:E,"NEG")+COUNTIFS(D:D,"AD",F:F,"ENTRY",J:J,"DUEL",E:E,"NEG")</f>
        <v>0</v>
      </c>
      <c r="BA58" s="115">
        <f>COUNTIFS(D:D,"DD",F:F,"ENTRY",J:J,"PASS",E:E,"NEG")+COUNTIFS(D:D,"AD",F:F,"ENTRY",K:K,"PASS",E:E,"NEG")+COUNTIFS(D:D,"DD",F:F,"ENTRY",K:K,"PASS",E:E,"NEG")+COUNTIFS(D:D,"AD",F:F,"ENTRY",J:J,"PASS",E:E,"NEG")</f>
        <v>0</v>
      </c>
      <c r="BB58" s="115">
        <f>COUNTIFS(D:D,"DD",F:F,"ENTRY",J:J,"2nd BALL",E:E,"NEG")+COUNTIFS(D:D,"AD",F:F,"ENTRY",K:K,"2nd BALL",E:E,"NEG")+COUNTIFS(D:D,"DD",F:F,"ENTRY",K:K,"2nd BALL",E:E,"NEG")+COUNTIFS(D:D,"AD",F:F,"ENTRY",J:J,"2nd BALL",E:E,"NEG")</f>
        <v>0</v>
      </c>
      <c r="BD58" s="115">
        <f>COUNTIFS(D:D,"DD",F:F,"ENTRY",J:J,"DEEP")+COUNTIFS(D:D,"AD",F:F,"ENTRY",K:K,"DEEP")+COUNTIFS(D:D,"DD",F:F,"ENTRY",K:K,"DEEP")+COUNTIFS(D:D,"AD",F:F,"ENTRY",J:J,"DEEP")</f>
        <v>0</v>
      </c>
      <c r="BE58" s="115">
        <f>COUNTIFS(D:D,"DD",F:F,"ENTRY",J:J,"DIAGO")+COUNTIFS(D:D,"AD",F:F,"ENTRY",K:K,"DIAGO")+COUNTIFS(D:D,"DD",F:F,"ENTRY",K:K,"DIAGO")+COUNTIFS(D:D,"AD",F:F,"ENTRY",J:J,"DIAGO")</f>
        <v>0</v>
      </c>
    </row>
    <row r="59" spans="1:57">
      <c r="A59" s="346" t="s">
        <v>590</v>
      </c>
      <c r="B59" s="346" t="s">
        <v>652</v>
      </c>
      <c r="C59" s="346">
        <v>1387080</v>
      </c>
      <c r="D59" s="346" t="s">
        <v>17</v>
      </c>
      <c r="E59" s="346" t="s">
        <v>6</v>
      </c>
      <c r="F59" s="346" t="s">
        <v>3</v>
      </c>
      <c r="G59" s="346"/>
      <c r="H59" s="346"/>
      <c r="I59" s="346" t="s">
        <v>561</v>
      </c>
      <c r="J59" s="346"/>
      <c r="K59" s="346"/>
      <c r="L59" s="346" t="s">
        <v>566</v>
      </c>
      <c r="M59" s="346"/>
      <c r="N59" s="346"/>
      <c r="O59" s="346"/>
      <c r="P59" s="346"/>
      <c r="Q59" s="346"/>
      <c r="R59" s="346"/>
      <c r="S59" s="346"/>
      <c r="T59" s="346">
        <v>21240</v>
      </c>
      <c r="U59" s="346"/>
      <c r="V59" s="346"/>
      <c r="W59" s="346"/>
      <c r="X59" s="115">
        <f t="shared" si="0"/>
        <v>1</v>
      </c>
      <c r="Y59" s="115">
        <f t="shared" si="1"/>
        <v>2</v>
      </c>
      <c r="Z59" s="115" t="e">
        <f t="shared" si="2"/>
        <v>#VALUE!</v>
      </c>
      <c r="AA59" s="115">
        <f t="shared" si="3"/>
        <v>21.24</v>
      </c>
      <c r="AB59" s="246">
        <f t="shared" si="4"/>
        <v>23</v>
      </c>
      <c r="AE59" s="189" t="s">
        <v>156</v>
      </c>
      <c r="AF59" s="115">
        <f>COUNTIFS(D:D,"AA",F:F,"KEEPOS",J:J,"CROSS")+COUNTIFS(D:D,"DA",F:F,"KEEPOS",K:K,"CROSS")+COUNTIFS(D:D,"AA",F:F,"KEEPOS",K:K,"CROSS")+COUNTIFS(D:D,"DA",F:F,"KEEPOS",J:J,"CROSS")</f>
        <v>0</v>
      </c>
      <c r="AG59" s="115">
        <f>COUNTIFS(D:D,"AA",F:F,"KEEPOS",J:J,"SWITCH")+COUNTIFS(D:D,"DA",F:F,"KEEPOS",K:K,"SWITCH")+COUNTIFS(D:D,"AA",F:F,"KEEPOS",K:K,"SWITCH")+COUNTIFS(D:D,"DA",F:F,"KEEPOS",J:J,"SWITCH")</f>
        <v>0</v>
      </c>
      <c r="AH59" s="115">
        <f>COUNTIFS(D:D,"AA",F:F,"KEEPOS",J:J,"SIDES")+COUNTIFS(D:D,"DA",F:F,"KEEPOS",K:K,"SIDES")+COUNTIFS(D:D,"AA",F:F,"KEEPOS",K:K,"SIDES")+COUNTIFS(D:D,"DA",F:F,"KEEPOS",J:J,"SIDES")</f>
        <v>0</v>
      </c>
      <c r="AI59" s="115">
        <f>COUNTIFS(D:D,"AA",F:F,"KEEPOS",J:J,"CONTRA")+COUNTIFS(D:D,"DA",F:F,"KEEPOS",K:K,"CONTRA")+COUNTIFS(D:D,"AA",F:F,"KEEPOS",K:K,"CONTRA")+COUNTIFS(D:D,"DA",F:F,"KEEPOS",J:J,"CONTRA")</f>
        <v>0</v>
      </c>
      <c r="AJ59" s="115">
        <f>COUNTIFS(D:D,"AA",F:F,"KEEPOS",J:J,"DUEL")+COUNTIFS(D:D,"DA",F:F,"KEEPOS",K:K,"DUEL")+COUNTIFS(D:D,"AA",F:F,"KEEPOS",K:K,"DUEL")+COUNTIFS(D:D,"DA",F:F,"KEEPOS",J:J,"DUEL")</f>
        <v>0</v>
      </c>
      <c r="AK59" s="115">
        <f>COUNTIFS(D:D,"AA",F:F,"KEEPOS",J:J,"PASS")+COUNTIFS(D:D,"DA",F:F,"KEEPOS",K:K,"PASS")+COUNTIFS(D:D,"AA",F:F,"KEEPOS",K:K,"PASS")+COUNTIFS(D:D,"DA",F:F,"KEEPOS",J:J,"PASS")</f>
        <v>0</v>
      </c>
      <c r="AL59" s="115">
        <f>COUNTIFS(D:D,"AA",F:F,"KEEPOS",J:J,"2nd BALL")+COUNTIFS(D:D,"DA",F:F,"KEEPOS",K:K,"2nd BALL")+COUNTIFS(D:D,"AA",F:F,"KEEPOS",K:K,"2nd BALL")+COUNTIFS(D:D,"DA",F:F,"KEEPOS",J:J,"2nd BALL")</f>
        <v>0</v>
      </c>
      <c r="AM59" s="115"/>
      <c r="AN59" s="115">
        <f>COUNTIFS(D:D,"AA",F:F,"KEEPOS",J:J,"DEEP")+COUNTIFS(D:D,"DA",F:F,"KEEPOS",K:K,"DEEP")+COUNTIFS(D:D,"AA",F:F,"KEEPOS",K:K,"DEEP")+COUNTIFS(D:D,"DA",F:F,"KEEPOS",J:J,"DEEP")</f>
        <v>0</v>
      </c>
      <c r="AO59" s="115">
        <f>COUNTIFS(D:D,"AA",F:F,"KEEPOS",J:J,"DIAGO")+COUNTIFS(D:D,"DA",F:F,"KEEPOS",K:K,"DIAGO")+COUNTIFS(D:D,"AA",F:F,"KEEPOS",K:K,"DIAGO")+COUNTIFS(D:D,"DA",F:F,"KEEPOS",J:J,"DIAGO")</f>
        <v>0</v>
      </c>
      <c r="AP59" s="115"/>
      <c r="AQ59" s="115"/>
      <c r="AS59" s="115"/>
      <c r="AT59" s="189" t="s">
        <v>156</v>
      </c>
      <c r="AU59" s="115">
        <f>COUNTIFS(D:D,"DD",F:F,"KEEPOS",J:J,"CROSS")+COUNTIFS(D:D,"AD",F:F,"KEEPOS",K:K,"CROSS")+COUNTIFS(D:D,"DD",F:F,"KEEPOS",K:K,"CROSS")+COUNTIFS(D:D,"AD",F:F,"KEEPOS",J:J,"CROSS")</f>
        <v>0</v>
      </c>
      <c r="AV59" s="115">
        <f>COUNTIFS(D:D,"DD",F:F,"KEEPOS",J:J,"SWITCH")+COUNTIFS(D:D,"AD",F:F,"KEEPOS",K:K,"SWITCH")+COUNTIFS(D:D,"DD",F:F,"KEEPOS",K:K,"SWITCH")+COUNTIFS(D:D,"AD",F:F,"KEEPOS",J:J,"SWITCH")</f>
        <v>0</v>
      </c>
      <c r="AW59" s="115">
        <f>COUNTIFS(D:D,"DD",F:F,"KEEPOS",J:J,"SIDES")+COUNTIFS(D:D,"AD",F:F,"KEEPOS",K:K,"SIDES")+COUNTIFS(D:D,"DD",F:F,"KEEPOS",K:K,"SIDES")+COUNTIFS(D:D,"AD",F:F,"KEEPOS",J:J,"SIDES")</f>
        <v>0</v>
      </c>
      <c r="AX59" s="115">
        <f>COUNTIFS(D:D,"DD",F:F,"KEEPOS",J:J,"CONTRA")+COUNTIFS(D:D,"AD",F:F,"KEEPOS",K:K,"CONTRA")+COUNTIFS(D:D,"DD",F:F,"KEEPOS",K:K,"CONTRA")+COUNTIFS(D:D,"AD",F:F,"KEEPOS",J:J,"CONTRA")</f>
        <v>0</v>
      </c>
      <c r="AY59" s="115">
        <f>COUNTIFS(D:D,"DD",F:F,"KEEPOS",J:J,"SAFE")+COUNTIFS(D:D,"AD",F:F,"KEEPOS",K:K,"SAFE")+COUNTIFS(D:D,"DD",F:F,"KEEPOS",K:K,"SAFE")+COUNTIFS(D:D,"AD",F:F,"KEEPOS",J:J,"SAFE")</f>
        <v>0</v>
      </c>
      <c r="AZ59" s="115">
        <f>COUNTIFS(D:D,"DD",F:F,"KEEPOS",J:J,"DUEL")+COUNTIFS(D:D,"AD",F:F,"KEEPOS",K:K,"DUEL")+COUNTIFS(D:D,"DD",F:F,"KEEPOS",K:K,"DUEL")+COUNTIFS(D:D,"AD",F:F,"KEEPOS",J:J,"DUEL")</f>
        <v>0</v>
      </c>
      <c r="BA59" s="115">
        <f>COUNTIFS(D:D,"DD",F:F,"KEEPOS",J:J,"PASS")+COUNTIFS(D:D,"AD",F:F,"KEEPOS",K:K,"PASS")+COUNTIFS(D:D,"DD",F:F,"KEEPOS",K:K,"PASS")+COUNTIFS(D:D,"AD",F:F,"KEEPOS",J:J,"PASS")</f>
        <v>0</v>
      </c>
      <c r="BB59" s="115">
        <f>COUNTIFS(D:D,"DD",F:F,"KEEPOS",J:J,"2nd BALL")+COUNTIFS(D:D,"AD",F:F,"KEEPOS",K:K,"2nd BALL")+COUNTIFS(D:D,"DD",F:F,"KEEPOS",K:K,"2nd BALL")+COUNTIFS(D:D,"AD",F:F,"KEEPOS",J:J,"2nd BALL")</f>
        <v>0</v>
      </c>
      <c r="BC59" s="115"/>
      <c r="BD59" s="115">
        <f>COUNTIFS(D:D,"DD",F:F,"KEEPOS",J:J,"DEEP")+COUNTIFS(D:D,"AD",F:F,"KEEPOS",K:K,"DEEP")+COUNTIFS(D:D,"DD",F:F,"KEEPOS",K:K,"DEEP")+COUNTIFS(D:D,"AD",F:F,"KEEPOS",J:J,"DEEP")</f>
        <v>0</v>
      </c>
      <c r="BE59" s="115">
        <f>COUNTIFS(D:D,"DD",F:F,"KEEPOS",J:J,"DIAGO")+COUNTIFS(D:D,"AD",F:F,"KEEPOS",K:K,"DIAGO")+COUNTIFS(D:D,"DD",F:F,"KEEPOS",K:K,"DIAGO")+COUNTIFS(D:D,"AD",F:F,"KEEPOS",J:J,"DIAGO")</f>
        <v>0</v>
      </c>
    </row>
    <row r="60" spans="1:57" s="115" customFormat="1">
      <c r="A60" s="346" t="s">
        <v>590</v>
      </c>
      <c r="B60" s="346" t="s">
        <v>653</v>
      </c>
      <c r="C60" s="346">
        <v>1401320</v>
      </c>
      <c r="D60" s="346" t="s">
        <v>1</v>
      </c>
      <c r="E60" s="346" t="s">
        <v>2</v>
      </c>
      <c r="F60" s="346" t="s">
        <v>156</v>
      </c>
      <c r="G60" s="346"/>
      <c r="H60" s="346"/>
      <c r="I60" s="346" t="s">
        <v>595</v>
      </c>
      <c r="J60" s="346"/>
      <c r="K60" s="346"/>
      <c r="L60" s="346"/>
      <c r="M60" s="346"/>
      <c r="N60" s="346"/>
      <c r="O60" s="346"/>
      <c r="P60" s="346"/>
      <c r="Q60" s="346"/>
      <c r="R60" s="346"/>
      <c r="S60" s="346"/>
      <c r="T60" s="346">
        <v>19680</v>
      </c>
      <c r="U60" s="346"/>
      <c r="V60" s="346"/>
      <c r="W60" s="346"/>
      <c r="X60" s="115">
        <f t="shared" si="0"/>
        <v>1</v>
      </c>
      <c r="Y60" s="115">
        <f t="shared" si="1"/>
        <v>2</v>
      </c>
      <c r="Z60" s="115" t="e">
        <f t="shared" si="2"/>
        <v>#VALUE!</v>
      </c>
      <c r="AA60" s="115">
        <f t="shared" si="3"/>
        <v>19.68</v>
      </c>
      <c r="AB60" s="246">
        <f t="shared" si="4"/>
        <v>23</v>
      </c>
      <c r="AE60" s="1" t="s">
        <v>3</v>
      </c>
      <c r="AF60">
        <f>COUNTIFS(D:D,"AA",E:E,"NEG",J:J,"CROSS")+COUNTIFS(D:D,"DA",E:E,"NEG",K:K,"CROSS")+COUNTIFS(D:D,"AA",E:E,"NEG",K:K,"CROSS")+COUNTIFS(D:D,"DA",E:E,"NEG",J:J,"CROSS")</f>
        <v>0</v>
      </c>
      <c r="AG60">
        <f>COUNTIFS(D:D,"AA",E:E,"NEG",J:J,"SWITCH")+COUNTIFS(D:D,"DA",E:E,"NEG",K:K,"SWITCH")+COUNTIFS(D:D,"AA",E:E,"NEG",K:K,"SWITCH")+COUNTIFS(D:D,"DA",E:E,"NEG",J:J,"SWITCH")</f>
        <v>0</v>
      </c>
      <c r="AH60">
        <f>COUNTIFS(D:D,"AA",E:E,"NEG",J:J,"SIDES")+COUNTIFS(D:D,"DA",E:E,"NEG",K:K,"SIDES")+COUNTIFS(D:D,"AA",E:E,"NEG",K:K,"SIDES")+COUNTIFS(D:D,"DA",E:E,"NEG",J:J,"SIDES")</f>
        <v>0</v>
      </c>
      <c r="AI60">
        <f>COUNTIFS(D:D,"AA",E:E,"NEG",J:J,"CONTRA")+COUNTIFS(D:D,"DA",E:E,"NEG",K:K,"CONTRA")+COUNTIFS(D:D,"AA",E:E,"NEG",K:K,"CONTRA")+COUNTIFS(D:D,"DA",E:E,"NEG",J:J,"CONTRA")</f>
        <v>0</v>
      </c>
      <c r="AJ60">
        <f>COUNTIFS(D:D,"AA",E:E,"NEG",J:J,"DUEL")+COUNTIFS(D:D,"DA",E:E,"NEG",K:K,"DUEL")+COUNTIFS(D:D,"AA",E:E,"NEG",K:K,"DUEL")+COUNTIFS(D:D,"DA",E:E,"NEG",J:J,"DUEL")</f>
        <v>0</v>
      </c>
      <c r="AK60">
        <f>COUNTIFS(D:D,"AA",E:E,"NEG",J:J,"PASS")+COUNTIFS(D:D,"DA",E:E,"NEG",K:K,"PASS")+COUNTIFS(D:D,"AA",E:E,"NEG",K:K,"PASS")+COUNTIFS(D:D,"DA",E:E,"NEG",J:J,"PASS")</f>
        <v>0</v>
      </c>
      <c r="AL60">
        <f>COUNTIFS(D:D,"AA",E:E,"NEG",J:J,"2nd BALL")+COUNTIFS(D:D,"DA",E:E,"NEG",K:K,"2nd BALL")+COUNTIFS(D:D,"AA",E:E,"NEG",K:K,"2nd BALL")+COUNTIFS(D:D,"DA",E:E,"NEG",J:J,"2nd BALL")</f>
        <v>0</v>
      </c>
      <c r="AM60" s="115">
        <f>SUM(AM52:AM55)</f>
        <v>0</v>
      </c>
      <c r="AN60">
        <f>COUNTIFS(D:D,"AA",E:E,"NEG",J:J,"DEEP")+COUNTIFS(D:D,"DA",E:E,"NEG",K:K,"DEEP")+COUNTIFS(D:D,"AA",E:E,"NEG",K:K,"DEEP")+COUNTIFS(D:D,"DA",E:E,"NEG",J:J,"DEEP")</f>
        <v>0</v>
      </c>
      <c r="AO60" s="29">
        <f>COUNTIFS(D:D,"AA",E:E,"NEG",J:J,"DIAGO")+COUNTIFS(D:D,"DA",E:E,"NEG",K:K,"DIAGO")+COUNTIFS(D:D,"AA",E:E,"NEG",K:K,"DIAGO")+COUNTIFS(D:D,"DA",E:E,"NEG",J:J,"DIAGO")</f>
        <v>0</v>
      </c>
      <c r="AP60"/>
      <c r="AQ60"/>
      <c r="AS60"/>
      <c r="AT60" s="1" t="s">
        <v>3</v>
      </c>
      <c r="AU60">
        <f>COUNTIFS(D:D,"DD",E:E,"POS",J:J,"CROSS")+COUNTIFS(D:D,"AD",E:E,"POS",K:K,"CROSS")+COUNTIFS(D:D,"DD",E:E,"POS",K:K,"CROSS")+COUNTIFS(D:D,"AD",E:E,"POS",J:J,"CROSS")</f>
        <v>0</v>
      </c>
      <c r="AV60">
        <f>COUNTIFS(D:D,"DD",E:E,"POS",J:J,"SWITCH")+COUNTIFS(D:D,"AD",E:E,"POS",K:K,"SWITCH")+COUNTIFS(D:D,"DD",E:E,"POS",K:K,"SWITCH")+COUNTIFS(D:D,"AD",E:E,"POS",J:J,"SWITCH")</f>
        <v>0</v>
      </c>
      <c r="AW60">
        <f>COUNTIFS(D:D,"DD",E:E,"POS",J:J,"SIDES")+COUNTIFS(D:D,"AD",E:E,"POS",K:K,"SIDES")+COUNTIFS(D:D,"DD",E:E,"POS",K:K,"SIDES")+COUNTIFS(D:D,"AD",E:E,"POS",J:J,"SIDES")</f>
        <v>0</v>
      </c>
      <c r="AX60">
        <f>COUNTIFS(D:D,"DD",E:E,"POS",J:J,"CONTRA")+COUNTIFS(D:D,"AD",E:E,"POS",K:K,"CONTRA")+COUNTIFS(D:D,"DD",E:E,"POS",K:K,"CONTRA")+COUNTIFS(D:D,"AD",E:E,"POS",J:J,"CONTRA")</f>
        <v>0</v>
      </c>
      <c r="AY60">
        <f>COUNTIFS(D:D,"DD",E:E,"POS",J:J,"SAFE")+COUNTIFS(D:D,"AD",E:E,"POS",K:K,"SAFE")+COUNTIFS(D:D,"DD",E:E,"POS",K:K,"SAFE")+COUNTIFS(D:D,"AD",E:E,"POS",J:J,"SAFE")</f>
        <v>0</v>
      </c>
      <c r="AZ60">
        <f>COUNTIFS(D:D,"DD",E:E,"POS",J:J,"DUEL")+COUNTIFS(D:D,"AD",E:E,"POS",K:K,"DUEL")+COUNTIFS(D:D,"DD",E:E,"POS",K:K,"DUEL")+COUNTIFS(D:D,"AD",E:E,"POS",J:J,"DUEL")</f>
        <v>0</v>
      </c>
      <c r="BA60">
        <f>COUNTIFS(D:D,"DD",E:E,"POS",J:J,"PASS")+COUNTIFS(D:D,"AD",E:E,"POS",K:K,"PASS")+COUNTIFS(D:D,"DD",E:E,"POS",K:K,"PASS")+COUNTIFS(D:D,"AD",E:E,"POS",J:J,"PASS")</f>
        <v>0</v>
      </c>
      <c r="BB60">
        <f>COUNTIFS(D:D,"DD",E:E,"POS",J:J,"2nd BALL")+COUNTIFS(D:D,"AD",E:E,"POS",K:K,"2nd BALL")+COUNTIFS(D:D,"DD",E:E,"POS",K:K,"2nd BALL")+COUNTIFS(D:D,"AD",E:E,"POS",J:J,"2nd BALL")</f>
        <v>0</v>
      </c>
      <c r="BC60" s="115">
        <f>SUM(BC52:BC55)</f>
        <v>0</v>
      </c>
      <c r="BD60">
        <f>COUNTIFS(D:D,"DD",E:E,"POS",J:J,"DEEP")+COUNTIFS(D:D,"AD",E:E,"POS",K:K,"DEEP")+COUNTIFS(D:D,"DD",E:E,"POS",K:K,"DEEP")+COUNTIFS(D:D,"AD",E:E,"POS",J:J,"DEEP")</f>
        <v>0</v>
      </c>
      <c r="BE60" s="29">
        <f>COUNTIFS(D:D,"DD",E:E,"POS",J:J,"DIAGO")+COUNTIFS(D:D,"AD",E:E,"POS",K:K,"DIAGO")+COUNTIFS(D:D,"DD",E:E,"POS",K:K,"DIAGO")+COUNTIFS(D:D,"AD",E:E,"POS",J:J,"DIAGO")</f>
        <v>0</v>
      </c>
    </row>
    <row r="61" spans="1:57">
      <c r="A61" s="346" t="s">
        <v>590</v>
      </c>
      <c r="B61" s="346" t="s">
        <v>654</v>
      </c>
      <c r="C61" s="346">
        <v>1414000</v>
      </c>
      <c r="D61" s="346" t="s">
        <v>5</v>
      </c>
      <c r="E61" s="346"/>
      <c r="F61" s="346"/>
      <c r="G61" s="346"/>
      <c r="H61" s="346"/>
      <c r="I61" s="346" t="s">
        <v>595</v>
      </c>
      <c r="J61" s="346"/>
      <c r="K61" s="346"/>
      <c r="L61" s="346"/>
      <c r="M61" s="346"/>
      <c r="N61" s="346"/>
      <c r="O61" s="346"/>
      <c r="P61" s="346"/>
      <c r="Q61" s="346"/>
      <c r="R61" s="346"/>
      <c r="S61" s="346"/>
      <c r="T61" s="346">
        <v>15800</v>
      </c>
      <c r="U61" s="346"/>
      <c r="V61" s="346"/>
      <c r="W61" s="346"/>
      <c r="X61" s="115">
        <f t="shared" si="0"/>
        <v>0</v>
      </c>
      <c r="Y61" s="115">
        <f t="shared" si="1"/>
        <v>1</v>
      </c>
      <c r="Z61" s="115" t="e">
        <f t="shared" si="2"/>
        <v>#VALUE!</v>
      </c>
      <c r="AA61" s="115">
        <f t="shared" si="3"/>
        <v>15.8</v>
      </c>
      <c r="AB61" s="246">
        <f t="shared" si="4"/>
        <v>24</v>
      </c>
      <c r="AR61"/>
    </row>
    <row r="62" spans="1:57">
      <c r="A62" s="346" t="s">
        <v>590</v>
      </c>
      <c r="B62" s="346" t="s">
        <v>655</v>
      </c>
      <c r="C62" s="346">
        <v>1417800</v>
      </c>
      <c r="D62" s="346" t="s">
        <v>17</v>
      </c>
      <c r="E62" s="346" t="s">
        <v>2</v>
      </c>
      <c r="F62" s="346" t="s">
        <v>156</v>
      </c>
      <c r="G62" s="346"/>
      <c r="H62" s="346"/>
      <c r="I62" s="346" t="s">
        <v>561</v>
      </c>
      <c r="J62" s="346"/>
      <c r="K62" s="346"/>
      <c r="L62" s="346" t="s">
        <v>562</v>
      </c>
      <c r="M62" s="346"/>
      <c r="N62" s="346"/>
      <c r="O62" s="346"/>
      <c r="P62" s="346"/>
      <c r="Q62" s="346"/>
      <c r="R62" s="346"/>
      <c r="S62" s="346"/>
      <c r="T62" s="346">
        <v>15480</v>
      </c>
      <c r="U62" s="346"/>
      <c r="V62" s="346"/>
      <c r="W62" s="346"/>
      <c r="X62" s="115">
        <f t="shared" si="0"/>
        <v>1</v>
      </c>
      <c r="Y62" s="115">
        <f t="shared" si="1"/>
        <v>1</v>
      </c>
      <c r="Z62" s="115" t="e">
        <f t="shared" si="2"/>
        <v>#VALUE!</v>
      </c>
      <c r="AA62" s="115">
        <f t="shared" si="3"/>
        <v>15.48</v>
      </c>
      <c r="AB62" s="246">
        <f t="shared" si="4"/>
        <v>24</v>
      </c>
      <c r="AR62"/>
    </row>
    <row r="63" spans="1:57">
      <c r="A63" s="346" t="s">
        <v>590</v>
      </c>
      <c r="B63" s="346" t="s">
        <v>656</v>
      </c>
      <c r="C63" s="346">
        <v>1419880</v>
      </c>
      <c r="D63" s="346" t="s">
        <v>14</v>
      </c>
      <c r="E63" s="346" t="s">
        <v>6</v>
      </c>
      <c r="F63" s="346" t="s">
        <v>3</v>
      </c>
      <c r="G63" s="346"/>
      <c r="H63" s="346"/>
      <c r="I63" s="346" t="s">
        <v>563</v>
      </c>
      <c r="J63" s="346"/>
      <c r="K63" s="346"/>
      <c r="L63" s="346" t="s">
        <v>564</v>
      </c>
      <c r="M63" s="346"/>
      <c r="N63" s="346"/>
      <c r="O63" s="346"/>
      <c r="P63" s="346"/>
      <c r="Q63" s="346"/>
      <c r="R63" s="346"/>
      <c r="S63" s="346"/>
      <c r="T63" s="346">
        <v>21880</v>
      </c>
      <c r="U63" s="346"/>
      <c r="V63" s="346"/>
      <c r="W63" s="346"/>
      <c r="X63" s="115">
        <f t="shared" si="0"/>
        <v>1</v>
      </c>
      <c r="Y63" s="115">
        <f t="shared" si="1"/>
        <v>2</v>
      </c>
      <c r="Z63" s="115" t="e">
        <f t="shared" si="2"/>
        <v>#VALUE!</v>
      </c>
      <c r="AA63" s="115">
        <f t="shared" si="3"/>
        <v>21.88</v>
      </c>
      <c r="AB63" s="246">
        <f t="shared" si="4"/>
        <v>24</v>
      </c>
      <c r="AG63" s="346" t="s">
        <v>703</v>
      </c>
      <c r="AH63" t="s">
        <v>9</v>
      </c>
      <c r="AI63" t="s">
        <v>20</v>
      </c>
      <c r="AJ63" t="s">
        <v>19</v>
      </c>
      <c r="AK63" t="s">
        <v>7</v>
      </c>
      <c r="AL63" t="s">
        <v>163</v>
      </c>
      <c r="AM63" t="s">
        <v>310</v>
      </c>
      <c r="AN63" t="s">
        <v>156</v>
      </c>
      <c r="AO63" s="1" t="s">
        <v>3</v>
      </c>
      <c r="AV63" s="346" t="s">
        <v>703</v>
      </c>
      <c r="AW63" t="s">
        <v>9</v>
      </c>
      <c r="AX63" t="s">
        <v>20</v>
      </c>
      <c r="AY63" t="s">
        <v>19</v>
      </c>
      <c r="AZ63" t="s">
        <v>7</v>
      </c>
      <c r="BA63" s="115" t="s">
        <v>163</v>
      </c>
      <c r="BB63" s="115" t="s">
        <v>310</v>
      </c>
      <c r="BC63" t="s">
        <v>156</v>
      </c>
      <c r="BD63" s="1" t="s">
        <v>3</v>
      </c>
    </row>
    <row r="64" spans="1:57">
      <c r="A64" s="346" t="s">
        <v>590</v>
      </c>
      <c r="B64" s="346" t="s">
        <v>657</v>
      </c>
      <c r="C64" s="346">
        <v>1434760</v>
      </c>
      <c r="D64" s="346" t="s">
        <v>1</v>
      </c>
      <c r="E64" s="346" t="s">
        <v>6</v>
      </c>
      <c r="F64" s="346" t="s">
        <v>7</v>
      </c>
      <c r="G64" s="346" t="s">
        <v>29</v>
      </c>
      <c r="H64" s="346"/>
      <c r="I64" s="346" t="s">
        <v>595</v>
      </c>
      <c r="J64" s="346"/>
      <c r="K64" s="346"/>
      <c r="L64" s="346"/>
      <c r="M64" s="346"/>
      <c r="N64" s="346"/>
      <c r="O64" s="346"/>
      <c r="P64" s="346"/>
      <c r="Q64" s="346"/>
      <c r="R64" s="346"/>
      <c r="S64" s="346"/>
      <c r="T64" s="346">
        <v>27000</v>
      </c>
      <c r="U64" s="346"/>
      <c r="V64" s="346"/>
      <c r="W64" s="346"/>
      <c r="X64" s="115">
        <f t="shared" si="0"/>
        <v>-6</v>
      </c>
      <c r="Y64" s="115">
        <f t="shared" si="1"/>
        <v>-5</v>
      </c>
      <c r="Z64" s="115" t="e">
        <f t="shared" si="2"/>
        <v>#VALUE!</v>
      </c>
      <c r="AA64" s="115">
        <f t="shared" si="3"/>
        <v>27</v>
      </c>
      <c r="AB64" s="246">
        <f t="shared" si="4"/>
        <v>24</v>
      </c>
      <c r="AD64" t="s">
        <v>33</v>
      </c>
      <c r="AE64" s="346" t="s">
        <v>565</v>
      </c>
      <c r="AG64">
        <f>COUNTIFS(D:D,"AA",F:F,"ATONGOAL",J:J,"CONTRA",I:I,"S3")+COUNTIFS(D:D,"DA",F:F,"ATONGOAL",K:K,"CONTRA",I:I,"S3")+COUNTIFS(D:D,"AA",F:F,"ATONGOAL",K:K,"CONTRA",I:I,"S3")+COUNTIFS(D:D,"DA",F:F,"ATONGOAL",J:J,"CONTRA",I:I,"S3")</f>
        <v>0</v>
      </c>
      <c r="AH64">
        <f>COUNTIFS(D:D,"AA",F:F,"ATON",J:J,"CONTRA",I:I,"S3")+COUNTIFS(D:D,"DA",F:F,"ATON",K:K,"CONTRA",I:I,"S3")+COUNTIFS(D:D,"AA",F:F,"ATON",K:K,"CONTRA",I:I,"S3")+COUNTIFS(D:D,"DA",F:F,"ATON",J:J,"CONTRA",I:I,"S3")</f>
        <v>0</v>
      </c>
      <c r="AI64">
        <f>COUNTIFS(D:D,"AA",F:F,"ATOF",J:J,"CONTRA",I:I,"S3")+COUNTIFS(D:D,"DA",F:F,"ATOF",K:K,"CONTRA",I:I,"S3")+COUNTIFS(D:D,"AA",F:F,"ATOF",K:K,"CONTRA",I:I,"S3")+COUNTIFS(D:D,"DA",F:F,"ATOF",J:J,"CONTRA",I:I,"S3")</f>
        <v>0</v>
      </c>
      <c r="AJ64">
        <f>COUNTIFS(D:D,"AA",F:F,"ATBK",J:J,"CONTRA",I:I,"S3")+COUNTIFS(D:D,"DA",F:F,"ATBK",K:K,"CONTRA",I:I,"S3")+COUNTIFS(D:D,"AA",F:F,"ATBK",K:K,"CONTRA",I:I,"S3")+COUNTIFS(D:D,"DA",F:F,"ATBK",J:J,"CONTRA",I:I,"S3")</f>
        <v>0</v>
      </c>
      <c r="AK64">
        <f>COUNTIFS(D:D,"AA",F:F,"WINSTAN",J:J,"CONTRA",I:I,"S3",E:E,"POS")+COUNTIFS(D:D,"DA",F:F,"WINSTAN",K:K,"CONTRA",I:I,"S3",E:E,"POS")+COUNTIFS(D:D,"AA",F:F,"WINSTAN",K:K,"CONTRA",I:I,"S3",E:E,"POS")+COUNTIFS(D:D,"DA",F:F,"WINSTAN",J:J,"CONTRA",I:I,"S3",E:E,"POS")</f>
        <v>0</v>
      </c>
      <c r="AL64" s="115">
        <f>COUNTIFS(D:D,"AA",F:F,"WINSTANTI",J:J,"CONTRA",I:I,"S3",E:E,"POS")+COUNTIFS(D:D,"DA",F:F,"WINSTANTI",K:K,"CONTRA",I:I,"S3",E:E,"POS")+COUNTIFS(D:D,"AA",F:F,"WINSTANTI",K:K,"CONTRA",I:I,"S3",E:E,"POS")+COUNTIFS(D:D,"DA",F:F,"WINSTANTI",J:J,"CONTRA",I:I,"S3",E:E,"POS")</f>
        <v>0</v>
      </c>
      <c r="AM64" s="115">
        <f>COUNTIFS(D:D,"AA",F:F,"ENTRY",J:J,"CONTRA",I:I,"S3",E:E,"POS")+COUNTIFS(D:D,"DA",F:F,"ENTRY",K:K,"CONTRA",I:I,"S3",E:E,"POS")+COUNTIFS(D:D,"AA",F:F,"ENTRY",K:K,"CONTRA",I:I,"S3",E:E,"POS")+COUNTIFS(D:D,"DA",F:F,"ENTRY",J:J,"CONTRA",I:I,"S3",E:E,"POS")</f>
        <v>0</v>
      </c>
      <c r="AN64" s="115">
        <f>COUNTIFS(D:D,"AA",F:F,"KEEPOS",J:J,"CONTRA",I:I,"S3",E:E,"POS")+COUNTIFS(D:D,"DA",F:F,"KEEPOS",K:K,"CONTRA",I:I,"S3",E:E,"POS")+COUNTIFS(D:D,"AA",F:F,"KEEPOS",K:K,"CONTRA",I:I,"S3",E:E,"POS")+COUNTIFS(D:D,"DA",F:F,"KEEPOS",J:J,"CONTRA",I:I,"S3",E:E,"POS")</f>
        <v>0</v>
      </c>
      <c r="AO64">
        <f>COUNTIFS(D:D,"AA",F:F,"-",J:J,"CONTRA",I:I,"S3")+COUNTIFS(D:D,"DA",F:F,"-",K:K,"CONTRA",I:I,"S3")+COUNTIFS(D:D,"AA",F:F,"-",K:K,"CONTRA",I:I,"S3")+COUNTIFS(D:D,"DA",F:F,"-",J:J,"CONTRA",I:I,"S3")</f>
        <v>0</v>
      </c>
      <c r="AS64" t="s">
        <v>33</v>
      </c>
      <c r="AT64" s="346" t="s">
        <v>565</v>
      </c>
      <c r="AV64">
        <f>COUNTIFS(D:D,"DD",F:F,"ATONGOAL",J:J,"CONTRA",I:I,"S3")+COUNTIFS(D:D,"AD",F:F,"ATONGOAL",K:K,"CONTRA",I:I,"S3")+COUNTIFS(D:D,"DD",F:F,"ATONGOAL",K:K,"CONTRA",I:I,"S3")+COUNTIFS(D:D,"AD",F:F,"ATONGOAL",J:J,"CONTRA",I:I,"S3")</f>
        <v>0</v>
      </c>
      <c r="AW64">
        <f>COUNTIFS(D:D,"DD",F:F,"ATON",J:J,"CONTRA",I:I,"S3")+COUNTIFS(D:D,"AD",F:F,"ATON",K:K,"CONTRA",I:I,"S3")+COUNTIFS(D:D,"DD",F:F,"ATON",K:K,"CONTRA",I:I,"S3")+COUNTIFS(D:D,"AD",F:F,"ATON",J:J,"CONTRA",I:I,"S3")</f>
        <v>0</v>
      </c>
      <c r="AX64">
        <f>COUNTIFS(D:D,"DD",F:F,"ATOF",J:J,"CONTRA",I:I,"S3")+COUNTIFS(D:D,"AD",F:F,"ATOF",K:K,"CONTRA",I:I,"S3")+COUNTIFS(D:D,"DD",F:F,"ATOF",K:K,"CONTRA",I:I,"S3")+COUNTIFS(D:D,"AD",F:F,"ATOF",J:J,"CONTRA",I:I,"S3")</f>
        <v>0</v>
      </c>
      <c r="AY64">
        <f>COUNTIFS(D:D,"DD",F:F,"ATBK",J:J,"CONTRA",I:I,"S3")+COUNTIFS(D:D,"AD",F:F,"ATBK",K:K,"CONTRA",I:I,"S3")+COUNTIFS(D:D,"DD",F:F,"ATBK",K:K,"CONTRA",I:I,"S3")+COUNTIFS(D:D,"AD",F:F,"ATBK",J:J,"CONTRA",I:I,"S3")</f>
        <v>0</v>
      </c>
      <c r="AZ64">
        <f>COUNTIFS(D:D,"DD",F:F,"WINSTAN",J:J,"CONTRA",I:I,"S3",E:E,"NEG")+COUNTIFS(D:D,"AD",F:F,"WINSTAN",K:K,"CONTRA",I:I,"S3",E:E,"NEG")+COUNTIFS(D:D,"DD",F:F,"WINSTAN",K:K,"CONTRA",I:I,"S3",E:E,"NEG")+COUNTIFS(D:D,"AD",F:F,"WINSTAN",J:J,"CONTRA",I:I,"S3",E:E,"NEG")</f>
        <v>0</v>
      </c>
      <c r="BA64" s="115">
        <f>COUNTIFS(D:D,"DD",F:F,"WINSTANTI",J:J,"CONTRA",I:I,"S3",E:E,"NEG")+COUNTIFS(D:D,"AD",F:F,"WINSTANTI",K:K,"CONTRA",I:I,"S3",E:E,"NEG")+COUNTIFS(D:D,"DD",F:F,"WINSTANTI",K:K,"CONTRA",I:I,"S3",E:E,"NEG")+COUNTIFS(D:D,"AD",F:F,"WINSTANTI",J:J,"CONTRA",I:I,"S3",E:E,"NEG")</f>
        <v>0</v>
      </c>
      <c r="BB64" s="115">
        <f>COUNTIFS(D:D,"DD",F:F,"ENTRY",J:J,"CONTRA",I:I,"S3",E:E,"NEG")+COUNTIFS(D:D,"AD",F:F,"ENTRY",K:K,"CONTRA",I:I,"S3",E:E,"NEG")+COUNTIFS(D:D,"DD",F:F,"ENTRY",K:K,"CONTRA",I:I,"S3",E:E,"NEG")+COUNTIFS(D:D,"AD",F:F,"ENTRY",J:J,"CONTRA",I:I,"S3",E:E,"NEG")</f>
        <v>0</v>
      </c>
      <c r="BC64" s="115">
        <f>COUNTIFS(D:D,"DD",F:F,"KEEPOS",J:J,"CONTRA",I:I,"S3",E:E,"NEG")+COUNTIFS(D:D,"AD",F:F,"KEEPOS",K:K,"CONTRA",I:I,"S3",E:E,"NEG")+COUNTIFS(D:D,"DD",F:F,"KEEPOS",K:K,"CONTRA",I:I,"S3",E:E,"NEG")+COUNTIFS(D:D,"AD",F:F,"KEEPOS",J:J,"CONTRA",I:I,"S3",E:E,"NEG")</f>
        <v>0</v>
      </c>
      <c r="BD64">
        <f>COUNTIFS(D:D,"DD",F:F,"-",J:J,"CONTRA",I:I,"S3")+COUNTIFS(D:D,"AD",F:F,"-",K:K,"CONTRA",I:I,"S3")+COUNTIFS(D:D,"DD",F:F,"-",K:K,"CONTRA",I:I,"S3")+COUNTIFS(D:D,"AD",F:F,"-",J:J,"CONTRA",I:I,"S3")</f>
        <v>0</v>
      </c>
    </row>
    <row r="65" spans="1:56">
      <c r="A65" s="346" t="s">
        <v>590</v>
      </c>
      <c r="B65" s="346" t="s">
        <v>658</v>
      </c>
      <c r="C65" s="346">
        <v>1501880</v>
      </c>
      <c r="D65" s="346" t="s">
        <v>1</v>
      </c>
      <c r="E65" s="346" t="s">
        <v>2</v>
      </c>
      <c r="F65" s="346" t="s">
        <v>156</v>
      </c>
      <c r="G65" s="346"/>
      <c r="H65" s="346"/>
      <c r="I65" s="346"/>
      <c r="J65" s="346"/>
      <c r="K65" s="346"/>
      <c r="L65" s="346"/>
      <c r="M65" s="346" t="s">
        <v>10</v>
      </c>
      <c r="N65" s="346"/>
      <c r="O65" s="346"/>
      <c r="P65" s="346"/>
      <c r="Q65" s="346"/>
      <c r="R65" s="346"/>
      <c r="S65" s="346"/>
      <c r="T65" s="346">
        <v>9440</v>
      </c>
      <c r="U65" s="346"/>
      <c r="V65" s="346"/>
      <c r="W65" s="346"/>
      <c r="X65" s="115">
        <f t="shared" si="0"/>
        <v>1</v>
      </c>
      <c r="Y65" s="115">
        <f t="shared" si="1"/>
        <v>-5</v>
      </c>
      <c r="Z65" s="115" t="e">
        <f t="shared" si="2"/>
        <v>#VALUE!</v>
      </c>
      <c r="AA65" s="115">
        <f t="shared" si="3"/>
        <v>9.44</v>
      </c>
      <c r="AB65" s="246">
        <f>IF(ROUND(C65/60000,0)=0,1,ROUND(C65/60000,0))</f>
        <v>25</v>
      </c>
      <c r="AE65" s="346" t="s">
        <v>561</v>
      </c>
      <c r="AG65">
        <f>COUNTIFS(D:D,"AA",F:F,"ATONGOAL",J:J,"CONTRA",I:I,"S2")+COUNTIFS(D:D,"DA",F:F,"ATONGOAL",K:K,"CONTRA",I:I,"S2")+COUNTIFS(D:D,"AA",F:F,"ATONGOAL",K:K,"CONTRA",I:I,"S2")+COUNTIFS(D:D,"DA",F:F,"ATONGOAL",J:J,"CONTRA",I:I,"S2")</f>
        <v>0</v>
      </c>
      <c r="AH65">
        <f>COUNTIFS(D:D,"AA",F:F,"ATON",J:J,"CONTRA",I:I,"S2")+COUNTIFS(D:D,"DA",F:F,"ATON",K:K,"CONTRA",I:I,"S2")+COUNTIFS(D:D,"AA",F:F,"ATON",K:K,"CONTRA",I:I,"S2")+COUNTIFS(D:D,"DA",F:F,"ATON",J:J,"CONTRA",I:I,"S2")</f>
        <v>0</v>
      </c>
      <c r="AI65">
        <f>COUNTIFS(D:D,"AA",F:F,"ATOF",J:J,"CONTRA",I:I,"S2")+COUNTIFS(D:D,"DA",F:F,"ATOF",K:K,"CONTRA",I:I,"S2")+COUNTIFS(D:D,"AA",F:F,"ATOF",K:K,"CONTRA",I:I,"S2")+COUNTIFS(D:D,"DA",F:F,"ATOF",J:J,"CONTRA",I:I,"S2")</f>
        <v>0</v>
      </c>
      <c r="AJ65">
        <f>COUNTIFS(D:D,"AA",F:F,"ATBK",J:J,"CONTRA",I:I,"S2")+COUNTIFS(D:D,"DA",F:F,"ATBK",K:K,"CONTRA",I:I,"S2")+COUNTIFS(D:D,"AA",F:F,"ATBK",K:K,"CONTRA",I:I,"S2")+COUNTIFS(D:D,"DA",F:F,"ATBK",J:J,"CONTRA",I:I,"S2")</f>
        <v>0</v>
      </c>
      <c r="AK65">
        <f>COUNTIFS(D:D,"AA",F:F,"WINSTAN",J:J,"CONTRA",I:I,"S2",E:E,"POS")+COUNTIFS(D:D,"DA",F:F,"WINSTAN",K:K,"CONTRA",I:I,"S2",E:E,"POS")+COUNTIFS(D:D,"AA",F:F,"WINSTAN",K:K,"CONTRA",I:I,"S2",E:E,"POS")+COUNTIFS(D:D,"DA",F:F,"WINSTAN",J:J,"CONTRA",I:I,"S2",E:E,"POS")</f>
        <v>0</v>
      </c>
      <c r="AL65" s="115">
        <f>COUNTIFS(D:D,"AA",F:F,"WINSTANTI",J:J,"CONTRA",I:I,"S2",E:E,"POS")+COUNTIFS(D:D,"DA",F:F,"WINSTANTI",K:K,"CONTRA",I:I,"S2",E:E,"POS")+COUNTIFS(D:D,"AA",F:F,"WINSTANTI",K:K,"CONTRA",I:I,"S2",E:E,"POS")+COUNTIFS(D:D,"DA",F:F,"WINSTANTI",J:J,"CONTRA",I:I,"S2",E:E,"POS")</f>
        <v>0</v>
      </c>
      <c r="AM65" s="115">
        <f>COUNTIFS(D:D,"AA",F:F,"ENTRY",J:J,"CONTRA",I:I,"S2",E:E,"POS")+COUNTIFS(D:D,"DA",F:F,"ENTRY",K:K,"CONTRA",I:I,"S2",E:E,"POS")+COUNTIFS(D:D,"AA",F:F,"ENTRY",K:K,"CONTRA",I:I,"S2",E:E,"POS")+COUNTIFS(D:D,"DA",F:F,"ENTRY",J:J,"CONTRA",I:I,"S2",E:E,"POS")</f>
        <v>0</v>
      </c>
      <c r="AN65" s="115">
        <f>COUNTIFS(D:D,"AA",F:F,"KEEPOS",J:J,"CONTRA",I:I,"S2",E:E,"POS")+COUNTIFS(D:D,"DA",F:F,"KEEPOS",K:K,"CONTRA",I:I,"S2",E:E,"POS")+COUNTIFS(D:D,"AA",F:F,"KEEPOS",K:K,"CONTRA",I:I,"S2",E:E,"POS")+COUNTIFS(D:D,"DA",F:F,"KEEPOS",J:J,"CONTRA",I:I,"S2",E:E,"POS")</f>
        <v>0</v>
      </c>
      <c r="AO65">
        <f>COUNTIFS(D:D,"AA",F:F,"-",J:J,"CONTRA",I:I,"S2")+COUNTIFS(D:D,"DA",F:F,"-",K:K,"CONTRA",I:I,"S2")+COUNTIFS(D:D,"AA",F:F,"-",K:K,"CONTRA",I:I,"S2")+COUNTIFS(D:D,"DA",F:F,"-",J:J,"CONTRA",I:I,"S2")</f>
        <v>0</v>
      </c>
      <c r="AT65" s="346" t="s">
        <v>561</v>
      </c>
      <c r="AV65">
        <f>COUNTIFS(D:D,"DD",F:F,"ATONGOAL",J:J,"CONTRA",I:I,"S2")+COUNTIFS(D:D,"AD",F:F,"ATONGOAL",K:K,"CONTRA",I:I,"S2")+COUNTIFS(D:D,"DD",F:F,"ATONGOAL",K:K,"CONTRA",I:I,"S2")+COUNTIFS(D:D,"AD",F:F,"ATONGOAL",J:J,"CONTRA",I:I,"S2")</f>
        <v>0</v>
      </c>
      <c r="AW65">
        <f>COUNTIFS(D:D,"DD",F:F,"ATON",J:J,"CONTRA",I:I,"S2")+COUNTIFS(D:D,"AD",F:F,"ATON",K:K,"CONTRA",I:I,"S2")+COUNTIFS(D:D,"DD",F:F,"ATON",K:K,"CONTRA",I:I,"S2")+COUNTIFS(D:D,"AD",F:F,"ATON",J:J,"CONTRA",I:I,"S2")</f>
        <v>0</v>
      </c>
      <c r="AX65">
        <f>COUNTIFS(D:D,"DD",F:F,"ATOF",J:J,"CONTRA",I:I,"S2")+COUNTIFS(D:D,"AD",F:F,"ATOF",K:K,"CONTRA",I:I,"S2")+COUNTIFS(D:D,"DD",F:F,"ATOF",K:K,"CONTRA",I:I,"S2")+COUNTIFS(D:D,"AD",F:F,"ATOF",J:J,"CONTRA",I:I,"S2")</f>
        <v>0</v>
      </c>
      <c r="AY65">
        <f>COUNTIFS(D:D,"DD",F:F,"ATBK",J:J,"CONTRA",I:I,"S2")+COUNTIFS(D:D,"AD",F:F,"ATBK",K:K,"CONTRA",I:I,"S2")+COUNTIFS(D:D,"DD",F:F,"ATBK",K:K,"CONTRA",I:I,"S2")+COUNTIFS(D:D,"AD",F:F,"ATBK",J:J,"CONTRA",I:I,"S2")</f>
        <v>0</v>
      </c>
      <c r="AZ65">
        <f>COUNTIFS(D:D,"DD",F:F,"WINSTAN",J:J,"CONTRA",I:I,"S2",E:E,"NEG")+COUNTIFS(D:D,"AD",F:F,"WINSTAN",K:K,"CONTRA",I:I,"S2",E:E,"NEG")+COUNTIFS(D:D,"DD",F:F,"WINSTAN",K:K,"CONTRA",I:I,"S2",E:E,"NEG")+COUNTIFS(D:D,"AD",F:F,"WINSTAN",J:J,"CONTRA",I:I,"S2",E:E,"NEG")</f>
        <v>0</v>
      </c>
      <c r="BA65" s="115">
        <f>COUNTIFS(D:D,"DD",F:F,"WINSTANTI",J:J,"CONTRA",I:I,"S2",E:E,"NEG")+COUNTIFS(D:D,"AD",F:F,"WINSTANTI",K:K,"CONTRA",I:I,"S2",E:E,"NEG")+COUNTIFS(D:D,"DD",F:F,"WINSTANTI",K:K,"CONTRA",I:I,"S2",E:E,"NEG")+COUNTIFS(D:D,"AD",F:F,"WINSTANTI",J:J,"CONTRA",I:I,"S2",E:E,"NEG")</f>
        <v>0</v>
      </c>
      <c r="BB65" s="115">
        <f>COUNTIFS(D:D,"DD",F:F,"ENTRY",J:J,"CONTRA",I:I,"S2",E:E,"NEG")+COUNTIFS(D:D,"AD",F:F,"ENTRY",K:K,"CONTRA",I:I,"S2",E:E,"NEG")+COUNTIFS(D:D,"DD",F:F,"ENTRY",K:K,"CONTRA",I:I,"S2",E:E,"NEG")+COUNTIFS(D:D,"AD",F:F,"ENTRY",J:J,"CONTRA",I:I,"S2",E:E,"NEG")</f>
        <v>0</v>
      </c>
      <c r="BC65" s="115">
        <f>COUNTIFS(D:D,"DD",F:F,"KEEPOS",J:J,"CONTRA",I:I,"S2",E:E,"NEG")+COUNTIFS(D:D,"AD",F:F,"KEEPOS",K:K,"CONTRA",I:I,"S2",E:E,"NEG")+COUNTIFS(D:D,"DD",F:F,"KEEPOS",K:K,"CONTRA",I:I,"S2",E:E,"NEG")+COUNTIFS(D:D,"AD",F:F,"KEEPOS",J:J,"CONTRA",I:I,"S2",E:E,"NEG")</f>
        <v>0</v>
      </c>
      <c r="BD65">
        <f>COUNTIFS(D:D,"DD",F:F,"-",J:J,"CONTRA",I:I,"S2")+COUNTIFS(D:D,"AD",F:F,"-",K:K,"CONTRA",I:I,"S2")+COUNTIFS(D:D,"DD",F:F,"-",K:K,"CONTRA",I:I,"S2")+COUNTIFS(D:D,"AD",F:F,"-",J:J,"CONTRA",I:I,"S2")</f>
        <v>0</v>
      </c>
    </row>
    <row r="66" spans="1:56">
      <c r="A66" s="346" t="s">
        <v>590</v>
      </c>
      <c r="B66" s="346" t="s">
        <v>659</v>
      </c>
      <c r="C66" s="346">
        <v>1505480</v>
      </c>
      <c r="D66" s="346" t="s">
        <v>5</v>
      </c>
      <c r="E66" s="346" t="s">
        <v>6</v>
      </c>
      <c r="F66" s="346" t="s">
        <v>3</v>
      </c>
      <c r="G66" s="346" t="s">
        <v>27</v>
      </c>
      <c r="H66" s="346"/>
      <c r="I66" s="346"/>
      <c r="J66" s="346"/>
      <c r="K66" s="346"/>
      <c r="L66" s="346"/>
      <c r="M66" s="346"/>
      <c r="N66" s="346"/>
      <c r="O66" s="346"/>
      <c r="P66" s="346"/>
      <c r="Q66" s="346"/>
      <c r="R66" s="346"/>
      <c r="S66" s="346"/>
      <c r="T66" s="346">
        <v>17840</v>
      </c>
      <c r="U66" s="346"/>
      <c r="V66" s="346"/>
      <c r="W66" s="346"/>
      <c r="X66" s="115">
        <f t="shared" si="0"/>
        <v>1</v>
      </c>
      <c r="Y66" s="115">
        <f t="shared" si="1"/>
        <v>2</v>
      </c>
      <c r="Z66" s="115" t="e">
        <f t="shared" si="2"/>
        <v>#VALUE!</v>
      </c>
      <c r="AA66" s="115">
        <f t="shared" si="3"/>
        <v>17.84</v>
      </c>
      <c r="AB66" s="246">
        <f t="shared" si="4"/>
        <v>25</v>
      </c>
      <c r="AE66" s="346" t="s">
        <v>563</v>
      </c>
      <c r="AG66">
        <f>COUNTIFS(D:D,"AA",F:F,"ATONGOAL",J:J,"CONTRA",I:I,"S1")+COUNTIFS(D:D,"DA",F:F,"ATONGOAL",K:K,"CONTRA",I:I,"S1")+COUNTIFS(D:D,"AA",F:F,"ATONGOAL",K:K,"CONTRA",I:I,"S1")+COUNTIFS(D:D,"DA",F:F,"ATONGOAL",J:J,"CONTRA",I:I,"S1")</f>
        <v>0</v>
      </c>
      <c r="AH66">
        <f>COUNTIFS(D:D,"AA",F:F,"ATON",J:J,"CONTRA",I:I,"S1")+COUNTIFS(D:D,"DA",F:F,"ATON",K:K,"CONTRA",I:I,"S1")+COUNTIFS(D:D,"AA",F:F,"ATON",K:K,"CONTRA",I:I,"S1")+COUNTIFS(D:D,"DA",F:F,"ATON",J:J,"CONTRA",I:I,"S1")</f>
        <v>0</v>
      </c>
      <c r="AI66">
        <f>COUNTIFS(D:D,"AA",F:F,"ATOF",J:J,"CONTRA",I:I,"S1")+COUNTIFS(D:D,"DA",F:F,"ATOF",K:K,"CONTRA",I:I,"S1")+COUNTIFS(D:D,"AA",F:F,"ATOF",K:K,"CONTRA",I:I,"S1")+COUNTIFS(D:D,"DA",F:F,"ATOF",J:J,"CONTRA",I:I,"S1")</f>
        <v>0</v>
      </c>
      <c r="AJ66">
        <f>COUNTIFS(D:D,"AA",F:F,"ATBK",J:J,"CONTRA",I:I,"S1")+COUNTIFS(D:D,"DA",F:F,"ATBK",K:K,"CONTRA",I:I,"S1")+COUNTIFS(D:D,"AA",F:F,"ATBK",K:K,"CONTRA",I:I,"S1")+COUNTIFS(D:D,"DA",F:F,"ATBK",J:J,"CONTRA",I:I,"S1")</f>
        <v>0</v>
      </c>
      <c r="AK66">
        <f>COUNTIFS(D:D,"AA",F:F,"WINSTAN",J:J,"CONTRA",I:I,"S1",E:E,"POS")+COUNTIFS(D:D,"DA",F:F,"WINSTAN",K:K,"CONTRA",I:I,"S1",E:E,"POS")+COUNTIFS(D:D,"AA",F:F,"WINSTAN",K:K,"CONTRA",I:I,"S1",E:E,"POS")+COUNTIFS(D:D,"DA",F:F,"WINSTAN",J:J,"CONTRA",I:I,"S1",E:E,"POS")</f>
        <v>0</v>
      </c>
      <c r="AL66" s="115">
        <f>COUNTIFS(D:D,"AA",F:F,"WINSTANTI",J:J,"CONTRA",I:I,"S1",E:E,"POS")+COUNTIFS(D:D,"DA",F:F,"WINSTANTI",K:K,"CONTRA",I:I,"S1",E:E,"POS")+COUNTIFS(D:D,"AA",F:F,"WINSTANTI",K:K,"CONTRA",I:I,"S1",E:E,"POS")+COUNTIFS(D:D,"DA",F:F,"WINSTANTI",J:J,"CONTRA",I:I,"S1",E:E,"POS")</f>
        <v>0</v>
      </c>
      <c r="AM66" s="115">
        <f>COUNTIFS(D:D,"AA",F:F,"ENTRY",J:J,"CONTRA",I:I,"S1",E:E,"POS")+COUNTIFS(D:D,"DA",F:F,"ENTRY",K:K,"CONTRA",I:I,"S1",E:E,"POS")+COUNTIFS(D:D,"AA",F:F,"ENTRY",K:K,"CONTRA",I:I,"S1",E:E,"POS")+COUNTIFS(D:D,"DA",F:F,"ENTRY",J:J,"CONTRA",I:I,"S1",E:E,"POS")</f>
        <v>0</v>
      </c>
      <c r="AN66" s="115">
        <f>COUNTIFS(D:D,"AA",F:F,"KEEPOS",J:J,"CONTRA",I:I,"S1",E:E,"POS")+COUNTIFS(D:D,"DA",F:F,"KEEPOS",K:K,"CONTRA",I:I,"S1",E:E,"POS")+COUNTIFS(D:D,"AA",F:F,"KEEPOS",K:K,"CONTRA",I:I,"S1",E:E,"POS")+COUNTIFS(D:D,"DA",F:F,"KEEPOS",J:J,"CONTRA",I:I,"S1",E:E,"POS")</f>
        <v>0</v>
      </c>
      <c r="AO66">
        <f>COUNTIFS(D:D,"AA",F:F,"-",J:J,"CONTRA",I:I,"S1")+COUNTIFS(D:D,"DA",F:F,"-",K:K,"CONTRA",I:I,"S1")+COUNTIFS(D:D,"AA",F:F,"-",K:K,"CONTRA",I:I,"S1")+COUNTIFS(D:D,"DA",F:F,"-",J:J,"CONTRA",I:I,"S1")</f>
        <v>0</v>
      </c>
      <c r="AT66" s="346" t="s">
        <v>563</v>
      </c>
      <c r="AV66">
        <f>COUNTIFS(D:D,"DD",F:F,"ATONGOAL",J:J,"CONTRA",I:I,"S1")+COUNTIFS(D:D,"AD",F:F,"ATONGOAL",K:K,"CONTRA",I:I,"S1")+COUNTIFS(D:D,"DD",F:F,"ATONGOAL",K:K,"CONTRA",I:I,"S1")+COUNTIFS(D:D,"AD",F:F,"ATONGOAL",J:J,"CONTRA",I:I,"S1")</f>
        <v>0</v>
      </c>
      <c r="AW66">
        <f>COUNTIFS(D:D,"DD",F:F,"ATON",J:J,"CONTRA",I:I,"S1")+COUNTIFS(D:D,"AD",F:F,"ATON",K:K,"CONTRA",I:I,"S1")+COUNTIFS(D:D,"DD",F:F,"ATON",K:K,"CONTRA",I:I,"S1")+COUNTIFS(D:D,"AD",F:F,"ATON",J:J,"CONTRA",I:I,"S1")</f>
        <v>0</v>
      </c>
      <c r="AX66">
        <f>COUNTIFS(D:D,"DD",F:F,"ATOF",J:J,"CONTRA",I:I,"S1")+COUNTIFS(D:D,"AD",F:F,"ATOF",K:K,"CONTRA",I:I,"S1")+COUNTIFS(D:D,"DD",F:F,"ATOF",K:K,"CONTRA",I:I,"S1")+COUNTIFS(D:D,"AD",F:F,"ATOF",J:J,"CONTRA",I:I,"S1")</f>
        <v>0</v>
      </c>
      <c r="AY66">
        <f>COUNTIFS(D:D,"DD",F:F,"ATBK",J:J,"CONTRA",I:I,"S1")+COUNTIFS(D:D,"AD",F:F,"ATBK",K:K,"CONTRA",I:I,"S1")+COUNTIFS(D:D,"DD",F:F,"ATBK",K:K,"CONTRA",I:I,"S1")+COUNTIFS(D:D,"AD",F:F,"ATBK",J:J,"CONTRA",I:I,"S1")</f>
        <v>0</v>
      </c>
      <c r="AZ66">
        <f>COUNTIFS(D:D,"DD",F:F,"WINSTAN",J:J,"CONTRA",I:I,"S1",E:E,"NEG")+COUNTIFS(D:D,"AD",F:F,"WINSTAN",K:K,"CONTRA",I:I,"S1",E:E,"NEG")+COUNTIFS(D:D,"DD",F:F,"WINSTAN",K:K,"CONTRA",I:I,"S1",E:E,"NEG")+COUNTIFS(D:D,"AD",F:F,"WINSTAN",J:J,"CONTRA",I:I,"S1",E:E,"NEG")</f>
        <v>0</v>
      </c>
      <c r="BA66" s="115">
        <f>COUNTIFS(D:D,"DD",F:F,"WINSTANTI",J:J,"CONTRA",I:I,"S1",E:E,"NEG")+COUNTIFS(D:D,"AD",F:F,"WINSTANTI",K:K,"CONTRA",I:I,"S1",E:E,"NEG")+COUNTIFS(D:D,"DD",F:F,"WINSTANTI",K:K,"CONTRA",I:I,"S1",E:E,"NEG")+COUNTIFS(D:D,"AD",F:F,"WINSTANTI",J:J,"CONTRA",I:I,"S1",E:E,"NEG")</f>
        <v>0</v>
      </c>
      <c r="BB66" s="115">
        <f>COUNTIFS(D:D,"DD",F:F,"ENTRY",J:J,"CONTRA",I:I,"S1",E:E,"NEG")+COUNTIFS(D:D,"AD",F:F,"ENTRY",K:K,"CONTRA",I:I,"S1",E:E,"NEG")+COUNTIFS(D:D,"DD",F:F,"ENTRY",K:K,"CONTRA",I:I,"S1",E:E,"NEG")+COUNTIFS(D:D,"AD",F:F,"ENTRY",J:J,"CONTRA",I:I,"S1",E:E,"NEG")</f>
        <v>0</v>
      </c>
      <c r="BC66" s="115">
        <f>COUNTIFS(D:D,"DD",F:F,"KEEPOS",J:J,"CONTRA",I:I,"S1",E:E,"NEG")+COUNTIFS(D:D,"AD",F:F,"KEEPOS",K:K,"CONTRA",I:I,"S1",E:E,"NEG")+COUNTIFS(D:D,"DD",F:F,"KEEPOS",K:K,"CONTRA",I:I,"S1",E:E,"NEG")+COUNTIFS(D:D,"AD",F:F,"KEEPOS",J:J,"CONTRA",I:I,"S1",E:E,"NEG")</f>
        <v>0</v>
      </c>
      <c r="BD66">
        <f>COUNTIFS(D:D,"DD",F:F,"-",J:J,"CONTRA",I:I,"S1")+COUNTIFS(D:D,"AD",F:F,"-",K:K,"CONTRA",I:I,"S1")+COUNTIFS(D:D,"DD",F:F,"-",K:K,"CONTRA",I:I,"S1")+COUNTIFS(D:D,"AD",F:F,"-",J:J,"CONTRA",I:I,"S1")</f>
        <v>0</v>
      </c>
    </row>
    <row r="67" spans="1:56">
      <c r="A67" s="346" t="s">
        <v>590</v>
      </c>
      <c r="B67" s="346" t="s">
        <v>660</v>
      </c>
      <c r="C67" s="346">
        <v>1511320</v>
      </c>
      <c r="D67" s="346" t="s">
        <v>17</v>
      </c>
      <c r="E67" s="346" t="s">
        <v>2</v>
      </c>
      <c r="F67" s="346" t="s">
        <v>156</v>
      </c>
      <c r="G67" s="346"/>
      <c r="H67" s="346"/>
      <c r="I67" s="346" t="s">
        <v>565</v>
      </c>
      <c r="J67" s="346"/>
      <c r="K67" s="346"/>
      <c r="L67" s="346" t="s">
        <v>558</v>
      </c>
      <c r="M67" s="346"/>
      <c r="N67" s="346"/>
      <c r="O67" s="346"/>
      <c r="P67" s="346"/>
      <c r="Q67" s="346"/>
      <c r="R67" s="346"/>
      <c r="S67" s="346"/>
      <c r="T67" s="346">
        <v>18040</v>
      </c>
      <c r="U67" s="346"/>
      <c r="V67" s="346"/>
      <c r="W67" s="346"/>
      <c r="X67" s="115">
        <f t="shared" ref="X67:X130" si="26">mapValues(E67,F67,"P265")</f>
        <v>1</v>
      </c>
      <c r="Y67" s="115">
        <f t="shared" ref="Y67:Y130" si="27">X66+X67</f>
        <v>2</v>
      </c>
      <c r="Z67" s="115" t="e">
        <f t="shared" ref="Z67:Z130" si="28">VALUE(MID(B67,FIND(" ",B67)+1,FIND(" ",B67,FIND(" ",B67)+1)-FIND(" ",B67)))</f>
        <v>#VALUE!</v>
      </c>
      <c r="AA67" s="115">
        <f t="shared" ref="AA67:AA130" si="29">T67/1000</f>
        <v>18.04</v>
      </c>
      <c r="AB67" s="246">
        <f t="shared" ref="AB67:AB88" si="30">IF(ROUND(C67/60000,0)=0,1,ROUND(C67/60000,0))</f>
        <v>25</v>
      </c>
    </row>
    <row r="68" spans="1:56">
      <c r="A68" s="346" t="s">
        <v>590</v>
      </c>
      <c r="B68" s="346" t="s">
        <v>661</v>
      </c>
      <c r="C68" s="346">
        <v>1514240</v>
      </c>
      <c r="D68" s="346" t="s">
        <v>14</v>
      </c>
      <c r="E68" s="346"/>
      <c r="F68" s="346"/>
      <c r="G68" s="346"/>
      <c r="H68" s="346"/>
      <c r="I68" s="346" t="s">
        <v>561</v>
      </c>
      <c r="J68" s="346"/>
      <c r="K68" s="346"/>
      <c r="L68" s="346" t="s">
        <v>571</v>
      </c>
      <c r="M68" s="346"/>
      <c r="N68" s="346"/>
      <c r="O68" s="346"/>
      <c r="P68" s="346"/>
      <c r="Q68" s="346"/>
      <c r="R68" s="346"/>
      <c r="S68" s="346"/>
      <c r="T68" s="346">
        <v>18640</v>
      </c>
      <c r="U68" s="346"/>
      <c r="V68" s="346"/>
      <c r="W68" s="346"/>
      <c r="X68" s="115">
        <f t="shared" si="26"/>
        <v>0</v>
      </c>
      <c r="Y68" s="115">
        <f t="shared" si="27"/>
        <v>1</v>
      </c>
      <c r="Z68" s="115" t="e">
        <f t="shared" si="28"/>
        <v>#VALUE!</v>
      </c>
      <c r="AA68" s="115">
        <f t="shared" si="29"/>
        <v>18.64</v>
      </c>
      <c r="AB68" s="246">
        <f t="shared" si="30"/>
        <v>25</v>
      </c>
    </row>
    <row r="69" spans="1:56">
      <c r="A69" s="346" t="s">
        <v>590</v>
      </c>
      <c r="B69" s="346" t="s">
        <v>662</v>
      </c>
      <c r="C69" s="346">
        <v>1525880</v>
      </c>
      <c r="D69" s="346" t="s">
        <v>5</v>
      </c>
      <c r="E69" s="346" t="s">
        <v>6</v>
      </c>
      <c r="F69" s="346" t="s">
        <v>3</v>
      </c>
      <c r="G69" s="346"/>
      <c r="H69" s="346"/>
      <c r="I69" s="346" t="s">
        <v>595</v>
      </c>
      <c r="J69" s="346"/>
      <c r="K69" s="346"/>
      <c r="L69" s="346"/>
      <c r="M69" s="346"/>
      <c r="N69" s="346"/>
      <c r="O69" s="346"/>
      <c r="P69" s="346"/>
      <c r="Q69" s="346"/>
      <c r="R69" s="346"/>
      <c r="S69" s="346"/>
      <c r="T69" s="346">
        <v>21200</v>
      </c>
      <c r="U69" s="346"/>
      <c r="V69" s="346"/>
      <c r="W69" s="346"/>
      <c r="X69" s="115">
        <f t="shared" si="26"/>
        <v>1</v>
      </c>
      <c r="Y69" s="115">
        <f t="shared" si="27"/>
        <v>1</v>
      </c>
      <c r="Z69" s="115" t="e">
        <f t="shared" si="28"/>
        <v>#VALUE!</v>
      </c>
      <c r="AA69" s="115">
        <f t="shared" si="29"/>
        <v>21.2</v>
      </c>
      <c r="AB69" s="246">
        <f t="shared" si="30"/>
        <v>25</v>
      </c>
      <c r="AF69" s="24" t="s">
        <v>45</v>
      </c>
      <c r="AG69" s="346" t="s">
        <v>703</v>
      </c>
      <c r="AH69" t="s">
        <v>9</v>
      </c>
      <c r="AI69" t="s">
        <v>20</v>
      </c>
      <c r="AJ69" t="s">
        <v>19</v>
      </c>
      <c r="AK69" t="s">
        <v>7</v>
      </c>
      <c r="AL69" t="s">
        <v>163</v>
      </c>
      <c r="AM69" t="s">
        <v>310</v>
      </c>
      <c r="AN69" t="s">
        <v>156</v>
      </c>
      <c r="AO69" s="1" t="s">
        <v>3</v>
      </c>
      <c r="AU69" t="s">
        <v>45</v>
      </c>
      <c r="AV69" s="346" t="s">
        <v>703</v>
      </c>
      <c r="AW69" t="s">
        <v>9</v>
      </c>
      <c r="AX69" t="s">
        <v>20</v>
      </c>
      <c r="AY69" t="s">
        <v>19</v>
      </c>
      <c r="AZ69" t="s">
        <v>7</v>
      </c>
      <c r="BA69" t="s">
        <v>163</v>
      </c>
      <c r="BB69" t="s">
        <v>310</v>
      </c>
      <c r="BC69" s="115" t="s">
        <v>156</v>
      </c>
      <c r="BD69" s="1" t="s">
        <v>3</v>
      </c>
    </row>
    <row r="70" spans="1:56">
      <c r="A70" s="346" t="s">
        <v>590</v>
      </c>
      <c r="B70" s="346" t="s">
        <v>663</v>
      </c>
      <c r="C70" s="346">
        <v>1540280</v>
      </c>
      <c r="D70" s="346" t="s">
        <v>1</v>
      </c>
      <c r="E70" s="346" t="s">
        <v>2</v>
      </c>
      <c r="F70" s="346" t="s">
        <v>156</v>
      </c>
      <c r="G70" s="346" t="s">
        <v>27</v>
      </c>
      <c r="H70" s="346"/>
      <c r="I70" s="346" t="s">
        <v>595</v>
      </c>
      <c r="J70" s="346"/>
      <c r="K70" s="346"/>
      <c r="L70" s="346"/>
      <c r="M70" s="346"/>
      <c r="N70" s="346"/>
      <c r="O70" s="346"/>
      <c r="P70" s="346"/>
      <c r="Q70" s="346"/>
      <c r="R70" s="346"/>
      <c r="S70" s="346"/>
      <c r="T70" s="346">
        <v>28440</v>
      </c>
      <c r="U70" s="346"/>
      <c r="V70" s="346"/>
      <c r="W70" s="346"/>
      <c r="X70" s="115">
        <f t="shared" si="26"/>
        <v>1</v>
      </c>
      <c r="Y70" s="115">
        <f t="shared" si="27"/>
        <v>2</v>
      </c>
      <c r="Z70" s="115" t="e">
        <f t="shared" si="28"/>
        <v>#VALUE!</v>
      </c>
      <c r="AA70" s="115">
        <f t="shared" si="29"/>
        <v>28.44</v>
      </c>
      <c r="AB70" s="246">
        <f t="shared" si="30"/>
        <v>26</v>
      </c>
      <c r="AD70" t="s">
        <v>5</v>
      </c>
      <c r="AE70" t="s">
        <v>4</v>
      </c>
      <c r="AF70" s="24">
        <f>AG70+AH70+AI70+AJ70+AK70+AO70</f>
        <v>2</v>
      </c>
      <c r="AG70">
        <f>COUNTIFS(D:D,"AA",M:M,"STANCO",F:F,"ATONGOAL")</f>
        <v>0</v>
      </c>
      <c r="AH70">
        <f>COUNTIFS(D:D,"AA",M:M,"STANCO",F:F,"ATON")</f>
        <v>0</v>
      </c>
      <c r="AI70">
        <f>COUNTIFS(D:D,"AA",M:M,"STANCO",F:F,"ATOF")</f>
        <v>0</v>
      </c>
      <c r="AJ70">
        <f>COUNTIFS(D:D,"AA",M:M,"STANCO",F:F,"ATBK")</f>
        <v>2</v>
      </c>
      <c r="AK70">
        <f>COUNTIFS(D:D,"AA",M:M,"STANCO",F:F,"WINSTAN",E:E,"POS")</f>
        <v>0</v>
      </c>
      <c r="AL70" s="115">
        <f>COUNTIFS(D:D,"AA",M:M,"STANCO",F:F,"WINSTANTI",E:E,"POS")</f>
        <v>0</v>
      </c>
      <c r="AM70" s="115">
        <f>COUNTIFS(D:D,"AA",M:M,"STANCO",F:F,"ENTRY",E:E,"POS")</f>
        <v>0</v>
      </c>
      <c r="AN70" s="115">
        <f>COUNTIFS(D:D,"AA",M:M,"STANCO",F:F,"KEEPOS",E:E,"POS")</f>
        <v>0</v>
      </c>
      <c r="AO70">
        <f>COUNTIFS(D:D,"AA",M:M,"STANCO",E:E,"NEG")</f>
        <v>0</v>
      </c>
      <c r="AS70" t="s">
        <v>1</v>
      </c>
      <c r="AT70" t="s">
        <v>4</v>
      </c>
      <c r="AU70">
        <f>SUM(AV70:BD70)</f>
        <v>5</v>
      </c>
      <c r="AV70">
        <f>COUNTIFS(D:D,"DD",G:G,"STANCO",F:F,"ATONGOAL")+COUNTIFS(D:D,"DD",M:M,"STANCO",F:F,"ATONGOAL")</f>
        <v>1</v>
      </c>
      <c r="AW70">
        <f>COUNTIFS(D:D,"DD",G:G,"STANCO",F:F,"ATON")+COUNTIFS(D:D,"DD",M:M,"STANCO",F:F,"ATON")</f>
        <v>0</v>
      </c>
      <c r="AX70">
        <f>COUNTIFS(D:D,"DD",G:G,"STANCO",F:F,"ATOF")+COUNTIFS(D:D,"DD",M:M,"STANCO",F:F,"ATOF")</f>
        <v>0</v>
      </c>
      <c r="AY70">
        <f>COUNTIFS(D:D,"DD",G:G,"STANCO",F:F,"ATBK")+COUNTIFS(D:D,"DD",M:M,"STANCO",F:F,"ATBK")</f>
        <v>2</v>
      </c>
      <c r="AZ70">
        <f>COUNTIFS(D:D,"DD",G:G,"STANCO",F:F,"WINSTAN",E:E,"NEG")+COUNTIFS(D:D,"DD",M:M,"STANCO",F:F,"WINSTAN",E:E,"NEG")</f>
        <v>0</v>
      </c>
      <c r="BA70" s="115">
        <f>COUNTIFS(D:D,"DD",G:G,"STANCO",F:F,"WINSTANTI",E:E,"NEG")+COUNTIFS(D:D,"DD",M:M,"STANCO",F:F,"WINSTANTI",E:E,"NEG")</f>
        <v>0</v>
      </c>
      <c r="BB70" s="115">
        <f>COUNTIFS(D:D,"DD",G:G,"STANCO",F:F,"ENTRY",E:E,"NEG")+COUNTIFS(D:D,"DD",M:M,"STANCO",F:F,"ENTRY",E:E,"NEG")</f>
        <v>0</v>
      </c>
      <c r="BC70" s="115">
        <f>COUNTIFS(D:D,"DD",G:G,"STANCO",F:F,"KEEPOS",E:E,"NEG")+COUNTIFS(D:D,"DD",M:M,"STANCO",F:F,"KEEPOS",E:E,"NEG")</f>
        <v>0</v>
      </c>
      <c r="BD70">
        <f>COUNTIFS(D:D,"DD",G:G,"STANCO",E:E,"NEG")+COUNTIFS(D:D,"DD",M:M,"STANCO",E:E,"POS")</f>
        <v>2</v>
      </c>
    </row>
    <row r="71" spans="1:56">
      <c r="A71" s="346" t="s">
        <v>590</v>
      </c>
      <c r="B71" s="346" t="s">
        <v>664</v>
      </c>
      <c r="C71" s="346">
        <v>1556720</v>
      </c>
      <c r="D71" s="346" t="s">
        <v>14</v>
      </c>
      <c r="E71" s="346" t="s">
        <v>2</v>
      </c>
      <c r="F71" s="346" t="s">
        <v>310</v>
      </c>
      <c r="G71" s="346"/>
      <c r="H71" s="346"/>
      <c r="I71" s="346" t="s">
        <v>565</v>
      </c>
      <c r="J71" s="346"/>
      <c r="K71" s="346"/>
      <c r="L71" s="346" t="s">
        <v>558</v>
      </c>
      <c r="M71" s="346"/>
      <c r="N71" s="346"/>
      <c r="O71" s="346"/>
      <c r="P71" s="346"/>
      <c r="Q71" s="346"/>
      <c r="R71" s="346"/>
      <c r="S71" s="346"/>
      <c r="T71" s="346">
        <v>33320</v>
      </c>
      <c r="U71" s="346"/>
      <c r="V71" s="346"/>
      <c r="W71" s="346"/>
      <c r="X71" s="115">
        <f t="shared" si="26"/>
        <v>2</v>
      </c>
      <c r="Y71" s="115">
        <f t="shared" si="27"/>
        <v>3</v>
      </c>
      <c r="Z71" s="115" t="e">
        <f t="shared" si="28"/>
        <v>#VALUE!</v>
      </c>
      <c r="AA71" s="115">
        <f t="shared" si="29"/>
        <v>33.32</v>
      </c>
      <c r="AB71" s="246">
        <f t="shared" si="30"/>
        <v>26</v>
      </c>
    </row>
    <row r="72" spans="1:56">
      <c r="A72" s="346" t="s">
        <v>590</v>
      </c>
      <c r="B72" s="346" t="s">
        <v>665</v>
      </c>
      <c r="C72" s="346">
        <v>1596040</v>
      </c>
      <c r="D72" s="346" t="s">
        <v>1</v>
      </c>
      <c r="E72" s="346" t="s">
        <v>2</v>
      </c>
      <c r="F72" s="346" t="s">
        <v>156</v>
      </c>
      <c r="G72" s="346" t="s">
        <v>25</v>
      </c>
      <c r="H72" s="346"/>
      <c r="I72" s="346" t="s">
        <v>595</v>
      </c>
      <c r="J72" s="346"/>
      <c r="K72" s="346"/>
      <c r="L72" s="346"/>
      <c r="M72" s="346"/>
      <c r="N72" s="346"/>
      <c r="O72" s="346"/>
      <c r="P72" s="346"/>
      <c r="Q72" s="346"/>
      <c r="R72" s="346"/>
      <c r="S72" s="346"/>
      <c r="T72" s="346">
        <v>12680</v>
      </c>
      <c r="U72" s="346"/>
      <c r="V72" s="346"/>
      <c r="W72" s="346"/>
      <c r="X72" s="115">
        <f t="shared" si="26"/>
        <v>1</v>
      </c>
      <c r="Y72" s="115">
        <f t="shared" si="27"/>
        <v>3</v>
      </c>
      <c r="Z72" s="115" t="e">
        <f t="shared" si="28"/>
        <v>#VALUE!</v>
      </c>
      <c r="AA72" s="115">
        <f t="shared" si="29"/>
        <v>12.68</v>
      </c>
      <c r="AB72" s="246">
        <f t="shared" si="30"/>
        <v>27</v>
      </c>
    </row>
    <row r="73" spans="1:56">
      <c r="A73" s="346" t="s">
        <v>590</v>
      </c>
      <c r="B73" s="346" t="s">
        <v>666</v>
      </c>
      <c r="C73" s="346">
        <v>1604280</v>
      </c>
      <c r="D73" s="346" t="s">
        <v>5</v>
      </c>
      <c r="E73" s="346" t="s">
        <v>2</v>
      </c>
      <c r="F73" s="346" t="s">
        <v>156</v>
      </c>
      <c r="G73" s="346" t="s">
        <v>29</v>
      </c>
      <c r="H73" s="346"/>
      <c r="I73" s="346"/>
      <c r="J73" s="346"/>
      <c r="K73" s="346"/>
      <c r="L73" s="346"/>
      <c r="M73" s="346"/>
      <c r="N73" s="346"/>
      <c r="O73" s="346"/>
      <c r="P73" s="346"/>
      <c r="Q73" s="346"/>
      <c r="R73" s="346"/>
      <c r="S73" s="346"/>
      <c r="T73" s="346">
        <v>17480</v>
      </c>
      <c r="U73" s="346"/>
      <c r="V73" s="346"/>
      <c r="W73" s="346"/>
      <c r="X73" s="115">
        <f t="shared" si="26"/>
        <v>1</v>
      </c>
      <c r="Y73" s="115">
        <f t="shared" si="27"/>
        <v>2</v>
      </c>
      <c r="Z73" s="115" t="e">
        <f t="shared" si="28"/>
        <v>#VALUE!</v>
      </c>
      <c r="AA73" s="115">
        <f t="shared" si="29"/>
        <v>17.48</v>
      </c>
      <c r="AB73" s="246">
        <f t="shared" si="30"/>
        <v>27</v>
      </c>
      <c r="AF73" s="24" t="s">
        <v>45</v>
      </c>
      <c r="AG73" s="346" t="s">
        <v>703</v>
      </c>
      <c r="AH73" t="s">
        <v>9</v>
      </c>
      <c r="AI73" t="s">
        <v>20</v>
      </c>
      <c r="AJ73" t="s">
        <v>19</v>
      </c>
      <c r="AK73" t="s">
        <v>7</v>
      </c>
      <c r="AL73" t="s">
        <v>163</v>
      </c>
      <c r="AM73" s="115" t="s">
        <v>310</v>
      </c>
      <c r="AN73" s="100" t="s">
        <v>156</v>
      </c>
      <c r="AO73" s="1" t="s">
        <v>3</v>
      </c>
      <c r="AV73" s="346" t="s">
        <v>703</v>
      </c>
      <c r="AW73" t="s">
        <v>9</v>
      </c>
      <c r="AX73" t="s">
        <v>20</v>
      </c>
      <c r="AY73" t="s">
        <v>19</v>
      </c>
      <c r="AZ73" t="s">
        <v>7</v>
      </c>
      <c r="BA73" s="115" t="s">
        <v>163</v>
      </c>
      <c r="BB73" s="115" t="s">
        <v>310</v>
      </c>
      <c r="BC73" s="100" t="s">
        <v>156</v>
      </c>
      <c r="BD73" s="1" t="s">
        <v>3</v>
      </c>
    </row>
    <row r="74" spans="1:56">
      <c r="A74" s="346" t="s">
        <v>590</v>
      </c>
      <c r="B74" s="346" t="s">
        <v>667</v>
      </c>
      <c r="C74" s="346">
        <v>1619200</v>
      </c>
      <c r="D74" s="346" t="s">
        <v>5</v>
      </c>
      <c r="E74" s="346" t="s">
        <v>2</v>
      </c>
      <c r="F74" s="346" t="s">
        <v>310</v>
      </c>
      <c r="G74" s="346" t="s">
        <v>29</v>
      </c>
      <c r="H74" s="346"/>
      <c r="I74" s="346"/>
      <c r="J74" s="346"/>
      <c r="K74" s="346"/>
      <c r="L74" s="346"/>
      <c r="M74" s="346"/>
      <c r="N74" s="346"/>
      <c r="O74" s="346"/>
      <c r="P74" s="346"/>
      <c r="Q74" s="346"/>
      <c r="R74" s="346"/>
      <c r="S74" s="346"/>
      <c r="T74" s="346">
        <v>19080</v>
      </c>
      <c r="U74" s="346"/>
      <c r="V74" s="346"/>
      <c r="W74" s="346"/>
      <c r="X74" s="115">
        <f t="shared" si="26"/>
        <v>2</v>
      </c>
      <c r="Y74" s="115">
        <f t="shared" si="27"/>
        <v>3</v>
      </c>
      <c r="Z74" s="115" t="e">
        <f t="shared" si="28"/>
        <v>#VALUE!</v>
      </c>
      <c r="AA74" s="115">
        <f t="shared" si="29"/>
        <v>19.079999999999998</v>
      </c>
      <c r="AB74" s="246">
        <f t="shared" si="30"/>
        <v>27</v>
      </c>
      <c r="AD74" t="s">
        <v>5</v>
      </c>
      <c r="AE74" t="s">
        <v>10</v>
      </c>
      <c r="AF74" s="24">
        <f>AG74+AH74+AI74+AJ74+AK74+AO74</f>
        <v>9</v>
      </c>
      <c r="AG74">
        <f>COUNTIFS(D:D,"AA",G:G,"STANFK",F:F,"ATONGOAL")+COUNTIFS(D:D,"AA",M:M,"STANFK",F:F,"ATONGOAL")</f>
        <v>0</v>
      </c>
      <c r="AH74">
        <f>COUNTIFS(D:D,"AA",G:G,"STANFK",F:F,"ATON")+COUNTIFS(D:D,"AA",M:M,"STANFK",F:F,"ATON")</f>
        <v>0</v>
      </c>
      <c r="AI74">
        <f>COUNTIFS(D:D,"AA",G:G,"STANFK",F:F,"ATOF")+COUNTIFS(D:D,"AA",M:M,"STANFK",F:F,"ATOF")</f>
        <v>2</v>
      </c>
      <c r="AJ74">
        <f>COUNTIFS(D:D,"AA",G:G,"STANFK",F:F,"ATBK")+COUNTIFS(D:D,"AA",M:M,"STANFK",F:F,"ATBK")</f>
        <v>0</v>
      </c>
      <c r="AK74">
        <f>COUNTIFS(D:D,"AA",G:G,"STANFK",F:F,"WINSTAN",E:E,"POS")+COUNTIFS(D:D,"AA",M:M,"STANFK",F:F,"WINSTAN",E:E,"POS")</f>
        <v>1</v>
      </c>
      <c r="AL74" s="115">
        <f>COUNTIFS(D:D,"AA",G:G,"STANFK",F:F,"WINSTANTI",E:E,"POS")+COUNTIFS(D:D,"AA",M:M,"STANFK",F:F,"WINSTANTI",E:E,"POS")</f>
        <v>0</v>
      </c>
      <c r="AM74" s="115">
        <f>COUNTIFS(D:D,"AA",G:G,"STANFK",F:F,"ENTRY",E:E,"POS")+COUNTIFS(D:D,"AA",M:M,"STANFK",F:F,"ENTRY",E:E,"POS")</f>
        <v>1</v>
      </c>
      <c r="AN74" s="100">
        <f>COUNTIFS(D:D,"AA",G:G,"STANFK",F:F,"KEEPOS",E:E,"POS")+COUNTIFS(D:D,"AA",M:M,"STANFK",F:F,"KEEPOS",E:E,"POS")</f>
        <v>1</v>
      </c>
      <c r="AO74">
        <f>COUNTIFS(D:D,"AA",G:G,"STANFK",E:E,"NEG")+COUNTIFS(D:D,"AA",M:M,"STANFK",E:E,"NEG")</f>
        <v>6</v>
      </c>
      <c r="AS74" t="s">
        <v>1</v>
      </c>
      <c r="AT74" t="s">
        <v>10</v>
      </c>
      <c r="AV74">
        <f>COUNTIFS(D:D,"DD",G:G,"STANFK",F:F,"ATONGOAL")+COUNTIFS(D:D,"DD",M:M,"STANFK",F:F,"ATONGOAL")</f>
        <v>0</v>
      </c>
      <c r="AW74">
        <f>COUNTIFS(D:D,"DD",G:G,"STANFK",F:F,"ATON")+COUNTIFS(D:D,"DD",M:M,"STANFK",F:F,"ATON")</f>
        <v>1</v>
      </c>
      <c r="AX74">
        <f>COUNTIFS(D:D,"DD",G:G,"STANFK",F:F,"ATOF")+COUNTIFS(D:D,"DD",M:M,"STANFK",F:F,"ATOF")</f>
        <v>1</v>
      </c>
      <c r="AY74">
        <f>COUNTIFS(D:D,"DD",G:G,"STANFK",F:F,"ATBK")+COUNTIFS(D:D,"DD",M:M,"STANFK",F:F,"ATBK")</f>
        <v>0</v>
      </c>
      <c r="AZ74">
        <f>COUNTIFS(D:D,"DD",G:G,"STANFK",F:F,"WINSTAN",E:E,"NEG")+COUNTIFS(D:D,"DD",M:M,"STANFK",F:F,"WINSTAN",E:E,"NEG")</f>
        <v>0</v>
      </c>
      <c r="BA74" s="115">
        <f>COUNTIFS(D:D,"DD",G:G,"STANFK",F:F,"WINSTANTI",E:E,"NEG")+COUNTIFS(D:D,"DD",M:M,"STANFK",F:F,"WINSTANTI",E:E,"NEG")</f>
        <v>0</v>
      </c>
      <c r="BB74" s="115">
        <f>COUNTIFS(D:D,"DD",G:G,"STANFK",F:F,"ENTRY",E:E,"NEG")+COUNTIFS(D:D,"DD",M:M,"STANFK",F:F,"ENTRY",E:E,"NEG")</f>
        <v>1</v>
      </c>
      <c r="BC74" s="100">
        <f>COUNTIFS(D:D,"DD",G:G,"STANFK",F:F,"KEEPOS",E:E,"NEG")+COUNTIFS(D:D,"DD",M:M,"STANFK",F:F,"KEEPOS",E:E,"NEG")</f>
        <v>0</v>
      </c>
      <c r="BD74">
        <f>COUNTIFS(D:D,"DD",G:G,"STANFK",E:E,"POS")+COUNTIFS(D:D,"DD",G:G,"STANFK",E:E,"POS")</f>
        <v>6</v>
      </c>
    </row>
    <row r="75" spans="1:56">
      <c r="A75" s="346" t="s">
        <v>590</v>
      </c>
      <c r="B75" s="346" t="s">
        <v>668</v>
      </c>
      <c r="C75" s="346">
        <v>1638280</v>
      </c>
      <c r="D75" s="346" t="s">
        <v>5</v>
      </c>
      <c r="E75" s="346" t="s">
        <v>6</v>
      </c>
      <c r="F75" s="346" t="s">
        <v>3</v>
      </c>
      <c r="G75" s="346"/>
      <c r="H75" s="346"/>
      <c r="I75" s="346"/>
      <c r="J75" s="346"/>
      <c r="K75" s="346"/>
      <c r="L75" s="346"/>
      <c r="M75" s="346" t="s">
        <v>29</v>
      </c>
      <c r="N75" s="346"/>
      <c r="O75" s="346"/>
      <c r="P75" s="346"/>
      <c r="Q75" s="346"/>
      <c r="R75" s="346"/>
      <c r="S75" s="346"/>
      <c r="T75" s="346">
        <v>13520</v>
      </c>
      <c r="U75" s="346"/>
      <c r="V75" s="346"/>
      <c r="W75" s="346"/>
      <c r="X75" s="115">
        <f t="shared" si="26"/>
        <v>1</v>
      </c>
      <c r="Y75" s="115">
        <f t="shared" si="27"/>
        <v>3</v>
      </c>
      <c r="Z75" s="115" t="e">
        <f t="shared" si="28"/>
        <v>#VALUE!</v>
      </c>
      <c r="AA75" s="115">
        <f t="shared" si="29"/>
        <v>13.52</v>
      </c>
      <c r="AB75" s="246">
        <f t="shared" si="30"/>
        <v>27</v>
      </c>
    </row>
    <row r="76" spans="1:56">
      <c r="A76" s="346" t="s">
        <v>590</v>
      </c>
      <c r="B76" s="346" t="s">
        <v>669</v>
      </c>
      <c r="C76" s="346">
        <v>1653920</v>
      </c>
      <c r="D76" s="346" t="s">
        <v>1</v>
      </c>
      <c r="E76" s="346" t="s">
        <v>2</v>
      </c>
      <c r="F76" s="346" t="s">
        <v>156</v>
      </c>
      <c r="G76" s="346"/>
      <c r="H76" s="346"/>
      <c r="I76" s="346" t="s">
        <v>595</v>
      </c>
      <c r="J76" s="346"/>
      <c r="K76" s="346"/>
      <c r="L76" s="346"/>
      <c r="M76" s="346"/>
      <c r="N76" s="346"/>
      <c r="O76" s="346"/>
      <c r="P76" s="346"/>
      <c r="Q76" s="346"/>
      <c r="R76" s="346"/>
      <c r="S76" s="346"/>
      <c r="T76" s="346">
        <v>51680</v>
      </c>
      <c r="U76" s="346"/>
      <c r="V76" s="346"/>
      <c r="W76" s="346"/>
      <c r="X76" s="115">
        <f t="shared" si="26"/>
        <v>1</v>
      </c>
      <c r="Y76" s="115">
        <f t="shared" si="27"/>
        <v>2</v>
      </c>
      <c r="Z76" s="115" t="e">
        <f t="shared" si="28"/>
        <v>#VALUE!</v>
      </c>
      <c r="AA76" s="115">
        <f t="shared" si="29"/>
        <v>51.68</v>
      </c>
      <c r="AB76" s="246">
        <f t="shared" si="30"/>
        <v>28</v>
      </c>
    </row>
    <row r="77" spans="1:56">
      <c r="A77" s="346" t="s">
        <v>590</v>
      </c>
      <c r="B77" s="346" t="s">
        <v>670</v>
      </c>
      <c r="C77" s="346">
        <v>1693600</v>
      </c>
      <c r="D77" s="346" t="s">
        <v>14</v>
      </c>
      <c r="E77" s="346" t="s">
        <v>6</v>
      </c>
      <c r="F77" s="346" t="s">
        <v>3</v>
      </c>
      <c r="G77" s="346"/>
      <c r="H77" s="346"/>
      <c r="I77" s="346" t="s">
        <v>561</v>
      </c>
      <c r="J77" s="346"/>
      <c r="K77" s="346"/>
      <c r="L77" s="346" t="s">
        <v>567</v>
      </c>
      <c r="M77" s="346"/>
      <c r="N77" s="346"/>
      <c r="O77" s="346"/>
      <c r="P77" s="346"/>
      <c r="Q77" s="346"/>
      <c r="R77" s="346"/>
      <c r="S77" s="346"/>
      <c r="T77" s="346">
        <v>16640</v>
      </c>
      <c r="U77" s="346"/>
      <c r="V77" s="346"/>
      <c r="W77" s="346"/>
      <c r="X77" s="115">
        <f t="shared" si="26"/>
        <v>1</v>
      </c>
      <c r="Y77" s="115">
        <f t="shared" si="27"/>
        <v>2</v>
      </c>
      <c r="Z77" s="115" t="e">
        <f t="shared" si="28"/>
        <v>#VALUE!</v>
      </c>
      <c r="AA77" s="115">
        <f t="shared" si="29"/>
        <v>16.64</v>
      </c>
      <c r="AB77" s="246">
        <f t="shared" si="30"/>
        <v>28</v>
      </c>
      <c r="AF77" s="24" t="s">
        <v>45</v>
      </c>
      <c r="AG77" s="346" t="s">
        <v>703</v>
      </c>
      <c r="AH77" t="s">
        <v>9</v>
      </c>
      <c r="AI77" t="s">
        <v>20</v>
      </c>
      <c r="AJ77" t="s">
        <v>19</v>
      </c>
      <c r="AK77" t="s">
        <v>7</v>
      </c>
      <c r="AL77" s="115" t="s">
        <v>163</v>
      </c>
      <c r="AM77" s="115" t="s">
        <v>310</v>
      </c>
      <c r="AN77" s="100" t="s">
        <v>156</v>
      </c>
      <c r="AO77" s="1" t="s">
        <v>3</v>
      </c>
      <c r="AV77" s="346" t="s">
        <v>703</v>
      </c>
      <c r="AW77" t="s">
        <v>9</v>
      </c>
      <c r="AX77" t="s">
        <v>20</v>
      </c>
      <c r="AY77" t="s">
        <v>19</v>
      </c>
      <c r="AZ77" t="s">
        <v>7</v>
      </c>
      <c r="BA77" s="115" t="s">
        <v>163</v>
      </c>
      <c r="BB77" s="115" t="s">
        <v>310</v>
      </c>
      <c r="BC77" s="100" t="s">
        <v>156</v>
      </c>
      <c r="BD77" s="1" t="s">
        <v>3</v>
      </c>
    </row>
    <row r="78" spans="1:56">
      <c r="A78" s="346" t="s">
        <v>590</v>
      </c>
      <c r="B78" s="346" t="s">
        <v>671</v>
      </c>
      <c r="C78" s="346">
        <v>1709960</v>
      </c>
      <c r="D78" s="346" t="s">
        <v>1</v>
      </c>
      <c r="E78" s="346" t="s">
        <v>2</v>
      </c>
      <c r="F78" s="346" t="s">
        <v>156</v>
      </c>
      <c r="G78" s="346"/>
      <c r="H78" s="346"/>
      <c r="I78" s="346" t="s">
        <v>595</v>
      </c>
      <c r="J78" s="346"/>
      <c r="K78" s="346"/>
      <c r="L78" s="346"/>
      <c r="M78" s="346"/>
      <c r="N78" s="346"/>
      <c r="O78" s="346"/>
      <c r="P78" s="346"/>
      <c r="Q78" s="346"/>
      <c r="R78" s="346"/>
      <c r="S78" s="346"/>
      <c r="T78" s="346">
        <v>26640</v>
      </c>
      <c r="U78" s="346"/>
      <c r="V78" s="346"/>
      <c r="W78" s="346"/>
      <c r="X78" s="115">
        <f t="shared" si="26"/>
        <v>1</v>
      </c>
      <c r="Y78" s="115">
        <f t="shared" si="27"/>
        <v>2</v>
      </c>
      <c r="Z78" s="115" t="e">
        <f t="shared" si="28"/>
        <v>#VALUE!</v>
      </c>
      <c r="AA78" s="115">
        <f t="shared" si="29"/>
        <v>26.64</v>
      </c>
      <c r="AB78" s="246">
        <f t="shared" si="30"/>
        <v>28</v>
      </c>
      <c r="AD78" t="s">
        <v>37</v>
      </c>
      <c r="AE78" t="s">
        <v>25</v>
      </c>
      <c r="AF78" s="24">
        <f>AG78+AH78+AI78+AJ78+AK78+AO78</f>
        <v>5</v>
      </c>
      <c r="AG78">
        <f>COUNTIFS(D:D,"AA",G:G,"STANGK",F:F,"ATONGOAL")</f>
        <v>0</v>
      </c>
      <c r="AH78">
        <f>COUNTIFS(D:D,"AA",G:G,"STANGK",F:F,"ATON")</f>
        <v>0</v>
      </c>
      <c r="AI78">
        <f>COUNTIFS(D:D,"AA",G:G,"STANGK",F:F,"ATOF")</f>
        <v>0</v>
      </c>
      <c r="AJ78">
        <f>COUNTIFS(D:D,"AA",G:G,"STANGK",F:F,"ATBK")</f>
        <v>0</v>
      </c>
      <c r="AK78">
        <f>COUNTIFS(D:D,"AA",G:G,"STANGK",F:F,"WINSTAN",E:E,"POS")</f>
        <v>0</v>
      </c>
      <c r="AL78" s="115">
        <f>COUNTIFS(D:D,"AA",G:G,"STANGK",F:F,"WINSTANTI",E:E,"POS")</f>
        <v>0</v>
      </c>
      <c r="AM78" s="115">
        <f>COUNTIFS(D:D,"AA",G:G,"STANGK",F:F,"ENTRY",E:E,"POS")</f>
        <v>0</v>
      </c>
      <c r="AN78" s="100">
        <f>COUNTIFS(D:D,"AA",G:G,"STANGK",F:F,"KEEPOS",E:E,"POS")</f>
        <v>1</v>
      </c>
      <c r="AO78">
        <f>COUNTIFS(D:D,"AA",G:G,"STANGK",E:E,"NEG")</f>
        <v>5</v>
      </c>
      <c r="AS78" t="s">
        <v>1</v>
      </c>
      <c r="AT78" t="s">
        <v>25</v>
      </c>
      <c r="AV78">
        <f>COUNTIFS(D:D,"DD",G:G,"STANGK",F:F,"ATONGOAL")</f>
        <v>0</v>
      </c>
      <c r="AW78">
        <f>COUNTIFS(D:D,"DD",G:G,"STANFK",F:F,"ATON")</f>
        <v>0</v>
      </c>
      <c r="AX78">
        <f>COUNTIFS(D:D,"DD",G:G,"STANGK",F:F,"ATOF")</f>
        <v>0</v>
      </c>
      <c r="AY78">
        <f>COUNTIFS(D:D,"DD",G:G,"STANGK",F:F,"ATBK")</f>
        <v>0</v>
      </c>
      <c r="AZ78">
        <f>COUNTIFS(D:D,"DD",G:G,"STANGK",F:F,"WINSTAN",E:E,"NEG")</f>
        <v>1</v>
      </c>
      <c r="BA78" s="115">
        <f>COUNTIFS(D:D,"DD",G:G,"STANGK",F:F,"WINSTANTI",E:E,"NEG")</f>
        <v>0</v>
      </c>
      <c r="BB78" s="115">
        <f>COUNTIFS(D:D,"DD",G:G,"STANGK",F:F,"ENTRY",E:E,"NEG")</f>
        <v>0</v>
      </c>
      <c r="BC78" s="100">
        <f>COUNTIFS(D:D,"DD",G:G,"STANGK",F:F,"KEEPOS",E:E,"NEG")</f>
        <v>0</v>
      </c>
      <c r="BD78">
        <f>COUNTIFS(D:D,"DD",G:G,"STANGK",E:E,"POS")</f>
        <v>4</v>
      </c>
    </row>
    <row r="79" spans="1:56">
      <c r="A79" s="346" t="s">
        <v>590</v>
      </c>
      <c r="B79" s="346" t="s">
        <v>672</v>
      </c>
      <c r="C79" s="346">
        <v>1729600</v>
      </c>
      <c r="D79" s="346" t="s">
        <v>5</v>
      </c>
      <c r="E79" s="346" t="s">
        <v>6</v>
      </c>
      <c r="F79" s="346" t="s">
        <v>3</v>
      </c>
      <c r="G79" s="346"/>
      <c r="H79" s="346"/>
      <c r="I79" s="346" t="s">
        <v>595</v>
      </c>
      <c r="J79" s="346"/>
      <c r="K79" s="346"/>
      <c r="L79" s="346"/>
      <c r="M79" s="346"/>
      <c r="N79" s="346"/>
      <c r="O79" s="346"/>
      <c r="P79" s="346"/>
      <c r="Q79" s="346"/>
      <c r="R79" s="346"/>
      <c r="S79" s="346"/>
      <c r="T79" s="346">
        <v>20360</v>
      </c>
      <c r="U79" s="346"/>
      <c r="V79" s="346"/>
      <c r="W79" s="346"/>
      <c r="X79" s="115">
        <f t="shared" si="26"/>
        <v>1</v>
      </c>
      <c r="Y79" s="115">
        <f t="shared" si="27"/>
        <v>2</v>
      </c>
      <c r="Z79" s="115" t="e">
        <f t="shared" si="28"/>
        <v>#VALUE!</v>
      </c>
      <c r="AA79" s="115">
        <f t="shared" si="29"/>
        <v>20.36</v>
      </c>
      <c r="AB79" s="246">
        <f t="shared" si="30"/>
        <v>29</v>
      </c>
    </row>
    <row r="80" spans="1:56">
      <c r="A80" s="346" t="s">
        <v>590</v>
      </c>
      <c r="B80" s="346" t="s">
        <v>673</v>
      </c>
      <c r="C80" s="346">
        <v>1737960</v>
      </c>
      <c r="D80" s="346" t="s">
        <v>17</v>
      </c>
      <c r="E80" s="346" t="s">
        <v>2</v>
      </c>
      <c r="F80" s="346" t="s">
        <v>156</v>
      </c>
      <c r="G80" s="346"/>
      <c r="H80" s="346"/>
      <c r="I80" s="346" t="s">
        <v>561</v>
      </c>
      <c r="J80" s="346"/>
      <c r="K80" s="346"/>
      <c r="L80" s="346" t="s">
        <v>566</v>
      </c>
      <c r="M80" s="346"/>
      <c r="N80" s="346"/>
      <c r="O80" s="346"/>
      <c r="P80" s="346"/>
      <c r="Q80" s="346"/>
      <c r="R80" s="346"/>
      <c r="S80" s="346"/>
      <c r="T80" s="346">
        <v>17680</v>
      </c>
      <c r="U80" s="346"/>
      <c r="V80" s="346"/>
      <c r="W80" s="346"/>
      <c r="X80" s="115">
        <f t="shared" si="26"/>
        <v>1</v>
      </c>
      <c r="Y80" s="115">
        <f t="shared" si="27"/>
        <v>2</v>
      </c>
      <c r="Z80" s="115" t="e">
        <f t="shared" si="28"/>
        <v>#VALUE!</v>
      </c>
      <c r="AA80" s="115">
        <f t="shared" si="29"/>
        <v>17.68</v>
      </c>
      <c r="AB80" s="246">
        <f t="shared" si="30"/>
        <v>29</v>
      </c>
    </row>
    <row r="81" spans="1:56">
      <c r="A81" s="346" t="s">
        <v>590</v>
      </c>
      <c r="B81" s="346" t="s">
        <v>674</v>
      </c>
      <c r="C81" s="346">
        <v>1743640</v>
      </c>
      <c r="D81" s="346" t="s">
        <v>14</v>
      </c>
      <c r="E81" s="346" t="s">
        <v>2</v>
      </c>
      <c r="F81" s="346" t="s">
        <v>7</v>
      </c>
      <c r="G81" s="346"/>
      <c r="H81" s="346"/>
      <c r="I81" s="346" t="s">
        <v>563</v>
      </c>
      <c r="J81" s="346"/>
      <c r="K81" s="346"/>
      <c r="L81" s="346" t="s">
        <v>568</v>
      </c>
      <c r="M81" s="346"/>
      <c r="N81" s="346"/>
      <c r="O81" s="346"/>
      <c r="P81" s="346"/>
      <c r="Q81" s="346"/>
      <c r="R81" s="346"/>
      <c r="S81" s="346"/>
      <c r="T81" s="346">
        <v>31960</v>
      </c>
      <c r="U81" s="346"/>
      <c r="V81" s="346"/>
      <c r="W81" s="346"/>
      <c r="X81" s="115">
        <f t="shared" si="26"/>
        <v>6</v>
      </c>
      <c r="Y81" s="115">
        <f t="shared" si="27"/>
        <v>7</v>
      </c>
      <c r="Z81" s="115" t="e">
        <f t="shared" si="28"/>
        <v>#VALUE!</v>
      </c>
      <c r="AA81" s="115">
        <f t="shared" si="29"/>
        <v>31.96</v>
      </c>
      <c r="AB81" s="246">
        <f t="shared" si="30"/>
        <v>29</v>
      </c>
      <c r="AF81" s="24" t="s">
        <v>45</v>
      </c>
      <c r="AG81" s="346" t="s">
        <v>703</v>
      </c>
      <c r="AH81" t="s">
        <v>9</v>
      </c>
      <c r="AI81" t="s">
        <v>20</v>
      </c>
      <c r="AJ81" t="s">
        <v>19</v>
      </c>
      <c r="AK81" t="s">
        <v>7</v>
      </c>
      <c r="AL81" s="115" t="s">
        <v>163</v>
      </c>
      <c r="AM81" s="115" t="s">
        <v>310</v>
      </c>
      <c r="AN81" s="100" t="s">
        <v>156</v>
      </c>
      <c r="AO81" s="1" t="s">
        <v>3</v>
      </c>
      <c r="AV81" s="346" t="s">
        <v>703</v>
      </c>
      <c r="AW81" t="s">
        <v>9</v>
      </c>
      <c r="AX81" t="s">
        <v>20</v>
      </c>
      <c r="AY81" t="s">
        <v>19</v>
      </c>
      <c r="AZ81" t="s">
        <v>7</v>
      </c>
      <c r="BA81" s="115" t="s">
        <v>163</v>
      </c>
      <c r="BB81" s="115" t="s">
        <v>310</v>
      </c>
      <c r="BC81" s="100" t="s">
        <v>156</v>
      </c>
      <c r="BD81" s="1" t="s">
        <v>3</v>
      </c>
    </row>
    <row r="82" spans="1:56">
      <c r="A82" s="346" t="s">
        <v>590</v>
      </c>
      <c r="B82" s="346" t="s">
        <v>675</v>
      </c>
      <c r="C82" s="346">
        <v>1803080</v>
      </c>
      <c r="D82" s="346" t="s">
        <v>5</v>
      </c>
      <c r="E82" s="346"/>
      <c r="F82" s="346" t="s">
        <v>19</v>
      </c>
      <c r="G82" s="346"/>
      <c r="H82" s="346"/>
      <c r="I82" s="346"/>
      <c r="J82" s="346"/>
      <c r="K82" s="346"/>
      <c r="L82" s="346"/>
      <c r="M82" s="346" t="s">
        <v>4</v>
      </c>
      <c r="N82" s="346"/>
      <c r="O82" s="346"/>
      <c r="P82" s="346"/>
      <c r="Q82" s="346"/>
      <c r="R82" s="346"/>
      <c r="S82" s="346"/>
      <c r="T82" s="346">
        <v>12840</v>
      </c>
      <c r="U82" s="346"/>
      <c r="V82" s="346"/>
      <c r="W82" s="346"/>
      <c r="X82" s="115">
        <f t="shared" si="26"/>
        <v>-8</v>
      </c>
      <c r="Y82" s="115">
        <f t="shared" si="27"/>
        <v>-2</v>
      </c>
      <c r="Z82" s="115" t="e">
        <f t="shared" si="28"/>
        <v>#VALUE!</v>
      </c>
      <c r="AA82" s="115">
        <f t="shared" si="29"/>
        <v>12.84</v>
      </c>
      <c r="AB82" s="246">
        <f t="shared" si="30"/>
        <v>30</v>
      </c>
      <c r="AD82" t="s">
        <v>37</v>
      </c>
      <c r="AE82" t="s">
        <v>27</v>
      </c>
      <c r="AF82" s="24">
        <f>AG82+AH82+AI82+AJ82+AK82+AO82</f>
        <v>7</v>
      </c>
      <c r="AG82">
        <f>COUNTIFS(D:D,"AA",G:G,"STANGS",F:F,"ATONGOAL")</f>
        <v>0</v>
      </c>
      <c r="AH82">
        <f>COUNTIFS(D:D,"AA",G:G,"STANGS",F:F,"ATON")</f>
        <v>0</v>
      </c>
      <c r="AI82">
        <f>COUNTIFS(D:D,"AA",G:G,"STANGS",F:F,"ATOF")</f>
        <v>0</v>
      </c>
      <c r="AJ82">
        <f>COUNTIFS(D:D,"AA",G:G,"STANGS",F:F,"ATBK")</f>
        <v>0</v>
      </c>
      <c r="AK82">
        <f>COUNTIFS(D:D,"AA",G:G,"STANGS",F:F,"WINSTAN",E:E,"POS")</f>
        <v>1</v>
      </c>
      <c r="AL82" s="115">
        <f>COUNTIFS(D:D,"AA",G:G,"STANGS",F:F,"WINSTANTI",E:E,"POS")</f>
        <v>0</v>
      </c>
      <c r="AM82" s="115">
        <f>COUNTIFS(D:D,"AA",G:G,"STANGS",F:F,"ENTRY",E:E,"POS")</f>
        <v>0</v>
      </c>
      <c r="AN82" s="100">
        <f>COUNTIFS(D:D,"AA",G:G,"STANGS",F:F,"KEEPOS",E:E,"POS")</f>
        <v>2</v>
      </c>
      <c r="AO82">
        <f>COUNTIFS(D:D,"AA",G:G,"STANGS",E:E,"NEG")</f>
        <v>6</v>
      </c>
      <c r="AS82" t="s">
        <v>1</v>
      </c>
      <c r="AT82" t="s">
        <v>27</v>
      </c>
      <c r="AV82">
        <f>COUNTIFS(D:D,"DD",G:G,"STANGS",F:F,"ATONGOAL")</f>
        <v>0</v>
      </c>
      <c r="AW82">
        <f>COUNTIFS(D:D,"DD",G:G,"STANGS",F:F,"ATON")</f>
        <v>0</v>
      </c>
      <c r="AX82">
        <f>COUNTIFS(D:D,"DD",G:G,"STANGS",F:F,"ATOF")</f>
        <v>0</v>
      </c>
      <c r="AY82">
        <f>COUNTIFS(D:D,"DD",G:G,"STANGS",F:F,"ATBK")</f>
        <v>0</v>
      </c>
      <c r="AZ82">
        <f>COUNTIFS(D:D,"DD",G:G,"STANGS",F:F,"WINSTAN",E:E,"NEG")</f>
        <v>0</v>
      </c>
      <c r="BA82" s="115">
        <f>COUNTIFS(D:D,"DD",G:G,"STANGS",F:F,"WINSTANTI",E:E,"NEG")</f>
        <v>0</v>
      </c>
      <c r="BB82" s="115">
        <f>COUNTIFS(D:D,"DD",G:G,"STANGS",F:F,"ENTRY",E:E,"NEG")</f>
        <v>0</v>
      </c>
      <c r="BC82" s="100">
        <f>COUNTIFS(D:D,"DD",G:G,"STANGS",F:F,"KEEPOS",E:E,"NEG")</f>
        <v>0</v>
      </c>
      <c r="BD82">
        <f>COUNTIFS(D:D,"DD",G:G,"STANGS",E:E,"POS")</f>
        <v>3</v>
      </c>
    </row>
    <row r="83" spans="1:56">
      <c r="A83" s="346" t="s">
        <v>590</v>
      </c>
      <c r="B83" s="346" t="s">
        <v>676</v>
      </c>
      <c r="C83" s="346">
        <v>1803440</v>
      </c>
      <c r="D83" s="346" t="s">
        <v>17</v>
      </c>
      <c r="E83" s="346" t="s">
        <v>2</v>
      </c>
      <c r="F83" s="346" t="s">
        <v>156</v>
      </c>
      <c r="G83" s="346"/>
      <c r="H83" s="346"/>
      <c r="I83" s="346" t="s">
        <v>565</v>
      </c>
      <c r="J83" s="346"/>
      <c r="K83" s="346"/>
      <c r="L83" s="346" t="s">
        <v>559</v>
      </c>
      <c r="M83" s="346"/>
      <c r="N83" s="346"/>
      <c r="O83" s="346"/>
      <c r="P83" s="346"/>
      <c r="Q83" s="346"/>
      <c r="R83" s="346"/>
      <c r="S83" s="346"/>
      <c r="T83" s="346">
        <v>22760</v>
      </c>
      <c r="U83" s="346"/>
      <c r="V83" s="346"/>
      <c r="W83" s="346"/>
      <c r="X83" s="115">
        <f t="shared" si="26"/>
        <v>1</v>
      </c>
      <c r="Y83" s="115">
        <f t="shared" si="27"/>
        <v>-7</v>
      </c>
      <c r="Z83" s="115" t="e">
        <f t="shared" si="28"/>
        <v>#VALUE!</v>
      </c>
      <c r="AA83" s="115">
        <f t="shared" si="29"/>
        <v>22.76</v>
      </c>
      <c r="AB83" s="246">
        <f t="shared" si="30"/>
        <v>30</v>
      </c>
    </row>
    <row r="84" spans="1:56">
      <c r="A84" s="346" t="s">
        <v>590</v>
      </c>
      <c r="B84" s="346" t="s">
        <v>677</v>
      </c>
      <c r="C84" s="346">
        <v>1814200</v>
      </c>
      <c r="D84" s="346" t="s">
        <v>14</v>
      </c>
      <c r="E84" s="346" t="s">
        <v>6</v>
      </c>
      <c r="F84" s="346" t="s">
        <v>3</v>
      </c>
      <c r="G84" s="346"/>
      <c r="H84" s="346"/>
      <c r="I84" s="346" t="s">
        <v>563</v>
      </c>
      <c r="J84" s="346"/>
      <c r="K84" s="346"/>
      <c r="L84" s="346" t="s">
        <v>569</v>
      </c>
      <c r="M84" s="346"/>
      <c r="N84" s="346"/>
      <c r="O84" s="346"/>
      <c r="P84" s="346"/>
      <c r="Q84" s="346"/>
      <c r="R84" s="346"/>
      <c r="S84" s="346"/>
      <c r="T84" s="346">
        <v>18400</v>
      </c>
      <c r="U84" s="346"/>
      <c r="V84" s="346"/>
      <c r="W84" s="346"/>
      <c r="X84" s="115">
        <f t="shared" si="26"/>
        <v>1</v>
      </c>
      <c r="Y84" s="115">
        <f t="shared" si="27"/>
        <v>2</v>
      </c>
      <c r="Z84" s="115" t="e">
        <f t="shared" si="28"/>
        <v>#VALUE!</v>
      </c>
      <c r="AA84" s="115">
        <f t="shared" si="29"/>
        <v>18.399999999999999</v>
      </c>
      <c r="AB84" s="246">
        <f t="shared" si="30"/>
        <v>30</v>
      </c>
    </row>
    <row r="85" spans="1:56">
      <c r="A85" s="346" t="s">
        <v>590</v>
      </c>
      <c r="B85" s="346" t="s">
        <v>678</v>
      </c>
      <c r="C85" s="346">
        <v>1820600</v>
      </c>
      <c r="D85" s="346" t="s">
        <v>17</v>
      </c>
      <c r="E85" s="346" t="s">
        <v>6</v>
      </c>
      <c r="F85" s="346" t="s">
        <v>3</v>
      </c>
      <c r="G85" s="346"/>
      <c r="H85" s="346"/>
      <c r="I85" s="346" t="s">
        <v>565</v>
      </c>
      <c r="J85" s="346"/>
      <c r="K85" s="346"/>
      <c r="L85" s="346" t="s">
        <v>559</v>
      </c>
      <c r="M85" s="346"/>
      <c r="N85" s="346"/>
      <c r="O85" s="346"/>
      <c r="P85" s="346"/>
      <c r="Q85" s="346"/>
      <c r="R85" s="346"/>
      <c r="S85" s="346"/>
      <c r="T85" s="346">
        <v>21800</v>
      </c>
      <c r="U85" s="346"/>
      <c r="V85" s="346"/>
      <c r="W85" s="346"/>
      <c r="X85" s="115">
        <f t="shared" si="26"/>
        <v>1</v>
      </c>
      <c r="Y85" s="115">
        <f t="shared" si="27"/>
        <v>2</v>
      </c>
      <c r="Z85" s="115" t="e">
        <f t="shared" si="28"/>
        <v>#VALUE!</v>
      </c>
      <c r="AA85" s="115">
        <f t="shared" si="29"/>
        <v>21.8</v>
      </c>
      <c r="AB85" s="246">
        <f t="shared" si="30"/>
        <v>30</v>
      </c>
      <c r="AF85" s="24" t="s">
        <v>45</v>
      </c>
      <c r="AG85" s="346" t="s">
        <v>703</v>
      </c>
      <c r="AH85" t="s">
        <v>9</v>
      </c>
      <c r="AI85" t="s">
        <v>20</v>
      </c>
      <c r="AJ85" t="s">
        <v>19</v>
      </c>
      <c r="AK85" t="s">
        <v>7</v>
      </c>
      <c r="AL85" s="115" t="s">
        <v>163</v>
      </c>
      <c r="AM85" s="115" t="s">
        <v>310</v>
      </c>
      <c r="AN85" s="100" t="s">
        <v>156</v>
      </c>
      <c r="AO85" s="1" t="s">
        <v>3</v>
      </c>
      <c r="AV85" s="346" t="s">
        <v>703</v>
      </c>
      <c r="AW85" t="s">
        <v>9</v>
      </c>
      <c r="AX85" t="s">
        <v>20</v>
      </c>
      <c r="AY85" t="s">
        <v>19</v>
      </c>
      <c r="AZ85" t="s">
        <v>7</v>
      </c>
      <c r="BA85" s="115" t="s">
        <v>163</v>
      </c>
      <c r="BB85" s="115" t="s">
        <v>310</v>
      </c>
      <c r="BC85" s="100" t="s">
        <v>156</v>
      </c>
      <c r="BD85" s="1" t="s">
        <v>3</v>
      </c>
    </row>
    <row r="86" spans="1:56">
      <c r="A86" s="346" t="s">
        <v>590</v>
      </c>
      <c r="B86" s="346" t="s">
        <v>679</v>
      </c>
      <c r="C86" s="346">
        <v>1835400</v>
      </c>
      <c r="D86" s="346" t="s">
        <v>1</v>
      </c>
      <c r="E86" s="346" t="s">
        <v>6</v>
      </c>
      <c r="F86" s="346" t="s">
        <v>3</v>
      </c>
      <c r="G86" s="346"/>
      <c r="H86" s="346"/>
      <c r="I86" s="346" t="s">
        <v>595</v>
      </c>
      <c r="J86" s="346"/>
      <c r="K86" s="346"/>
      <c r="L86" s="346"/>
      <c r="M86" s="346"/>
      <c r="N86" s="346"/>
      <c r="O86" s="346"/>
      <c r="P86" s="346"/>
      <c r="Q86" s="346"/>
      <c r="R86" s="346"/>
      <c r="S86" s="346"/>
      <c r="T86" s="346">
        <v>23280</v>
      </c>
      <c r="U86" s="346"/>
      <c r="V86" s="346"/>
      <c r="X86" s="115">
        <f t="shared" si="26"/>
        <v>1</v>
      </c>
      <c r="Y86" s="115">
        <f t="shared" si="27"/>
        <v>2</v>
      </c>
      <c r="Z86" s="115" t="e">
        <f t="shared" si="28"/>
        <v>#VALUE!</v>
      </c>
      <c r="AA86" s="115">
        <f t="shared" si="29"/>
        <v>23.28</v>
      </c>
      <c r="AB86" s="246">
        <f t="shared" si="30"/>
        <v>31</v>
      </c>
      <c r="AD86" t="s">
        <v>5</v>
      </c>
      <c r="AE86" t="s">
        <v>29</v>
      </c>
      <c r="AF86" s="24">
        <f>AG86+AH86+AI86+AJ86+AK86+AO86</f>
        <v>11</v>
      </c>
      <c r="AG86">
        <f>COUNTIFS(D:D,"AA",G:G,"STANTI",F:F,"ATONGOAL")+COUNTIFS(D:D,"AA",M:M,"STANTI",F:F,"ATONGOAL")</f>
        <v>0</v>
      </c>
      <c r="AH86">
        <f>COUNTIFS(D:D,"AA",G:G,"STANTI",F:F,"ATON")+COUNTIFS(D:D,"AA",M:M,"STANTI",F:F,"ATON")</f>
        <v>0</v>
      </c>
      <c r="AI86">
        <f>COUNTIFS(D:D,"AA",G:G,"STANTI",F:F,"ATOF")+COUNTIFS(D:D,"AA",M:M,"STANTI",F:F,"ATOF")</f>
        <v>0</v>
      </c>
      <c r="AJ86">
        <f>COUNTIFS(D:D,"AA",G:G,"STANTI",F:F,"ATBK")+COUNTIFS(D:D,"AA",M:M,"STANTI",F:F,"ATBK")</f>
        <v>0</v>
      </c>
      <c r="AK86">
        <f>COUNTIFS(D:D,"AA",G:G,"STANTI",F:F,"WINSTAN",E:E,"POS")+COUNTIFS(D:D,"AA",M:M,"STANTI",F:F,"WINSTAN",E:E,"POS")</f>
        <v>1</v>
      </c>
      <c r="AL86" s="115">
        <f>COUNTIFS(D:D,"AA",G:G,"STANTI",F:F,"WINSTANTI",E:E,"POS")+COUNTIFS(D:D,"AA",M:M,"STANTI",F:F,"WINSTANTI",E:E,"POS")</f>
        <v>0</v>
      </c>
      <c r="AM86" s="115">
        <f>COUNTIFS(D:D,"AA",G:G,"STANTI",F:F,"ENTRY",E:E,"POS")+COUNTIFS(D:D,"AA",M:M,"STANTI",F:F,"ENTRY",E:E,"POS")</f>
        <v>3</v>
      </c>
      <c r="AN86" s="100">
        <f>COUNTIFS(D:D,"AA",G:G,"STANTI",F:F,"KEEPOS",E:E,"POS")+COUNTIFS(D:D,"AA",M:M,"STANTI",F:F,"KEEPOS",E:E,"POS")</f>
        <v>4</v>
      </c>
      <c r="AO86">
        <f>COUNTIFS(D:D,"AA",G:G,"STANTI",E:E,"NEG")+COUNTIFS(D:D,"AA",M:M,"STANTI",E:E,"NEG")</f>
        <v>10</v>
      </c>
      <c r="AS86" t="s">
        <v>1</v>
      </c>
      <c r="AT86" t="s">
        <v>29</v>
      </c>
      <c r="AV86">
        <f>COUNTIFS(D:D,"DD",G:G,"STANTI",F:F,"ATONGOAL")+COUNTIFS(D:D,"DD",M:M,"STANTI",F:F,"ATONGOAL")</f>
        <v>0</v>
      </c>
      <c r="AW86">
        <f>COUNTIFS(D:D,"DD",G:G,"STANTI",F:F,"ATON")+COUNTIFS(D:D,"DD",M:M,"STANTI",F:F,"ATON")</f>
        <v>1</v>
      </c>
      <c r="AX86">
        <f>COUNTIFS(D:D,"DD",G:G,"STANTI",F:F,"ATOF")+COUNTIFS(D:D,"DD",M:M,"STANTI",F:F,"ATOF")</f>
        <v>1</v>
      </c>
      <c r="AY86">
        <f>COUNTIFS(D:D,"DD",G:G,"STANTI",F:F,"ATBK")+COUNTIFS(D:D,"DD",M:M,"STANTI",F:F,"ATBK")</f>
        <v>0</v>
      </c>
      <c r="AZ86">
        <f>COUNTIFS(D:D,"DD",G:G,"STANTI",F:F,"WINSTAN",E:E,"NEG")+COUNTIFS(D:D,"DD",M:M,"STANTI",F:F,"WINSTAN",E:E,"NEG")</f>
        <v>4</v>
      </c>
      <c r="BA86" s="115">
        <f>COUNTIFS(D:D,"DD",G:G,"STANTI",F:F,"WINSTANTI",E:E,"NEG")+COUNTIFS(D:D,"DD",M:M,"STANTI",F:F,"WINSTANTI",E:E,"NEG")</f>
        <v>0</v>
      </c>
      <c r="BB86" s="115">
        <f>COUNTIFS(D:D,"DD",G:G,"STANTI",F:F,"ENTRY",E:E,"NEG")+COUNTIFS(D:D,"DD",M:M,"STANTI",F:F,"ENTRY",E:E,"NEG")</f>
        <v>2</v>
      </c>
      <c r="BC86" s="100">
        <f>COUNTIFS(D:D,"DD",G:G,"STANTI",F:F,"KEEPOS",E:E,"NEG")+COUNTIFS(D:D,"DD",M:M,"STANTI",F:F,"KEEPOS",E:E,"NEG")</f>
        <v>0</v>
      </c>
      <c r="BD86">
        <f>COUNTIFS(D:D,"DD",G:G,"STANTI",E:E,"POS")+COUNTIFS(D:D,"DD",M:M,"STANTI",E:E,"POS")</f>
        <v>6</v>
      </c>
    </row>
    <row r="87" spans="1:56">
      <c r="A87" s="346" t="s">
        <v>590</v>
      </c>
      <c r="B87" s="346" t="s">
        <v>680</v>
      </c>
      <c r="C87" s="346">
        <v>1909920</v>
      </c>
      <c r="D87" s="346" t="s">
        <v>1</v>
      </c>
      <c r="E87" s="346" t="s">
        <v>6</v>
      </c>
      <c r="F87" s="346" t="s">
        <v>3</v>
      </c>
      <c r="G87" s="346" t="s">
        <v>29</v>
      </c>
      <c r="H87" s="346"/>
      <c r="I87" s="346"/>
      <c r="J87" s="346"/>
      <c r="K87" s="346"/>
      <c r="L87" s="346"/>
      <c r="M87" s="346"/>
      <c r="N87" s="346"/>
      <c r="O87" s="346"/>
      <c r="P87" s="346"/>
      <c r="Q87" s="346"/>
      <c r="R87" s="346"/>
      <c r="S87" s="346"/>
      <c r="T87" s="346">
        <v>19680</v>
      </c>
      <c r="U87" s="346"/>
      <c r="V87" s="346"/>
      <c r="X87" s="115">
        <f t="shared" si="26"/>
        <v>1</v>
      </c>
      <c r="Y87" s="115">
        <f t="shared" si="27"/>
        <v>2</v>
      </c>
      <c r="Z87" s="115" t="e">
        <f t="shared" si="28"/>
        <v>#VALUE!</v>
      </c>
      <c r="AA87" s="115">
        <f t="shared" si="29"/>
        <v>19.68</v>
      </c>
      <c r="AB87" s="246">
        <f>IF(ROUND(C87/60000,0)=0,1,ROUND(C87/60000,0))</f>
        <v>32</v>
      </c>
    </row>
    <row r="88" spans="1:56">
      <c r="A88" s="346" t="s">
        <v>590</v>
      </c>
      <c r="B88" s="346" t="s">
        <v>681</v>
      </c>
      <c r="C88" s="346">
        <v>1927400</v>
      </c>
      <c r="D88" s="346" t="s">
        <v>1</v>
      </c>
      <c r="E88" s="346" t="s">
        <v>6</v>
      </c>
      <c r="F88" s="346" t="s">
        <v>310</v>
      </c>
      <c r="G88" s="346"/>
      <c r="H88" s="346"/>
      <c r="I88" s="346"/>
      <c r="J88" s="346"/>
      <c r="K88" s="346"/>
      <c r="L88" s="346"/>
      <c r="M88" s="346" t="s">
        <v>29</v>
      </c>
      <c r="N88" s="346"/>
      <c r="O88" s="346"/>
      <c r="P88" s="346"/>
      <c r="Q88" s="346"/>
      <c r="R88" s="346"/>
      <c r="S88" s="346"/>
      <c r="T88" s="346">
        <v>32000</v>
      </c>
      <c r="U88" s="346"/>
      <c r="V88" s="346"/>
      <c r="X88" s="115">
        <f t="shared" si="26"/>
        <v>-2</v>
      </c>
      <c r="Y88" s="115">
        <f t="shared" si="27"/>
        <v>-1</v>
      </c>
      <c r="Z88" s="115" t="e">
        <f t="shared" si="28"/>
        <v>#VALUE!</v>
      </c>
      <c r="AA88" s="115">
        <f t="shared" si="29"/>
        <v>32</v>
      </c>
      <c r="AB88" s="246">
        <f t="shared" si="30"/>
        <v>32</v>
      </c>
    </row>
    <row r="89" spans="1:56">
      <c r="A89" s="346" t="s">
        <v>590</v>
      </c>
      <c r="B89" s="346" t="s">
        <v>682</v>
      </c>
      <c r="C89" s="346">
        <v>1953880</v>
      </c>
      <c r="D89" s="346" t="s">
        <v>1</v>
      </c>
      <c r="E89" s="346" t="s">
        <v>2</v>
      </c>
      <c r="F89" s="346" t="s">
        <v>156</v>
      </c>
      <c r="G89" s="346"/>
      <c r="H89" s="346"/>
      <c r="I89" s="346" t="s">
        <v>595</v>
      </c>
      <c r="J89" s="346"/>
      <c r="K89" s="346"/>
      <c r="L89" s="346"/>
      <c r="M89" s="346"/>
      <c r="N89" s="346"/>
      <c r="O89" s="346"/>
      <c r="P89" s="346"/>
      <c r="Q89" s="346"/>
      <c r="R89" s="346"/>
      <c r="S89" s="346"/>
      <c r="T89" s="346">
        <v>14000</v>
      </c>
      <c r="U89" s="346"/>
      <c r="V89" s="346"/>
      <c r="X89" s="115">
        <f t="shared" si="26"/>
        <v>1</v>
      </c>
      <c r="Y89" s="115">
        <f t="shared" si="27"/>
        <v>-1</v>
      </c>
      <c r="Z89" s="115" t="e">
        <f t="shared" si="28"/>
        <v>#VALUE!</v>
      </c>
      <c r="AA89" s="115">
        <f t="shared" si="29"/>
        <v>14</v>
      </c>
      <c r="AB89" s="246">
        <f>IF(ROUND(C89/60000,0)=0,1,ROUND(C89/60000,0))</f>
        <v>33</v>
      </c>
      <c r="AG89" s="346" t="s">
        <v>703</v>
      </c>
      <c r="AH89" t="s">
        <v>9</v>
      </c>
      <c r="AI89" t="s">
        <v>20</v>
      </c>
      <c r="AJ89" t="s">
        <v>19</v>
      </c>
      <c r="AK89" t="s">
        <v>7</v>
      </c>
      <c r="AL89" t="s">
        <v>163</v>
      </c>
      <c r="AM89" t="s">
        <v>310</v>
      </c>
      <c r="AN89" s="100" t="s">
        <v>156</v>
      </c>
      <c r="AO89" s="1" t="s">
        <v>3</v>
      </c>
      <c r="AV89" s="346" t="s">
        <v>703</v>
      </c>
      <c r="AW89" t="s">
        <v>9</v>
      </c>
      <c r="AX89" t="s">
        <v>20</v>
      </c>
      <c r="AY89" t="s">
        <v>19</v>
      </c>
      <c r="AZ89" t="s">
        <v>7</v>
      </c>
      <c r="BA89" t="s">
        <v>163</v>
      </c>
      <c r="BB89" t="s">
        <v>310</v>
      </c>
      <c r="BC89" s="100" t="s">
        <v>156</v>
      </c>
      <c r="BD89" s="1" t="s">
        <v>3</v>
      </c>
    </row>
    <row r="90" spans="1:56">
      <c r="A90" s="346" t="s">
        <v>590</v>
      </c>
      <c r="B90" s="346" t="s">
        <v>683</v>
      </c>
      <c r="C90" s="346">
        <v>1979320</v>
      </c>
      <c r="D90" s="346" t="s">
        <v>1</v>
      </c>
      <c r="E90" s="346" t="s">
        <v>2</v>
      </c>
      <c r="F90" s="346" t="s">
        <v>156</v>
      </c>
      <c r="G90" s="346" t="s">
        <v>29</v>
      </c>
      <c r="H90" s="346"/>
      <c r="I90" s="346"/>
      <c r="J90" s="346"/>
      <c r="K90" s="346"/>
      <c r="L90" s="346"/>
      <c r="M90" s="346"/>
      <c r="N90" s="346"/>
      <c r="O90" s="346"/>
      <c r="P90" s="346"/>
      <c r="Q90" s="346"/>
      <c r="R90" s="346"/>
      <c r="S90" s="346"/>
      <c r="T90" s="346">
        <v>17680</v>
      </c>
      <c r="U90" s="346"/>
      <c r="V90" s="346"/>
      <c r="X90" s="115">
        <f t="shared" si="26"/>
        <v>1</v>
      </c>
      <c r="Y90" s="115">
        <f t="shared" si="27"/>
        <v>2</v>
      </c>
      <c r="Z90" s="115" t="e">
        <f t="shared" si="28"/>
        <v>#VALUE!</v>
      </c>
      <c r="AA90" s="115">
        <f t="shared" si="29"/>
        <v>17.68</v>
      </c>
      <c r="AB90" s="246">
        <f t="shared" ref="AB90:AB112" si="31">IF(ROUND(C90/60000,0)=0,1,ROUND(C90/60000,0))</f>
        <v>33</v>
      </c>
      <c r="AD90" t="s">
        <v>5</v>
      </c>
      <c r="AE90" t="s">
        <v>29</v>
      </c>
      <c r="AF90" s="346" t="s">
        <v>563</v>
      </c>
      <c r="AG90">
        <f>COUNTIFS(D:D,"AA",G:G,"STANTI",F:F,"ATONGOAL",I:I,"S1")+COUNTIFS(D:D,"AA",M:M,"STANTI",F:F,"ATONGOAL",I:I,"S1")</f>
        <v>0</v>
      </c>
      <c r="AH90">
        <f>COUNTIFS(D:D,"AA",G:G,"STANTI",F:F,"ATON",I:I,"S1")+COUNTIFS(D:D,"AA",M:M,"STANTI",F:F,"ATON",I:I,"S1")</f>
        <v>0</v>
      </c>
      <c r="AI90">
        <f>COUNTIFS(D:D,"AA",G:G,"STANTI",F:F,"ATOF",I:I,"S1")+COUNTIFS(D:D,"AA",M:M,"STANTI",F:F,"ATOF",I:I,"S1")</f>
        <v>0</v>
      </c>
      <c r="AJ90">
        <f>COUNTIFS(D:D,"AA",G:G,"STANTI",F:F,"ATBK",I:I,"S1")+COUNTIFS(D:D,"AA",M:M,"STANTI",F:F,"ATBK",I:I,"S1")</f>
        <v>0</v>
      </c>
      <c r="AK90">
        <f>COUNTIFS(D:D,"AA",G:G,"STANTI",F:F,"WINSTAN",I:I,"S1",E:E,"POS")+COUNTIFS(D:D,"AA",M:M,"STANTI",F:F,"WINSTAN",I:I,"S1",E:E,"POS")</f>
        <v>0</v>
      </c>
      <c r="AL90" s="115">
        <f>COUNTIFS(D:D,"AA",G:G,"STANTI",F:F,"WINSTANTI",I:I,"S1",E:E,"POS")+COUNTIFS(D:D,"AA",M:M,"STANTI",F:F,"WINSTANTI",I:I,"S1",E:E,"POS")</f>
        <v>0</v>
      </c>
      <c r="AM90" s="115">
        <f>COUNTIFS(D:D,"AA",G:G,"STANTI",F:F,"ENTRY",I:I,"S1",E:E,"POS")+COUNTIFS(D:D,"AA",M:M,"STANTI",F:F,"ENTRY",I:I,"S1",E:E,"POS")</f>
        <v>0</v>
      </c>
      <c r="AN90" s="100">
        <f>COUNTIFS(D:D,"AA",G:G,"STANTI",F:F,"KEEPOS",I:I,"S1",E:E,"POS")+COUNTIFS(D:D,"AA",M:M,"STANTI",F:F,"KEEPOS",I:I,"S1",E:E,"POS")</f>
        <v>0</v>
      </c>
      <c r="AO90">
        <f>COUNTIFS(D:D,"AA",G:G,"STANTI",E:E,"NEG",I:I,"S1")+COUNTIFS(D:D,"AA",M:M,"STANTI",E:E,"NEG",I:I,"S1")</f>
        <v>0</v>
      </c>
      <c r="AS90" t="s">
        <v>1</v>
      </c>
      <c r="AT90" t="s">
        <v>29</v>
      </c>
      <c r="AU90" s="346" t="s">
        <v>563</v>
      </c>
      <c r="AV90">
        <f>COUNTIFS(D:D,"DD",G:G,"STANTI",F:F,"ATONGOAL",I:I,"S1")+COUNTIFS(D:D,"DD",M:M,"STANTI",F:F,"ATONGOAL",I:I,"S1")</f>
        <v>0</v>
      </c>
      <c r="AW90">
        <f>COUNTIFS(D:D,"DD",G:G,"STANTI",F:F,"ATON",I:I,"S1")+COUNTIFS(D:D,"DD",M:M,"STANTI",F:F,"ATON",I:I,"S1")</f>
        <v>0</v>
      </c>
      <c r="AX90">
        <f>COUNTIFS(D:D,"DD",G:G,"STANGS",F:F,"ATOF",I:I,"S1")+COUNTIFS(D:D,"DD",M:M,"STANGS",F:F,"ATOF",I:I,"S1")</f>
        <v>0</v>
      </c>
      <c r="AY90">
        <f>COUNTIFS(D:D,"DD",G:G,"STANTI",F:F,"ATBK",I:I,"S1")+COUNTIFS(D:D,"DD",M:M,"STANTI",F:F,"ATBK",I:I,"S1")</f>
        <v>0</v>
      </c>
      <c r="AZ90">
        <f>COUNTIFS(D:D,"DD",G:G,"STANTI",F:F,"WINSTAN",I:I,"S1",E:E,"NEG")+COUNTIFS(D:D,"DD",M:M,"STANTI",F:F,"WINSTAN",I:I,"S1",E:E,"NEG")</f>
        <v>0</v>
      </c>
      <c r="BA90" s="115">
        <f>COUNTIFS(D:D,"DD",G:G,"STANTI",F:F,"WINSTANTI",I:I,"S1",E:E,"NEG")+COUNTIFS(D:D,"DD",M:M,"STANTI",F:F,"WINSTANTI",I:I,"S1",E:E,"NEG")</f>
        <v>0</v>
      </c>
      <c r="BB90" s="115">
        <f>COUNTIFS(D:D,"DD",G:G,"STANTI",F:F,"ENTRY",I:I,"S1",E:E,"NEG")+COUNTIFS(D:D,"DD",M:M,"STANTI",F:F,"ENTRY",I:I,"S1",E:E,"NEG")</f>
        <v>0</v>
      </c>
      <c r="BC90" s="100">
        <f>COUNTIFS(D:D,"DD",G:G,"STANTI",F:F,"KEEPOS",I:I,"S1",E:E,"NEG")+COUNTIFS(D:D,"DD",M:M,"STANTI",F:F,"KEEPOS",I:I,"S1",E:E,"NEG")</f>
        <v>0</v>
      </c>
      <c r="BD90">
        <f>COUNTIFS(D:D,"DD",G:G,"STANTI",E:E,"POS",I:I,"S1")+COUNTIFS(D:D,"DD",M:M,"STANTI",E:E,"POS",I:I,"S1")</f>
        <v>0</v>
      </c>
    </row>
    <row r="91" spans="1:56">
      <c r="A91" s="346" t="s">
        <v>590</v>
      </c>
      <c r="B91" s="346" t="s">
        <v>684</v>
      </c>
      <c r="C91" s="346">
        <v>1985000</v>
      </c>
      <c r="D91" s="346" t="s">
        <v>14</v>
      </c>
      <c r="E91" s="346" t="s">
        <v>6</v>
      </c>
      <c r="F91" s="346" t="s">
        <v>3</v>
      </c>
      <c r="G91" s="346"/>
      <c r="H91" s="346"/>
      <c r="I91" s="346" t="s">
        <v>561</v>
      </c>
      <c r="J91" s="346"/>
      <c r="K91" s="346"/>
      <c r="L91" s="346" t="s">
        <v>571</v>
      </c>
      <c r="M91" s="346"/>
      <c r="N91" s="346"/>
      <c r="O91" s="346"/>
      <c r="P91" s="346"/>
      <c r="Q91" s="346"/>
      <c r="R91" s="346"/>
      <c r="S91" s="346"/>
      <c r="T91" s="346">
        <v>21240</v>
      </c>
      <c r="U91" s="346"/>
      <c r="V91" s="346"/>
      <c r="X91" s="115">
        <f t="shared" si="26"/>
        <v>1</v>
      </c>
      <c r="Y91" s="115">
        <f t="shared" si="27"/>
        <v>2</v>
      </c>
      <c r="Z91" s="115" t="e">
        <f t="shared" si="28"/>
        <v>#VALUE!</v>
      </c>
      <c r="AA91" s="115">
        <f t="shared" si="29"/>
        <v>21.24</v>
      </c>
      <c r="AB91" s="246">
        <f t="shared" si="31"/>
        <v>33</v>
      </c>
      <c r="AF91" s="346" t="s">
        <v>561</v>
      </c>
      <c r="AG91">
        <f>COUNTIFS(D:D,"AA",G:G,"STANTI",F:F,"ATONGOAL",I:I,"S2")+COUNTIFS(D:D,"AA",M:M,"STANTI",F:F,"ATONGOAL",I:I,"S2")</f>
        <v>0</v>
      </c>
      <c r="AH91">
        <f>COUNTIFS(D:D,"AA",G:G,"STANTI",F:F,"ATON",I:I,"S2")+COUNTIFS(D:D,"AA",M:M,"STANTI",F:F,"ATON",I:I,"S2")</f>
        <v>0</v>
      </c>
      <c r="AI91">
        <f>COUNTIFS(D:D,"AA",G:G,"STANTI",F:F,"ATOF",I:I,"S2")+COUNTIFS(D:D,"AA",M:M,"STANTI",F:F,"ATOF",I:I,"S2")</f>
        <v>0</v>
      </c>
      <c r="AJ91">
        <f>COUNTIFS(D:D,"AA",G:G,"STANTI",F:F,"ATBK",I:I,"S2")+COUNTIFS(D:D,"AA",M:M,"STANTI",F:F,"ATBK",I:I,"S2")</f>
        <v>0</v>
      </c>
      <c r="AK91">
        <f>COUNTIFS(D:D,"AA",G:G,"STANTI",F:F,"WINSTAN",I:I,"S2",E:E,"POS")+COUNTIFS(D:D,"AA",M:M,"STANTI",F:F,"WINSTAN",I:I,"S2",E:E,"POS")</f>
        <v>0</v>
      </c>
      <c r="AL91" s="115">
        <f>COUNTIFS(D:D,"AA",G:G,"STANTI",F:F,"WINSTANTI",I:I,"S2",E:E,"POS")+COUNTIFS(D:D,"AA",M:M,"STANTI",F:F,"WINSTANTI",I:I,"S2",E:E,"POS")</f>
        <v>0</v>
      </c>
      <c r="AM91" s="115">
        <f>COUNTIFS(D:D,"AA",G:G,"STANTI",F:F,"ENTRY",I:I,"S2",E:E,"POS")+COUNTIFS(D:D,"AA",M:M,"STANTI",F:F,"ENTRY",I:I,"S2",E:E,"POS")</f>
        <v>0</v>
      </c>
      <c r="AN91" s="100">
        <f>COUNTIFS(D:D,"AA",G:G,"STANTI",F:F,"KEEPOS",I:I,"S2",E:E,"POS")+COUNTIFS(D:D,"AA",M:M,"STANTI",F:F,"KEEPOS",I:I,"S2",E:E,"POS")</f>
        <v>0</v>
      </c>
      <c r="AO91">
        <f>COUNTIFS(D:D,"AA",G:G,"STANTI",E:E,"NEG",I:I,"S2")+COUNTIFS(D:D,"AA",M:M,"STANTI",E:E,"NEG",I:I,"S2")</f>
        <v>0</v>
      </c>
      <c r="AU91" s="346" t="s">
        <v>561</v>
      </c>
      <c r="AV91">
        <f>COUNTIFS(D:D,"DD",G:G,"STANTI",F:F,"ATONGOAL",I:I,"S2")+COUNTIFS(D:D,"DD",M:M,"STANTI",F:F,"ATONGOAL",I:I,"S2")</f>
        <v>0</v>
      </c>
      <c r="AW91">
        <f>COUNTIFS(D:D,"DD",G:G,"STANTI",F:F,"ATON",I:I,"S2")+COUNTIFS(D:D,"DD",M:M,"STANTI",F:F,"ATON",I:I,"S2")</f>
        <v>0</v>
      </c>
      <c r="AX91">
        <f>COUNTIFS(D:D,"DD",G:G,"STANTI",F:F,"ATOF",I:I,"S2")+COUNTIFS(D:D,"DD",M:M,"STANTI",F:F,"ATOF",I:I,"S2")</f>
        <v>0</v>
      </c>
      <c r="AY91">
        <f>COUNTIFS(D:D,"DD",G:G,"STANTI",F:F,"ATBK",I:I,"S2")+COUNTIFS(D:D,"DD",M:M,"STANTI",F:F,"ATBK",I:I,"S2")</f>
        <v>0</v>
      </c>
      <c r="AZ91">
        <f>COUNTIFS(D:D,"DD",G:G,"STANTI",F:F,"WINSTAN",I:I,"S2",E:E,"NEG")+COUNTIFS(D:D,"DD",M:M,"STANTI",F:F,"WINSTAN",I:I,"S2",E:E,"NEG")</f>
        <v>0</v>
      </c>
      <c r="BA91" s="115">
        <f>COUNTIFS(D:D,"DD",G:G,"STANTI",F:F,"WINSTANTI",I:I,"S2",E:E,"NEG")+COUNTIFS(D:D,"DD",M:M,"STANTI",F:F,"WINSTANTI",I:I,"S2",E:E,"NEG")</f>
        <v>0</v>
      </c>
      <c r="BB91" s="115">
        <f>COUNTIFS(D:D,"DD",G:G,"STANTI",F:F,"ENTRY",I:I,"S2",E:E,"NEG")+COUNTIFS(D:D,"DD",M:M,"STANTI",F:F,"ENTRY",I:I,"S2",E:E,"NEG")</f>
        <v>0</v>
      </c>
      <c r="BC91" s="100">
        <f>COUNTIFS(D:D,"DD",G:G,"STANTI",F:F,"KEEPOS",I:I,"S2",E:E,"NEG")+COUNTIFS(D:D,"DD",M:M,"STANTI",F:F,"KEEPOS",I:I,"S2",E:E,"NEG")</f>
        <v>0</v>
      </c>
      <c r="BD91">
        <f>COUNTIFS(D:D,"DD",G:G,"STANTI",E:E,"POS",I:I,"S2")+COUNTIFS(D:D,"DD",M:M,"STANTI",E:E,"POS",I:I,"S2")</f>
        <v>0</v>
      </c>
    </row>
    <row r="92" spans="1:56">
      <c r="A92" s="346" t="s">
        <v>590</v>
      </c>
      <c r="B92" s="346" t="s">
        <v>685</v>
      </c>
      <c r="C92" s="346">
        <v>2000880</v>
      </c>
      <c r="D92" s="346" t="s">
        <v>1</v>
      </c>
      <c r="E92" s="346" t="s">
        <v>6</v>
      </c>
      <c r="F92" s="346" t="s">
        <v>3</v>
      </c>
      <c r="G92" s="346" t="s">
        <v>27</v>
      </c>
      <c r="H92" s="346"/>
      <c r="I92" s="346"/>
      <c r="J92" s="346"/>
      <c r="K92" s="346"/>
      <c r="L92" s="346"/>
      <c r="M92" s="346"/>
      <c r="N92" s="346"/>
      <c r="O92" s="346"/>
      <c r="P92" s="346"/>
      <c r="Q92" s="346"/>
      <c r="R92" s="346"/>
      <c r="S92" s="346"/>
      <c r="T92" s="346">
        <v>15920</v>
      </c>
      <c r="U92" s="346"/>
      <c r="V92" s="346"/>
      <c r="X92" s="115">
        <f t="shared" si="26"/>
        <v>1</v>
      </c>
      <c r="Y92" s="115">
        <f t="shared" si="27"/>
        <v>2</v>
      </c>
      <c r="Z92" s="115" t="e">
        <f t="shared" si="28"/>
        <v>#VALUE!</v>
      </c>
      <c r="AA92" s="115">
        <f t="shared" si="29"/>
        <v>15.92</v>
      </c>
      <c r="AB92" s="246">
        <f t="shared" si="31"/>
        <v>33</v>
      </c>
      <c r="AF92" s="346" t="s">
        <v>565</v>
      </c>
      <c r="AG92">
        <f>COUNTIFS(D:D,"AA",G:G,"STANTI",F:F,"ATONGOAL",I:I,"S3")+COUNTIFS(D:D,"AA",M:M,"STANTI",F:F,"ATONGOAL",I:I,"S3")</f>
        <v>0</v>
      </c>
      <c r="AH92">
        <f>COUNTIFS(D:D,"AA",G:G,"STANTI",F:F,"ATON",I:I,"S3")+COUNTIFS(D:D,"AA",M:M,"STANTI",F:F,"ATON",I:I,"S3")</f>
        <v>0</v>
      </c>
      <c r="AI92">
        <f>COUNTIFS(D:D,"AA",G:G,"STANTI",F:F,"ATOF",I:I,"S3")+COUNTIFS(D:D,"AA",M:M,"STANTI",F:F,"ATOF",I:I,"S3")</f>
        <v>0</v>
      </c>
      <c r="AJ92">
        <f>COUNTIFS(D:D,"AA",G:G,"STANTI",F:F,"ATBK",I:I,"S3")+COUNTIFS(D:D,"AA",M:M,"STANTI",F:F,"ATBK",I:I,"S3")</f>
        <v>0</v>
      </c>
      <c r="AK92">
        <f>COUNTIFS(D:D,"AA",G:G,"STANTI",F:F,"WINSTAN",I:I,"S3",E:E,"POS")+COUNTIFS(D:D,"AA",M:M,"STANTI",F:F,"WINSTAN",I:I,"S3",E:E,"POS")</f>
        <v>0</v>
      </c>
      <c r="AL92" s="115">
        <f>COUNTIFS(D:D,"AA",G:G,"STANTI",F:F,"WINSTANTI",I:I,"S3",E:E,"POS")+COUNTIFS(D:D,"AA",M:M,"STANTI",F:F,"WINSTANTI",I:I,"S3",E:E,"POS")</f>
        <v>0</v>
      </c>
      <c r="AM92" s="115">
        <f>COUNTIFS(D:D,"AA",G:G,"STANTI",F:F,"ENTRY",I:I,"S3",E:E,"POS")+COUNTIFS(D:D,"AA",M:M,"STANTI",F:F,"ENTRY",I:I,"S3",E:E,"POS")</f>
        <v>0</v>
      </c>
      <c r="AN92" s="100">
        <f>COUNTIFS(D:D,"AA",G:G,"STANTI",F:F,"KEEPOS",I:I,"S3",E:E,"POS")+COUNTIFS(D:D,"AA",M:M,"STANTI",F:F,"KEEPOS",I:I,"S3",E:E,"POS")</f>
        <v>0</v>
      </c>
      <c r="AO92">
        <f>COUNTIFS(D:D,"AA",G:G,"STANTI",E:E,"NEG",I:I,"S3")+COUNTIFS(D:D,"AA",M:M,"STANTI",E:E,"NEG",I:I,"S3")</f>
        <v>0</v>
      </c>
      <c r="AU92" s="346" t="s">
        <v>565</v>
      </c>
      <c r="AV92">
        <f>COUNTIFS(D:D,"DD",G:G,"STANTI",F:F,"ATONGOAL",I:I,"S3")+COUNTIFS(D:D,"DD",M:M,"STANTI",F:F,"ATONGOAL",I:I,"S3")</f>
        <v>0</v>
      </c>
      <c r="AW92">
        <f>COUNTIFS(D:D,"DD",G:G,"STANTI",F:F,"ATON",I:I,"S3")+COUNTIFS(D:D,"DD",M:M,"STANTI",F:F,"ATON",I:I,"S3")</f>
        <v>0</v>
      </c>
      <c r="AX92">
        <f>COUNTIFS(D:D,"DD",G:G,"STANTI",F:F,"ATOF",I:I,"S3")+COUNTIFS(D:D,"DD",M:M,"STANTI",F:F,"ATOF",I:I,"S3")</f>
        <v>0</v>
      </c>
      <c r="AY92">
        <f>COUNTIFS(D:D,"DD",G:G,"STANTI",F:F,"ATBK",I:I,"S3")+COUNTIFS(D:D,"DD",M:M,"STANTI",F:F,"ATBK",I:I,"S3")</f>
        <v>0</v>
      </c>
      <c r="AZ92">
        <f>COUNTIFS(D:D,"DD",G:G,"STANTI",F:F,"WINSTAN",I:I,"S3",E:E,"NEG")+COUNTIFS(D:D,"DD",M:M,"STANTI",F:F,"WINSTAN",I:I,"S3",E:E,"NEG")</f>
        <v>0</v>
      </c>
      <c r="BA92" s="115">
        <f>COUNTIFS(D:D,"DD",G:G,"STANTI",F:F,"WINSTANTI",I:I,"S3",E:E,"NEG")+COUNTIFS(D:D,"DD",M:M,"STANTI",F:F,"WINSTANTI",I:I,"S3",E:E,"NEG")</f>
        <v>0</v>
      </c>
      <c r="BB92" s="115">
        <f>COUNTIFS(D:D,"DD",G:G,"STANTI",F:F,"ENTRY",I:I,"S3",E:E,"NEG")+COUNTIFS(D:D,"DD",M:M,"STANTI",F:F,"ENTRY",I:I,"S3",E:E,"NEG")</f>
        <v>0</v>
      </c>
      <c r="BC92" s="100">
        <f>COUNTIFS(D:D,"DD",G:G,"STANTI",F:F,"KEEPOS",I:I,"S3",E:E,"NEG")+COUNTIFS(D:D,"DD",M:M,"STANTI",F:F,"KEEPOS",I:I,"S3",E:E,"NEG")</f>
        <v>0</v>
      </c>
      <c r="BD92">
        <f>COUNTIFS(D:D,"DD",G:G,"STANTI",E:E,"POS",I:I,"S3")+COUNTIFS(D:D,"DD",M:M,"STANTI",E:E,"POS",I:I,"S3")</f>
        <v>0</v>
      </c>
    </row>
    <row r="93" spans="1:56">
      <c r="A93" s="346" t="s">
        <v>590</v>
      </c>
      <c r="B93" s="346" t="s">
        <v>686</v>
      </c>
      <c r="C93" s="346">
        <v>2009800</v>
      </c>
      <c r="D93" s="346" t="s">
        <v>1</v>
      </c>
      <c r="E93" s="346" t="s">
        <v>2</v>
      </c>
      <c r="F93" s="346" t="s">
        <v>156</v>
      </c>
      <c r="G93" s="346"/>
      <c r="H93" s="346"/>
      <c r="I93" s="346" t="s">
        <v>595</v>
      </c>
      <c r="J93" s="346"/>
      <c r="K93" s="346"/>
      <c r="L93" s="346"/>
      <c r="M93" s="346"/>
      <c r="N93" s="346"/>
      <c r="O93" s="346"/>
      <c r="P93" s="346"/>
      <c r="Q93" s="346"/>
      <c r="R93" s="346"/>
      <c r="S93" s="346"/>
      <c r="T93" s="346">
        <v>48240</v>
      </c>
      <c r="U93" s="346"/>
      <c r="V93" s="346"/>
      <c r="X93" s="115">
        <f t="shared" si="26"/>
        <v>1</v>
      </c>
      <c r="Y93" s="115">
        <f t="shared" si="27"/>
        <v>2</v>
      </c>
      <c r="Z93" s="115" t="e">
        <f t="shared" si="28"/>
        <v>#VALUE!</v>
      </c>
      <c r="AA93" s="115">
        <f t="shared" si="29"/>
        <v>48.24</v>
      </c>
      <c r="AB93" s="246">
        <f t="shared" si="31"/>
        <v>33</v>
      </c>
    </row>
    <row r="94" spans="1:56">
      <c r="A94" s="346" t="s">
        <v>590</v>
      </c>
      <c r="B94" s="346" t="s">
        <v>687</v>
      </c>
      <c r="C94" s="346">
        <v>2046040</v>
      </c>
      <c r="D94" s="346" t="s">
        <v>14</v>
      </c>
      <c r="E94" s="346" t="s">
        <v>6</v>
      </c>
      <c r="F94" s="346" t="s">
        <v>3</v>
      </c>
      <c r="G94" s="346"/>
      <c r="H94" s="346"/>
      <c r="I94" s="346" t="s">
        <v>565</v>
      </c>
      <c r="J94" s="346"/>
      <c r="K94" s="346"/>
      <c r="L94" s="346" t="s">
        <v>559</v>
      </c>
      <c r="M94" s="346"/>
      <c r="N94" s="346"/>
      <c r="O94" s="346"/>
      <c r="P94" s="346"/>
      <c r="Q94" s="346"/>
      <c r="R94" s="346"/>
      <c r="S94" s="346"/>
      <c r="T94" s="346">
        <v>18120</v>
      </c>
      <c r="U94" s="346"/>
      <c r="V94" s="346"/>
      <c r="X94" s="115">
        <f t="shared" si="26"/>
        <v>1</v>
      </c>
      <c r="Y94" s="115">
        <f t="shared" si="27"/>
        <v>2</v>
      </c>
      <c r="Z94" s="115" t="e">
        <f t="shared" si="28"/>
        <v>#VALUE!</v>
      </c>
      <c r="AA94" s="115">
        <f t="shared" si="29"/>
        <v>18.12</v>
      </c>
      <c r="AB94" s="246">
        <f t="shared" si="31"/>
        <v>34</v>
      </c>
    </row>
    <row r="95" spans="1:56">
      <c r="A95" s="346" t="s">
        <v>590</v>
      </c>
      <c r="B95" s="346" t="s">
        <v>688</v>
      </c>
      <c r="C95" s="346">
        <v>2051320</v>
      </c>
      <c r="D95" s="346" t="s">
        <v>17</v>
      </c>
      <c r="E95" s="346" t="s">
        <v>6</v>
      </c>
      <c r="F95" s="346" t="s">
        <v>3</v>
      </c>
      <c r="G95" s="346"/>
      <c r="H95" s="346"/>
      <c r="I95" s="346" t="s">
        <v>565</v>
      </c>
      <c r="J95" s="346"/>
      <c r="K95" s="346"/>
      <c r="L95" s="346" t="s">
        <v>559</v>
      </c>
      <c r="M95" s="346"/>
      <c r="N95" s="346"/>
      <c r="O95" s="346"/>
      <c r="P95" s="346"/>
      <c r="Q95" s="346"/>
      <c r="R95" s="346"/>
      <c r="S95" s="346"/>
      <c r="T95" s="346">
        <v>32600</v>
      </c>
      <c r="U95" s="346"/>
      <c r="V95" s="346"/>
      <c r="X95" s="115">
        <f t="shared" si="26"/>
        <v>1</v>
      </c>
      <c r="Y95" s="115">
        <f t="shared" si="27"/>
        <v>2</v>
      </c>
      <c r="Z95" s="115" t="e">
        <f t="shared" si="28"/>
        <v>#VALUE!</v>
      </c>
      <c r="AA95" s="115">
        <f t="shared" si="29"/>
        <v>32.6</v>
      </c>
      <c r="AB95" s="246">
        <f t="shared" si="31"/>
        <v>34</v>
      </c>
      <c r="AG95" s="346" t="s">
        <v>703</v>
      </c>
      <c r="AH95" t="s">
        <v>9</v>
      </c>
      <c r="AI95" t="s">
        <v>20</v>
      </c>
      <c r="AJ95" t="s">
        <v>19</v>
      </c>
      <c r="AK95" t="s">
        <v>7</v>
      </c>
      <c r="AL95" s="115" t="s">
        <v>163</v>
      </c>
      <c r="AM95" s="115" t="s">
        <v>310</v>
      </c>
      <c r="AN95" s="100" t="s">
        <v>156</v>
      </c>
      <c r="AO95" s="1" t="s">
        <v>3</v>
      </c>
      <c r="AV95" s="346" t="s">
        <v>703</v>
      </c>
      <c r="AW95" t="s">
        <v>9</v>
      </c>
      <c r="AX95" t="s">
        <v>20</v>
      </c>
      <c r="AY95" t="s">
        <v>19</v>
      </c>
      <c r="AZ95" t="s">
        <v>7</v>
      </c>
      <c r="BA95" s="115" t="s">
        <v>163</v>
      </c>
      <c r="BB95" s="115" t="s">
        <v>310</v>
      </c>
      <c r="BC95" s="100" t="s">
        <v>156</v>
      </c>
      <c r="BD95" s="1" t="s">
        <v>3</v>
      </c>
    </row>
    <row r="96" spans="1:56">
      <c r="A96" s="346" t="s">
        <v>590</v>
      </c>
      <c r="B96" s="346" t="s">
        <v>689</v>
      </c>
      <c r="C96" s="346">
        <v>2076920</v>
      </c>
      <c r="D96" s="346" t="s">
        <v>1</v>
      </c>
      <c r="E96" s="346" t="s">
        <v>2</v>
      </c>
      <c r="F96" s="346" t="s">
        <v>156</v>
      </c>
      <c r="G96" s="346"/>
      <c r="H96" s="346"/>
      <c r="I96" s="346" t="s">
        <v>595</v>
      </c>
      <c r="J96" s="346"/>
      <c r="K96" s="346"/>
      <c r="L96" s="346"/>
      <c r="M96" s="346"/>
      <c r="N96" s="346"/>
      <c r="O96" s="346"/>
      <c r="P96" s="346"/>
      <c r="Q96" s="346"/>
      <c r="R96" s="346"/>
      <c r="S96" s="346"/>
      <c r="T96" s="346">
        <v>50720</v>
      </c>
      <c r="U96" s="346"/>
      <c r="V96" s="346"/>
      <c r="X96" s="115">
        <f t="shared" si="26"/>
        <v>1</v>
      </c>
      <c r="Y96" s="115">
        <f t="shared" si="27"/>
        <v>2</v>
      </c>
      <c r="Z96" s="115" t="e">
        <f t="shared" si="28"/>
        <v>#VALUE!</v>
      </c>
      <c r="AA96" s="115">
        <f t="shared" si="29"/>
        <v>50.72</v>
      </c>
      <c r="AB96" s="246">
        <f t="shared" si="31"/>
        <v>35</v>
      </c>
      <c r="AD96" t="s">
        <v>5</v>
      </c>
      <c r="AE96" t="s">
        <v>10</v>
      </c>
      <c r="AF96" s="346" t="s">
        <v>563</v>
      </c>
      <c r="AG96">
        <f>COUNTIFS(D:D,"AA",G:G,"STANFK",F:F,"ATONGOAL",I:I,"S1")+COUNTIFS(D:D,"AA",M:M,"STANFK",F:F,"ATONGOAL",I:I,"S1")</f>
        <v>0</v>
      </c>
      <c r="AH96">
        <f>COUNTIFS(D:D,"AA",G:G,"STANFK",F:F,"ATON",I:I,"S1")+COUNTIFS(D:D,"AA",M:M,"STANFK",F:F,"ATON",I:I,"S1")</f>
        <v>0</v>
      </c>
      <c r="AI96">
        <f>COUNTIFS(D:D,"AA",G:G,"STANFK",F:F,"ATOF",I:I,"S1")+COUNTIFS(D:D,"AA",M:M,"STANFK",F:F,"ATOF",I:I,"S1")</f>
        <v>0</v>
      </c>
      <c r="AJ96">
        <f>COUNTIFS(D:D,"AA",G:G,"STANFK",F:F,"ATBK",I:I,"S1")+COUNTIFS(D:D,"AA",M:M,"STANFK",F:F,"ATBK",I:I,"S1")</f>
        <v>0</v>
      </c>
      <c r="AK96">
        <f>COUNTIFS(D:D,"AA",G:G,"STANFK",F:F,"WINSTAN",I:I,"S1",E:E,"POS")+COUNTIFS(D:D,"AA",M:M,"STANFK",F:F,"WINSTAN",I:I,"S1",E:E,"POS")</f>
        <v>0</v>
      </c>
      <c r="AL96" s="115">
        <f>COUNTIFS(D:D,"AA",G:G,"STANFK",F:F,"WINSTANTI",I:I,"S1",E:E,"POS")+COUNTIFS(D:D,"AA",M:M,"STANFK",F:F,"WINSTANTI",I:I,"S1",E:E,"POS")</f>
        <v>0</v>
      </c>
      <c r="AM96" s="115">
        <f>COUNTIFS(D:D,"AA",G:G,"STANFK",F:F,"ENTRY",I:I,"S1",E:E,"POS")+COUNTIFS(D:D,"AA",M:M,"STANFK",F:F,"ENTRY",I:I,"S1",E:E,"POS")</f>
        <v>0</v>
      </c>
      <c r="AN96" s="100">
        <f>COUNTIFS(D:D,"AA",G:G,"STANFK",F:F,"KEEPOS",I:I,"S1",E:E,"POS")+COUNTIFS(D:D,"AA",M:M,"STANFK",F:F,"KEEPOS",I:I,"S1",E:E,"POS")</f>
        <v>0</v>
      </c>
      <c r="AO96">
        <f>COUNTIFS(D:D,"AA",G:G,"STANFK",E:E,"NEG",I:I,"S1")+COUNTIFS(D:D,"AA",M:M,"STANFK",E:E,"NEG",I:I,"S1")</f>
        <v>0</v>
      </c>
      <c r="AS96" t="s">
        <v>1</v>
      </c>
      <c r="AT96" t="s">
        <v>10</v>
      </c>
      <c r="AU96" s="346" t="s">
        <v>563</v>
      </c>
      <c r="AV96">
        <f>COUNTIFS(D:D,"DD",G:G,"STANFK",F:F,"ATONGOAL",I:I,"S1")+COUNTIFS(D:D,"DD",M:M,"STANFK",F:F,"ATONGOAL",I:I,"S1")</f>
        <v>0</v>
      </c>
      <c r="AW96">
        <f>COUNTIFS(D:D,"DD",G:G,"STANFK",F:F,"ATON",I:I,"S1")+COUNTIFS(D:D,"DD",M:M,"STANFK",F:F,"ATON",I:I,"S1")</f>
        <v>0</v>
      </c>
      <c r="AX96">
        <f>COUNTIFS(D:D,"DD",G:G,"STANFK",F:F,"ATOF",I:I,"S1")+COUNTIFS(D:D,"DD",M:M,"STANFK",F:F,"ATOF",I:I,"S1")</f>
        <v>0</v>
      </c>
      <c r="AY96">
        <f>COUNTIFS(D:D,"DD",G:G,"STANFK",F:F,"ATBK",I:I,"S1")+COUNTIFS(D:D,"DD",M:M,"STANFK",F:F,"ATBK",I:I,"S1")</f>
        <v>0</v>
      </c>
      <c r="AZ96">
        <f>COUNTIFS(D:D,"DD",G:G,"STANFK",F:F,"WINSTAN",I:I,"S1",E:E,"NEG")+COUNTIFS(D:D,"DD",M:M,"STANFK",F:F,"WINSTAN",I:I,"S1",E:E,"NEG")</f>
        <v>0</v>
      </c>
      <c r="BA96" s="115">
        <f>COUNTIFS(D:D,"DD",G:G,"STANFK",F:F,"WINSTANTI",I:I,"S1",E:E,"NEG")+COUNTIFS(D:D,"DD",M:M,"STANFK",F:F,"WINSTANTI",I:I,"S1",E:E,"NEG")</f>
        <v>0</v>
      </c>
      <c r="BB96" s="115">
        <f>COUNTIFS(D:D,"DD",G:G,"STANFK",F:F,"ENTRY",I:I,"S1",E:E,"NEG")+COUNTIFS(D:D,"DD",M:M,"STANFK",F:F,"ENTRY",I:I,"S1",E:E,"NEG")</f>
        <v>0</v>
      </c>
      <c r="BC96" s="100">
        <f>COUNTIFS(D:D,"DD",G:G,"STANFK",F:F,"KEEPOS",I:I,"S1",E:E,"NEG")+COUNTIFS(D:D,"DD",M:M,"STANFK",F:F,"KEEPOS",I:I,"S1",E:E,"NEG")</f>
        <v>0</v>
      </c>
      <c r="BD96">
        <f>COUNTIFS(D:D,"DD",G:G,"STANFK",E:E,"POS",I:I,"S1")+COUNTIFS(D:D,"DD",M:M,"STANFK",E:E,"POS",I:I,"S1")</f>
        <v>0</v>
      </c>
    </row>
    <row r="97" spans="1:56">
      <c r="A97" s="346" t="s">
        <v>590</v>
      </c>
      <c r="B97" s="346" t="s">
        <v>690</v>
      </c>
      <c r="C97" s="346">
        <v>2115640</v>
      </c>
      <c r="D97" s="346" t="s">
        <v>14</v>
      </c>
      <c r="E97" s="346" t="s">
        <v>2</v>
      </c>
      <c r="F97" s="346" t="s">
        <v>163</v>
      </c>
      <c r="G97" s="346"/>
      <c r="H97" s="346"/>
      <c r="I97" s="346" t="s">
        <v>563</v>
      </c>
      <c r="J97" s="346"/>
      <c r="K97" s="346"/>
      <c r="L97" s="346" t="s">
        <v>568</v>
      </c>
      <c r="M97" s="346"/>
      <c r="N97" s="346"/>
      <c r="O97" s="346"/>
      <c r="P97" s="346"/>
      <c r="Q97" s="346"/>
      <c r="R97" s="346"/>
      <c r="S97" s="346"/>
      <c r="T97" s="346">
        <v>23600</v>
      </c>
      <c r="U97" s="346"/>
      <c r="V97" s="346"/>
      <c r="X97" s="115">
        <f t="shared" si="26"/>
        <v>4</v>
      </c>
      <c r="Y97" s="115">
        <f t="shared" si="27"/>
        <v>5</v>
      </c>
      <c r="Z97" s="115" t="e">
        <f t="shared" si="28"/>
        <v>#VALUE!</v>
      </c>
      <c r="AA97" s="115">
        <f t="shared" si="29"/>
        <v>23.6</v>
      </c>
      <c r="AB97" s="246">
        <f t="shared" si="31"/>
        <v>35</v>
      </c>
      <c r="AF97" s="346" t="s">
        <v>561</v>
      </c>
      <c r="AG97">
        <f>COUNTIFS(D:D,"AA",G:G,"STANFK",F:F,"ATONGOAL",I:I,"S2")+COUNTIFS(D:D,"AA",M:M,"STANFK",F:F,"ATONGOAL",I:I,"S2")</f>
        <v>0</v>
      </c>
      <c r="AH97">
        <f>COUNTIFS(D:D,"AA",G:G,"STANFK",F:F,"ATON",I:I,"S2")+COUNTIFS(D:D,"AA",M:M,"STANFK",F:F,"ATON",I:I,"S2")</f>
        <v>0</v>
      </c>
      <c r="AI97">
        <f>COUNTIFS(D:D,"AA",G:G,"STANFK",F:F,"ATOF",I:I,"S2")+COUNTIFS(D:D,"AA",M:M,"STANFK",F:F,"ATOF",I:I,"S2")</f>
        <v>0</v>
      </c>
      <c r="AJ97">
        <f>COUNTIFS(D:D,"AA",G:G,"STANFK",F:F,"ATBK",I:I,"S2")+COUNTIFS(D:D,"AA",M:M,"STANFK",F:F,"ATBK",I:I,"S2")</f>
        <v>0</v>
      </c>
      <c r="AK97">
        <f>COUNTIFS(D:D,"AA",G:G,"STANFK",F:F,"WINSTAN",I:I,"S2",E:E,"POS")+COUNTIFS(D:D,"AA",M:M,"STANFK",F:F,"WINSTAN",I:I,"S2",E:E,"POS")</f>
        <v>0</v>
      </c>
      <c r="AL97" s="115">
        <f>COUNTIFS(D:D,"AA",G:G,"STANFK",F:F,"WINSTANTI",I:I,"S2",E:E,"POS")+COUNTIFS(D:D,"AA",M:M,"STANFK",F:F,"WINSTANTI",I:I,"S2",E:E,"POS")</f>
        <v>0</v>
      </c>
      <c r="AM97" s="115">
        <f>COUNTIFS(D:D,"AA",G:G,"STANFK",F:F,"ENTRY",I:I,"S2",E:E,"POS")+COUNTIFS(D:D,"AA",M:M,"STANFK",F:F,"ENTRY",I:I,"S2",E:E,"POS")</f>
        <v>0</v>
      </c>
      <c r="AN97" s="100">
        <f>COUNTIFS(D:D,"AA",G:G,"STANFK",F:F,"KEEPOS",I:I,"S2",E:E,"POS")+COUNTIFS(D:D,"AA",M:M,"STANFK",F:F,"KEEPOS",I:I,"S2",E:E,"POS")</f>
        <v>0</v>
      </c>
      <c r="AO97">
        <f>COUNTIFS(D:D,"AA",G:G,"STANFK",E:E,"NEG",I:I,"S2")+COUNTIFS(D:D,"AA",M:M,"STANFK",E:E,"NEG",I:I,"S2")</f>
        <v>0</v>
      </c>
      <c r="AU97" s="346" t="s">
        <v>561</v>
      </c>
      <c r="AV97">
        <f>COUNTIFS(D:D,"DD",G:G,"STANFK",F:F,"ATONGOAL",I:I,"S2")+COUNTIFS(D:D,"DD",M:M,"STANFK",F:F,"ATONGOAL",I:I,"S2")</f>
        <v>0</v>
      </c>
      <c r="AW97">
        <f>COUNTIFS(D:D,"DD",G:G,"STANFK",F:F,"ATON",I:I,"S2")+COUNTIFS(D:D,"DD",M:M,"STANFK",F:F,"ATON",I:I,"S2")</f>
        <v>0</v>
      </c>
      <c r="AX97">
        <f>COUNTIFS(D:D,"DD",G:G,"STANFK",F:F,"ATOF",I:I,"S2")+COUNTIFS(D:D,"DD",M:M,"STANFK",F:F,"ATOF",I:I,"S2")</f>
        <v>0</v>
      </c>
      <c r="AY97">
        <f>COUNTIFS(D:D,"DD",G:G,"STANFK",F:F,"ATBK",I:I,"S2")+COUNTIFS(D:D,"DD",M:M,"STANFK",F:F,"ATBK",I:I,"S2")</f>
        <v>0</v>
      </c>
      <c r="AZ97">
        <f>COUNTIFS(D:D,"DD",G:G,"STANFK",F:F,"WINSTAN",I:I,"S2",E:E,"NEG")+COUNTIFS(D:D,"DD",M:M,"STANFK",F:F,"WINSTAN",I:I,"S2",E:E,"NEG")</f>
        <v>0</v>
      </c>
      <c r="BA97" s="115">
        <f>COUNTIFS(D:D,"DD",G:G,"STANFK",F:F,"WINSTANTI",I:I,"S2",E:E,"NEG")+COUNTIFS(D:D,"DD",M:M,"STANFK",F:F,"WINSTANTI",I:I,"S2",E:E,"NEG")</f>
        <v>0</v>
      </c>
      <c r="BB97" s="115">
        <f>COUNTIFS(D:D,"DD",G:G,"STANFK",F:F,"ENTRY",I:I,"S2",E:E,"NEG")+COUNTIFS(D:D,"DD",M:M,"STANFK",F:F,"ENTRY",I:I,"S2",E:E,"NEG")</f>
        <v>0</v>
      </c>
      <c r="BC97" s="100">
        <f>COUNTIFS(D:D,"DD",G:G,"STANFK",F:F,"KEEPOS",I:I,"S2",E:E,"NEG")+COUNTIFS(D:D,"DD",M:M,"STANFK",F:F,"KEEPOS",I:I,"S2",E:E,"NEG")</f>
        <v>0</v>
      </c>
      <c r="BD97">
        <f>COUNTIFS(D:D,"DD",G:G,"STANFK",E:E,"POS",I:I,"S2")+COUNTIFS(D:D,"DD",M:M,"STANFK",E:E,"POS",I:I,"S2")</f>
        <v>0</v>
      </c>
    </row>
    <row r="98" spans="1:56">
      <c r="A98" s="346" t="s">
        <v>590</v>
      </c>
      <c r="B98" s="346" t="s">
        <v>691</v>
      </c>
      <c r="C98" s="346">
        <v>2139320</v>
      </c>
      <c r="D98" s="346" t="s">
        <v>5</v>
      </c>
      <c r="E98" s="346" t="s">
        <v>6</v>
      </c>
      <c r="F98" s="346" t="s">
        <v>3</v>
      </c>
      <c r="G98" s="346"/>
      <c r="H98" s="346"/>
      <c r="I98" s="346"/>
      <c r="J98" s="346"/>
      <c r="K98" s="346"/>
      <c r="L98" s="346"/>
      <c r="M98" s="346" t="s">
        <v>29</v>
      </c>
      <c r="N98" s="346"/>
      <c r="O98" s="346"/>
      <c r="P98" s="346"/>
      <c r="Q98" s="346"/>
      <c r="R98" s="346"/>
      <c r="S98" s="346"/>
      <c r="T98" s="346">
        <v>24480</v>
      </c>
      <c r="U98" s="346"/>
      <c r="V98" s="346"/>
      <c r="X98" s="115">
        <f t="shared" si="26"/>
        <v>1</v>
      </c>
      <c r="Y98" s="115">
        <f t="shared" si="27"/>
        <v>5</v>
      </c>
      <c r="Z98" s="115" t="e">
        <f t="shared" si="28"/>
        <v>#VALUE!</v>
      </c>
      <c r="AA98" s="115">
        <f t="shared" si="29"/>
        <v>24.48</v>
      </c>
      <c r="AB98" s="246">
        <f t="shared" si="31"/>
        <v>36</v>
      </c>
      <c r="AF98" s="346" t="s">
        <v>565</v>
      </c>
      <c r="AG98">
        <f>COUNTIFS(D:D,"AA",G:G,"STANFK",F:F,"ATONGOAL",I:I,"S3")+COUNTIFS(D:D,"AA",M:M,"STANFK",F:F,"ATONGOAL",I:I,"S3")</f>
        <v>0</v>
      </c>
      <c r="AH98">
        <f>COUNTIFS(D:D,"AA",G:G,"STANFK",F:F,"ATON",I:I,"S3")+COUNTIFS(D:D,"AA",M:M,"STANFK",F:F,"ATON",I:I,"S3")</f>
        <v>0</v>
      </c>
      <c r="AI98">
        <f>COUNTIFS(D:D,"AA",G:G,"STANFK",F:F,"ATOF",I:I,"S3")+COUNTIFS(D:D,"AA",M:M,"STANFK",F:F,"ATOF",I:I,"S3")</f>
        <v>0</v>
      </c>
      <c r="AJ98">
        <f>COUNTIFS(D:D,"AA",G:G,"STANFK",F:F,"ATBK",I:I,"S3")+COUNTIFS(D:D,"AA",M:M,"STANFK",F:F,"ATBK",I:I,"S3")</f>
        <v>0</v>
      </c>
      <c r="AK98">
        <f>COUNTIFS(D:D,"AA",G:G,"STANFK",F:F,"WINSTAN",I:I,"S3",E:E,"POS")+COUNTIFS(D:D,"AA",M:M,"STANFK",F:F,"WINSTAN",I:I,"S3",E:E,"POS")</f>
        <v>0</v>
      </c>
      <c r="AL98" s="115">
        <f>COUNTIFS(D:D,"AA",G:G,"STANFK",F:F,"WINSTANTI",I:I,"S3",E:E,"POS")+COUNTIFS(D:D,"AA",M:M,"STANFK",F:F,"WINSTANTI",I:I,"S3",E:E,"POS")</f>
        <v>0</v>
      </c>
      <c r="AM98" s="115">
        <f>COUNTIFS(D:D,"AA",G:G,"STANFK",F:F,"ENTRY",I:I,"S3",E:E,"POS")+COUNTIFS(D:D,"AA",M:M,"STANFK",F:F,"ENTRY",I:I,"S3",E:E,"POS")</f>
        <v>0</v>
      </c>
      <c r="AN98" s="100">
        <f>COUNTIFS(D:D,"AA",G:G,"STANFK",F:F,"KEEPOS",I:I,"S3",E:E,"POS")+COUNTIFS(D:D,"AA",M:M,"STANFK",F:F,"KEEPOS",I:I,"S3",E:E,"POS")</f>
        <v>0</v>
      </c>
      <c r="AO98">
        <f>COUNTIFS(D:D,"AA",G:G,"STANFK",E:E,"NEG",I:I,"S3")+COUNTIFS(D:D,"AA",M:M,"STANFK",E:E,"NEG",I:I,"S3")</f>
        <v>0</v>
      </c>
      <c r="AU98" s="346" t="s">
        <v>565</v>
      </c>
      <c r="AV98">
        <f>COUNTIFS(D:D,"DD",G:G,"STANFK",F:F,"ATONGOAL",I:I,"S3")+COUNTIFS(D:D,"DD",M:M,"STANFK",F:F,"ATONGOAL",I:I,"S3")</f>
        <v>0</v>
      </c>
      <c r="AW98">
        <f>COUNTIFS(D:D,"DD",G:G,"STANFK",F:F,"ATON",I:I,"S3")+COUNTIFS(D:D,"DD",M:M,"STANFK",F:F,"ATON",I:I,"S3")</f>
        <v>0</v>
      </c>
      <c r="AX98">
        <f>COUNTIFS(D:D,"DD",G:G,"STANFK",F:F,"ATOF",I:I,"S3")+COUNTIFS(D:D,"DD",M:M,"STANFK",F:F,"ATOF",I:I,"S3")</f>
        <v>0</v>
      </c>
      <c r="AY98">
        <f>COUNTIFS(D:D,"DD",G:G,"STANFK",F:F,"ATBK",I:I,"S3")+COUNTIFS(D:D,"DD",M:M,"STANFK",F:F,"ATBK",I:I,"S3")</f>
        <v>0</v>
      </c>
      <c r="AZ98">
        <f>COUNTIFS(D:D,"DD",G:G,"STANFK",F:F,"WINSTAN",I:I,"S3",E:E,"NEG")+COUNTIFS(D:D,"DD",M:M,"STANFK",F:F,"WINSTAN",I:I,"S3",E:E,"NEG")</f>
        <v>0</v>
      </c>
      <c r="BA98" s="115">
        <f>COUNTIFS(D:D,"DD",G:G,"STANFK",F:F,"WINSTANTI",I:I,"S3",E:E,"NEG")+COUNTIFS(D:D,"DD",M:M,"STANFK",F:F,"WINSTANTI",I:I,"S3",E:E,"NEG")</f>
        <v>0</v>
      </c>
      <c r="BB98" s="115">
        <f>COUNTIFS(D:D,"DD",G:G,"STANFK",F:F,"ENTRY",I:I,"S3",E:E,"NEG")+COUNTIFS(D:D,"DD",M:M,"STANFK",F:F,"ENTRY",I:I,"S3",E:E,"NEG")</f>
        <v>0</v>
      </c>
      <c r="BC98" s="100">
        <f>COUNTIFS(D:D,"DD",G:G,"STANFK",F:F,"KEEPOS",I:I,"S3",E:E,"NEG")+COUNTIFS(D:D,"DD",M:M,"STANFK",F:F,"KEEPOS",I:I,"S3",E:E,"NEG")</f>
        <v>0</v>
      </c>
      <c r="BD98">
        <f>COUNTIFS(D:D,"DD",G:G,"STANFK",E:E,"POS",I:I,"S3")+COUNTIFS(D:D,"DD",M:M,"STANFK",E:E,"POS",I:I,"S3")</f>
        <v>0</v>
      </c>
    </row>
    <row r="99" spans="1:56">
      <c r="A99" s="346" t="s">
        <v>590</v>
      </c>
      <c r="B99" s="346" t="s">
        <v>692</v>
      </c>
      <c r="C99" s="346">
        <v>2151800</v>
      </c>
      <c r="D99" s="346" t="s">
        <v>17</v>
      </c>
      <c r="E99" s="346" t="s">
        <v>6</v>
      </c>
      <c r="F99" s="346" t="s">
        <v>3</v>
      </c>
      <c r="G99" s="346"/>
      <c r="H99" s="346"/>
      <c r="I99" s="346" t="s">
        <v>565</v>
      </c>
      <c r="J99" s="346"/>
      <c r="K99" s="346"/>
      <c r="L99" s="346" t="s">
        <v>558</v>
      </c>
      <c r="M99" s="346"/>
      <c r="N99" s="346"/>
      <c r="O99" s="346"/>
      <c r="P99" s="346"/>
      <c r="Q99" s="346"/>
      <c r="R99" s="346"/>
      <c r="S99" s="346"/>
      <c r="T99" s="346">
        <v>17280</v>
      </c>
      <c r="U99" s="346"/>
      <c r="V99" s="346"/>
      <c r="X99" s="115">
        <f t="shared" si="26"/>
        <v>1</v>
      </c>
      <c r="Y99" s="115">
        <f t="shared" si="27"/>
        <v>2</v>
      </c>
      <c r="Z99" s="115" t="e">
        <f t="shared" si="28"/>
        <v>#VALUE!</v>
      </c>
      <c r="AA99" s="115">
        <f t="shared" si="29"/>
        <v>17.28</v>
      </c>
      <c r="AB99" s="246">
        <f t="shared" si="31"/>
        <v>36</v>
      </c>
    </row>
    <row r="100" spans="1:56">
      <c r="A100" s="346" t="s">
        <v>590</v>
      </c>
      <c r="B100" s="346" t="s">
        <v>693</v>
      </c>
      <c r="C100" s="346">
        <v>2162080</v>
      </c>
      <c r="D100" s="346" t="s">
        <v>1</v>
      </c>
      <c r="E100" s="346" t="s">
        <v>6</v>
      </c>
      <c r="F100" s="346" t="s">
        <v>3</v>
      </c>
      <c r="G100" s="346"/>
      <c r="H100" s="346"/>
      <c r="I100" s="346" t="s">
        <v>595</v>
      </c>
      <c r="J100" s="346"/>
      <c r="K100" s="346"/>
      <c r="L100" s="346"/>
      <c r="M100" s="346"/>
      <c r="N100" s="346"/>
      <c r="O100" s="346"/>
      <c r="P100" s="346"/>
      <c r="Q100" s="346"/>
      <c r="R100" s="346"/>
      <c r="S100" s="346"/>
      <c r="T100" s="346">
        <v>30280</v>
      </c>
      <c r="U100" s="346"/>
      <c r="V100" s="346"/>
      <c r="X100" s="115">
        <f t="shared" si="26"/>
        <v>1</v>
      </c>
      <c r="Y100" s="115">
        <f t="shared" si="27"/>
        <v>2</v>
      </c>
      <c r="Z100" s="115" t="e">
        <f t="shared" si="28"/>
        <v>#VALUE!</v>
      </c>
      <c r="AA100" s="115">
        <f t="shared" si="29"/>
        <v>30.28</v>
      </c>
      <c r="AB100" s="246">
        <f t="shared" si="31"/>
        <v>36</v>
      </c>
    </row>
    <row r="101" spans="1:56">
      <c r="A101" s="346" t="s">
        <v>590</v>
      </c>
      <c r="B101" s="346" t="s">
        <v>694</v>
      </c>
      <c r="C101" s="346">
        <v>2187160</v>
      </c>
      <c r="D101" s="346" t="s">
        <v>1</v>
      </c>
      <c r="E101" s="346" t="s">
        <v>6</v>
      </c>
      <c r="F101" s="346" t="s">
        <v>9</v>
      </c>
      <c r="G101" s="346"/>
      <c r="H101" s="346"/>
      <c r="I101" s="346" t="s">
        <v>595</v>
      </c>
      <c r="J101" s="346"/>
      <c r="K101" s="346"/>
      <c r="L101" s="346"/>
      <c r="M101" s="346"/>
      <c r="N101" s="346"/>
      <c r="O101" s="346"/>
      <c r="P101" s="346"/>
      <c r="Q101" s="346"/>
      <c r="R101" s="346"/>
      <c r="S101" s="346"/>
      <c r="T101" s="346">
        <v>37520</v>
      </c>
      <c r="U101" s="346"/>
      <c r="V101" s="346"/>
      <c r="X101" s="115">
        <f t="shared" si="26"/>
        <v>-12</v>
      </c>
      <c r="Y101" s="115">
        <f t="shared" si="27"/>
        <v>-11</v>
      </c>
      <c r="Z101" s="115" t="e">
        <f t="shared" si="28"/>
        <v>#VALUE!</v>
      </c>
      <c r="AA101" s="115">
        <f t="shared" si="29"/>
        <v>37.520000000000003</v>
      </c>
      <c r="AB101" s="246">
        <f t="shared" si="31"/>
        <v>36</v>
      </c>
      <c r="AH101" t="s">
        <v>2</v>
      </c>
      <c r="AI101" s="1" t="s">
        <v>6</v>
      </c>
      <c r="AV101" t="s">
        <v>2</v>
      </c>
      <c r="AW101" s="1" t="s">
        <v>6</v>
      </c>
    </row>
    <row r="102" spans="1:56">
      <c r="A102" s="346" t="s">
        <v>590</v>
      </c>
      <c r="B102" s="346" t="s">
        <v>695</v>
      </c>
      <c r="C102" s="346">
        <v>2227600</v>
      </c>
      <c r="D102" s="346" t="s">
        <v>5</v>
      </c>
      <c r="E102" s="346" t="s">
        <v>6</v>
      </c>
      <c r="F102" s="346" t="s">
        <v>3</v>
      </c>
      <c r="G102" s="346"/>
      <c r="H102" s="346"/>
      <c r="I102" s="346" t="s">
        <v>595</v>
      </c>
      <c r="J102" s="346"/>
      <c r="K102" s="346"/>
      <c r="L102" s="346"/>
      <c r="M102" s="346"/>
      <c r="N102" s="346"/>
      <c r="O102" s="346"/>
      <c r="P102" s="346"/>
      <c r="Q102" s="346"/>
      <c r="R102" s="346"/>
      <c r="S102" s="346"/>
      <c r="T102" s="346">
        <v>21440</v>
      </c>
      <c r="U102" s="346"/>
      <c r="V102" s="346"/>
      <c r="X102" s="115">
        <f t="shared" si="26"/>
        <v>1</v>
      </c>
      <c r="Y102" s="115">
        <f t="shared" si="27"/>
        <v>-11</v>
      </c>
      <c r="Z102" s="115" t="e">
        <f t="shared" si="28"/>
        <v>#VALUE!</v>
      </c>
      <c r="AA102" s="115">
        <f t="shared" si="29"/>
        <v>21.44</v>
      </c>
      <c r="AB102" s="246">
        <f t="shared" si="31"/>
        <v>37</v>
      </c>
      <c r="AE102" t="s">
        <v>5</v>
      </c>
      <c r="AF102" s="346" t="s">
        <v>563</v>
      </c>
      <c r="AG102">
        <f>COUNTIFS(D:D,"AA",I:I,"S1")</f>
        <v>0</v>
      </c>
      <c r="AH102">
        <f>COUNTIFS(D:D,"AA",E:E,"POS",I:I,"S1")</f>
        <v>0</v>
      </c>
      <c r="AI102">
        <f>COUNTIFS(D:D,"AA",E:E,"NEG",I:I,"S1")</f>
        <v>0</v>
      </c>
      <c r="AS102" t="s">
        <v>1</v>
      </c>
      <c r="AT102" s="346" t="s">
        <v>563</v>
      </c>
      <c r="AU102">
        <f>COUNTIFS(D:D,"DD",I:I,"S1")</f>
        <v>0</v>
      </c>
      <c r="AV102">
        <f>COUNTIFS(D:D,"DD",E:E,"POS",I:I,"S1")</f>
        <v>0</v>
      </c>
      <c r="AW102">
        <f>COUNTIFS(D:D,"DD",E:E,"NEG",I:I,"S1")</f>
        <v>0</v>
      </c>
    </row>
    <row r="103" spans="1:56">
      <c r="A103" s="346" t="s">
        <v>590</v>
      </c>
      <c r="B103" s="346" t="s">
        <v>696</v>
      </c>
      <c r="C103" s="346">
        <v>2253440</v>
      </c>
      <c r="D103" s="346" t="s">
        <v>1</v>
      </c>
      <c r="E103" s="346" t="s">
        <v>2</v>
      </c>
      <c r="F103" s="346" t="s">
        <v>156</v>
      </c>
      <c r="G103" s="346" t="s">
        <v>29</v>
      </c>
      <c r="H103" s="346"/>
      <c r="I103" s="346"/>
      <c r="J103" s="346"/>
      <c r="K103" s="346"/>
      <c r="L103" s="346"/>
      <c r="M103" s="346"/>
      <c r="N103" s="346"/>
      <c r="O103" s="346"/>
      <c r="P103" s="346"/>
      <c r="Q103" s="346"/>
      <c r="R103" s="346"/>
      <c r="S103" s="346"/>
      <c r="T103" s="346">
        <v>10680</v>
      </c>
      <c r="U103" s="346"/>
      <c r="V103" s="346"/>
      <c r="X103" s="115">
        <f t="shared" si="26"/>
        <v>1</v>
      </c>
      <c r="Y103" s="115">
        <f t="shared" si="27"/>
        <v>2</v>
      </c>
      <c r="Z103" s="115" t="e">
        <f t="shared" si="28"/>
        <v>#VALUE!</v>
      </c>
      <c r="AA103" s="115">
        <f t="shared" si="29"/>
        <v>10.68</v>
      </c>
      <c r="AB103" s="246">
        <f t="shared" si="31"/>
        <v>38</v>
      </c>
      <c r="AF103" s="346" t="s">
        <v>561</v>
      </c>
      <c r="AG103">
        <f>COUNTIFS(D:D,"AA",I:I,"S2")</f>
        <v>0</v>
      </c>
      <c r="AH103">
        <f>COUNTIFS(D:D,"AA",E:E,"POS",I:I,"S2")</f>
        <v>0</v>
      </c>
      <c r="AI103">
        <f>COUNTIFS(D:D,"AA",E:E,"NEG",I:I,"S2")</f>
        <v>0</v>
      </c>
      <c r="AT103" s="346" t="s">
        <v>561</v>
      </c>
      <c r="AU103">
        <f>COUNTIFS(D:D,"DD",I:I,"S2")</f>
        <v>0</v>
      </c>
      <c r="AV103">
        <f>COUNTIFS(D:D,"DD",E:E,"POS",I:I,"S2")</f>
        <v>0</v>
      </c>
      <c r="AW103">
        <f>COUNTIFS(D:D,"DD",E:E,"NEG",I:I,"S2")</f>
        <v>0</v>
      </c>
    </row>
    <row r="104" spans="1:56">
      <c r="A104" s="346" t="s">
        <v>590</v>
      </c>
      <c r="B104" s="346" t="s">
        <v>697</v>
      </c>
      <c r="C104" s="346">
        <v>2252120</v>
      </c>
      <c r="D104" s="346" t="s">
        <v>14</v>
      </c>
      <c r="E104" s="346" t="s">
        <v>2</v>
      </c>
      <c r="F104" s="346" t="s">
        <v>156</v>
      </c>
      <c r="G104" s="346"/>
      <c r="H104" s="346"/>
      <c r="I104" s="346" t="s">
        <v>561</v>
      </c>
      <c r="J104" s="346"/>
      <c r="K104" s="346"/>
      <c r="L104" s="346" t="s">
        <v>577</v>
      </c>
      <c r="M104" s="346"/>
      <c r="N104" s="346"/>
      <c r="O104" s="346"/>
      <c r="P104" s="346"/>
      <c r="Q104" s="346"/>
      <c r="R104" s="346"/>
      <c r="S104" s="346"/>
      <c r="T104" s="346">
        <v>27240</v>
      </c>
      <c r="U104" s="346"/>
      <c r="V104" s="346"/>
      <c r="X104" s="115">
        <f t="shared" si="26"/>
        <v>1</v>
      </c>
      <c r="Y104" s="115">
        <f t="shared" si="27"/>
        <v>2</v>
      </c>
      <c r="Z104" s="115" t="e">
        <f t="shared" si="28"/>
        <v>#VALUE!</v>
      </c>
      <c r="AA104" s="115">
        <f t="shared" si="29"/>
        <v>27.24</v>
      </c>
      <c r="AB104" s="246">
        <f t="shared" si="31"/>
        <v>38</v>
      </c>
      <c r="AF104" s="346" t="s">
        <v>565</v>
      </c>
      <c r="AG104">
        <f>COUNTIFS(D:D,"AA",I:I,"S3")</f>
        <v>0</v>
      </c>
      <c r="AH104">
        <f>COUNTIFS(D:D,"AA",E:E,"POS",I:I,"S3")</f>
        <v>0</v>
      </c>
      <c r="AI104">
        <f>COUNTIFS(D:D,"AA",E:E,"NEG",I:I,"S3")</f>
        <v>0</v>
      </c>
      <c r="AT104" s="346" t="s">
        <v>565</v>
      </c>
      <c r="AU104">
        <f>COUNTIFS(D:D,"DD",I:I,"S3")</f>
        <v>0</v>
      </c>
      <c r="AV104">
        <f>COUNTIFS(D:D,"DD",E:E,"POS",I:I,"S3")</f>
        <v>0</v>
      </c>
      <c r="AW104">
        <f>COUNTIFS(D:D,"DD",E:E,"NEG",I:I,"S3")</f>
        <v>0</v>
      </c>
    </row>
    <row r="105" spans="1:56">
      <c r="A105" s="346" t="s">
        <v>590</v>
      </c>
      <c r="B105" s="346" t="s">
        <v>698</v>
      </c>
      <c r="C105" s="346">
        <v>2286240</v>
      </c>
      <c r="D105" s="346" t="s">
        <v>5</v>
      </c>
      <c r="E105" s="346"/>
      <c r="F105" s="346"/>
      <c r="G105" s="346"/>
      <c r="H105" s="346"/>
      <c r="I105" s="346" t="s">
        <v>595</v>
      </c>
      <c r="J105" s="346"/>
      <c r="K105" s="346"/>
      <c r="L105" s="346"/>
      <c r="M105" s="346"/>
      <c r="N105" s="346"/>
      <c r="O105" s="346"/>
      <c r="P105" s="346"/>
      <c r="Q105" s="346"/>
      <c r="R105" s="346"/>
      <c r="S105" s="346"/>
      <c r="T105" s="346">
        <v>15280</v>
      </c>
      <c r="U105" s="346"/>
      <c r="V105" s="346"/>
      <c r="X105" s="115">
        <f t="shared" si="26"/>
        <v>0</v>
      </c>
      <c r="Y105" s="115">
        <f t="shared" si="27"/>
        <v>1</v>
      </c>
      <c r="Z105" s="115" t="e">
        <f t="shared" si="28"/>
        <v>#VALUE!</v>
      </c>
      <c r="AA105" s="115">
        <f t="shared" si="29"/>
        <v>15.28</v>
      </c>
      <c r="AB105" s="246">
        <f t="shared" si="31"/>
        <v>38</v>
      </c>
      <c r="AE105" t="s">
        <v>14</v>
      </c>
      <c r="AF105" s="346" t="s">
        <v>563</v>
      </c>
      <c r="AG105">
        <f>COUNTIFS(D:D,"DA",I:I,"S1")</f>
        <v>17</v>
      </c>
      <c r="AH105">
        <f>COUNTIFS(D:D,"DA",E:E,"POS",I:I,"S1")</f>
        <v>4</v>
      </c>
      <c r="AI105">
        <f>COUNTIFS(D:D,"DA",E:E,"NEG",I:I,"S1")</f>
        <v>13</v>
      </c>
      <c r="AS105" t="s">
        <v>17</v>
      </c>
      <c r="AT105" s="346" t="s">
        <v>563</v>
      </c>
      <c r="AU105">
        <f>COUNTIFS(D:D,"AD",I:I,"S1")</f>
        <v>5</v>
      </c>
      <c r="AV105">
        <f>COUNTIFS(D:D,"AD",E:E,"POS",I:I,"S1")</f>
        <v>3</v>
      </c>
      <c r="AW105">
        <f>COUNTIFS(D:D,"AD",E:E,"NEG",I:I,"S1")</f>
        <v>2</v>
      </c>
    </row>
    <row r="106" spans="1:56">
      <c r="A106" s="346" t="s">
        <v>590</v>
      </c>
      <c r="B106" s="346" t="s">
        <v>699</v>
      </c>
      <c r="C106" s="346">
        <v>2289520</v>
      </c>
      <c r="D106" s="346" t="s">
        <v>17</v>
      </c>
      <c r="E106" s="346" t="s">
        <v>6</v>
      </c>
      <c r="F106" s="346" t="s">
        <v>3</v>
      </c>
      <c r="G106" s="346"/>
      <c r="H106" s="346"/>
      <c r="I106" s="346" t="s">
        <v>561</v>
      </c>
      <c r="J106" s="346"/>
      <c r="K106" s="346"/>
      <c r="L106" s="346" t="s">
        <v>566</v>
      </c>
      <c r="M106" s="346"/>
      <c r="N106" s="346"/>
      <c r="O106" s="346"/>
      <c r="P106" s="346"/>
      <c r="Q106" s="346"/>
      <c r="R106" s="346"/>
      <c r="S106" s="346"/>
      <c r="T106" s="346">
        <v>15480</v>
      </c>
      <c r="U106" s="346"/>
      <c r="V106" s="346"/>
      <c r="X106" s="115">
        <f t="shared" si="26"/>
        <v>1</v>
      </c>
      <c r="Y106" s="115">
        <f t="shared" si="27"/>
        <v>1</v>
      </c>
      <c r="Z106" s="115" t="e">
        <f t="shared" si="28"/>
        <v>#VALUE!</v>
      </c>
      <c r="AA106" s="115">
        <f t="shared" si="29"/>
        <v>15.48</v>
      </c>
      <c r="AB106" s="246">
        <f t="shared" si="31"/>
        <v>38</v>
      </c>
      <c r="AF106" s="346" t="s">
        <v>561</v>
      </c>
      <c r="AG106">
        <f>COUNTIFS(D:D,"DA",I:I,"S2")</f>
        <v>14</v>
      </c>
      <c r="AH106" s="2">
        <f>COUNTIFS(D:D,"DA",E:E,"POS",I:I,"S2")</f>
        <v>3</v>
      </c>
      <c r="AI106">
        <f>COUNTIFS(D:D,"DA",E:E,"NEG",I:I,"S2")</f>
        <v>10</v>
      </c>
      <c r="AT106" s="346" t="s">
        <v>561</v>
      </c>
      <c r="AU106">
        <f>COUNTIFS(D:D,"AD",I:I,"S2")</f>
        <v>22</v>
      </c>
      <c r="AV106" s="2">
        <f>COUNTIFS(D:D,"AD",E:E,"POS",I:I,"S2")</f>
        <v>9</v>
      </c>
      <c r="AW106">
        <f>COUNTIFS(D:D,"AD",E:E,"NEG",I:I,"S2")</f>
        <v>12</v>
      </c>
    </row>
    <row r="107" spans="1:56">
      <c r="A107" s="346" t="s">
        <v>590</v>
      </c>
      <c r="B107" s="346" t="s">
        <v>700</v>
      </c>
      <c r="C107" s="346">
        <v>2298360</v>
      </c>
      <c r="D107" s="346" t="s">
        <v>1</v>
      </c>
      <c r="E107" s="346" t="s">
        <v>6</v>
      </c>
      <c r="F107" s="346" t="s">
        <v>7</v>
      </c>
      <c r="G107" s="346" t="s">
        <v>29</v>
      </c>
      <c r="H107" s="346"/>
      <c r="I107" s="346"/>
      <c r="J107" s="346"/>
      <c r="K107" s="346"/>
      <c r="L107" s="346"/>
      <c r="M107" s="346"/>
      <c r="N107" s="346"/>
      <c r="O107" s="346"/>
      <c r="P107" s="346"/>
      <c r="Q107" s="346"/>
      <c r="R107" s="346"/>
      <c r="S107" s="346"/>
      <c r="T107" s="346">
        <v>14520</v>
      </c>
      <c r="U107" s="346"/>
      <c r="V107" s="346"/>
      <c r="X107" s="115">
        <f t="shared" si="26"/>
        <v>-6</v>
      </c>
      <c r="Y107" s="115">
        <f t="shared" si="27"/>
        <v>-5</v>
      </c>
      <c r="Z107" s="115" t="e">
        <f t="shared" si="28"/>
        <v>#VALUE!</v>
      </c>
      <c r="AA107" s="115">
        <f t="shared" si="29"/>
        <v>14.52</v>
      </c>
      <c r="AB107" s="246">
        <f t="shared" si="31"/>
        <v>38</v>
      </c>
      <c r="AF107" s="346" t="s">
        <v>565</v>
      </c>
      <c r="AG107">
        <f>COUNTIFS(D:D,"DA",I:I,"S3")</f>
        <v>4</v>
      </c>
      <c r="AH107">
        <f>COUNTIFS(D:D,"DA",E:E,"POS",I:I,"S3")</f>
        <v>2</v>
      </c>
      <c r="AI107">
        <f>COUNTIFS(D:D,"DA",E:E,"NEG",I:I,"S3")</f>
        <v>2</v>
      </c>
      <c r="AT107" s="346" t="s">
        <v>565</v>
      </c>
      <c r="AU107">
        <f>COUNTIFS(D:D,"AD",I:I,"S3")</f>
        <v>19</v>
      </c>
      <c r="AV107">
        <f>COUNTIFS(D:D,"AD",E:E,"POS",I:I,"S3")</f>
        <v>7</v>
      </c>
      <c r="AW107">
        <f>COUNTIFS(D:D,"AD",E:E,"NEG",I:I,"S3")</f>
        <v>12</v>
      </c>
    </row>
    <row r="108" spans="1:56">
      <c r="A108" s="346" t="s">
        <v>590</v>
      </c>
      <c r="B108" s="346" t="s">
        <v>701</v>
      </c>
      <c r="C108" s="346">
        <v>2359360</v>
      </c>
      <c r="D108" s="346" t="s">
        <v>1</v>
      </c>
      <c r="E108" s="346" t="s">
        <v>6</v>
      </c>
      <c r="F108" s="346" t="s">
        <v>9</v>
      </c>
      <c r="G108" s="346"/>
      <c r="H108" s="346"/>
      <c r="I108" s="346"/>
      <c r="J108" s="346"/>
      <c r="K108" s="346"/>
      <c r="L108" s="346"/>
      <c r="M108" s="346" t="s">
        <v>164</v>
      </c>
      <c r="N108" s="346"/>
      <c r="O108" s="346"/>
      <c r="P108" s="346"/>
      <c r="Q108" s="346"/>
      <c r="R108" s="346"/>
      <c r="S108" s="346"/>
      <c r="T108" s="346">
        <v>9120</v>
      </c>
      <c r="U108" s="346"/>
      <c r="V108" s="346"/>
      <c r="X108" s="115">
        <f t="shared" si="26"/>
        <v>-12</v>
      </c>
      <c r="Y108" s="115">
        <f t="shared" si="27"/>
        <v>-18</v>
      </c>
      <c r="Z108" s="115" t="e">
        <f t="shared" si="28"/>
        <v>#VALUE!</v>
      </c>
      <c r="AA108" s="115">
        <f t="shared" si="29"/>
        <v>9.1199999999999992</v>
      </c>
      <c r="AB108" s="246">
        <f t="shared" si="31"/>
        <v>39</v>
      </c>
    </row>
    <row r="109" spans="1:56">
      <c r="A109" s="346" t="s">
        <v>590</v>
      </c>
      <c r="B109" s="346" t="s">
        <v>702</v>
      </c>
      <c r="C109" s="346">
        <v>2361480</v>
      </c>
      <c r="D109" s="346" t="s">
        <v>1</v>
      </c>
      <c r="E109" s="346" t="s">
        <v>6</v>
      </c>
      <c r="F109" s="346" t="s">
        <v>703</v>
      </c>
      <c r="G109" s="346"/>
      <c r="H109" s="346"/>
      <c r="I109" s="346"/>
      <c r="J109" s="346"/>
      <c r="K109" s="346"/>
      <c r="L109" s="346"/>
      <c r="M109" s="346"/>
      <c r="N109" s="346"/>
      <c r="O109" s="346"/>
      <c r="P109" s="346"/>
      <c r="Q109" s="346"/>
      <c r="R109" s="346"/>
      <c r="S109" s="346"/>
      <c r="T109" s="346">
        <v>43680</v>
      </c>
      <c r="U109" s="346"/>
      <c r="V109" s="346"/>
      <c r="X109" s="115">
        <f t="shared" si="26"/>
        <v>-20</v>
      </c>
      <c r="Y109" s="115">
        <f t="shared" si="27"/>
        <v>-32</v>
      </c>
      <c r="Z109" s="115" t="e">
        <f t="shared" si="28"/>
        <v>#VALUE!</v>
      </c>
      <c r="AA109" s="115">
        <f t="shared" si="29"/>
        <v>43.68</v>
      </c>
      <c r="AB109" s="246">
        <f t="shared" si="31"/>
        <v>39</v>
      </c>
    </row>
    <row r="110" spans="1:56">
      <c r="A110" s="346" t="s">
        <v>590</v>
      </c>
      <c r="B110" s="346" t="s">
        <v>704</v>
      </c>
      <c r="C110" s="346">
        <v>2401520</v>
      </c>
      <c r="D110" s="346" t="s">
        <v>5</v>
      </c>
      <c r="E110" s="346" t="s">
        <v>6</v>
      </c>
      <c r="F110" s="346" t="s">
        <v>3</v>
      </c>
      <c r="G110" s="346"/>
      <c r="H110" s="346"/>
      <c r="I110" s="346" t="s">
        <v>595</v>
      </c>
      <c r="J110" s="346"/>
      <c r="K110" s="346"/>
      <c r="L110" s="346"/>
      <c r="M110" s="346"/>
      <c r="N110" s="346"/>
      <c r="O110" s="346"/>
      <c r="P110" s="346"/>
      <c r="Q110" s="346"/>
      <c r="R110" s="346"/>
      <c r="S110" s="346"/>
      <c r="T110" s="346">
        <v>13640</v>
      </c>
      <c r="U110" s="346"/>
      <c r="V110" s="346"/>
      <c r="X110" s="115">
        <f t="shared" si="26"/>
        <v>1</v>
      </c>
      <c r="Y110" s="115">
        <f t="shared" si="27"/>
        <v>-19</v>
      </c>
      <c r="Z110" s="115" t="e">
        <f t="shared" si="28"/>
        <v>#VALUE!</v>
      </c>
      <c r="AA110" s="115">
        <f t="shared" si="29"/>
        <v>13.64</v>
      </c>
      <c r="AB110" s="246">
        <f t="shared" si="31"/>
        <v>40</v>
      </c>
      <c r="AF110" t="s">
        <v>40</v>
      </c>
      <c r="AT110" t="s">
        <v>40</v>
      </c>
    </row>
    <row r="111" spans="1:56">
      <c r="A111" s="346" t="s">
        <v>590</v>
      </c>
      <c r="B111" s="346" t="s">
        <v>705</v>
      </c>
      <c r="C111" s="346">
        <v>2400520</v>
      </c>
      <c r="D111" s="346" t="s">
        <v>17</v>
      </c>
      <c r="E111" s="346" t="s">
        <v>2</v>
      </c>
      <c r="F111" s="346" t="s">
        <v>156</v>
      </c>
      <c r="G111" s="346"/>
      <c r="H111" s="346"/>
      <c r="I111" s="346" t="s">
        <v>561</v>
      </c>
      <c r="J111" s="346"/>
      <c r="K111" s="346"/>
      <c r="L111" s="346" t="s">
        <v>577</v>
      </c>
      <c r="M111" s="346"/>
      <c r="N111" s="346"/>
      <c r="O111" s="346"/>
      <c r="P111" s="346"/>
      <c r="Q111" s="346"/>
      <c r="R111" s="346"/>
      <c r="S111" s="346"/>
      <c r="T111" s="346">
        <v>18760</v>
      </c>
      <c r="U111" s="346"/>
      <c r="V111" s="346"/>
      <c r="X111" s="115">
        <f t="shared" si="26"/>
        <v>1</v>
      </c>
      <c r="Y111" s="115">
        <f t="shared" si="27"/>
        <v>2</v>
      </c>
      <c r="Z111" s="115" t="e">
        <f t="shared" si="28"/>
        <v>#VALUE!</v>
      </c>
      <c r="AA111" s="115">
        <f t="shared" si="29"/>
        <v>18.760000000000002</v>
      </c>
      <c r="AB111" s="246">
        <f>IF(ROUND(C111/60000,0)=0,1,ROUND(C111/60000,0))</f>
        <v>40</v>
      </c>
      <c r="AE111" t="s">
        <v>5</v>
      </c>
      <c r="AF111">
        <f>COUNTIFS(D:D,"AA",F:F,"WINSTAN",E:E,"NEG")</f>
        <v>0</v>
      </c>
      <c r="AS111" t="s">
        <v>1</v>
      </c>
      <c r="AT111">
        <f>COUNTIFS(D:D,"DD",F:F,"WINSTAN",E:E,"POS")</f>
        <v>0</v>
      </c>
    </row>
    <row r="112" spans="1:56">
      <c r="A112" s="346" t="s">
        <v>590</v>
      </c>
      <c r="B112" s="346" t="s">
        <v>706</v>
      </c>
      <c r="C112" s="346">
        <v>2416680</v>
      </c>
      <c r="D112" s="346" t="s">
        <v>5</v>
      </c>
      <c r="E112" s="346" t="s">
        <v>6</v>
      </c>
      <c r="F112" s="346" t="s">
        <v>3</v>
      </c>
      <c r="G112" s="346" t="s">
        <v>29</v>
      </c>
      <c r="H112" s="346"/>
      <c r="I112" s="346"/>
      <c r="J112" s="346"/>
      <c r="K112" s="346"/>
      <c r="L112" s="346"/>
      <c r="M112" s="346"/>
      <c r="N112" s="346"/>
      <c r="O112" s="346"/>
      <c r="P112" s="346"/>
      <c r="Q112" s="346"/>
      <c r="R112" s="346"/>
      <c r="S112" s="346"/>
      <c r="T112" s="346">
        <v>18040</v>
      </c>
      <c r="U112" s="346"/>
      <c r="V112" s="346"/>
      <c r="X112" s="115">
        <f t="shared" si="26"/>
        <v>1</v>
      </c>
      <c r="Y112" s="115">
        <f t="shared" si="27"/>
        <v>2</v>
      </c>
      <c r="Z112" s="115" t="e">
        <f t="shared" si="28"/>
        <v>#VALUE!</v>
      </c>
      <c r="AA112" s="115">
        <f t="shared" si="29"/>
        <v>18.04</v>
      </c>
      <c r="AB112" s="246">
        <f t="shared" si="31"/>
        <v>40</v>
      </c>
      <c r="AE112" t="s">
        <v>14</v>
      </c>
      <c r="AF112">
        <f>COUNTIFS(D:D,"DA",F:F,"WINSTAN",E:E,"NEG")</f>
        <v>0</v>
      </c>
      <c r="AS112" t="s">
        <v>17</v>
      </c>
      <c r="AT112">
        <f>COUNTIFS(D:D,"AD",F:F,"WINSTAN",E:E,"POS")</f>
        <v>0</v>
      </c>
    </row>
    <row r="113" spans="1:66">
      <c r="A113" s="346" t="s">
        <v>590</v>
      </c>
      <c r="B113" s="346" t="s">
        <v>707</v>
      </c>
      <c r="C113" s="346">
        <v>2422720</v>
      </c>
      <c r="D113" s="346" t="s">
        <v>17</v>
      </c>
      <c r="E113" s="346" t="s">
        <v>6</v>
      </c>
      <c r="F113" s="346" t="s">
        <v>8</v>
      </c>
      <c r="G113" s="346"/>
      <c r="H113" s="346"/>
      <c r="I113" s="346" t="s">
        <v>565</v>
      </c>
      <c r="J113" s="346"/>
      <c r="K113" s="346"/>
      <c r="L113" s="346" t="s">
        <v>559</v>
      </c>
      <c r="M113" s="346"/>
      <c r="N113" s="346"/>
      <c r="O113" s="346"/>
      <c r="P113" s="346"/>
      <c r="Q113" s="346"/>
      <c r="R113" s="346"/>
      <c r="S113" s="346"/>
      <c r="T113" s="346">
        <v>31000</v>
      </c>
      <c r="U113" s="346"/>
      <c r="V113" s="346"/>
      <c r="X113" s="115">
        <f t="shared" si="26"/>
        <v>-10</v>
      </c>
      <c r="Y113" s="115">
        <f t="shared" si="27"/>
        <v>-9</v>
      </c>
      <c r="Z113" s="115" t="e">
        <f t="shared" si="28"/>
        <v>#VALUE!</v>
      </c>
      <c r="AA113" s="115">
        <f t="shared" si="29"/>
        <v>31</v>
      </c>
      <c r="AB113" s="246">
        <f>IF(ROUND(C113/60000,0)=0,1,ROUND(C113/60000,0))</f>
        <v>40</v>
      </c>
    </row>
    <row r="114" spans="1:66">
      <c r="A114" s="346" t="s">
        <v>590</v>
      </c>
      <c r="B114" s="346" t="s">
        <v>708</v>
      </c>
      <c r="C114" s="346">
        <v>2450400</v>
      </c>
      <c r="D114" s="346" t="s">
        <v>5</v>
      </c>
      <c r="E114" s="346" t="s">
        <v>6</v>
      </c>
      <c r="F114" s="346" t="s">
        <v>3</v>
      </c>
      <c r="G114" s="346" t="s">
        <v>25</v>
      </c>
      <c r="H114" s="346"/>
      <c r="I114" s="346" t="s">
        <v>595</v>
      </c>
      <c r="J114" s="346"/>
      <c r="K114" s="346"/>
      <c r="L114" s="346"/>
      <c r="M114" s="346"/>
      <c r="N114" s="346"/>
      <c r="O114" s="346"/>
      <c r="P114" s="346"/>
      <c r="Q114" s="346"/>
      <c r="R114" s="346"/>
      <c r="S114" s="346"/>
      <c r="T114" s="346">
        <v>17240</v>
      </c>
      <c r="U114" s="346"/>
      <c r="V114" s="346"/>
      <c r="X114" s="115">
        <f t="shared" si="26"/>
        <v>1</v>
      </c>
      <c r="Y114" s="115">
        <f t="shared" si="27"/>
        <v>-9</v>
      </c>
      <c r="Z114" s="115" t="e">
        <f t="shared" si="28"/>
        <v>#VALUE!</v>
      </c>
      <c r="AA114" s="115">
        <f t="shared" si="29"/>
        <v>17.239999999999998</v>
      </c>
      <c r="AB114" s="246">
        <f t="shared" ref="AB114:AB117" si="32">IF(ROUND(C114/60000,0)=0,1,ROUND(C114/60000,0))</f>
        <v>41</v>
      </c>
    </row>
    <row r="115" spans="1:66">
      <c r="A115" s="346" t="s">
        <v>590</v>
      </c>
      <c r="B115" s="346" t="s">
        <v>709</v>
      </c>
      <c r="C115" s="346">
        <v>2452800</v>
      </c>
      <c r="D115" s="346" t="s">
        <v>17</v>
      </c>
      <c r="E115" s="346" t="s">
        <v>6</v>
      </c>
      <c r="F115" s="346" t="s">
        <v>3</v>
      </c>
      <c r="G115" s="346"/>
      <c r="H115" s="346"/>
      <c r="I115" s="346" t="s">
        <v>561</v>
      </c>
      <c r="J115" s="346"/>
      <c r="K115" s="346"/>
      <c r="L115" s="346" t="s">
        <v>562</v>
      </c>
      <c r="M115" s="346"/>
      <c r="N115" s="346"/>
      <c r="O115" s="346"/>
      <c r="P115" s="346"/>
      <c r="Q115" s="346"/>
      <c r="R115" s="346"/>
      <c r="S115" s="346"/>
      <c r="T115" s="346">
        <v>25080</v>
      </c>
      <c r="U115" s="346"/>
      <c r="V115" s="346"/>
      <c r="X115" s="115">
        <f t="shared" si="26"/>
        <v>1</v>
      </c>
      <c r="Y115" s="115">
        <f t="shared" si="27"/>
        <v>2</v>
      </c>
      <c r="Z115" s="115" t="e">
        <f t="shared" si="28"/>
        <v>#VALUE!</v>
      </c>
      <c r="AA115" s="115">
        <f t="shared" si="29"/>
        <v>25.08</v>
      </c>
      <c r="AB115" s="246">
        <f t="shared" si="32"/>
        <v>41</v>
      </c>
      <c r="AG115" t="s">
        <v>41</v>
      </c>
      <c r="AH115" t="s">
        <v>405</v>
      </c>
      <c r="AI115" t="s">
        <v>401</v>
      </c>
      <c r="AJ115" s="346" t="s">
        <v>703</v>
      </c>
      <c r="AK115" s="346" t="s">
        <v>723</v>
      </c>
      <c r="AL115" t="s">
        <v>9</v>
      </c>
      <c r="AM115" t="s">
        <v>8</v>
      </c>
      <c r="AN115" t="s">
        <v>19</v>
      </c>
      <c r="AO115" t="s">
        <v>404</v>
      </c>
      <c r="AP115" s="115" t="s">
        <v>403</v>
      </c>
      <c r="AQ115" t="s">
        <v>7</v>
      </c>
      <c r="AR115" t="s">
        <v>163</v>
      </c>
      <c r="AS115" t="s">
        <v>310</v>
      </c>
      <c r="AT115" t="s">
        <v>156</v>
      </c>
      <c r="AU115" t="s">
        <v>3</v>
      </c>
      <c r="AW115" s="115"/>
      <c r="AX115" s="29"/>
      <c r="AY115" s="29"/>
      <c r="AZ115" s="115" t="s">
        <v>41</v>
      </c>
      <c r="BA115" t="s">
        <v>405</v>
      </c>
      <c r="BB115" s="115" t="s">
        <v>401</v>
      </c>
      <c r="BC115" s="346" t="s">
        <v>703</v>
      </c>
      <c r="BD115" s="346" t="s">
        <v>723</v>
      </c>
      <c r="BE115" s="115" t="s">
        <v>9</v>
      </c>
      <c r="BF115" s="115" t="s">
        <v>8</v>
      </c>
      <c r="BG115" s="115" t="s">
        <v>19</v>
      </c>
      <c r="BH115" s="115" t="s">
        <v>404</v>
      </c>
      <c r="BI115" s="115" t="s">
        <v>403</v>
      </c>
      <c r="BJ115" s="29" t="s">
        <v>7</v>
      </c>
      <c r="BK115" t="s">
        <v>163</v>
      </c>
      <c r="BL115" t="s">
        <v>310</v>
      </c>
      <c r="BM115" t="s">
        <v>156</v>
      </c>
      <c r="BN115" s="29" t="s">
        <v>3</v>
      </c>
    </row>
    <row r="116" spans="1:66">
      <c r="A116" s="346" t="s">
        <v>590</v>
      </c>
      <c r="B116" s="346" t="s">
        <v>710</v>
      </c>
      <c r="C116" s="346">
        <v>2470880</v>
      </c>
      <c r="D116" s="346" t="s">
        <v>1</v>
      </c>
      <c r="E116" s="346" t="s">
        <v>2</v>
      </c>
      <c r="F116" s="346" t="s">
        <v>156</v>
      </c>
      <c r="G116" s="346"/>
      <c r="H116" s="346"/>
      <c r="I116" s="346" t="s">
        <v>595</v>
      </c>
      <c r="J116" s="346"/>
      <c r="K116" s="346"/>
      <c r="L116" s="346"/>
      <c r="M116" s="346"/>
      <c r="N116" s="346"/>
      <c r="O116" s="346"/>
      <c r="P116" s="346"/>
      <c r="Q116" s="346"/>
      <c r="R116" s="346"/>
      <c r="S116" s="346"/>
      <c r="T116" s="346">
        <v>31520</v>
      </c>
      <c r="U116" s="346"/>
      <c r="V116" s="346"/>
      <c r="X116" s="115">
        <f t="shared" si="26"/>
        <v>1</v>
      </c>
      <c r="Y116" s="115">
        <f t="shared" si="27"/>
        <v>2</v>
      </c>
      <c r="Z116" s="115" t="e">
        <f t="shared" si="28"/>
        <v>#VALUE!</v>
      </c>
      <c r="AA116" s="115">
        <f t="shared" si="29"/>
        <v>31.52</v>
      </c>
      <c r="AB116" s="246">
        <f t="shared" si="32"/>
        <v>41</v>
      </c>
      <c r="AE116" t="s">
        <v>37</v>
      </c>
      <c r="AF116" t="s">
        <v>11</v>
      </c>
      <c r="AG116" s="115">
        <f>COUNTIFS(D:D,"AA",H:H,"SHORT",G:G,"",M:M,"")</f>
        <v>0</v>
      </c>
      <c r="AH116" s="153" t="e">
        <f>AG116/AG$119</f>
        <v>#DIV/0!</v>
      </c>
      <c r="AI116" s="246" t="e">
        <f>AG116/#REF!</f>
        <v>#REF!</v>
      </c>
      <c r="AJ116">
        <f>COUNTIFS(D:D,"AA",H:H,"SHORT",F:F,"ATONGOAL",G:G,"",M:M,"")</f>
        <v>0</v>
      </c>
      <c r="AK116" s="153" t="e">
        <f>AJ116/AG116</f>
        <v>#DIV/0!</v>
      </c>
      <c r="AL116">
        <f>COUNTIFS(D:D,"AA",H:H,"SHORT",F:F,"ATON",G:G,"",M:M,"")</f>
        <v>0</v>
      </c>
      <c r="AM116">
        <f>COUNTIFS(D:D,"AA",H:H,"SHORT",F:F,"ATOF",G:G,"",M:M,"")</f>
        <v>0</v>
      </c>
      <c r="AN116">
        <f>COUNTIFS(D:D,"AA",H:H,"SHORT",F:F,"ATBK",G:G,"",M:M,"")</f>
        <v>0</v>
      </c>
      <c r="AO116">
        <f>SUM(AJ116,AL116:AN116)</f>
        <v>0</v>
      </c>
      <c r="AP116" s="153" t="e">
        <f>AO116/AG116</f>
        <v>#DIV/0!</v>
      </c>
      <c r="AQ116">
        <f>COUNTIFS(D:D,"AA",H:H,"SHORT",F:F,"WINSTAN",G:G,"",E:E,"POS",M:M,"")</f>
        <v>0</v>
      </c>
      <c r="AR116" s="115">
        <f>COUNTIFS(D:D,"AA",H:H,"SHORT",F:F,"WINSTANTI",G:G,"",E:E,"POS",M:M,"")</f>
        <v>0</v>
      </c>
      <c r="AS116" s="115">
        <f>COUNTIFS(D:D,"AA",H:H,"SHORT",F:F,"ENTRY",G:G,"",E:E,"POS",M:M,"")</f>
        <v>0</v>
      </c>
      <c r="AT116" s="115">
        <f>COUNTIFS(D:D,"AA",H:H,"SHORT",F:F,"KEEPOS",G:G,"",M:M,"")</f>
        <v>0</v>
      </c>
      <c r="AU116">
        <f>COUNTIFS(D:D,"AA",H:H,"SHORT",E:E,"NEG",G:G,"",M:M,"")</f>
        <v>0</v>
      </c>
      <c r="AW116" s="115"/>
      <c r="AX116" s="29" t="s">
        <v>1</v>
      </c>
      <c r="AY116" s="29" t="s">
        <v>11</v>
      </c>
      <c r="AZ116" s="115">
        <f>COUNTIFS(D:D,"DD",H:H,"SHORT",G:G,"",M:M,"")</f>
        <v>0</v>
      </c>
      <c r="BA116" s="153" t="e">
        <f>AZ116/AZ$119</f>
        <v>#DIV/0!</v>
      </c>
      <c r="BB116" s="246" t="e">
        <f>AZ116/#REF!</f>
        <v>#REF!</v>
      </c>
      <c r="BC116" s="29">
        <f>COUNTIFS(D:D,"DD",H:H,"SHORT",F:F,"ATONGOAL",G:G,"",M:M,"")</f>
        <v>0</v>
      </c>
      <c r="BD116" s="153" t="e">
        <f>BC116/AZ116</f>
        <v>#DIV/0!</v>
      </c>
      <c r="BE116" s="29">
        <f>COUNTIFS(D:D,"DD",H:H,"SHORT",F:F,"ATON",G:G,"",M:M,"")</f>
        <v>0</v>
      </c>
      <c r="BF116" s="29">
        <f>COUNTIFS(D:D,"DD",H:H,"SHORT",F:F,"ATOF",G:G,"",M:M,"")</f>
        <v>0</v>
      </c>
      <c r="BG116" s="29">
        <f>COUNTIFS(D:D,"DD",H:H,"SHORT",F:F,"ATBK",G:G,"",M:M,"")</f>
        <v>0</v>
      </c>
      <c r="BH116">
        <f>SUM(BC116,BE116:BG116)</f>
        <v>0</v>
      </c>
      <c r="BI116" s="153" t="e">
        <f>BH116/AZ116</f>
        <v>#DIV/0!</v>
      </c>
      <c r="BJ116" s="29">
        <f>COUNTIFS(D:D,"DD",H:H,"SHORT",F:F,"WINSTAN",G:G,"",E:E,"NEG",M:M,"")</f>
        <v>0</v>
      </c>
      <c r="BK116" s="115">
        <f>COUNTIFS(D:D,"DD",H:H,"SHORT",F:F,"WINSTANTI",G:G,"",E:E,"NEG",M:M,"")</f>
        <v>0</v>
      </c>
      <c r="BL116" s="115">
        <f>COUNTIFS(D:D,"DD",H:H,"SHORT",F:F,"ENTRY",G:G,"",E:E,"NEG",M:M,"")</f>
        <v>0</v>
      </c>
      <c r="BM116" s="115">
        <f>COUNTIFS(D:D,"DD",H:H,"SHORT",F:F,"KEEPOS",G:G,"",M:M,"")</f>
        <v>0</v>
      </c>
      <c r="BN116" s="29">
        <f>COUNTIFS(D:D,"DD",H:H,"SHORT",E:E,"POS",G:G,"",M:M,"")</f>
        <v>0</v>
      </c>
    </row>
    <row r="117" spans="1:66">
      <c r="A117" s="346" t="s">
        <v>590</v>
      </c>
      <c r="B117" s="346" t="s">
        <v>711</v>
      </c>
      <c r="C117" s="346">
        <v>2509880</v>
      </c>
      <c r="D117" s="346" t="s">
        <v>5</v>
      </c>
      <c r="E117" s="346" t="s">
        <v>6</v>
      </c>
      <c r="F117" s="346" t="s">
        <v>3</v>
      </c>
      <c r="G117" s="346"/>
      <c r="H117" s="346"/>
      <c r="I117" s="346" t="s">
        <v>595</v>
      </c>
      <c r="J117" s="346"/>
      <c r="K117" s="346"/>
      <c r="L117" s="346"/>
      <c r="M117" s="346"/>
      <c r="N117" s="346"/>
      <c r="O117" s="346"/>
      <c r="P117" s="346"/>
      <c r="Q117" s="346"/>
      <c r="R117" s="346"/>
      <c r="S117" s="346"/>
      <c r="T117" s="346">
        <v>22280</v>
      </c>
      <c r="U117" s="346"/>
      <c r="V117" s="346"/>
      <c r="X117" s="115">
        <f t="shared" si="26"/>
        <v>1</v>
      </c>
      <c r="Y117" s="115">
        <f t="shared" si="27"/>
        <v>2</v>
      </c>
      <c r="Z117" s="115" t="e">
        <f t="shared" si="28"/>
        <v>#VALUE!</v>
      </c>
      <c r="AA117" s="115">
        <f t="shared" si="29"/>
        <v>22.28</v>
      </c>
      <c r="AB117" s="246">
        <f t="shared" si="32"/>
        <v>42</v>
      </c>
      <c r="AF117" t="s">
        <v>23</v>
      </c>
      <c r="AG117" s="115">
        <f>COUNTIFS(D:D,"AA",H:H,"SHORTLONG",G:G,"",M:M,"")</f>
        <v>0</v>
      </c>
      <c r="AH117" s="153" t="e">
        <f t="shared" ref="AH117:AH118" si="33">AG117/AG$119</f>
        <v>#DIV/0!</v>
      </c>
      <c r="AI117" s="246" t="e">
        <f>AG117/#REF!</f>
        <v>#REF!</v>
      </c>
      <c r="AJ117">
        <f>COUNTIFS(D:D,"AA",H:H,"SHORTLONG",F:F,"ATONGOAL",G:G,"",M:M,"")</f>
        <v>0</v>
      </c>
      <c r="AK117" s="153" t="e">
        <f>AJ117/AG117</f>
        <v>#DIV/0!</v>
      </c>
      <c r="AL117">
        <f>COUNTIFS(D:D,"AA",H:H,"SHORTLONG",F:F,"ATON",G:G,"",M:M,"")</f>
        <v>0</v>
      </c>
      <c r="AM117">
        <f>COUNTIFS(D:D,"AA",H:H,"SHORTLONG",F:F,"ATOF",G:G,"",M:M,"")</f>
        <v>0</v>
      </c>
      <c r="AN117">
        <f>COUNTIFS(D:D,"AA",H:H,"SHORTLONG",F:F,"ATBK",G:G,"",M:M,"")</f>
        <v>0</v>
      </c>
      <c r="AO117" s="115">
        <f t="shared" ref="AO117:AO119" si="34">SUM(AJ117,AL117:AN117)</f>
        <v>0</v>
      </c>
      <c r="AP117" s="153" t="e">
        <f>AO117/AG117</f>
        <v>#DIV/0!</v>
      </c>
      <c r="AQ117">
        <f>COUNTIFS(D:D,"AA",H:H,"SHORTLONG",F:F,"WINSTAN",G:G,"",E:E,"POS",M:M,"")</f>
        <v>0</v>
      </c>
      <c r="AR117" s="115">
        <f>COUNTIFS(D:D,"AA",H:H,"SHORTLONG",F:F,"WINSTANTI",G:G,"",E:E,"POS",M:M,"")</f>
        <v>0</v>
      </c>
      <c r="AS117" s="115">
        <f>COUNTIFS(D:D,"AA",H:H,"SHORTLONG",F:F,"ENTRY",G:G,"",E:E,"POS",M:M,"")</f>
        <v>0</v>
      </c>
      <c r="AT117" s="115">
        <f>COUNTIFS(D:D,"AA",H:H,"SHORTLONG",F:F,"KEEPOS",G:G,"",M:M,"")</f>
        <v>0</v>
      </c>
      <c r="AU117">
        <f>COUNTIFS(D:D,"AA",H:H,"SHORTLONG",E:E,"NEG",G:G,"",M:M,"")</f>
        <v>0</v>
      </c>
      <c r="AW117" s="115"/>
      <c r="AX117" s="29"/>
      <c r="AY117" s="29" t="s">
        <v>23</v>
      </c>
      <c r="AZ117" s="115">
        <f>COUNTIFS(D:D,"DD",H:H,"SHORTLONG",G:G,"",M:M,"")</f>
        <v>0</v>
      </c>
      <c r="BA117" s="153" t="e">
        <f t="shared" ref="BA117:BA118" si="35">AZ117/AZ$119</f>
        <v>#DIV/0!</v>
      </c>
      <c r="BB117" s="246" t="e">
        <f>AZ117/#REF!</f>
        <v>#REF!</v>
      </c>
      <c r="BC117" s="29">
        <f>COUNTIFS(D:D,"DD",H:H,"SHORTLONG",F:F,"ATONGOAL",G:G,"",M:M,"")</f>
        <v>0</v>
      </c>
      <c r="BD117" s="153" t="e">
        <f>BC117/AZ117</f>
        <v>#DIV/0!</v>
      </c>
      <c r="BE117" s="29">
        <f>COUNTIFS(D:D,"DD",H:H,"SHORTLONG",F:F,"ATON",G:G,"",M:M,"")</f>
        <v>0</v>
      </c>
      <c r="BF117" s="29">
        <f>COUNTIFS(D:D,"DD",H:H,"SHORTLONG",F:F,"ATOF",G:G,"",M:M,"")</f>
        <v>0</v>
      </c>
      <c r="BG117" s="29">
        <f>COUNTIFS(D:D,"DD",H:H,"SHORTLONG",F:F,"ATBK",G:G,"",M:M,"")</f>
        <v>0</v>
      </c>
      <c r="BH117" s="115">
        <f t="shared" ref="BH117:BH118" si="36">SUM(BC117,BE117:BG117)</f>
        <v>0</v>
      </c>
      <c r="BI117" s="153" t="e">
        <f>BH117/AZ117</f>
        <v>#DIV/0!</v>
      </c>
      <c r="BJ117" s="29">
        <f>COUNTIFS(D:D,"DD",H:H,"SHORTLONG",F:F,"WINSTAN",G:G,"",E:E,"NEG",M:M,"")</f>
        <v>0</v>
      </c>
      <c r="BK117" s="115">
        <f>COUNTIFS(D:D,"DD",H:H,"SHORTLONG",F:F,"WINSTANTI",G:G,"",E:E,"NEG",M:M,"")</f>
        <v>0</v>
      </c>
      <c r="BL117" s="115">
        <f>COUNTIFS(D:D,"DD",H:H,"SHORTLONG",F:F,"ENTRY",G:G,"",E:E,"NEG",M:M,"")</f>
        <v>0</v>
      </c>
      <c r="BM117" s="115">
        <f>COUNTIFS(D:D,"DD",H:H,"SHORTLONG",F:F,"KEEPOS",G:G,"",M:M,"")</f>
        <v>0</v>
      </c>
      <c r="BN117" s="29">
        <f>COUNTIFS(D:D,"DD",H:H,"SHORTLONG",E:E,"POS",G:G,"",M:M,"")</f>
        <v>0</v>
      </c>
    </row>
    <row r="118" spans="1:66">
      <c r="A118" s="346" t="s">
        <v>591</v>
      </c>
      <c r="B118" s="346" t="s">
        <v>597</v>
      </c>
      <c r="C118" s="346">
        <v>0</v>
      </c>
      <c r="D118" s="346" t="s">
        <v>1</v>
      </c>
      <c r="E118" s="346" t="s">
        <v>2</v>
      </c>
      <c r="F118" s="346" t="s">
        <v>156</v>
      </c>
      <c r="G118" s="346"/>
      <c r="H118" s="346"/>
      <c r="I118" s="346" t="s">
        <v>595</v>
      </c>
      <c r="J118" s="346"/>
      <c r="K118" s="346"/>
      <c r="L118" s="346"/>
      <c r="M118" s="346"/>
      <c r="N118" s="346"/>
      <c r="O118" s="346"/>
      <c r="P118" s="346"/>
      <c r="Q118" s="346"/>
      <c r="R118" s="346"/>
      <c r="S118" s="346"/>
      <c r="T118" s="346">
        <v>23040</v>
      </c>
      <c r="X118" s="115">
        <f t="shared" si="26"/>
        <v>1</v>
      </c>
      <c r="Y118" s="115">
        <f t="shared" si="27"/>
        <v>2</v>
      </c>
      <c r="Z118" s="115" t="e">
        <f t="shared" si="28"/>
        <v>#VALUE!</v>
      </c>
      <c r="AA118" s="115">
        <f t="shared" si="29"/>
        <v>23.04</v>
      </c>
      <c r="AB118" s="246">
        <f>IF(ROUND(C118/60000,0)=0,1,ROUND(C118/60000,0))+40</f>
        <v>41</v>
      </c>
      <c r="AF118" t="s">
        <v>18</v>
      </c>
      <c r="AG118" s="115">
        <f>COUNTIFS(D:D,"AA",H:H,"LONG",G:G,"",M:M,"")</f>
        <v>0</v>
      </c>
      <c r="AH118" s="153" t="e">
        <f t="shared" si="33"/>
        <v>#DIV/0!</v>
      </c>
      <c r="AI118" s="246" t="e">
        <f>AG118/#REF!</f>
        <v>#REF!</v>
      </c>
      <c r="AJ118">
        <f>COUNTIFS(D:D,"AA",H:H,"LONG",F:F,"ATONGOAL",G:G,"",M:M,"")</f>
        <v>0</v>
      </c>
      <c r="AK118" s="153" t="e">
        <f>AJ118/AG118</f>
        <v>#DIV/0!</v>
      </c>
      <c r="AL118">
        <f>COUNTIFS(D:D,"AA",H:H,"LONG",F:F,"ATON",G:G,"",M:M,"")</f>
        <v>0</v>
      </c>
      <c r="AM118">
        <f>COUNTIFS(D:D,"AA",H:H,"LONG",F:F,"ATOF",G:G,"",M:M,"")</f>
        <v>0</v>
      </c>
      <c r="AN118">
        <f>COUNTIFS(D:D,"AA",H:H,"LONG",F:F,"ATBK",G:G,"",M:M,"")</f>
        <v>0</v>
      </c>
      <c r="AO118" s="115">
        <f t="shared" si="34"/>
        <v>0</v>
      </c>
      <c r="AP118" s="153" t="e">
        <f>AO118/AG118</f>
        <v>#DIV/0!</v>
      </c>
      <c r="AQ118">
        <f>COUNTIFS(D:D,"AA",H:H,"LONG",F:F,"WINSTAN",G:G,"",E:E,"POS",M:M,"")</f>
        <v>0</v>
      </c>
      <c r="AR118" s="115">
        <f>COUNTIFS(D:D,"AA",H:H,"LONG",F:F,"WINSTANTI",G:G,"",E:E,"POS",M:M,"")</f>
        <v>0</v>
      </c>
      <c r="AS118" s="115">
        <f>COUNTIFS(D:D,"AA",H:H,"LONG",F:F,"ENTRY",G:G,"",E:E,"POS",M:M,"")</f>
        <v>0</v>
      </c>
      <c r="AT118" s="115">
        <f>COUNTIFS(D:D,"AA",H:H,"LONG",F:F,"KEEPOS",G:G,"",M:M,"")</f>
        <v>0</v>
      </c>
      <c r="AU118">
        <f>COUNTIFS(D:D,"AA",H:H,"LONG",E:E,"NEG",G:G,"",M:M,"")</f>
        <v>0</v>
      </c>
      <c r="AW118" s="115"/>
      <c r="AX118" s="29"/>
      <c r="AY118" s="29" t="s">
        <v>18</v>
      </c>
      <c r="AZ118" s="115">
        <f>COUNTIFS(D:D,"DD",H:H,"LONG",G:G,"",M:M,"")</f>
        <v>0</v>
      </c>
      <c r="BA118" s="153" t="e">
        <f t="shared" si="35"/>
        <v>#DIV/0!</v>
      </c>
      <c r="BB118" s="246" t="e">
        <f>AZ118/#REF!</f>
        <v>#REF!</v>
      </c>
      <c r="BC118" s="29">
        <f>COUNTIFS(D:D,"DD",H:H,"LONG",F:F,"ATONGOAL",G:G,"",M:M,"")</f>
        <v>0</v>
      </c>
      <c r="BD118" s="153" t="e">
        <f>BC118/AZ118</f>
        <v>#DIV/0!</v>
      </c>
      <c r="BE118" s="29">
        <f>COUNTIFS(D:D,"DD",H:H,"LONG",F:F,"ATON",G:G,"",M:M,"")</f>
        <v>0</v>
      </c>
      <c r="BF118" s="29">
        <f>COUNTIFS(D:D,"DD",H:H,"LONG",F:F,"ATOF",G:G,"",M:M,"")</f>
        <v>0</v>
      </c>
      <c r="BG118" s="29">
        <f>COUNTIFS(D:D,"DD",H:H,"LONG",F:F,"ATBK",G:G,"",M:M,"")</f>
        <v>0</v>
      </c>
      <c r="BH118" s="115">
        <f t="shared" si="36"/>
        <v>0</v>
      </c>
      <c r="BI118" s="153" t="e">
        <f>BH118/AZ118</f>
        <v>#DIV/0!</v>
      </c>
      <c r="BJ118" s="29">
        <f>COUNTIFS(D:D,"DD",H:H,"LONG",F:F,"WINSTAN",G:G,"",E:E,"NEG",M:M,"")</f>
        <v>0</v>
      </c>
      <c r="BK118" s="115">
        <f>COUNTIFS(D:D,"DD",H:H,"LONG",F:F,"WINSTANTI",G:G,"",E:E,"NEG",M:M,"")</f>
        <v>0</v>
      </c>
      <c r="BL118" s="115">
        <f>COUNTIFS(D:D,"DD",H:H,"LONG",F:F,"ENTRY",G:G,"",E:E,"NEG",M:M,"")</f>
        <v>0</v>
      </c>
      <c r="BM118" s="115">
        <f>COUNTIFS(D:D,"DD",H:H,"LONG",F:F,"KEEPOS",G:G,"",M:M,"")</f>
        <v>0</v>
      </c>
      <c r="BN118" s="29">
        <f>COUNTIFS(D:D,"DD",H:H,"LONG",E:E,"POS",G:G,"",M:M,"")</f>
        <v>0</v>
      </c>
    </row>
    <row r="119" spans="1:66" s="115" customFormat="1">
      <c r="A119" s="346" t="s">
        <v>591</v>
      </c>
      <c r="B119" s="346" t="s">
        <v>594</v>
      </c>
      <c r="C119" s="346">
        <v>18680</v>
      </c>
      <c r="D119" s="346" t="s">
        <v>5</v>
      </c>
      <c r="E119" s="346" t="s">
        <v>6</v>
      </c>
      <c r="F119" s="346" t="s">
        <v>3</v>
      </c>
      <c r="G119" s="346" t="s">
        <v>29</v>
      </c>
      <c r="H119" s="346"/>
      <c r="I119" s="346"/>
      <c r="J119" s="346"/>
      <c r="K119" s="346"/>
      <c r="L119" s="346"/>
      <c r="M119" s="346"/>
      <c r="N119" s="346"/>
      <c r="O119" s="346"/>
      <c r="P119" s="346"/>
      <c r="Q119" s="346"/>
      <c r="R119" s="346"/>
      <c r="S119" s="346"/>
      <c r="T119" s="346">
        <v>15280</v>
      </c>
      <c r="X119" s="115">
        <f t="shared" si="26"/>
        <v>1</v>
      </c>
      <c r="Y119" s="115">
        <f t="shared" si="27"/>
        <v>2</v>
      </c>
      <c r="Z119" s="115" t="e">
        <f t="shared" si="28"/>
        <v>#VALUE!</v>
      </c>
      <c r="AA119" s="115">
        <f t="shared" si="29"/>
        <v>15.28</v>
      </c>
      <c r="AB119" s="246">
        <f t="shared" ref="AB119:AB182" si="37">IF(ROUND(C119/60000,0)=0,1,ROUND(C119/60000,0))+40</f>
        <v>41</v>
      </c>
      <c r="AF119" s="115" t="s">
        <v>45</v>
      </c>
      <c r="AG119" s="115">
        <f t="shared" ref="AG119" si="38">SUM(AG116:AG118)</f>
        <v>0</v>
      </c>
      <c r="AH119" s="153"/>
      <c r="AI119" s="246" t="e">
        <f>SUM(AI116:AI118)</f>
        <v>#REF!</v>
      </c>
      <c r="AJ119" s="115">
        <f>SUM(AJ116:AJ118)</f>
        <v>0</v>
      </c>
      <c r="AK119" s="153" t="e">
        <f>AJ119/AG119</f>
        <v>#DIV/0!</v>
      </c>
      <c r="AL119" s="115">
        <f>SUM(AL116:AL118)</f>
        <v>0</v>
      </c>
      <c r="AM119" s="115">
        <f>SUM(AM116:AM118)</f>
        <v>0</v>
      </c>
      <c r="AN119" s="115">
        <f>SUM(AN116:AN118)</f>
        <v>0</v>
      </c>
      <c r="AO119" s="115">
        <f t="shared" si="34"/>
        <v>0</v>
      </c>
      <c r="AP119" s="153" t="e">
        <f>AO119/AG119</f>
        <v>#DIV/0!</v>
      </c>
      <c r="AQ119" s="115">
        <f>SUM(AQ116:AQ118)</f>
        <v>0</v>
      </c>
      <c r="AR119" s="115">
        <f>SUM(AR116:AR118)</f>
        <v>0</v>
      </c>
      <c r="AS119" s="115">
        <f>SUM(AS116:AS118)</f>
        <v>0</v>
      </c>
      <c r="AT119" s="115">
        <f>SUM(AT116:AT118)</f>
        <v>0</v>
      </c>
      <c r="AU119" s="115">
        <f>SUM(AU116:AU118)</f>
        <v>0</v>
      </c>
      <c r="AY119" s="115" t="s">
        <v>45</v>
      </c>
      <c r="AZ119" s="115">
        <f>SUM(AZ116:AZ118)</f>
        <v>0</v>
      </c>
      <c r="BB119" s="246" t="e">
        <f>AZ119/#REF!</f>
        <v>#REF!</v>
      </c>
      <c r="BC119" s="115">
        <f t="shared" ref="BC119:BN119" si="39">SUM(BC116:BC118)</f>
        <v>0</v>
      </c>
      <c r="BD119" s="153" t="e">
        <f>BC119/AZ119</f>
        <v>#DIV/0!</v>
      </c>
      <c r="BE119" s="115">
        <f t="shared" si="39"/>
        <v>0</v>
      </c>
      <c r="BF119" s="115">
        <f t="shared" si="39"/>
        <v>0</v>
      </c>
      <c r="BG119" s="115">
        <f t="shared" si="39"/>
        <v>0</v>
      </c>
      <c r="BH119" s="115">
        <f>SUM(BC119,BE119:BG119)</f>
        <v>0</v>
      </c>
      <c r="BI119" s="153" t="e">
        <f>BH119/AZ119</f>
        <v>#DIV/0!</v>
      </c>
      <c r="BJ119" s="115">
        <f t="shared" si="39"/>
        <v>0</v>
      </c>
      <c r="BK119" s="115">
        <f t="shared" si="39"/>
        <v>0</v>
      </c>
      <c r="BL119" s="115">
        <f t="shared" si="39"/>
        <v>0</v>
      </c>
      <c r="BM119" s="115">
        <f t="shared" si="39"/>
        <v>0</v>
      </c>
      <c r="BN119" s="115">
        <f t="shared" si="39"/>
        <v>0</v>
      </c>
    </row>
    <row r="120" spans="1:66" s="115" customFormat="1">
      <c r="A120" s="346" t="s">
        <v>591</v>
      </c>
      <c r="B120" s="346" t="s">
        <v>596</v>
      </c>
      <c r="C120" s="346">
        <v>21960</v>
      </c>
      <c r="D120" s="346" t="s">
        <v>17</v>
      </c>
      <c r="E120" s="346" t="s">
        <v>2</v>
      </c>
      <c r="F120" s="346" t="s">
        <v>156</v>
      </c>
      <c r="G120" s="346"/>
      <c r="H120" s="346"/>
      <c r="I120" s="346" t="s">
        <v>565</v>
      </c>
      <c r="J120" s="346"/>
      <c r="K120" s="346"/>
      <c r="L120" s="346" t="s">
        <v>558</v>
      </c>
      <c r="M120" s="346"/>
      <c r="N120" s="346"/>
      <c r="O120" s="346"/>
      <c r="P120" s="346"/>
      <c r="Q120" s="346"/>
      <c r="R120" s="346"/>
      <c r="S120" s="346"/>
      <c r="T120" s="346">
        <v>19400</v>
      </c>
      <c r="X120" s="115">
        <f t="shared" si="26"/>
        <v>1</v>
      </c>
      <c r="Y120" s="115">
        <f t="shared" si="27"/>
        <v>2</v>
      </c>
      <c r="Z120" s="115" t="e">
        <f t="shared" si="28"/>
        <v>#VALUE!</v>
      </c>
      <c r="AA120" s="115">
        <f t="shared" si="29"/>
        <v>19.399999999999999</v>
      </c>
      <c r="AB120" s="246">
        <f t="shared" si="37"/>
        <v>41</v>
      </c>
    </row>
    <row r="121" spans="1:66" s="115" customFormat="1">
      <c r="A121" s="346" t="s">
        <v>591</v>
      </c>
      <c r="B121" s="346" t="s">
        <v>611</v>
      </c>
      <c r="C121" s="346">
        <v>38640</v>
      </c>
      <c r="D121" s="346" t="s">
        <v>5</v>
      </c>
      <c r="E121" s="346" t="s">
        <v>6</v>
      </c>
      <c r="F121" s="346" t="s">
        <v>3</v>
      </c>
      <c r="G121" s="346" t="s">
        <v>29</v>
      </c>
      <c r="H121" s="346"/>
      <c r="I121" s="346"/>
      <c r="J121" s="346"/>
      <c r="K121" s="346"/>
      <c r="L121" s="346"/>
      <c r="M121" s="346"/>
      <c r="N121" s="346"/>
      <c r="O121" s="346"/>
      <c r="P121" s="346"/>
      <c r="Q121" s="346"/>
      <c r="R121" s="346"/>
      <c r="S121" s="346"/>
      <c r="T121" s="346">
        <v>14880</v>
      </c>
      <c r="X121" s="115">
        <f t="shared" si="26"/>
        <v>1</v>
      </c>
      <c r="Y121" s="115">
        <f t="shared" si="27"/>
        <v>2</v>
      </c>
      <c r="Z121" s="115" t="e">
        <f t="shared" si="28"/>
        <v>#VALUE!</v>
      </c>
      <c r="AA121" s="115">
        <f t="shared" si="29"/>
        <v>14.88</v>
      </c>
      <c r="AB121" s="246">
        <f t="shared" si="37"/>
        <v>41</v>
      </c>
      <c r="AG121" s="115" t="s">
        <v>41</v>
      </c>
      <c r="AH121" s="115" t="s">
        <v>405</v>
      </c>
      <c r="AI121" s="115" t="s">
        <v>401</v>
      </c>
      <c r="AJ121" s="346" t="s">
        <v>703</v>
      </c>
      <c r="AK121" s="346" t="s">
        <v>723</v>
      </c>
      <c r="AL121" s="115" t="s">
        <v>9</v>
      </c>
      <c r="AM121" s="115" t="s">
        <v>8</v>
      </c>
      <c r="AN121" s="115" t="s">
        <v>19</v>
      </c>
      <c r="AO121" s="115" t="s">
        <v>404</v>
      </c>
      <c r="AP121" s="115" t="s">
        <v>403</v>
      </c>
      <c r="AQ121" s="115" t="s">
        <v>7</v>
      </c>
      <c r="AR121" s="115" t="s">
        <v>163</v>
      </c>
      <c r="AS121" s="115" t="s">
        <v>310</v>
      </c>
      <c r="AT121" s="115" t="s">
        <v>156</v>
      </c>
      <c r="AU121" s="115" t="s">
        <v>3</v>
      </c>
      <c r="AZ121" s="115" t="s">
        <v>41</v>
      </c>
      <c r="BA121" s="115" t="s">
        <v>405</v>
      </c>
      <c r="BB121" s="115" t="s">
        <v>401</v>
      </c>
      <c r="BC121" s="346" t="s">
        <v>703</v>
      </c>
      <c r="BD121" s="346" t="s">
        <v>723</v>
      </c>
      <c r="BE121" s="115" t="s">
        <v>9</v>
      </c>
      <c r="BF121" s="115" t="s">
        <v>8</v>
      </c>
      <c r="BG121" s="115" t="s">
        <v>19</v>
      </c>
      <c r="BH121" s="115" t="s">
        <v>404</v>
      </c>
      <c r="BI121" s="115" t="s">
        <v>403</v>
      </c>
      <c r="BJ121" s="115" t="s">
        <v>7</v>
      </c>
      <c r="BK121" s="115" t="s">
        <v>163</v>
      </c>
      <c r="BL121" s="115" t="s">
        <v>310</v>
      </c>
      <c r="BM121" s="115" t="s">
        <v>156</v>
      </c>
      <c r="BN121" s="115" t="s">
        <v>3</v>
      </c>
    </row>
    <row r="122" spans="1:66" s="115" customFormat="1">
      <c r="A122" s="346" t="s">
        <v>591</v>
      </c>
      <c r="B122" s="346" t="s">
        <v>599</v>
      </c>
      <c r="C122" s="346">
        <v>41520</v>
      </c>
      <c r="D122" s="346" t="s">
        <v>17</v>
      </c>
      <c r="E122" s="346" t="s">
        <v>2</v>
      </c>
      <c r="F122" s="346" t="s">
        <v>156</v>
      </c>
      <c r="G122" s="346"/>
      <c r="H122" s="346"/>
      <c r="I122" s="346" t="s">
        <v>565</v>
      </c>
      <c r="J122" s="346"/>
      <c r="K122" s="346"/>
      <c r="L122" s="346" t="s">
        <v>558</v>
      </c>
      <c r="M122" s="346"/>
      <c r="N122" s="346"/>
      <c r="O122" s="346"/>
      <c r="P122" s="346"/>
      <c r="Q122" s="346"/>
      <c r="R122" s="346"/>
      <c r="S122" s="346"/>
      <c r="T122" s="346">
        <v>19600</v>
      </c>
      <c r="X122" s="115">
        <f t="shared" si="26"/>
        <v>1</v>
      </c>
      <c r="Y122" s="115">
        <f t="shared" si="27"/>
        <v>2</v>
      </c>
      <c r="Z122" s="115" t="e">
        <f t="shared" si="28"/>
        <v>#VALUE!</v>
      </c>
      <c r="AA122" s="115">
        <f t="shared" si="29"/>
        <v>19.600000000000001</v>
      </c>
      <c r="AB122" s="246">
        <f t="shared" si="37"/>
        <v>41</v>
      </c>
      <c r="AE122" s="115" t="s">
        <v>14</v>
      </c>
      <c r="AF122" s="115" t="s">
        <v>11</v>
      </c>
      <c r="AG122" s="115">
        <f>COUNTIFS(D:D,"DA",H:H,"SHORT")</f>
        <v>0</v>
      </c>
      <c r="AH122" s="153" t="e">
        <f>AG122/AG$125</f>
        <v>#DIV/0!</v>
      </c>
      <c r="AI122" s="246" t="e">
        <f>AG122/#REF!</f>
        <v>#REF!</v>
      </c>
      <c r="AJ122" s="115">
        <f>COUNTIFS(D:D,"DA",H:H,"SHORT",F:F,"ATONGOAL")</f>
        <v>0</v>
      </c>
      <c r="AK122" s="153" t="e">
        <f>AJ122/AG122</f>
        <v>#DIV/0!</v>
      </c>
      <c r="AL122" s="115">
        <f>COUNTIFS(D:D,"DA",H:H,"SHORT",F:F,"ATON")</f>
        <v>0</v>
      </c>
      <c r="AM122" s="115">
        <f>COUNTIFS(D:D,"DA",H:H,"SHORT",F:F,"ATOF")</f>
        <v>0</v>
      </c>
      <c r="AN122" s="115">
        <f>COUNTIFS(D:D,"DA",H:H,"SHORT",F:F,"ATBK")</f>
        <v>0</v>
      </c>
      <c r="AO122" s="115">
        <f>SUM(AJ122,AL122:AN122)</f>
        <v>0</v>
      </c>
      <c r="AP122" s="153" t="e">
        <f>AO122/AG122</f>
        <v>#DIV/0!</v>
      </c>
      <c r="AQ122" s="115">
        <f>COUNTIFS(D:D,"DA",H:H,"SHORT",F:F,"WINSTAN",E:E,"POS")</f>
        <v>0</v>
      </c>
      <c r="AR122" s="115">
        <f>COUNTIFS(D:D,"DA",H:H,"SHORT",F:F,"WINSTANTI",E:E,"POS")</f>
        <v>0</v>
      </c>
      <c r="AS122" s="115">
        <f>COUNTIFS(D:D,"DA",H:H,"SHORT",F:F,"ENTRY",E:E,"POS")</f>
        <v>0</v>
      </c>
      <c r="AT122" s="115">
        <f>COUNTIFS(D:D,"DA",H:H,"SHORT",F:F,"KEEPOS")</f>
        <v>0</v>
      </c>
      <c r="AU122" s="115">
        <f>COUNTIFS(D:D,"DA",H:H,"SHORT",E:E,"NEG")</f>
        <v>0</v>
      </c>
      <c r="AX122" s="115" t="s">
        <v>17</v>
      </c>
      <c r="AY122" s="115" t="s">
        <v>11</v>
      </c>
      <c r="AZ122" s="115">
        <f>COUNTIFS(D:D,"AD",H:H,"SHORT")</f>
        <v>0</v>
      </c>
      <c r="BA122" s="153" t="e">
        <f>AZ122/AZ$125</f>
        <v>#DIV/0!</v>
      </c>
      <c r="BB122" s="246" t="e">
        <f>AZ122/#REF!</f>
        <v>#REF!</v>
      </c>
      <c r="BC122" s="115">
        <f>COUNTIFS(D:D,"AD",H:H,"SHORT",F:F,"ATONGOAL")</f>
        <v>0</v>
      </c>
      <c r="BD122" s="153" t="e">
        <f>BC122/AZ122</f>
        <v>#DIV/0!</v>
      </c>
      <c r="BE122" s="115">
        <f>COUNTIFS(D:D,"AD",H:H,"SHORT",F:F,"ATON")</f>
        <v>0</v>
      </c>
      <c r="BF122" s="115">
        <f>COUNTIFS(D:D,"AD",H:H,"SHORT",F:F,"ATOF")</f>
        <v>0</v>
      </c>
      <c r="BG122" s="115">
        <f>COUNTIFS(D:D,"AD",H:H,"SHORT",F:F,"ATBK")</f>
        <v>0</v>
      </c>
      <c r="BH122" s="115">
        <f>SUM(BC122,BE122:BG122)</f>
        <v>0</v>
      </c>
      <c r="BI122" s="153" t="e">
        <f>BH122/AZ122</f>
        <v>#DIV/0!</v>
      </c>
      <c r="BJ122" s="115">
        <f>COUNTIFS(D:D,"AD",H:H,"SHORT",F:F,"WINSTAN",E:E,"NEG")</f>
        <v>0</v>
      </c>
      <c r="BK122" s="115">
        <f>COUNTIFS(D:D,"AD",H:H,"SHORT",F:F,"WINSTANTI",E:E,"NEG")</f>
        <v>0</v>
      </c>
      <c r="BL122" s="115">
        <f>COUNTIFS(D:D,"AD",H:H,"SHORT",F:F,"ENTRY",E:E,"NEG")</f>
        <v>0</v>
      </c>
      <c r="BM122" s="115">
        <f>COUNTIFS(D:D,"AD",H:H,"SHORT",F:F,"KEEPOS")</f>
        <v>0</v>
      </c>
      <c r="BN122" s="115">
        <f>COUNTIFS(D:D,"AD",H:H,"SHORT",E:E,"POS")</f>
        <v>0</v>
      </c>
    </row>
    <row r="123" spans="1:66" s="115" customFormat="1">
      <c r="A123" s="346" t="s">
        <v>591</v>
      </c>
      <c r="B123" s="346" t="s">
        <v>598</v>
      </c>
      <c r="C123" s="346">
        <v>49120</v>
      </c>
      <c r="D123" s="346" t="s">
        <v>14</v>
      </c>
      <c r="E123" s="346" t="s">
        <v>6</v>
      </c>
      <c r="F123" s="346" t="s">
        <v>3</v>
      </c>
      <c r="G123" s="346"/>
      <c r="H123" s="346"/>
      <c r="I123" s="346" t="s">
        <v>561</v>
      </c>
      <c r="J123" s="346"/>
      <c r="K123" s="346"/>
      <c r="L123" s="346" t="s">
        <v>567</v>
      </c>
      <c r="M123" s="346"/>
      <c r="N123" s="346"/>
      <c r="O123" s="346"/>
      <c r="P123" s="346"/>
      <c r="Q123" s="346"/>
      <c r="R123" s="346"/>
      <c r="S123" s="346"/>
      <c r="T123" s="346">
        <v>23040</v>
      </c>
      <c r="X123" s="115">
        <f t="shared" si="26"/>
        <v>1</v>
      </c>
      <c r="Y123" s="115">
        <f t="shared" si="27"/>
        <v>2</v>
      </c>
      <c r="Z123" s="115" t="e">
        <f t="shared" si="28"/>
        <v>#VALUE!</v>
      </c>
      <c r="AA123" s="115">
        <f t="shared" si="29"/>
        <v>23.04</v>
      </c>
      <c r="AB123" s="246">
        <f t="shared" si="37"/>
        <v>41</v>
      </c>
      <c r="AF123" s="115" t="s">
        <v>23</v>
      </c>
      <c r="AG123" s="115">
        <f>COUNTIFS(D:D,"DA",H:H,"SHORTLONG")</f>
        <v>0</v>
      </c>
      <c r="AH123" s="153" t="e">
        <f t="shared" ref="AH123:AH124" si="40">AG123/AG$125</f>
        <v>#DIV/0!</v>
      </c>
      <c r="AI123" s="246" t="e">
        <f>AG123/#REF!</f>
        <v>#REF!</v>
      </c>
      <c r="AJ123" s="115">
        <f>COUNTIFS(D:D,"DA",H:H,"SHORTLONG",F:F,"ATONGOAL")</f>
        <v>0</v>
      </c>
      <c r="AK123" s="153" t="e">
        <f>AJ123/AG123</f>
        <v>#DIV/0!</v>
      </c>
      <c r="AL123" s="115">
        <f>COUNTIFS(D:D,"DA",H:H,"SHORTLONG",F:F,"ATON")</f>
        <v>0</v>
      </c>
      <c r="AM123" s="115">
        <f>COUNTIFS(D:D,"DA",H:H,"SHORTLONG",F:F,"ATOF")</f>
        <v>0</v>
      </c>
      <c r="AN123" s="115">
        <f>COUNTIFS(D:D,"DA",H:H,"SHORTLONG",F:F,"ATBK")</f>
        <v>0</v>
      </c>
      <c r="AO123" s="115">
        <f t="shared" ref="AO123:AO124" si="41">SUM(AJ123,AL123:AN123)</f>
        <v>0</v>
      </c>
      <c r="AP123" s="153" t="e">
        <f>AO123/AG123</f>
        <v>#DIV/0!</v>
      </c>
      <c r="AQ123" s="115">
        <f>COUNTIFS(D:D,"DA",H:H,"SHORTLONG",F:F,"WINSTAN",E:E,"POS")</f>
        <v>0</v>
      </c>
      <c r="AR123" s="115">
        <f>COUNTIFS(D:D,"DA",H:H,"SHORTLONG",F:F,"WINSTANTI",E:E,"POS")</f>
        <v>0</v>
      </c>
      <c r="AS123" s="115">
        <f>COUNTIFS(D:D,"DA",H:H,"SHORTLONG",F:F,"ENTRY",E:E,"POS")</f>
        <v>0</v>
      </c>
      <c r="AT123" s="115">
        <f>COUNTIFS(D:D,"DA",H:H,"SHORTLONG",F:F,"KEEPOS")</f>
        <v>0</v>
      </c>
      <c r="AU123" s="115">
        <f>COUNTIFS(D:D,"DA",H:H,"SHORTLONG",E:E,"NEG")</f>
        <v>0</v>
      </c>
      <c r="AY123" s="115" t="s">
        <v>23</v>
      </c>
      <c r="AZ123" s="115">
        <f>COUNTIFS(D:D,"AD",H:H,"SHORTLONG")</f>
        <v>0</v>
      </c>
      <c r="BA123" s="153" t="e">
        <f t="shared" ref="BA123:BA124" si="42">AZ123/AZ$125</f>
        <v>#DIV/0!</v>
      </c>
      <c r="BB123" s="246" t="e">
        <f>AZ123/#REF!</f>
        <v>#REF!</v>
      </c>
      <c r="BC123" s="115">
        <f>COUNTIFS(D:D,"AD",H:H,"SHORTLONG",F:F,"ATONGOAL")</f>
        <v>0</v>
      </c>
      <c r="BD123" s="153" t="e">
        <f>BC123/AZ123</f>
        <v>#DIV/0!</v>
      </c>
      <c r="BE123" s="115">
        <f>COUNTIFS(D:D,"AD",H:H,"SHORTLONG",F:F,"ATON")</f>
        <v>0</v>
      </c>
      <c r="BF123" s="115">
        <f>COUNTIFS(D:D,"AD",H:H,"SHORTLONG",F:F,"ATOF")</f>
        <v>0</v>
      </c>
      <c r="BG123" s="115">
        <f>COUNTIFS(D:D,"AD",H:H,"SHORTLONG",F:F,"ATBK")</f>
        <v>0</v>
      </c>
      <c r="BH123" s="115">
        <f t="shared" ref="BH123:BH125" si="43">SUM(BC123,BE123:BG123)</f>
        <v>0</v>
      </c>
      <c r="BI123" s="153" t="e">
        <f>BH123/AZ123</f>
        <v>#DIV/0!</v>
      </c>
      <c r="BJ123" s="115">
        <f>COUNTIFS(D:D,"AD",H:H,"SHORTLONG",F:F,"WINSTAN",E:E,"NEG")</f>
        <v>0</v>
      </c>
      <c r="BK123" s="115">
        <f>COUNTIFS(D:D,"AD",H:H,"SHORTLONG",F:F,"WINSTANTI",E:E,"NEG")</f>
        <v>0</v>
      </c>
      <c r="BL123" s="115">
        <f>COUNTIFS(D:D,"AD",H:H,"SHORTLONG",F:F,"ENTRY",E:E,"NEG")</f>
        <v>0</v>
      </c>
      <c r="BM123" s="115">
        <f>COUNTIFS(D:D,"AD",H:H,"SHORTLONG",F:F,"KEEPOS")</f>
        <v>0</v>
      </c>
      <c r="BN123" s="115">
        <f>COUNTIFS(D:D,"AD",H:H,"SHORTLONG",E:E,"POS")</f>
        <v>0</v>
      </c>
    </row>
    <row r="124" spans="1:66" s="115" customFormat="1">
      <c r="A124" s="346" t="s">
        <v>591</v>
      </c>
      <c r="B124" s="346" t="s">
        <v>600</v>
      </c>
      <c r="C124" s="346">
        <v>65160</v>
      </c>
      <c r="D124" s="346" t="s">
        <v>1</v>
      </c>
      <c r="E124" s="346" t="s">
        <v>6</v>
      </c>
      <c r="F124" s="346" t="s">
        <v>3</v>
      </c>
      <c r="G124" s="346" t="s">
        <v>29</v>
      </c>
      <c r="H124" s="346"/>
      <c r="I124" s="346"/>
      <c r="J124" s="346"/>
      <c r="K124" s="346"/>
      <c r="L124" s="346"/>
      <c r="M124" s="346"/>
      <c r="N124" s="346"/>
      <c r="O124" s="346"/>
      <c r="P124" s="346"/>
      <c r="Q124" s="346"/>
      <c r="R124" s="346"/>
      <c r="S124" s="346"/>
      <c r="T124" s="346">
        <v>17880</v>
      </c>
      <c r="X124" s="115">
        <f t="shared" si="26"/>
        <v>1</v>
      </c>
      <c r="Y124" s="115">
        <f t="shared" si="27"/>
        <v>2</v>
      </c>
      <c r="Z124" s="115" t="e">
        <f t="shared" si="28"/>
        <v>#VALUE!</v>
      </c>
      <c r="AA124" s="115">
        <f t="shared" si="29"/>
        <v>17.88</v>
      </c>
      <c r="AB124" s="246">
        <f t="shared" si="37"/>
        <v>41</v>
      </c>
      <c r="AF124" s="115" t="s">
        <v>18</v>
      </c>
      <c r="AG124" s="115">
        <f>COUNTIFS(D:D,"DA",H:H,"LONG")</f>
        <v>0</v>
      </c>
      <c r="AH124" s="153" t="e">
        <f t="shared" si="40"/>
        <v>#DIV/0!</v>
      </c>
      <c r="AI124" s="246" t="e">
        <f>AG124/#REF!</f>
        <v>#REF!</v>
      </c>
      <c r="AJ124" s="115">
        <f>COUNTIFS(D:D,"DA",H:H,"LONG",F:F,"ATONGOAL")</f>
        <v>0</v>
      </c>
      <c r="AK124" s="153" t="e">
        <f>AJ124/AG124</f>
        <v>#DIV/0!</v>
      </c>
      <c r="AL124" s="115">
        <f>COUNTIFS(D:D,"DA",H:H,"LONG",F:F,"ATON")</f>
        <v>0</v>
      </c>
      <c r="AM124" s="115">
        <f>COUNTIFS(D:D,"DA",H:H,"LONG",F:F,"ATOF")</f>
        <v>0</v>
      </c>
      <c r="AN124" s="115">
        <f>COUNTIFS(D:D,"DA",H:H,"LONG",F:F,"ATBK")</f>
        <v>0</v>
      </c>
      <c r="AO124" s="115">
        <f t="shared" si="41"/>
        <v>0</v>
      </c>
      <c r="AP124" s="153" t="e">
        <f>AO124/AG124</f>
        <v>#DIV/0!</v>
      </c>
      <c r="AQ124" s="115">
        <f>COUNTIFS(D:D,"DA",H:H,"LONG",F:F,"WINSTAN",E:E,"POS")</f>
        <v>0</v>
      </c>
      <c r="AR124" s="115">
        <f>COUNTIFS(D:D,"DA",H:H,"LONG",F:F,"WINSTANTI",E:E,"POS")</f>
        <v>0</v>
      </c>
      <c r="AS124" s="115">
        <f>COUNTIFS(D:D,"DA",H:H,"LONG",F:F,"ENTRY",E:E,"POS")</f>
        <v>0</v>
      </c>
      <c r="AT124" s="115">
        <f>COUNTIFS(D:D,"DA",H:H,"LONG",F:F,"KEEPOS")</f>
        <v>0</v>
      </c>
      <c r="AU124" s="115">
        <f>COUNTIFS(D:D,"DA",H:H,"LONG",E:E,"NEG")</f>
        <v>0</v>
      </c>
      <c r="AY124" s="115" t="s">
        <v>18</v>
      </c>
      <c r="AZ124" s="115">
        <f>COUNTIFS(D:D,"AD",H:H,"LONG")</f>
        <v>0</v>
      </c>
      <c r="BA124" s="153" t="e">
        <f t="shared" si="42"/>
        <v>#DIV/0!</v>
      </c>
      <c r="BB124" s="246" t="e">
        <f>AZ124/#REF!</f>
        <v>#REF!</v>
      </c>
      <c r="BC124" s="115">
        <f>COUNTIFS(D:D,"AD",H:H,"LONG",F:F,"ATONGOAL")</f>
        <v>0</v>
      </c>
      <c r="BD124" s="153" t="e">
        <f>BC124/AZ124</f>
        <v>#DIV/0!</v>
      </c>
      <c r="BE124" s="115">
        <f>COUNTIFS(D:D,"AD",H:H,"LONG",F:F,"ATON")</f>
        <v>0</v>
      </c>
      <c r="BF124" s="115">
        <f>COUNTIFS(D:D,"AD",H:H,"LONG",F:F,"ATOF")</f>
        <v>0</v>
      </c>
      <c r="BG124" s="115">
        <f>COUNTIFS(D:D,"AD",H:H,"LONG",F:F,"ATBK")</f>
        <v>0</v>
      </c>
      <c r="BH124" s="115">
        <f t="shared" si="43"/>
        <v>0</v>
      </c>
      <c r="BI124" s="153" t="e">
        <f>BH124/AZ124</f>
        <v>#DIV/0!</v>
      </c>
      <c r="BJ124" s="115">
        <f>COUNTIFS(D:D,"AD",H:H,"LONG",F:F,"WINSTAN",E:E,"NEG")</f>
        <v>0</v>
      </c>
      <c r="BK124" s="115">
        <f>COUNTIFS(D:D,"AD",H:H,"LONG",F:F,"WINSTANTI",E:E,"NEG")</f>
        <v>0</v>
      </c>
      <c r="BL124" s="115">
        <f>COUNTIFS(D:D,"AD",H:H,"LONG",F:F,"ENTRY",E:E,"NEG")</f>
        <v>0</v>
      </c>
      <c r="BM124" s="115">
        <f>COUNTIFS(D:D,"AD",H:H,"LONG",F:F,"KEEPOS")</f>
        <v>0</v>
      </c>
      <c r="BN124" s="115">
        <f>COUNTIFS(D:D,"AD",H:H,"LONG",E:E,"POS")</f>
        <v>0</v>
      </c>
    </row>
    <row r="125" spans="1:66">
      <c r="A125" s="346" t="s">
        <v>591</v>
      </c>
      <c r="B125" s="346" t="s">
        <v>605</v>
      </c>
      <c r="C125" s="346">
        <v>79160</v>
      </c>
      <c r="D125" s="346" t="s">
        <v>1</v>
      </c>
      <c r="E125" s="346" t="s">
        <v>6</v>
      </c>
      <c r="F125" s="346" t="s">
        <v>7</v>
      </c>
      <c r="G125" s="346" t="s">
        <v>29</v>
      </c>
      <c r="H125" s="346"/>
      <c r="I125" s="346"/>
      <c r="J125" s="346"/>
      <c r="K125" s="346"/>
      <c r="L125" s="346"/>
      <c r="M125" s="346"/>
      <c r="N125" s="346"/>
      <c r="O125" s="346"/>
      <c r="P125" s="346"/>
      <c r="Q125" s="346"/>
      <c r="R125" s="346"/>
      <c r="S125" s="346"/>
      <c r="T125" s="346">
        <v>18280</v>
      </c>
      <c r="X125" s="115">
        <f t="shared" si="26"/>
        <v>-6</v>
      </c>
      <c r="Y125" s="115">
        <f t="shared" si="27"/>
        <v>-5</v>
      </c>
      <c r="Z125" s="115" t="e">
        <f t="shared" si="28"/>
        <v>#VALUE!</v>
      </c>
      <c r="AA125" s="115">
        <f t="shared" si="29"/>
        <v>18.28</v>
      </c>
      <c r="AB125" s="246">
        <f t="shared" si="37"/>
        <v>41</v>
      </c>
      <c r="AF125" t="s">
        <v>45</v>
      </c>
      <c r="AG125">
        <f>SUM(AG122:AG124)</f>
        <v>0</v>
      </c>
      <c r="AI125" s="246" t="e">
        <f t="shared" ref="AI125:AU125" si="44">SUM(AI122:AI124)</f>
        <v>#REF!</v>
      </c>
      <c r="AJ125" s="115">
        <f t="shared" si="44"/>
        <v>0</v>
      </c>
      <c r="AK125" s="153" t="e">
        <f>AJ125/AG125</f>
        <v>#DIV/0!</v>
      </c>
      <c r="AL125" s="115">
        <f t="shared" si="44"/>
        <v>0</v>
      </c>
      <c r="AM125" s="115">
        <f t="shared" si="44"/>
        <v>0</v>
      </c>
      <c r="AN125" s="115">
        <f t="shared" si="44"/>
        <v>0</v>
      </c>
      <c r="AO125" s="115">
        <f>SUM(AJ125,AL125:AN125)</f>
        <v>0</v>
      </c>
      <c r="AP125" s="153" t="e">
        <f>AO125/AG125</f>
        <v>#DIV/0!</v>
      </c>
      <c r="AQ125" s="115">
        <f t="shared" si="44"/>
        <v>0</v>
      </c>
      <c r="AR125" s="115">
        <f t="shared" si="44"/>
        <v>0</v>
      </c>
      <c r="AS125" s="115">
        <f t="shared" si="44"/>
        <v>0</v>
      </c>
      <c r="AT125" s="115">
        <f t="shared" si="44"/>
        <v>0</v>
      </c>
      <c r="AU125" s="115">
        <f t="shared" si="44"/>
        <v>0</v>
      </c>
      <c r="AV125" s="29"/>
      <c r="AW125" s="29"/>
      <c r="AX125" s="29"/>
      <c r="AY125" s="29" t="s">
        <v>45</v>
      </c>
      <c r="AZ125" s="29">
        <f>SUM(AZ122:AZ124)</f>
        <v>0</v>
      </c>
      <c r="BB125" s="246" t="e">
        <f>AZ125/#REF!</f>
        <v>#REF!</v>
      </c>
      <c r="BC125" s="115">
        <f t="shared" ref="BC125:BN125" si="45">SUM(BC122:BC124)</f>
        <v>0</v>
      </c>
      <c r="BD125" s="153" t="e">
        <f>BC125/AZ125</f>
        <v>#DIV/0!</v>
      </c>
      <c r="BE125" s="115">
        <f t="shared" si="45"/>
        <v>0</v>
      </c>
      <c r="BF125" s="115">
        <f t="shared" si="45"/>
        <v>0</v>
      </c>
      <c r="BG125" s="115">
        <f t="shared" si="45"/>
        <v>0</v>
      </c>
      <c r="BH125" s="115">
        <f t="shared" si="43"/>
        <v>0</v>
      </c>
      <c r="BI125" s="153" t="e">
        <f>BH125/AZ125</f>
        <v>#DIV/0!</v>
      </c>
      <c r="BJ125" s="115">
        <f t="shared" si="45"/>
        <v>0</v>
      </c>
      <c r="BK125" s="115">
        <f t="shared" si="45"/>
        <v>0</v>
      </c>
      <c r="BL125" s="115">
        <f t="shared" si="45"/>
        <v>0</v>
      </c>
      <c r="BM125" s="115">
        <f t="shared" si="45"/>
        <v>0</v>
      </c>
      <c r="BN125" s="115">
        <f t="shared" si="45"/>
        <v>0</v>
      </c>
    </row>
    <row r="126" spans="1:66">
      <c r="A126" s="346" t="s">
        <v>591</v>
      </c>
      <c r="B126" s="346" t="s">
        <v>608</v>
      </c>
      <c r="C126" s="346">
        <v>128280</v>
      </c>
      <c r="D126" s="346" t="s">
        <v>1</v>
      </c>
      <c r="E126" s="346" t="s">
        <v>2</v>
      </c>
      <c r="F126" s="346" t="s">
        <v>156</v>
      </c>
      <c r="G126" s="346"/>
      <c r="H126" s="346"/>
      <c r="I126" s="346"/>
      <c r="J126" s="346"/>
      <c r="K126" s="346"/>
      <c r="L126" s="346"/>
      <c r="M126" s="346" t="s">
        <v>4</v>
      </c>
      <c r="N126" s="346"/>
      <c r="O126" s="346"/>
      <c r="P126" s="346"/>
      <c r="Q126" s="346"/>
      <c r="R126" s="346"/>
      <c r="S126" s="346"/>
      <c r="T126" s="346">
        <v>12680</v>
      </c>
      <c r="X126" s="115">
        <f t="shared" si="26"/>
        <v>1</v>
      </c>
      <c r="Y126" s="115">
        <f t="shared" si="27"/>
        <v>-5</v>
      </c>
      <c r="Z126" s="115" t="e">
        <f t="shared" si="28"/>
        <v>#VALUE!</v>
      </c>
      <c r="AA126" s="115">
        <f t="shared" si="29"/>
        <v>12.68</v>
      </c>
      <c r="AB126" s="246">
        <f t="shared" si="37"/>
        <v>42</v>
      </c>
      <c r="AH126" s="1"/>
    </row>
    <row r="127" spans="1:66">
      <c r="A127" s="346" t="s">
        <v>591</v>
      </c>
      <c r="B127" s="346" t="s">
        <v>613</v>
      </c>
      <c r="C127" s="346">
        <v>143200</v>
      </c>
      <c r="D127" s="346" t="s">
        <v>1</v>
      </c>
      <c r="E127" s="346" t="s">
        <v>2</v>
      </c>
      <c r="F127" s="346" t="s">
        <v>310</v>
      </c>
      <c r="G127" s="346" t="s">
        <v>10</v>
      </c>
      <c r="H127" s="346"/>
      <c r="I127" s="346" t="s">
        <v>595</v>
      </c>
      <c r="J127" s="346"/>
      <c r="K127" s="346"/>
      <c r="L127" s="346"/>
      <c r="M127" s="346"/>
      <c r="N127" s="346"/>
      <c r="O127" s="346"/>
      <c r="P127" s="346"/>
      <c r="Q127" s="346"/>
      <c r="R127" s="346"/>
      <c r="S127" s="346"/>
      <c r="T127" s="346">
        <v>35920</v>
      </c>
      <c r="X127" s="115">
        <f t="shared" si="26"/>
        <v>2</v>
      </c>
      <c r="Y127" s="115">
        <f t="shared" si="27"/>
        <v>3</v>
      </c>
      <c r="Z127" s="115" t="e">
        <f t="shared" si="28"/>
        <v>#VALUE!</v>
      </c>
      <c r="AA127" s="115">
        <f t="shared" si="29"/>
        <v>35.92</v>
      </c>
      <c r="AB127" s="246">
        <f t="shared" si="37"/>
        <v>42</v>
      </c>
    </row>
    <row r="128" spans="1:66">
      <c r="A128" s="346" t="s">
        <v>591</v>
      </c>
      <c r="B128" s="346" t="s">
        <v>602</v>
      </c>
      <c r="C128" s="346">
        <v>167120</v>
      </c>
      <c r="D128" s="346" t="s">
        <v>17</v>
      </c>
      <c r="E128" s="346" t="s">
        <v>6</v>
      </c>
      <c r="F128" s="346" t="s">
        <v>3</v>
      </c>
      <c r="G128" s="346"/>
      <c r="H128" s="346"/>
      <c r="I128" s="346" t="s">
        <v>565</v>
      </c>
      <c r="J128" s="346"/>
      <c r="K128" s="346"/>
      <c r="L128" s="346" t="s">
        <v>559</v>
      </c>
      <c r="M128" s="346"/>
      <c r="N128" s="346"/>
      <c r="O128" s="346"/>
      <c r="P128" s="346"/>
      <c r="Q128" s="346"/>
      <c r="R128" s="346"/>
      <c r="S128" s="346"/>
      <c r="T128" s="346">
        <v>24960</v>
      </c>
      <c r="X128" s="115">
        <f t="shared" si="26"/>
        <v>1</v>
      </c>
      <c r="Y128" s="115">
        <f t="shared" si="27"/>
        <v>3</v>
      </c>
      <c r="Z128" s="115" t="e">
        <f t="shared" si="28"/>
        <v>#VALUE!</v>
      </c>
      <c r="AA128" s="115">
        <f t="shared" si="29"/>
        <v>24.96</v>
      </c>
      <c r="AB128" s="246">
        <f t="shared" si="37"/>
        <v>43</v>
      </c>
      <c r="AD128" s="29"/>
      <c r="AE128" s="29"/>
      <c r="AF128" s="29"/>
      <c r="AG128" s="29" t="s">
        <v>45</v>
      </c>
      <c r="AH128" s="346" t="s">
        <v>703</v>
      </c>
      <c r="AI128" s="29" t="s">
        <v>9</v>
      </c>
      <c r="AJ128" s="29" t="s">
        <v>20</v>
      </c>
      <c r="AK128" s="29" t="s">
        <v>19</v>
      </c>
      <c r="AL128" s="29" t="s">
        <v>7</v>
      </c>
      <c r="AM128" t="s">
        <v>163</v>
      </c>
      <c r="AN128" t="s">
        <v>310</v>
      </c>
      <c r="AO128" t="s">
        <v>156</v>
      </c>
      <c r="AP128" s="1" t="s">
        <v>3</v>
      </c>
      <c r="AS128" s="29"/>
      <c r="AT128" s="29"/>
      <c r="AU128" s="29"/>
      <c r="AV128" t="s">
        <v>45</v>
      </c>
      <c r="AW128" s="346" t="s">
        <v>703</v>
      </c>
      <c r="AX128" s="29" t="s">
        <v>9</v>
      </c>
      <c r="AY128" s="29" t="s">
        <v>20</v>
      </c>
      <c r="AZ128" s="29" t="s">
        <v>19</v>
      </c>
      <c r="BA128" s="29" t="s">
        <v>7</v>
      </c>
      <c r="BB128" t="s">
        <v>163</v>
      </c>
      <c r="BC128" s="115" t="s">
        <v>310</v>
      </c>
      <c r="BD128" t="s">
        <v>156</v>
      </c>
      <c r="BE128" s="1" t="s">
        <v>3</v>
      </c>
      <c r="BF128" s="115"/>
    </row>
    <row r="129" spans="1:58">
      <c r="A129" s="346" t="s">
        <v>591</v>
      </c>
      <c r="B129" s="346" t="s">
        <v>614</v>
      </c>
      <c r="C129" s="346">
        <v>185080</v>
      </c>
      <c r="D129" s="346" t="s">
        <v>1</v>
      </c>
      <c r="E129" s="346" t="s">
        <v>2</v>
      </c>
      <c r="F129" s="346" t="s">
        <v>156</v>
      </c>
      <c r="G129" s="346"/>
      <c r="H129" s="346"/>
      <c r="I129" s="346" t="s">
        <v>595</v>
      </c>
      <c r="J129" s="346"/>
      <c r="K129" s="346"/>
      <c r="L129" s="346"/>
      <c r="M129" s="346"/>
      <c r="N129" s="346"/>
      <c r="O129" s="346"/>
      <c r="P129" s="346"/>
      <c r="Q129" s="346"/>
      <c r="R129" s="346"/>
      <c r="S129" s="346"/>
      <c r="T129" s="346">
        <v>30920</v>
      </c>
      <c r="X129" s="115">
        <f t="shared" si="26"/>
        <v>1</v>
      </c>
      <c r="Y129" s="115">
        <f t="shared" si="27"/>
        <v>2</v>
      </c>
      <c r="Z129" s="115" t="e">
        <f t="shared" si="28"/>
        <v>#VALUE!</v>
      </c>
      <c r="AA129" s="115">
        <f t="shared" si="29"/>
        <v>30.92</v>
      </c>
      <c r="AB129" s="246">
        <f t="shared" si="37"/>
        <v>43</v>
      </c>
      <c r="AD129" s="29" t="s">
        <v>5</v>
      </c>
      <c r="AE129" s="29" t="s">
        <v>25</v>
      </c>
      <c r="AF129" s="29" t="s">
        <v>11</v>
      </c>
      <c r="AG129" s="29">
        <f>SUM(AH129:AP129)</f>
        <v>0</v>
      </c>
      <c r="AH129" s="29">
        <f>COUNTIFS(D:D,"AA",G:G,"STANGK",F:F,"ATONGOAL",H:H,"SHORT")</f>
        <v>0</v>
      </c>
      <c r="AI129" s="29">
        <f>COUNTIFS(D:D,"AA",G:G,"STANGK",F:F,"ATON",H:H,"SHORT")</f>
        <v>0</v>
      </c>
      <c r="AJ129" s="29">
        <f>COUNTIFS(D:D,"AA",G:G,"STANGK",F:F,"ATOF",H:H,"SHORT")</f>
        <v>0</v>
      </c>
      <c r="AK129" s="29">
        <f>COUNTIFS(D:D,"AA",G:G,"STANGK",F:F,"ATBK",H:H,"SHORT")</f>
        <v>0</v>
      </c>
      <c r="AL129" s="29">
        <f>COUNTIFS(D:D,"AA",G:G,"STANGK",F:F,"WINSTAN",H:H,"SHORT")</f>
        <v>0</v>
      </c>
      <c r="AM129" s="115">
        <f>COUNTIFS(D:D,"AA",G:G,"STANGK",F:F,"WINSTANTI",H:H,"SHORT")</f>
        <v>0</v>
      </c>
      <c r="AN129" s="115">
        <f>COUNTIFS(D:D,"AA",G:G,"STANGK",F:F,"ENTRY",H:H,"SHORT")</f>
        <v>0</v>
      </c>
      <c r="AO129" s="100">
        <f>COUNTIFS(D:D,"AA",G:G,"STANGK",F:F,"KEEPOS",H:H,"SHORT")</f>
        <v>0</v>
      </c>
      <c r="AP129" s="29">
        <f>COUNTIFS(D:D,"AA",G:G,"STANGK",E:E,"NEG",H:H,"SHORT")</f>
        <v>0</v>
      </c>
      <c r="AS129" s="29" t="s">
        <v>1</v>
      </c>
      <c r="AT129" s="29" t="s">
        <v>25</v>
      </c>
      <c r="AU129" s="29" t="s">
        <v>11</v>
      </c>
      <c r="AV129">
        <f>SUM(AW129:BE129)</f>
        <v>0</v>
      </c>
      <c r="AW129" s="29">
        <f>COUNTIFS(D:D,"DD",G:G,"STANGK",F:F,"ATONGOAL",H:H,"SHORT")</f>
        <v>0</v>
      </c>
      <c r="AX129" s="29">
        <f>COUNTIFS(D:D,"DD",G:G,"STANGK",F:F,"ATON",H:H,"SHORT")</f>
        <v>0</v>
      </c>
      <c r="AY129" s="29">
        <f>COUNTIFS(D:D,"DD",G:G,"STANGK",F:F,"ATOF",H:H,"SHORT")</f>
        <v>0</v>
      </c>
      <c r="AZ129" s="29">
        <f>COUNTIFS(D:D,"DD",G:G,"STANGK",F:F,"ATBK",H:H,"SHORT")</f>
        <v>0</v>
      </c>
      <c r="BA129" s="29">
        <f>COUNTIFS(D:D,"DD",G:G,"STANGK",F:F,"WINSTAN",H:H,"SHORT")</f>
        <v>0</v>
      </c>
      <c r="BB129" s="115">
        <f>COUNTIFS(D:D,"DD",G:G,"STANGK",F:F,"WINSTANTI",H:H,"SHORT")</f>
        <v>0</v>
      </c>
      <c r="BC129" s="115">
        <f>COUNTIFS(D:D,"DD",G:G,"STANGK",F:F,"ENTRY",H:H,"SHORT")</f>
        <v>0</v>
      </c>
      <c r="BD129" s="100">
        <f>COUNTIFS(D:D,"DD",G:G,"STANGK",F:F,"KEEPOS",H:H,"SHORT")</f>
        <v>0</v>
      </c>
      <c r="BE129" s="29">
        <f>COUNTIFS(D:D,"DD",G:G,"STANGK",E:E,"POS",H:H,"SHORT")</f>
        <v>0</v>
      </c>
      <c r="BF129" s="115"/>
    </row>
    <row r="130" spans="1:58">
      <c r="A130" s="346" t="s">
        <v>591</v>
      </c>
      <c r="B130" s="346" t="s">
        <v>612</v>
      </c>
      <c r="C130" s="346">
        <v>229120</v>
      </c>
      <c r="D130" s="346" t="s">
        <v>5</v>
      </c>
      <c r="E130" s="346" t="s">
        <v>2</v>
      </c>
      <c r="F130" s="346" t="s">
        <v>8</v>
      </c>
      <c r="G130" s="346" t="s">
        <v>10</v>
      </c>
      <c r="H130" s="346"/>
      <c r="I130" s="346" t="s">
        <v>595</v>
      </c>
      <c r="J130" s="346"/>
      <c r="K130" s="346"/>
      <c r="L130" s="346"/>
      <c r="M130" s="346"/>
      <c r="N130" s="346"/>
      <c r="O130" s="346"/>
      <c r="P130" s="346"/>
      <c r="Q130" s="346"/>
      <c r="R130" s="346"/>
      <c r="S130" s="346"/>
      <c r="T130" s="346">
        <v>19160</v>
      </c>
      <c r="X130" s="115">
        <f t="shared" si="26"/>
        <v>10</v>
      </c>
      <c r="Y130" s="115">
        <f t="shared" si="27"/>
        <v>11</v>
      </c>
      <c r="Z130" s="115" t="e">
        <f t="shared" si="28"/>
        <v>#VALUE!</v>
      </c>
      <c r="AA130" s="115">
        <f t="shared" si="29"/>
        <v>19.16</v>
      </c>
      <c r="AB130" s="246">
        <f t="shared" si="37"/>
        <v>44</v>
      </c>
      <c r="AD130" s="29"/>
      <c r="AE130" s="29"/>
      <c r="AF130" s="29" t="s">
        <v>23</v>
      </c>
      <c r="AG130" s="115">
        <f t="shared" ref="AG130:AG131" si="46">SUM(AH130:AP130)</f>
        <v>0</v>
      </c>
      <c r="AH130" s="29">
        <f>COUNTIFS(D:D,"AA",G:G,"STANGK",F:F,"ATONGOAL",H:H,"SHORTLONG")</f>
        <v>0</v>
      </c>
      <c r="AI130" s="29">
        <f>COUNTIFS(D:D,"AA",G:G,"STANGK",F:F,"ATON",H:H,"SHORTLONG")</f>
        <v>0</v>
      </c>
      <c r="AJ130" s="29">
        <f>COUNTIFS(D:D,"AA",G:G,"STANGK",F:F,"ATOF",H:H,"SHORTLONG")</f>
        <v>0</v>
      </c>
      <c r="AK130" s="29">
        <f>COUNTIFS(D:D,"AA",G:G,"STANGK",F:F,"ATBK",H:H,"SHORTLONG")</f>
        <v>0</v>
      </c>
      <c r="AL130" s="29">
        <f>COUNTIFS(D:D,"AA",G:G,"STANGK",F:F,"WINSTAN",H:H,"SHORTLONG")</f>
        <v>0</v>
      </c>
      <c r="AM130" s="115">
        <f>COUNTIFS(D:D,"AA",G:G,"STANGK",F:F,"WINSTANTI",H:H,"SHORTLONG")</f>
        <v>0</v>
      </c>
      <c r="AN130" s="115">
        <f>COUNTIFS(D:D,"AA",G:G,"STANGK",F:F,"ENTRY",H:H,"SHORTLONG")</f>
        <v>0</v>
      </c>
      <c r="AO130" s="100">
        <f>COUNTIFS(D:D,"AA",G:G,"STANGK",F:F,"KEEPOS",H:H,"SHORTLONG")</f>
        <v>0</v>
      </c>
      <c r="AP130" s="29">
        <f>COUNTIFS(D:D,"AA",G:G,"STANGK",E:E,"NEG",H:H,"SHORTLONG")</f>
        <v>0</v>
      </c>
      <c r="AQ130" s="115"/>
      <c r="AS130" s="29"/>
      <c r="AT130" s="29"/>
      <c r="AU130" s="29" t="s">
        <v>23</v>
      </c>
      <c r="AV130" s="115">
        <f t="shared" ref="AV130:AV131" si="47">SUM(AW130:BE130)</f>
        <v>0</v>
      </c>
      <c r="AW130" s="29">
        <f>COUNTIFS(D:D,"DD",G:G,"STANGK",F:F,"ATONGOAL",H:H,"SHORTLONG")</f>
        <v>0</v>
      </c>
      <c r="AX130" s="29">
        <f>COUNTIFS(D:D,"DD",G:G,"STANGK",F:F,"ATON",H:H,"SHORTLONG")</f>
        <v>0</v>
      </c>
      <c r="AY130" s="29">
        <f>COUNTIFS(D:D,"DD",G:G,"STANGK",F:F,"ATOF",H:H,"SHORTLONG")</f>
        <v>0</v>
      </c>
      <c r="AZ130" s="29">
        <f>COUNTIFS(D:D,"DD",G:G,"STANGK",F:F,"ATBK",H:H,"SHORTLONG")</f>
        <v>0</v>
      </c>
      <c r="BA130" s="29">
        <f>COUNTIFS(D:D,"DD",G:G,"STANGK",F:F,"WINSTAN",H:H,"SHORTLONG")</f>
        <v>0</v>
      </c>
      <c r="BB130" s="115">
        <f>COUNTIFS(D:D,"DD",G:G,"STANGK",F:F,"WINSTANTI",H:H,"SHORTLONG")</f>
        <v>0</v>
      </c>
      <c r="BC130" s="115">
        <f>COUNTIFS(D:D,"DD",G:G,"STANGK",F:F,"ENTRY",H:H,"SHORTLONG")</f>
        <v>0</v>
      </c>
      <c r="BD130" s="100">
        <f>COUNTIFS(D:D,"DD",G:G,"STANGK",F:F,"KEEPOS",H:H,"SHORTLONG")</f>
        <v>0</v>
      </c>
      <c r="BE130" s="29">
        <f>COUNTIFS(D:D,"DD",G:G,"STANGK",E:E,"POS",H:H,"SHORTLONG")</f>
        <v>0</v>
      </c>
      <c r="BF130" s="115"/>
    </row>
    <row r="131" spans="1:58">
      <c r="A131" s="346" t="s">
        <v>591</v>
      </c>
      <c r="B131" s="346" t="s">
        <v>616</v>
      </c>
      <c r="C131" s="346">
        <v>245120</v>
      </c>
      <c r="D131" s="346" t="s">
        <v>1</v>
      </c>
      <c r="E131" s="346" t="s">
        <v>6</v>
      </c>
      <c r="F131" s="346" t="s">
        <v>7</v>
      </c>
      <c r="G131" s="346" t="s">
        <v>25</v>
      </c>
      <c r="H131" s="346"/>
      <c r="I131" s="346"/>
      <c r="J131" s="346"/>
      <c r="K131" s="346"/>
      <c r="L131" s="346"/>
      <c r="M131" s="346"/>
      <c r="N131" s="346"/>
      <c r="O131" s="346"/>
      <c r="P131" s="346"/>
      <c r="Q131" s="346"/>
      <c r="R131" s="346"/>
      <c r="S131" s="346"/>
      <c r="T131" s="346">
        <v>63000</v>
      </c>
      <c r="X131" s="115">
        <f t="shared" ref="X131:X194" si="48">mapValues(E131,F131,"P265")</f>
        <v>-6</v>
      </c>
      <c r="Y131" s="115">
        <f t="shared" ref="Y131:Y194" si="49">X130+X131</f>
        <v>4</v>
      </c>
      <c r="Z131" s="115" t="e">
        <f t="shared" ref="Z131:Z194" si="50">VALUE(MID(B131,FIND(" ",B131)+1,FIND(" ",B131,FIND(" ",B131)+1)-FIND(" ",B131)))</f>
        <v>#VALUE!</v>
      </c>
      <c r="AA131" s="115">
        <f t="shared" ref="AA131:AA194" si="51">T131/1000</f>
        <v>63</v>
      </c>
      <c r="AB131" s="246">
        <f t="shared" si="37"/>
        <v>44</v>
      </c>
      <c r="AD131" s="29"/>
      <c r="AE131" s="29"/>
      <c r="AF131" s="29" t="s">
        <v>18</v>
      </c>
      <c r="AG131" s="115">
        <f t="shared" si="46"/>
        <v>0</v>
      </c>
      <c r="AH131" s="29">
        <f>COUNTIFS(D:D,"AA",G:G,"STANGK",F:F,"ATONGOAL",H:H,"LONG")</f>
        <v>0</v>
      </c>
      <c r="AI131" s="29">
        <f>COUNTIFS(D:D,"AA",G:G,"STANGK",F:F,"ATON",H:H,"LONG")</f>
        <v>0</v>
      </c>
      <c r="AJ131" s="29">
        <f>COUNTIFS(D:D,"AA",G:G,"STANGK",F:F,"ATOF",H:H,"LONG")</f>
        <v>0</v>
      </c>
      <c r="AK131" s="29">
        <f>COUNTIFS(D:D,"AA",G:G,"STANGK",F:F,"ATBK",H:H,"LONG")</f>
        <v>0</v>
      </c>
      <c r="AL131" s="29">
        <f>COUNTIFS(D:D,"AA",G:G,"STANGK",F:F,"WINSTAN",H:H,"LONG")</f>
        <v>0</v>
      </c>
      <c r="AM131" s="115">
        <f>COUNTIFS(D:D,"AA",G:G,"STANGK",F:F,"WINSTANTI",H:H,"LONG")</f>
        <v>0</v>
      </c>
      <c r="AN131" s="115">
        <f>COUNTIFS(D:D,"AA",G:G,"STANGK",F:F,"ENTRY",H:H,"LONG")</f>
        <v>0</v>
      </c>
      <c r="AO131" s="100">
        <f>COUNTIFS(D:D,"AA",G:G,"STANGK",F:F,"KEEPOS",H:H,"LONG")</f>
        <v>0</v>
      </c>
      <c r="AP131" s="29">
        <f>COUNTIFS(D:D,"AA",G:G,"STANGK",E:E,"NEG",H:H,"LONG")</f>
        <v>0</v>
      </c>
      <c r="AQ131" s="115"/>
      <c r="AS131" s="29"/>
      <c r="AT131" s="29"/>
      <c r="AU131" s="29" t="s">
        <v>18</v>
      </c>
      <c r="AV131" s="115">
        <f t="shared" si="47"/>
        <v>0</v>
      </c>
      <c r="AW131" s="29">
        <f>COUNTIFS(D:D,"DD",G:G,"STANGK",F:F,"ATONGOAL",H:H,"LONG")</f>
        <v>0</v>
      </c>
      <c r="AX131" s="29">
        <f>COUNTIFS(D:D,"DD",G:G,"STANGK",F:F,"ATON",H:H,"LONG")</f>
        <v>0</v>
      </c>
      <c r="AY131" s="29">
        <f>COUNTIFS(D:D,"DD",G:G,"STANGK",F:F,"ATOF",H:H,"LONG")</f>
        <v>0</v>
      </c>
      <c r="AZ131" s="29">
        <f>COUNTIFS(D:D,"DD",G:G,"STANGK",F:F,"ATBK",H:H,"LONG")</f>
        <v>0</v>
      </c>
      <c r="BA131" s="29">
        <f>COUNTIFS(D:D,"DD",G:G,"STANGK",F:F,"WINSTAN",H:H,"LONG")</f>
        <v>0</v>
      </c>
      <c r="BB131" s="115">
        <f>COUNTIFS(D:D,"DD",G:G,"STANGK",F:F,"WINSTANTI",H:H,"LONG")</f>
        <v>0</v>
      </c>
      <c r="BC131" s="115">
        <f>COUNTIFS(D:D,"DD",G:G,"STANGK",F:F,"ENTRY",H:H,"LONG")</f>
        <v>0</v>
      </c>
      <c r="BD131" s="100">
        <f>COUNTIFS(D:D,"DD",G:G,"STANGK",F:F,"KEEPOS",H:H,"LONG")</f>
        <v>0</v>
      </c>
      <c r="BE131" s="29">
        <f>COUNTIFS(D:D,"DD",G:G,"STANGK",E:E,"POS",H:H,"LONG")</f>
        <v>0</v>
      </c>
      <c r="BF131" s="115"/>
    </row>
    <row r="132" spans="1:58">
      <c r="A132" s="346" t="s">
        <v>591</v>
      </c>
      <c r="B132" s="346" t="s">
        <v>621</v>
      </c>
      <c r="C132" s="346">
        <v>302160</v>
      </c>
      <c r="D132" s="346" t="s">
        <v>1</v>
      </c>
      <c r="E132" s="346" t="s">
        <v>6</v>
      </c>
      <c r="F132" s="346" t="s">
        <v>9</v>
      </c>
      <c r="G132" s="346"/>
      <c r="H132" s="346"/>
      <c r="I132" s="346"/>
      <c r="J132" s="346"/>
      <c r="K132" s="346"/>
      <c r="L132" s="346"/>
      <c r="M132" s="346" t="s">
        <v>10</v>
      </c>
      <c r="N132" s="346"/>
      <c r="O132" s="346"/>
      <c r="P132" s="346"/>
      <c r="Q132" s="346"/>
      <c r="R132" s="346"/>
      <c r="S132" s="346"/>
      <c r="T132" s="346">
        <v>19440</v>
      </c>
      <c r="X132" s="115">
        <f t="shared" si="48"/>
        <v>-12</v>
      </c>
      <c r="Y132" s="115">
        <f t="shared" si="49"/>
        <v>-18</v>
      </c>
      <c r="Z132" s="115" t="e">
        <f t="shared" si="50"/>
        <v>#VALUE!</v>
      </c>
      <c r="AA132" s="115">
        <f t="shared" si="51"/>
        <v>19.440000000000001</v>
      </c>
      <c r="AB132" s="246">
        <f t="shared" si="37"/>
        <v>45</v>
      </c>
      <c r="AD132" s="29"/>
      <c r="AE132" s="29"/>
      <c r="AF132" s="29"/>
      <c r="AG132" s="29"/>
      <c r="AH132" s="29"/>
      <c r="AI132" s="29"/>
      <c r="AJ132" s="29"/>
      <c r="AK132" s="29"/>
      <c r="AL132" s="29"/>
      <c r="AP132" s="29"/>
      <c r="AQ132" s="115"/>
      <c r="AS132" s="29"/>
      <c r="AT132" s="29"/>
      <c r="AU132" s="29"/>
      <c r="AW132" s="29"/>
      <c r="AX132" s="29"/>
      <c r="AY132" s="29"/>
      <c r="AZ132" s="29"/>
      <c r="BA132" s="29"/>
      <c r="BE132" s="29"/>
      <c r="BF132" s="115"/>
    </row>
    <row r="133" spans="1:58">
      <c r="A133" s="346" t="s">
        <v>591</v>
      </c>
      <c r="B133" s="346" t="s">
        <v>617</v>
      </c>
      <c r="C133" s="346">
        <v>316280</v>
      </c>
      <c r="D133" s="346" t="s">
        <v>5</v>
      </c>
      <c r="E133" s="346" t="s">
        <v>2</v>
      </c>
      <c r="F133" s="346" t="s">
        <v>156</v>
      </c>
      <c r="G133" s="346" t="s">
        <v>27</v>
      </c>
      <c r="H133" s="346"/>
      <c r="I133" s="346"/>
      <c r="J133" s="346"/>
      <c r="K133" s="346"/>
      <c r="L133" s="346"/>
      <c r="M133" s="346"/>
      <c r="N133" s="346"/>
      <c r="O133" s="346"/>
      <c r="P133" s="346"/>
      <c r="Q133" s="346"/>
      <c r="R133" s="346"/>
      <c r="S133" s="346"/>
      <c r="T133" s="346">
        <v>23440</v>
      </c>
      <c r="X133" s="115">
        <f t="shared" si="48"/>
        <v>1</v>
      </c>
      <c r="Y133" s="115">
        <f t="shared" si="49"/>
        <v>-11</v>
      </c>
      <c r="Z133" s="115" t="e">
        <f t="shared" si="50"/>
        <v>#VALUE!</v>
      </c>
      <c r="AA133" s="115">
        <f t="shared" si="51"/>
        <v>23.44</v>
      </c>
      <c r="AB133" s="246">
        <f t="shared" si="37"/>
        <v>45</v>
      </c>
      <c r="AD133" s="29"/>
      <c r="AE133" s="29"/>
      <c r="AF133" s="29"/>
      <c r="AG133" s="29"/>
      <c r="AH133" s="29"/>
      <c r="AI133" s="29"/>
      <c r="AJ133" s="29"/>
      <c r="AK133" s="29"/>
      <c r="AL133" s="29"/>
      <c r="AP133" s="29"/>
      <c r="AQ133" s="115"/>
      <c r="BF133" s="115"/>
    </row>
    <row r="134" spans="1:58">
      <c r="A134" s="346" t="s">
        <v>591</v>
      </c>
      <c r="B134" s="346" t="s">
        <v>622</v>
      </c>
      <c r="C134" s="346">
        <v>334560</v>
      </c>
      <c r="D134" s="346" t="s">
        <v>5</v>
      </c>
      <c r="E134" s="346" t="s">
        <v>2</v>
      </c>
      <c r="F134" s="346" t="s">
        <v>7</v>
      </c>
      <c r="G134" s="346" t="s">
        <v>29</v>
      </c>
      <c r="H134" s="346"/>
      <c r="I134" s="346"/>
      <c r="J134" s="346"/>
      <c r="K134" s="346"/>
      <c r="L134" s="346"/>
      <c r="M134" s="346"/>
      <c r="N134" s="346"/>
      <c r="O134" s="346"/>
      <c r="P134" s="346"/>
      <c r="Q134" s="346"/>
      <c r="R134" s="346"/>
      <c r="S134" s="346"/>
      <c r="T134" s="346">
        <v>22480</v>
      </c>
      <c r="X134" s="115">
        <f t="shared" si="48"/>
        <v>6</v>
      </c>
      <c r="Y134" s="115">
        <f t="shared" si="49"/>
        <v>7</v>
      </c>
      <c r="Z134" s="115" t="e">
        <f t="shared" si="50"/>
        <v>#VALUE!</v>
      </c>
      <c r="AA134" s="115">
        <f t="shared" si="51"/>
        <v>22.48</v>
      </c>
      <c r="AB134" s="246">
        <f t="shared" si="37"/>
        <v>46</v>
      </c>
      <c r="AD134" s="29"/>
      <c r="AE134" s="29"/>
      <c r="AF134" s="29"/>
      <c r="AG134" s="29"/>
      <c r="AH134" s="29"/>
      <c r="AI134" s="29"/>
      <c r="AJ134" s="29"/>
      <c r="AK134" s="29"/>
      <c r="AL134" s="29"/>
      <c r="AP134" s="29"/>
      <c r="AQ134" s="115"/>
      <c r="BF134" s="115"/>
    </row>
    <row r="135" spans="1:58">
      <c r="A135" s="346" t="s">
        <v>591</v>
      </c>
      <c r="B135" s="346" t="s">
        <v>624</v>
      </c>
      <c r="C135" s="346">
        <v>395640</v>
      </c>
      <c r="D135" s="346" t="s">
        <v>5</v>
      </c>
      <c r="E135" s="346" t="s">
        <v>2</v>
      </c>
      <c r="F135" s="346" t="s">
        <v>8</v>
      </c>
      <c r="G135" s="346"/>
      <c r="H135" s="346"/>
      <c r="I135" s="346"/>
      <c r="J135" s="346"/>
      <c r="K135" s="346"/>
      <c r="L135" s="346"/>
      <c r="M135" s="346" t="s">
        <v>10</v>
      </c>
      <c r="N135" s="346"/>
      <c r="O135" s="346"/>
      <c r="P135" s="346"/>
      <c r="Q135" s="346"/>
      <c r="R135" s="346"/>
      <c r="S135" s="346"/>
      <c r="T135" s="346">
        <v>10720</v>
      </c>
      <c r="X135" s="115">
        <f t="shared" si="48"/>
        <v>10</v>
      </c>
      <c r="Y135" s="115">
        <f t="shared" si="49"/>
        <v>16</v>
      </c>
      <c r="Z135" s="115" t="e">
        <f t="shared" si="50"/>
        <v>#VALUE!</v>
      </c>
      <c r="AA135" s="115">
        <f t="shared" si="51"/>
        <v>10.72</v>
      </c>
      <c r="AB135" s="246">
        <f t="shared" si="37"/>
        <v>47</v>
      </c>
      <c r="AD135" s="29"/>
      <c r="AE135" s="29"/>
      <c r="AF135" s="29"/>
      <c r="AG135" s="29" t="s">
        <v>45</v>
      </c>
      <c r="AH135" s="346" t="s">
        <v>703</v>
      </c>
      <c r="AI135" s="29" t="s">
        <v>9</v>
      </c>
      <c r="AJ135" s="29" t="s">
        <v>20</v>
      </c>
      <c r="AK135" s="29" t="s">
        <v>19</v>
      </c>
      <c r="AL135" s="29" t="s">
        <v>7</v>
      </c>
      <c r="AM135" s="115" t="s">
        <v>163</v>
      </c>
      <c r="AN135" s="115" t="s">
        <v>310</v>
      </c>
      <c r="AO135" s="100" t="s">
        <v>156</v>
      </c>
      <c r="AP135" s="1" t="s">
        <v>3</v>
      </c>
      <c r="AQ135" s="115"/>
      <c r="AS135" s="29"/>
      <c r="AT135" s="29"/>
      <c r="AU135" s="29"/>
      <c r="AV135" t="s">
        <v>45</v>
      </c>
      <c r="AW135" s="346" t="s">
        <v>703</v>
      </c>
      <c r="AX135" s="29" t="s">
        <v>9</v>
      </c>
      <c r="AY135" s="29" t="s">
        <v>20</v>
      </c>
      <c r="AZ135" s="29" t="s">
        <v>19</v>
      </c>
      <c r="BA135" s="29" t="s">
        <v>7</v>
      </c>
      <c r="BB135" s="115" t="s">
        <v>163</v>
      </c>
      <c r="BC135" s="115" t="s">
        <v>310</v>
      </c>
      <c r="BD135" s="100" t="s">
        <v>156</v>
      </c>
      <c r="BE135" s="1" t="s">
        <v>3</v>
      </c>
      <c r="BF135" s="115"/>
    </row>
    <row r="136" spans="1:58">
      <c r="A136" s="346" t="s">
        <v>591</v>
      </c>
      <c r="B136" s="346" t="s">
        <v>623</v>
      </c>
      <c r="C136" s="346">
        <v>406000</v>
      </c>
      <c r="D136" s="346" t="s">
        <v>1</v>
      </c>
      <c r="E136" s="346" t="s">
        <v>2</v>
      </c>
      <c r="F136" s="346" t="s">
        <v>156</v>
      </c>
      <c r="G136" s="346" t="s">
        <v>25</v>
      </c>
      <c r="H136" s="346"/>
      <c r="I136" s="346"/>
      <c r="J136" s="346"/>
      <c r="K136" s="346"/>
      <c r="L136" s="346"/>
      <c r="M136" s="346"/>
      <c r="N136" s="346"/>
      <c r="O136" s="346"/>
      <c r="P136" s="346"/>
      <c r="Q136" s="346"/>
      <c r="R136" s="346"/>
      <c r="S136" s="346"/>
      <c r="T136" s="346">
        <v>24240</v>
      </c>
      <c r="X136" s="115">
        <f t="shared" si="48"/>
        <v>1</v>
      </c>
      <c r="Y136" s="115">
        <f t="shared" si="49"/>
        <v>11</v>
      </c>
      <c r="Z136" s="115" t="e">
        <f t="shared" si="50"/>
        <v>#VALUE!</v>
      </c>
      <c r="AA136" s="115">
        <f t="shared" si="51"/>
        <v>24.24</v>
      </c>
      <c r="AB136" s="246">
        <f t="shared" si="37"/>
        <v>47</v>
      </c>
      <c r="AD136" s="29" t="s">
        <v>5</v>
      </c>
      <c r="AE136" s="29" t="s">
        <v>10</v>
      </c>
      <c r="AF136" s="29" t="s">
        <v>11</v>
      </c>
      <c r="AG136" s="29">
        <f>AH136+AI136+AJ136+AK136+AL136+AO136+AM136+AP136</f>
        <v>0</v>
      </c>
      <c r="AH136" s="29">
        <f>COUNTIFS(D:D,"AA",G:G,"STANFK",F:F,"ATONGOAL",H:H,"SHORT")+COUNTIFS(D:D,"AA",M:M,"STANFK",F:F,"ATONGOAL",H:H,"SHORT")</f>
        <v>0</v>
      </c>
      <c r="AI136" s="29">
        <f>COUNTIFS(D:D,"AA",G:G,"STANFK",F:F,"ATON",H:H,"SHORT")+COUNTIFS(D:D,"AA",M:M,"STANFK",F:F,"ATON",H:H,"SHORT")</f>
        <v>0</v>
      </c>
      <c r="AJ136" s="29">
        <f>COUNTIFS(D:D,"AA",G:G,"STANFK",F:F,"ATOF",H:H,"SHORT")+COUNTIFS(D:D,"AA",M:M,"STANFK",F:F,"ATOF",H:H,"SHORT")</f>
        <v>0</v>
      </c>
      <c r="AK136" s="29">
        <f>COUNTIFS(D:D,"AA",G:G,"STANFK",F:F,"ATBK",H:H,"SHORT")+COUNTIFS(D:D,"AA",M:M,"STANFK",F:F,"ATBK",H:H,"SHORT")</f>
        <v>0</v>
      </c>
      <c r="AL136" s="29">
        <f>COUNTIFS(D:D,"AA",G:G,"STANFK",F:F,"WINSTAN",H:H,"SHORT")+COUNTIFS(D:D,"AA",M:M,"STANFK",F:F,"WINSTAN",H:H,"SHORT")</f>
        <v>0</v>
      </c>
      <c r="AM136" s="115">
        <f>COUNTIFS(D:D,"AA",G:G,"STANFK",F:F,"WINSTANTI",H:H,"SHORT")+COUNTIFS(D:D,"AA",M:M,"STANFK",F:F,"WINSTANTI",H:H,"SHORT")</f>
        <v>0</v>
      </c>
      <c r="AN136" s="115">
        <f>COUNTIFS(D:D,"AA",G:G,"STANFK",F:F,"ENTRY",H:H,"SHORT")+COUNTIFS(D:D,"AA",M:M,"STANFK",F:F,"ENTRY",H:H,"SHORT")</f>
        <v>0</v>
      </c>
      <c r="AO136" s="100">
        <f>COUNTIFS(D:D,"AA",G:G,"STANFK",F:F,"KEEPOS",H:H,"SHORT")+COUNTIFS(D:D,"AA",M:M,"STANFK",F:F,"KEEPOS",H:H,"SHORT")</f>
        <v>0</v>
      </c>
      <c r="AP136" s="29">
        <f>COUNTIFS(D:D,"AA",G:G,"STANFK",E:E,"NEG",H:H,"SHORT")+COUNTIFS(D:D,"AA",M:M,"STANFK",E:E,"NEG",H:H,"SHORT")</f>
        <v>0</v>
      </c>
      <c r="AQ136" s="115"/>
      <c r="AS136" s="29" t="s">
        <v>1</v>
      </c>
      <c r="AT136" s="29" t="s">
        <v>10</v>
      </c>
      <c r="AU136" s="29" t="s">
        <v>11</v>
      </c>
      <c r="AV136">
        <f>AW136+AX136+AY136+AZ136+BA136+BD136+BB136+BE136</f>
        <v>0</v>
      </c>
      <c r="AW136" s="29">
        <f>COUNTIFS(D:D,"DD",G:G,"STANFK",F:F,"ATONGOAL",H:H,"SHORT")+COUNTIFS(D:D,"DD",M:M,"STANFK",F:F,"ATONGOAL",H:H,"SHORT")</f>
        <v>0</v>
      </c>
      <c r="AX136" s="29">
        <f>COUNTIFS(D:D,"DD",G:G,"STANFK",F:F,"ATON",H:H,"SHORT")+COUNTIFS(D:D,"DD",M:M,"STANFK",F:F,"ATON",H:H,"SHORT")</f>
        <v>0</v>
      </c>
      <c r="AY136" s="29">
        <f>COUNTIFS(D:D,"DD",G:G,"STANFK",F:F,"ATOF",H:H,"SHORT")+COUNTIFS(D:D,"DD",M:M,"STANFK",F:F,"ATOF",H:H,"SHORT")</f>
        <v>0</v>
      </c>
      <c r="AZ136" s="29">
        <f>COUNTIFS(D:D,"DD",G:G,"STANFK",F:F,"ATBK",H:H,"SHORT")+COUNTIFS(D:D,"DD",M:M,"STANFK",F:F,"ATBK",H:H,"SHORT")</f>
        <v>0</v>
      </c>
      <c r="BA136" s="29">
        <f>COUNTIFS(D:D,"DD",G:G,"STANFK",F:F,"WINSTAN",H:H,"SHORT")+COUNTIFS(D:D,"DD",M:M,"STANFK",F:F,"WINSTAN",H:H,"SHORT")</f>
        <v>0</v>
      </c>
      <c r="BB136" s="115">
        <f>COUNTIFS(D:D,"DD",G:G,"STANFK",F:F,"WINSTANTI",H:H,"SHORT")+COUNTIFS(D:D,"DD",M:M,"STANFK",F:F,"WINSTANTI",H:H,"SHORT")</f>
        <v>0</v>
      </c>
      <c r="BC136" s="115">
        <f>COUNTIFS(D:D,"DD",G:G,"STANFK",F:F,"ENTRY",H:H,"SHORT")+COUNTIFS(D:D,"DD",M:M,"STANFK",F:F,"ENTRY",H:H,"SHORT")</f>
        <v>0</v>
      </c>
      <c r="BD136" s="100">
        <f>COUNTIFS(D:D,"DD",G:G,"STANFK",F:F,"KEEPOS",H:H,"SHORT")+COUNTIFS(D:D,"DD",M:M,"STANFK",F:F,"KEEPOS",H:H,"SHORT")</f>
        <v>0</v>
      </c>
      <c r="BE136" s="29">
        <f>COUNTIFS(D:D,"DD",G:G,"STANFK",E:E,"POS",H:H,"SHORT")+COUNTIFS(D:D,"DD",M:M,"STANFK",E:E,"POS",H:H,"SHORT")</f>
        <v>0</v>
      </c>
      <c r="BF136" s="115"/>
    </row>
    <row r="137" spans="1:58">
      <c r="A137" s="346" t="s">
        <v>591</v>
      </c>
      <c r="B137" s="346" t="s">
        <v>626</v>
      </c>
      <c r="C137" s="346">
        <v>432440</v>
      </c>
      <c r="D137" s="346" t="s">
        <v>5</v>
      </c>
      <c r="E137" s="346" t="s">
        <v>6</v>
      </c>
      <c r="F137" s="346" t="s">
        <v>3</v>
      </c>
      <c r="G137" s="346" t="s">
        <v>10</v>
      </c>
      <c r="H137" s="346"/>
      <c r="I137" s="346" t="s">
        <v>595</v>
      </c>
      <c r="J137" s="346"/>
      <c r="K137" s="346"/>
      <c r="L137" s="346"/>
      <c r="M137" s="346"/>
      <c r="N137" s="346"/>
      <c r="O137" s="346"/>
      <c r="P137" s="346"/>
      <c r="Q137" s="346"/>
      <c r="R137" s="346"/>
      <c r="S137" s="346"/>
      <c r="T137" s="346">
        <v>26200</v>
      </c>
      <c r="X137" s="115">
        <f t="shared" si="48"/>
        <v>1</v>
      </c>
      <c r="Y137" s="115">
        <f t="shared" si="49"/>
        <v>2</v>
      </c>
      <c r="Z137" s="115" t="e">
        <f t="shared" si="50"/>
        <v>#VALUE!</v>
      </c>
      <c r="AA137" s="115">
        <f t="shared" si="51"/>
        <v>26.2</v>
      </c>
      <c r="AB137" s="246">
        <f t="shared" si="37"/>
        <v>47</v>
      </c>
      <c r="AD137" s="29"/>
      <c r="AE137" s="29"/>
      <c r="AF137" s="29" t="s">
        <v>23</v>
      </c>
      <c r="AG137" s="115">
        <f>AH137+AI137+AJ137+AK137+AL137+AO137+AM137+AP137</f>
        <v>0</v>
      </c>
      <c r="AH137" s="29">
        <f>COUNTIFS(D:D,"AA",G:G,"STANFK",F:F,"ATONGOAL",H:H,"SHORTLONG")+COUNTIFS(D:D,"AA",M:M,"STANFK",F:F,"ATONGOAL",H:H,"SHORTLONG")</f>
        <v>0</v>
      </c>
      <c r="AI137" s="29">
        <f>COUNTIFS(D:D,"AA",G:G,"STANFK",F:F,"ATON",H:H,"SHORTLONG")+COUNTIFS(D:D,"AA",M:M,"STANFK",F:F,"ATON",H:H,"SHORTLONG")</f>
        <v>0</v>
      </c>
      <c r="AJ137" s="29">
        <f>COUNTIFS(D:D,"AA",G:G,"STANFK",F:F,"ATOF",H:H,"SHORTLONG")+COUNTIFS(D:D,"AA",M:M,"STANFK",F:F,"ATOF",H:H,"SHORTLONG")</f>
        <v>0</v>
      </c>
      <c r="AK137" s="29">
        <f>COUNTIFS(D:D,"AA",G:G,"STANFK",F:F,"ATBK",H:H,"SHORTLONG")+COUNTIFS(D:D,"AA",M:M,"STANFK",F:F,"ATBK",H:H,"SHORTLONG")</f>
        <v>0</v>
      </c>
      <c r="AL137" s="29">
        <f>COUNTIFS(D:D,"AA",G:G,"STANFK",F:F,"WINSTAN",H:H,"SHORTLONG")+COUNTIFS(D:D,"AA",M:M,"STANFK",F:F,"WINSTAN",H:H,"SHORTLONG")</f>
        <v>0</v>
      </c>
      <c r="AM137" s="115">
        <f>COUNTIFS(D:D,"AA",G:G,"STANFK",F:F,"WINSTANTI",H:H,"SHORTLONG")+COUNTIFS(D:D,"AA",M:M,"STANFK",F:F,"WINSTANTI",H:H,"SHORTLONG")</f>
        <v>0</v>
      </c>
      <c r="AN137" s="115">
        <f>COUNTIFS(D:D,"AA",G:G,"STANFK",F:F,"ENTRY",H:H,"SHORTLONG")+COUNTIFS(D:D,"AA",M:M,"STANFK",F:F,"ENTRY",H:H,"SHORTLONG")</f>
        <v>0</v>
      </c>
      <c r="AO137" s="100">
        <f>COUNTIFS(D:D,"AA",G:G,"STANFK",F:F,"KEEPOS",H:H,"SHORTLONG")+COUNTIFS(D:D,"AA",M:M,"STANFK",F:F,"KEEPOS",H:H,"SHORTLONG")</f>
        <v>0</v>
      </c>
      <c r="AP137" s="29">
        <f>COUNTIFS(D:D,"AA",G:G,"STANFK",E:E,"NEG",H:H,"SHORTLONG")+COUNTIFS(D:D,"AA",M:M,"STANFK",E:E,"NEG",H:H,"SHORTLONG")</f>
        <v>0</v>
      </c>
      <c r="AQ137" s="115"/>
      <c r="AS137" s="29"/>
      <c r="AT137" s="29"/>
      <c r="AU137" s="29" t="s">
        <v>23</v>
      </c>
      <c r="AV137" s="115">
        <f>AW137+AX137+AY137+AZ137+BA137+BD137+BB137+BE137</f>
        <v>0</v>
      </c>
      <c r="AW137" s="29">
        <f>COUNTIFS(D:D,"DD",G:G,"STANFK",F:F,"ATONGOAL",H:H,"SHORTLONG")+COUNTIFS(D:D,"DD",M:M,"STANFK",F:F,"ATONGOAL",H:H,"SHORTLONG")</f>
        <v>0</v>
      </c>
      <c r="AX137" s="29">
        <f>COUNTIFS(D:D,"DD",G:G,"STANFK",F:F,"ATON",H:H,"SHORTLONG")+COUNTIFS(D:D,"DD",M:M,"STANFK",F:F,"ATON",H:H,"SHORTLONG")</f>
        <v>0</v>
      </c>
      <c r="AY137" s="29">
        <f>COUNTIFS(D:D,"DD",G:G,"STANFK",F:F,"ATOF",H:H,"SHORTLONG")+COUNTIFS(D:D,"DD",M:M,"STANFK",F:F,"ATOF",H:H,"SHORTLONG")</f>
        <v>0</v>
      </c>
      <c r="AZ137" s="29">
        <f>COUNTIFS(D:D,"DD",G:G,"STANFK",F:F,"ATBK",H:H,"SHORTLONG")+COUNTIFS(D:D,"DD",M:M,"STANFK",F:F,"ATBK",H:H,"SHORTLONG")</f>
        <v>0</v>
      </c>
      <c r="BA137" s="29">
        <f>COUNTIFS(D:D,"DD",G:G,"STANFK",F:F,"WINSTAN",H:H,"SHORTLONG")+COUNTIFS(D:D,"DD",M:M,"STANFK",F:F,"WINSTAN",H:H,"SHORTLONG")</f>
        <v>0</v>
      </c>
      <c r="BB137" s="115">
        <f>COUNTIFS(D:D,"DD",G:G,"STANFK",F:F,"WINSTANTI",H:H,"SHORTLONG")+COUNTIFS(D:D,"DD",M:M,"STANFK",F:F,"WINSTANTI",H:H,"SHORTLONG")</f>
        <v>0</v>
      </c>
      <c r="BC137" s="115">
        <f>COUNTIFS(D:D,"DD",G:G,"STANFK",F:F,"ENTRY",H:H,"SHORTLONG")+COUNTIFS(D:D,"DD",M:M,"STANFK",F:F,"ENTRY",H:H,"SHORTLONG")</f>
        <v>0</v>
      </c>
      <c r="BD137" s="100">
        <f>COUNTIFS(D:D,"DD",G:G,"STANFK",F:F,"KEEPOS",H:H,"SHORTLONG")+COUNTIFS(D:D,"DD",M:M,"STANFK",F:F,"KEEPOS",H:H,"SHORTLONG")</f>
        <v>0</v>
      </c>
      <c r="BE137" s="29">
        <f>COUNTIFS(D:D,"DD",G:G,"STANFK",E:E,"POS",H:H,"SHORTLONG")+COUNTIFS(D:D,"DD",M:M,"STANFK",E:E,"POS",H:H,"SHORTLONG")</f>
        <v>0</v>
      </c>
      <c r="BF137" s="115"/>
    </row>
    <row r="138" spans="1:58">
      <c r="A138" s="346" t="s">
        <v>591</v>
      </c>
      <c r="B138" s="346" t="s">
        <v>625</v>
      </c>
      <c r="C138" s="346">
        <v>453640</v>
      </c>
      <c r="D138" s="346" t="s">
        <v>1</v>
      </c>
      <c r="E138" s="346" t="s">
        <v>2</v>
      </c>
      <c r="F138" s="346" t="s">
        <v>156</v>
      </c>
      <c r="G138" s="346"/>
      <c r="H138" s="346"/>
      <c r="I138" s="346" t="s">
        <v>595</v>
      </c>
      <c r="J138" s="346"/>
      <c r="K138" s="346"/>
      <c r="L138" s="346"/>
      <c r="M138" s="346"/>
      <c r="N138" s="346"/>
      <c r="O138" s="346"/>
      <c r="P138" s="346"/>
      <c r="Q138" s="346"/>
      <c r="R138" s="346"/>
      <c r="S138" s="346"/>
      <c r="T138" s="346">
        <v>46360</v>
      </c>
      <c r="X138" s="115">
        <f t="shared" si="48"/>
        <v>1</v>
      </c>
      <c r="Y138" s="115">
        <f t="shared" si="49"/>
        <v>2</v>
      </c>
      <c r="Z138" s="115" t="e">
        <f t="shared" si="50"/>
        <v>#VALUE!</v>
      </c>
      <c r="AA138" s="115">
        <f t="shared" si="51"/>
        <v>46.36</v>
      </c>
      <c r="AB138" s="246">
        <f t="shared" si="37"/>
        <v>48</v>
      </c>
      <c r="AD138" s="29"/>
      <c r="AE138" s="29"/>
      <c r="AF138" s="29" t="s">
        <v>18</v>
      </c>
      <c r="AG138" s="115">
        <f>AH138+AI138+AJ138+AK138+AL138+AO138+AM138+AP138</f>
        <v>0</v>
      </c>
      <c r="AH138" s="29">
        <f>COUNTIFS(D:D,"AA",G:G,"STANFK",F:F,"ATONGOAL",H:H,"LONG")+COUNTIFS(D:D,"AA",M:M,"STANFK",F:F,"ATONGOAL",H:H,"LONG")</f>
        <v>0</v>
      </c>
      <c r="AI138" s="29">
        <f>COUNTIFS(D:D,"AA",G:G,"STANFK",F:F,"ATON",H:H,"LONG")+COUNTIFS(D:D,"AA",M:M,"STANFK",F:F,"ATON",H:H,"LONG")</f>
        <v>0</v>
      </c>
      <c r="AJ138" s="29">
        <f>COUNTIFS(D:D,"AA",G:G,"STANFK",F:F,"ATOF",H:H,"LONG")+COUNTIFS(D:D,"AA",M:M,"STANFK",F:F,"ATOF",H:H,"LONG")</f>
        <v>0</v>
      </c>
      <c r="AK138" s="29">
        <f>COUNTIFS(D:D,"AA",G:G,"STANFK",F:F,"ATBK",H:H,"LONG")+COUNTIFS(D:D,"AA",M:M,"STANFK",F:F,"ATBK",H:H,"LONG")</f>
        <v>0</v>
      </c>
      <c r="AL138" s="29">
        <f>COUNTIFS(D:D,"AA",G:G,"STANFK",F:F,"WINSTAN",H:H,"LONG")+COUNTIFS(D:D,"AA",M:M,"STANFK",F:F,"WINSTAN",H:H,"LONG")</f>
        <v>0</v>
      </c>
      <c r="AM138" s="115">
        <f>COUNTIFS(D:D,"AA",G:G,"STANFK",F:F,"WINSTANTI",H:H,"LONG")+COUNTIFS(D:D,"AA",M:M,"STANFK",F:F,"WINSTANTI",H:H,"LONG")</f>
        <v>0</v>
      </c>
      <c r="AN138" s="115">
        <f>COUNTIFS(D:D,"AA",G:G,"STANFK",F:F,"ENTRY",H:H,"LONG")+COUNTIFS(D:D,"AA",M:M,"STANFK",F:F,"ENTRY",H:H,"LONG")</f>
        <v>0</v>
      </c>
      <c r="AO138" s="100">
        <f>COUNTIFS(D:D,"AA",G:G,"STANFK",F:F,"KEEPOS",H:H,"LONG")+COUNTIFS(D:D,"AA",M:M,"STANFK",F:F,"KEEPOS",H:H,"LONG")</f>
        <v>0</v>
      </c>
      <c r="AP138" s="29">
        <f>COUNTIFS(D:D,"AA",G:G,"STANFK",E:E,"NEG",H:H,"LONG")+COUNTIFS(D:D,"AA",M:M,"STANFK",E:E,"NEG",H:H,"LONG")</f>
        <v>0</v>
      </c>
      <c r="AQ138" s="115"/>
      <c r="AS138" s="29"/>
      <c r="AT138" s="29"/>
      <c r="AU138" s="29" t="s">
        <v>18</v>
      </c>
      <c r="AV138" s="115">
        <f>AW138+AX138+AY138+AZ138+BA138+BD138+BB138+BE138</f>
        <v>0</v>
      </c>
      <c r="AW138" s="29">
        <f>COUNTIFS(D:D,"DD",G:G,"STANFK",F:F,"ATONGOAL",H:H,"LONG")+COUNTIFS(D:D,"DD",M:M,"STANFK",F:F,"ATONGOAL",H:H,"LONG")</f>
        <v>0</v>
      </c>
      <c r="AX138" s="29">
        <f>COUNTIFS(D:D,"DD",G:G,"STANFK",F:F,"ATON",H:H,"LONG")+COUNTIFS(D:D,"DD",M:M,"STANFK",F:F,"ATON",H:H,"LONG")</f>
        <v>0</v>
      </c>
      <c r="AY138" s="29">
        <f>COUNTIFS(D:D,"DD",G:G,"STANFK",F:F,"ATOF",H:H,"LONG")+COUNTIFS(D:D,"DD",M:M,"STANFK",F:F,"ATOF",H:H,"LONG")</f>
        <v>0</v>
      </c>
      <c r="AZ138" s="29">
        <f>COUNTIFS(D:D,"DD",G:G,"STANFK",F:F,"ATBK",H:H,"LONG")+COUNTIFS(D:D,"DD",M:M,"STANFK",F:F,"ATBK",H:H,"LONG")</f>
        <v>0</v>
      </c>
      <c r="BA138" s="29">
        <f>COUNTIFS(D:D,"DD",G:G,"STANFK",F:F,"WINSTAN",H:H,"LONG")+COUNTIFS(D:D,"DD",M:M,"STANFK",F:F,"WINSTAN",H:H,"LONG")</f>
        <v>0</v>
      </c>
      <c r="BB138" s="115">
        <f>COUNTIFS(D:D,"DD",G:G,"STANFK",F:F,"WINSTANTI",H:H,"LONG")+COUNTIFS(D:D,"DD",M:M,"STANFK",F:F,"WINSTANTI",H:H,"LONG")</f>
        <v>0</v>
      </c>
      <c r="BC138" s="115">
        <f>COUNTIFS(D:D,"DD",G:G,"STANFK",F:F,"ENTRY",H:H,"LONG")+COUNTIFS(D:D,"DD",M:M,"STANFK",F:F,"ENTRY",H:H,"LONG")</f>
        <v>0</v>
      </c>
      <c r="BD138" s="100">
        <f>COUNTIFS(D:D,"DD",G:G,"STANFK",F:F,"KEEPOS",H:H,"LONG")+COUNTIFS(D:D,"DD",M:M,"STANFK",F:F,"KEEPOS",H:H,"LONG")</f>
        <v>0</v>
      </c>
      <c r="BE138" s="29">
        <f>COUNTIFS(D:D,"DD",G:G,"STANFK",E:E,"POS",H:H,"LONG")+COUNTIFS(D:D,"DD",M:M,"STANFK",E:E,"POS",H:H,"LONG")</f>
        <v>0</v>
      </c>
      <c r="BF138" s="115"/>
    </row>
    <row r="139" spans="1:58">
      <c r="A139" s="346" t="s">
        <v>591</v>
      </c>
      <c r="B139" s="346" t="s">
        <v>627</v>
      </c>
      <c r="C139" s="346">
        <v>501440</v>
      </c>
      <c r="D139" s="346" t="s">
        <v>5</v>
      </c>
      <c r="E139" s="346" t="s">
        <v>6</v>
      </c>
      <c r="F139" s="346" t="s">
        <v>3</v>
      </c>
      <c r="G139" s="346" t="s">
        <v>25</v>
      </c>
      <c r="H139" s="346"/>
      <c r="I139" s="346"/>
      <c r="J139" s="346"/>
      <c r="K139" s="346"/>
      <c r="L139" s="346"/>
      <c r="M139" s="346"/>
      <c r="N139" s="346"/>
      <c r="O139" s="346"/>
      <c r="P139" s="346"/>
      <c r="Q139" s="346"/>
      <c r="R139" s="346"/>
      <c r="S139" s="346"/>
      <c r="T139" s="346">
        <v>17720</v>
      </c>
      <c r="X139" s="115">
        <f t="shared" si="48"/>
        <v>1</v>
      </c>
      <c r="Y139" s="115">
        <f t="shared" si="49"/>
        <v>2</v>
      </c>
      <c r="Z139" s="115" t="e">
        <f t="shared" si="50"/>
        <v>#VALUE!</v>
      </c>
      <c r="AA139" s="115">
        <f t="shared" si="51"/>
        <v>17.72</v>
      </c>
      <c r="AB139" s="246">
        <f t="shared" si="37"/>
        <v>48</v>
      </c>
      <c r="AD139" s="29"/>
      <c r="AE139" s="29"/>
      <c r="AF139" s="29"/>
      <c r="AG139" s="115"/>
      <c r="AH139" s="29"/>
      <c r="AI139" s="29"/>
      <c r="AJ139" s="29"/>
      <c r="AK139" s="29"/>
      <c r="AL139" s="29"/>
      <c r="AP139" s="29"/>
      <c r="AQ139" s="115"/>
      <c r="AV139" s="115"/>
      <c r="BF139" s="115"/>
    </row>
    <row r="140" spans="1:58">
      <c r="A140" s="346" t="s">
        <v>591</v>
      </c>
      <c r="B140" s="346" t="s">
        <v>604</v>
      </c>
      <c r="C140" s="346">
        <v>507160</v>
      </c>
      <c r="D140" s="346" t="s">
        <v>17</v>
      </c>
      <c r="E140" s="346" t="s">
        <v>6</v>
      </c>
      <c r="F140" s="346" t="s">
        <v>9</v>
      </c>
      <c r="G140" s="346"/>
      <c r="H140" s="346"/>
      <c r="I140" s="346" t="s">
        <v>563</v>
      </c>
      <c r="J140" s="346"/>
      <c r="K140" s="346"/>
      <c r="L140" s="346" t="s">
        <v>564</v>
      </c>
      <c r="M140" s="346"/>
      <c r="N140" s="346"/>
      <c r="O140" s="346"/>
      <c r="P140" s="346"/>
      <c r="Q140" s="346"/>
      <c r="R140" s="346"/>
      <c r="S140" s="346"/>
      <c r="T140" s="346">
        <v>37920</v>
      </c>
      <c r="X140" s="115">
        <f t="shared" si="48"/>
        <v>-12</v>
      </c>
      <c r="Y140" s="115">
        <f t="shared" si="49"/>
        <v>-11</v>
      </c>
      <c r="Z140" s="115" t="e">
        <f t="shared" si="50"/>
        <v>#VALUE!</v>
      </c>
      <c r="AA140" s="115">
        <f t="shared" si="51"/>
        <v>37.92</v>
      </c>
      <c r="AB140" s="246">
        <f t="shared" si="37"/>
        <v>48</v>
      </c>
      <c r="AG140" s="115"/>
      <c r="AQ140" s="115"/>
      <c r="AV140" s="115"/>
      <c r="BF140" s="115"/>
    </row>
    <row r="141" spans="1:58">
      <c r="A141" s="346" t="s">
        <v>591</v>
      </c>
      <c r="B141" s="346" t="s">
        <v>630</v>
      </c>
      <c r="C141" s="346">
        <v>544880</v>
      </c>
      <c r="D141" s="346" t="s">
        <v>5</v>
      </c>
      <c r="E141" s="346" t="s">
        <v>6</v>
      </c>
      <c r="F141" s="346" t="s">
        <v>3</v>
      </c>
      <c r="G141" s="346" t="s">
        <v>27</v>
      </c>
      <c r="H141" s="346"/>
      <c r="I141" s="346"/>
      <c r="J141" s="346"/>
      <c r="K141" s="346"/>
      <c r="L141" s="346"/>
      <c r="M141" s="346"/>
      <c r="N141" s="346"/>
      <c r="O141" s="346"/>
      <c r="P141" s="346"/>
      <c r="Q141" s="346"/>
      <c r="R141" s="346"/>
      <c r="S141" s="346"/>
      <c r="T141" s="346">
        <v>19360</v>
      </c>
      <c r="X141" s="115">
        <f t="shared" si="48"/>
        <v>1</v>
      </c>
      <c r="Y141" s="115">
        <f t="shared" si="49"/>
        <v>-11</v>
      </c>
      <c r="Z141" s="115" t="e">
        <f t="shared" si="50"/>
        <v>#VALUE!</v>
      </c>
      <c r="AA141" s="115">
        <f t="shared" si="51"/>
        <v>19.36</v>
      </c>
      <c r="AB141" s="246">
        <f t="shared" si="37"/>
        <v>49</v>
      </c>
      <c r="AG141" s="115"/>
      <c r="AQ141" s="115"/>
      <c r="AV141" s="115"/>
      <c r="BF141" s="115"/>
    </row>
    <row r="142" spans="1:58">
      <c r="A142" s="346" t="s">
        <v>591</v>
      </c>
      <c r="B142" s="346" t="s">
        <v>607</v>
      </c>
      <c r="C142" s="346">
        <v>552240</v>
      </c>
      <c r="D142" s="346" t="s">
        <v>17</v>
      </c>
      <c r="E142" s="346" t="s">
        <v>6</v>
      </c>
      <c r="F142" s="346" t="s">
        <v>310</v>
      </c>
      <c r="G142" s="346"/>
      <c r="H142" s="346"/>
      <c r="I142" s="346" t="s">
        <v>563</v>
      </c>
      <c r="J142" s="346"/>
      <c r="K142" s="346"/>
      <c r="L142" s="346" t="s">
        <v>568</v>
      </c>
      <c r="M142" s="346"/>
      <c r="N142" s="346"/>
      <c r="O142" s="346"/>
      <c r="P142" s="346"/>
      <c r="Q142" s="346"/>
      <c r="R142" s="346"/>
      <c r="S142" s="346"/>
      <c r="T142" s="346">
        <v>22080</v>
      </c>
      <c r="X142" s="115">
        <f t="shared" si="48"/>
        <v>-2</v>
      </c>
      <c r="Y142" s="115">
        <f t="shared" si="49"/>
        <v>-1</v>
      </c>
      <c r="Z142" s="115" t="e">
        <f t="shared" si="50"/>
        <v>#VALUE!</v>
      </c>
      <c r="AA142" s="115">
        <f t="shared" si="51"/>
        <v>22.08</v>
      </c>
      <c r="AB142" s="246">
        <f t="shared" si="37"/>
        <v>49</v>
      </c>
      <c r="AG142" s="115"/>
      <c r="AQ142" s="115"/>
      <c r="AV142" s="115"/>
      <c r="BF142" s="115"/>
    </row>
    <row r="143" spans="1:58">
      <c r="A143" s="346" t="s">
        <v>591</v>
      </c>
      <c r="B143" s="346" t="s">
        <v>643</v>
      </c>
      <c r="C143" s="346">
        <v>567320</v>
      </c>
      <c r="D143" s="346" t="s">
        <v>5</v>
      </c>
      <c r="E143" s="346" t="s">
        <v>6</v>
      </c>
      <c r="F143" s="346" t="s">
        <v>3</v>
      </c>
      <c r="G143" s="346" t="s">
        <v>27</v>
      </c>
      <c r="H143" s="346"/>
      <c r="I143" s="346"/>
      <c r="J143" s="346"/>
      <c r="K143" s="346"/>
      <c r="L143" s="346"/>
      <c r="M143" s="346"/>
      <c r="N143" s="346"/>
      <c r="O143" s="346"/>
      <c r="P143" s="346"/>
      <c r="Q143" s="346"/>
      <c r="R143" s="346"/>
      <c r="S143" s="346"/>
      <c r="T143" s="346">
        <v>35480</v>
      </c>
      <c r="X143" s="115">
        <f t="shared" si="48"/>
        <v>1</v>
      </c>
      <c r="Y143" s="115">
        <f t="shared" si="49"/>
        <v>-1</v>
      </c>
      <c r="Z143" s="115" t="e">
        <f t="shared" si="50"/>
        <v>#VALUE!</v>
      </c>
      <c r="AA143" s="115">
        <f t="shared" si="51"/>
        <v>35.479999999999997</v>
      </c>
      <c r="AB143" s="246">
        <f t="shared" si="37"/>
        <v>49</v>
      </c>
      <c r="AD143" s="29"/>
      <c r="AE143" s="29"/>
      <c r="AF143" s="29"/>
      <c r="AG143" s="115" t="s">
        <v>45</v>
      </c>
      <c r="AH143" s="346" t="s">
        <v>703</v>
      </c>
      <c r="AI143" s="29" t="s">
        <v>9</v>
      </c>
      <c r="AJ143" s="29" t="s">
        <v>20</v>
      </c>
      <c r="AK143" s="29" t="s">
        <v>19</v>
      </c>
      <c r="AL143" s="29" t="s">
        <v>7</v>
      </c>
      <c r="AM143" s="115" t="s">
        <v>163</v>
      </c>
      <c r="AN143" s="115" t="s">
        <v>310</v>
      </c>
      <c r="AO143" s="100" t="s">
        <v>156</v>
      </c>
      <c r="AP143" s="1" t="s">
        <v>3</v>
      </c>
      <c r="AQ143" s="115"/>
      <c r="AS143" s="29"/>
      <c r="AT143" s="29"/>
      <c r="AU143" s="29"/>
      <c r="AV143" s="115" t="s">
        <v>45</v>
      </c>
      <c r="AW143" s="346" t="s">
        <v>703</v>
      </c>
      <c r="AX143" s="29" t="s">
        <v>9</v>
      </c>
      <c r="AY143" s="29" t="s">
        <v>20</v>
      </c>
      <c r="AZ143" s="29" t="s">
        <v>19</v>
      </c>
      <c r="BA143" s="29" t="s">
        <v>7</v>
      </c>
      <c r="BB143" s="115" t="s">
        <v>163</v>
      </c>
      <c r="BC143" s="115" t="s">
        <v>310</v>
      </c>
      <c r="BD143" s="100" t="s">
        <v>156</v>
      </c>
      <c r="BE143" s="1" t="s">
        <v>3</v>
      </c>
      <c r="BF143" s="115"/>
    </row>
    <row r="144" spans="1:58">
      <c r="A144" s="346" t="s">
        <v>591</v>
      </c>
      <c r="B144" s="346" t="s">
        <v>610</v>
      </c>
      <c r="C144" s="346">
        <v>589440</v>
      </c>
      <c r="D144" s="346" t="s">
        <v>17</v>
      </c>
      <c r="E144" s="346" t="s">
        <v>6</v>
      </c>
      <c r="F144" s="346" t="s">
        <v>3</v>
      </c>
      <c r="G144" s="346"/>
      <c r="H144" s="346"/>
      <c r="I144" s="346" t="s">
        <v>561</v>
      </c>
      <c r="J144" s="346"/>
      <c r="K144" s="346"/>
      <c r="L144" s="346" t="s">
        <v>577</v>
      </c>
      <c r="M144" s="346"/>
      <c r="N144" s="346"/>
      <c r="O144" s="346"/>
      <c r="P144" s="346"/>
      <c r="Q144" s="346"/>
      <c r="R144" s="346"/>
      <c r="S144" s="346"/>
      <c r="T144" s="346">
        <v>63840</v>
      </c>
      <c r="X144" s="115">
        <f t="shared" si="48"/>
        <v>1</v>
      </c>
      <c r="Y144" s="115">
        <f t="shared" si="49"/>
        <v>2</v>
      </c>
      <c r="Z144" s="115" t="e">
        <f t="shared" si="50"/>
        <v>#VALUE!</v>
      </c>
      <c r="AA144" s="115">
        <f t="shared" si="51"/>
        <v>63.84</v>
      </c>
      <c r="AB144" s="246">
        <f t="shared" si="37"/>
        <v>50</v>
      </c>
      <c r="AD144" s="29" t="s">
        <v>5</v>
      </c>
      <c r="AE144" s="29" t="s">
        <v>27</v>
      </c>
      <c r="AF144" s="29" t="s">
        <v>11</v>
      </c>
      <c r="AG144" s="115">
        <f>AH144+AI144+AJ144+AK144+AL144+AO144+AM144+AP144</f>
        <v>0</v>
      </c>
      <c r="AH144" s="29">
        <f>COUNTIFS(D:D,"AA",G:G,"STANGS",F:F,"ATONGOAL",H:H,"SHORT")</f>
        <v>0</v>
      </c>
      <c r="AI144" s="29">
        <f>COUNTIFS(D:D,"AA",G:G,"STANGS",F:F,"ATON",H:H,"SHORT")</f>
        <v>0</v>
      </c>
      <c r="AJ144" s="29">
        <f>COUNTIFS(D:D,"AA",G:G,"STANGS",F:F,"ATOF",H:H,"SHORT")</f>
        <v>0</v>
      </c>
      <c r="AK144" s="29">
        <f>COUNTIFS(D:D,"AA",G:G,"STANGS",F:F,"ATBK",H:H,"SHORT")</f>
        <v>0</v>
      </c>
      <c r="AL144" s="29">
        <f>COUNTIFS(D:D,"AA",G:G,"STANGS",F:F,"WINSTAN",H:H,"SHORT")</f>
        <v>0</v>
      </c>
      <c r="AM144" s="115">
        <f>COUNTIFS(D:D,"AA",G:G,"STANGS",F:F,"WINSTANTI",H:H,"SHORT")</f>
        <v>0</v>
      </c>
      <c r="AN144" s="115">
        <f>COUNTIFS(D:D,"AA",G:G,"STANGS",F:F,"ENTRY",H:H,"SHORT")</f>
        <v>0</v>
      </c>
      <c r="AO144" s="100">
        <f>COUNTIFS(D:D,"AA",G:G,"STANGS",F:F,"KEEPOS",H:H,"SHORT")</f>
        <v>0</v>
      </c>
      <c r="AP144" s="29">
        <f>COUNTIFS(D:D,"AA",G:G,"STANGS",E:E,"NEG",H:H,"SHORT")</f>
        <v>0</v>
      </c>
      <c r="AQ144" s="115"/>
      <c r="AS144" s="29" t="s">
        <v>1</v>
      </c>
      <c r="AT144" s="29" t="s">
        <v>27</v>
      </c>
      <c r="AU144" s="29" t="s">
        <v>11</v>
      </c>
      <c r="AV144" s="115">
        <f>AW144+AX144+AY144+AZ144+BA144+BD144+BB144+BE144</f>
        <v>0</v>
      </c>
      <c r="AW144" s="29">
        <f>COUNTIFS(D:D,"DD",G:G,"STANGS",F:F,"ATONGOAL",H:H,"SHORT")</f>
        <v>0</v>
      </c>
      <c r="AX144" s="29">
        <f>COUNTIFS(D:D,"DD",G:G,"STANGS",F:F,"ATON",H:H,"SHORT")</f>
        <v>0</v>
      </c>
      <c r="AY144" s="29">
        <f>COUNTIFS(D:D,"DD",G:G,"STANGS",F:F,"ATOF",H:H,"SHORT")</f>
        <v>0</v>
      </c>
      <c r="AZ144" s="29">
        <f>COUNTIFS(D:D,"DD",G:G,"STANGS",F:F,"ATBK",H:H,"SHORT")</f>
        <v>0</v>
      </c>
      <c r="BA144" s="29">
        <f>COUNTIFS(D:D,"DD",G:G,"STANGS",F:F,"WINSTAN",H:H,"SHORT")</f>
        <v>0</v>
      </c>
      <c r="BB144" s="115">
        <f>COUNTIFS(D:D,"DD",G:G,"STANGS",F:F,"WINSTANTI",H:H,"SHORT")</f>
        <v>0</v>
      </c>
      <c r="BC144" s="115">
        <f>COUNTIFS(D:D,"DD",G:G,"STANGS",F:F,"ENTRY",H:H,"SHORT")</f>
        <v>0</v>
      </c>
      <c r="BD144" s="100">
        <f>COUNTIFS(D:D,"DD",G:G,"STANGS",F:F,"KEEPOS",H:H,"SHORT")</f>
        <v>0</v>
      </c>
      <c r="BE144" s="29">
        <f>COUNTIFS(D:D,"DD",G:G,"STANGS",E:E,"POS",H:H,"SHORT")</f>
        <v>0</v>
      </c>
      <c r="BF144" s="115"/>
    </row>
    <row r="145" spans="1:58">
      <c r="A145" s="346" t="s">
        <v>591</v>
      </c>
      <c r="B145" s="346" t="s">
        <v>628</v>
      </c>
      <c r="C145" s="346">
        <v>649720</v>
      </c>
      <c r="D145" s="346" t="s">
        <v>1</v>
      </c>
      <c r="E145" s="346" t="s">
        <v>6</v>
      </c>
      <c r="F145" s="346" t="s">
        <v>310</v>
      </c>
      <c r="G145" s="346" t="s">
        <v>10</v>
      </c>
      <c r="H145" s="346"/>
      <c r="I145" s="346" t="s">
        <v>595</v>
      </c>
      <c r="J145" s="346"/>
      <c r="K145" s="346"/>
      <c r="L145" s="346"/>
      <c r="M145" s="346"/>
      <c r="N145" s="346"/>
      <c r="O145" s="346"/>
      <c r="P145" s="346"/>
      <c r="Q145" s="346"/>
      <c r="R145" s="346"/>
      <c r="S145" s="346"/>
      <c r="T145" s="346">
        <v>32720</v>
      </c>
      <c r="X145" s="115">
        <f t="shared" si="48"/>
        <v>-2</v>
      </c>
      <c r="Y145" s="115">
        <f t="shared" si="49"/>
        <v>-1</v>
      </c>
      <c r="Z145" s="115" t="e">
        <f t="shared" si="50"/>
        <v>#VALUE!</v>
      </c>
      <c r="AA145" s="115">
        <f t="shared" si="51"/>
        <v>32.72</v>
      </c>
      <c r="AB145" s="246">
        <f t="shared" si="37"/>
        <v>51</v>
      </c>
      <c r="AD145" s="29"/>
      <c r="AE145" s="29"/>
      <c r="AF145" s="29" t="s">
        <v>23</v>
      </c>
      <c r="AG145" s="115">
        <f>AH145+AI145+AJ145+AK145+AL145+AO145+AM145+AP145</f>
        <v>0</v>
      </c>
      <c r="AH145" s="29">
        <f>COUNTIFS(D:D,"AA",G:G,"STANGS",F:F,"ATONGOAL",H:H,"SHORTLONG")</f>
        <v>0</v>
      </c>
      <c r="AI145" s="29">
        <f>COUNTIFS(D:D,"AA",G:G,"STANGS",F:F,"ATON",H:H,"SHORTLONG")</f>
        <v>0</v>
      </c>
      <c r="AJ145" s="29">
        <f>COUNTIFS(D:D,"AA",G:G,"STANGS",F:F,"ATOF",H:H,"SHORTLONG")</f>
        <v>0</v>
      </c>
      <c r="AK145" s="29">
        <f>COUNTIFS(D:D,"AA",G:G,"STANGS",F:F,"ATBK",H:H,"SHORTLONG")</f>
        <v>0</v>
      </c>
      <c r="AL145" s="29">
        <f>COUNTIFS(D:D,"AA",G:G,"STANGS",F:F,"WINSTAN",H:H,"SHORTLONG")</f>
        <v>0</v>
      </c>
      <c r="AM145" s="115">
        <f>COUNTIFS(D:D,"AA",G:G,"STANGS",F:F,"WINSTANTI",H:H,"SHORTLONG")</f>
        <v>0</v>
      </c>
      <c r="AN145" s="115">
        <f>COUNTIFS(D:D,"AA",G:G,"STANGS",F:F,"ENTRY",H:H,"SHORTLONG")</f>
        <v>0</v>
      </c>
      <c r="AO145" s="100">
        <f>COUNTIFS(D:D,"AA",G:G,"STANGS",F:F,"KEEPOS",H:H,"SHORTLONG")</f>
        <v>0</v>
      </c>
      <c r="AP145" s="29">
        <f>COUNTIFS(D:D,"AA",G:G,"STANGS",E:E,"NEG",H:H,"SHORTLONG")</f>
        <v>0</v>
      </c>
      <c r="AQ145" s="115"/>
      <c r="AS145" s="29"/>
      <c r="AT145" s="29"/>
      <c r="AU145" s="29" t="s">
        <v>23</v>
      </c>
      <c r="AV145" s="115">
        <f>AW145+AX145+AY145+AZ145+BA145+BD145+BB145+BE145</f>
        <v>0</v>
      </c>
      <c r="AW145" s="29">
        <f>COUNTIFS(D:D,"DD",G:G,"STANGS",F:F,"ATONGOAL",H:H,"SHORTLONG")</f>
        <v>0</v>
      </c>
      <c r="AX145" s="29">
        <f>COUNTIFS(D:D,"DD",G:G,"STANGS",F:F,"ATON",H:H,"SHORTLONG")</f>
        <v>0</v>
      </c>
      <c r="AY145" s="29">
        <f>COUNTIFS(D:D,"DD",G:G,"STANGS",F:F,"ATOF",H:H,"SHORTLONG")</f>
        <v>0</v>
      </c>
      <c r="AZ145" s="29">
        <f>COUNTIFS(D:D,"DD",G:G,"STANGS",F:F,"ATBK",H:H,"SHORTLONG")</f>
        <v>0</v>
      </c>
      <c r="BA145" s="29">
        <f>COUNTIFS(D:D,"DD",G:G,"STANGS",F:F,"WINSTAN",H:H,"SHORTLONG")</f>
        <v>0</v>
      </c>
      <c r="BB145" s="115">
        <f>COUNTIFS(D:D,"DD",G:G,"STANGS",F:F,"WINSTANTI",H:H,"SHORTLONG")</f>
        <v>0</v>
      </c>
      <c r="BC145" s="115">
        <f>COUNTIFS(D:D,"DD",G:G,"STANGS",F:F,"ENTRY",H:H,"SHORTLONG")</f>
        <v>0</v>
      </c>
      <c r="BD145" s="100">
        <f>COUNTIFS(D:D,"DD",G:G,"STANGS",F:F,"KEEPOS",H:H,"SHORTLONG")</f>
        <v>0</v>
      </c>
      <c r="BE145" s="29">
        <f>COUNTIFS(D:D,"DD",G:G,"STANGS",E:E,"POS",H:H,"SHORTLONG")</f>
        <v>0</v>
      </c>
      <c r="BF145" s="115"/>
    </row>
    <row r="146" spans="1:58">
      <c r="A146" s="346" t="s">
        <v>591</v>
      </c>
      <c r="B146" s="346" t="s">
        <v>644</v>
      </c>
      <c r="C146" s="346">
        <v>683000</v>
      </c>
      <c r="D146" s="346" t="s">
        <v>5</v>
      </c>
      <c r="E146" s="346" t="s">
        <v>2</v>
      </c>
      <c r="F146" s="346" t="s">
        <v>156</v>
      </c>
      <c r="G146" s="346" t="s">
        <v>27</v>
      </c>
      <c r="H146" s="346"/>
      <c r="I146" s="346"/>
      <c r="J146" s="346"/>
      <c r="K146" s="346"/>
      <c r="L146" s="346"/>
      <c r="M146" s="346"/>
      <c r="N146" s="346"/>
      <c r="O146" s="346"/>
      <c r="P146" s="346"/>
      <c r="Q146" s="346"/>
      <c r="R146" s="346"/>
      <c r="S146" s="346"/>
      <c r="T146" s="346">
        <v>20600</v>
      </c>
      <c r="X146" s="115">
        <f t="shared" si="48"/>
        <v>1</v>
      </c>
      <c r="Y146" s="115">
        <f t="shared" si="49"/>
        <v>-1</v>
      </c>
      <c r="Z146" s="115" t="e">
        <f t="shared" si="50"/>
        <v>#VALUE!</v>
      </c>
      <c r="AA146" s="115">
        <f t="shared" si="51"/>
        <v>20.6</v>
      </c>
      <c r="AB146" s="246">
        <f t="shared" si="37"/>
        <v>51</v>
      </c>
      <c r="AD146" s="29"/>
      <c r="AE146" s="29"/>
      <c r="AF146" s="29" t="s">
        <v>18</v>
      </c>
      <c r="AG146" s="115">
        <f>AH146+AI146+AJ146+AK146+AL146+AO146+AM146+AP146</f>
        <v>0</v>
      </c>
      <c r="AH146" s="29">
        <f>COUNTIFS(D:D,"AA",G:G,"STANGS",F:F,"ATONGOAL",H:H,"LONG")</f>
        <v>0</v>
      </c>
      <c r="AI146" s="29">
        <f>COUNTIFS(D:D,"AA",G:G,"STANGS",F:F,"ATON",H:H,"LONG")</f>
        <v>0</v>
      </c>
      <c r="AJ146" s="29">
        <f>COUNTIFS(D:D,"AA",G:G,"STANGS",F:F,"ATOF",H:H,"LONG")</f>
        <v>0</v>
      </c>
      <c r="AK146" s="29">
        <f>COUNTIFS(D:D,"AA",G:G,"STANGS",F:F,"ATBK",H:H,"LONG")</f>
        <v>0</v>
      </c>
      <c r="AL146" s="29">
        <f>COUNTIFS(D:D,"AA",G:G,"STANGS",F:F,"WINSTAN",H:H,"LONG")</f>
        <v>0</v>
      </c>
      <c r="AM146" s="115">
        <f>COUNTIFS(D:D,"AA",G:G,"STANGS",F:F,"WINSTANTI",H:H,"LONG")</f>
        <v>0</v>
      </c>
      <c r="AN146" s="115">
        <f>COUNTIFS(D:D,"AA",G:G,"STANGS",F:F,"ENTRY",H:H,"LONG")</f>
        <v>0</v>
      </c>
      <c r="AO146" s="100">
        <f>COUNTIFS(D:D,"AA",G:G,"STANGS",F:F,"KEEPOS",H:H,"LONG")</f>
        <v>0</v>
      </c>
      <c r="AP146" s="29">
        <f>COUNTIFS(D:D,"AA",G:G,"STANGS",E:E,"NEG",H:H,"LONG")</f>
        <v>0</v>
      </c>
      <c r="AQ146" s="115"/>
      <c r="AS146" s="29"/>
      <c r="AT146" s="29"/>
      <c r="AU146" s="29" t="s">
        <v>18</v>
      </c>
      <c r="AV146" s="115">
        <f>AW146+AX146+AY146+AZ146+BA146+BD146+BB146+BE146</f>
        <v>0</v>
      </c>
      <c r="AW146" s="29">
        <f>COUNTIFS(D:D,"DD",G:G,"STANGS",F:F,"ATONGOAL",H:H,"LONG")</f>
        <v>0</v>
      </c>
      <c r="AX146" s="29">
        <f>COUNTIFS(D:D,"DD",G:G,"STANGS",F:F,"ATON",H:H,"LONG")</f>
        <v>0</v>
      </c>
      <c r="AY146" s="29">
        <f>COUNTIFS(D:D,"DD",G:G,"STANGS",F:F,"ATOF",H:H,"LONG")</f>
        <v>0</v>
      </c>
      <c r="AZ146" s="29">
        <f>COUNTIFS(D:D,"DD",G:G,"STANGS",F:F,"ATBK",H:H,"LONG")</f>
        <v>0</v>
      </c>
      <c r="BA146" s="29">
        <f>COUNTIFS(D:D,"DD",G:G,"STANGS",F:F,"WINSTAN",H:H,"LONG")</f>
        <v>0</v>
      </c>
      <c r="BB146" s="115">
        <f>COUNTIFS(D:D,"DD",G:G,"STANGS",F:F,"WINSTANTI",H:H,"LONG")</f>
        <v>0</v>
      </c>
      <c r="BC146" s="115">
        <f>COUNTIFS(D:D,"DD",G:G,"STANGS",F:F,"ENTRY",H:H,"LONG")</f>
        <v>0</v>
      </c>
      <c r="BD146" s="100">
        <f>COUNTIFS(D:D,"DD",G:G,"STANGS",F:F,"KEEPOS",H:H,"LONG")</f>
        <v>0</v>
      </c>
      <c r="BE146" s="29">
        <f>COUNTIFS(D:D,"DD",G:G,"STANGS",E:E,"POS",H:H,"LONG")</f>
        <v>0</v>
      </c>
      <c r="BF146" s="115"/>
    </row>
    <row r="147" spans="1:58">
      <c r="A147" s="346" t="s">
        <v>591</v>
      </c>
      <c r="B147" s="346" t="s">
        <v>647</v>
      </c>
      <c r="C147" s="346">
        <v>702760</v>
      </c>
      <c r="D147" s="346" t="s">
        <v>5</v>
      </c>
      <c r="E147" s="346" t="s">
        <v>6</v>
      </c>
      <c r="F147" s="346" t="s">
        <v>3</v>
      </c>
      <c r="G147" s="346" t="s">
        <v>10</v>
      </c>
      <c r="H147" s="346"/>
      <c r="I147" s="346"/>
      <c r="J147" s="346"/>
      <c r="K147" s="346"/>
      <c r="L147" s="346"/>
      <c r="M147" s="346"/>
      <c r="N147" s="346"/>
      <c r="O147" s="346"/>
      <c r="P147" s="346"/>
      <c r="Q147" s="346"/>
      <c r="R147" s="346"/>
      <c r="S147" s="346"/>
      <c r="T147" s="346">
        <v>11840</v>
      </c>
      <c r="X147" s="115">
        <f t="shared" si="48"/>
        <v>1</v>
      </c>
      <c r="Y147" s="115">
        <f t="shared" si="49"/>
        <v>2</v>
      </c>
      <c r="Z147" s="115" t="e">
        <f t="shared" si="50"/>
        <v>#VALUE!</v>
      </c>
      <c r="AA147" s="115">
        <f t="shared" si="51"/>
        <v>11.84</v>
      </c>
      <c r="AB147" s="246">
        <f t="shared" si="37"/>
        <v>52</v>
      </c>
      <c r="AH147" s="1"/>
    </row>
    <row r="148" spans="1:58">
      <c r="A148" s="346" t="s">
        <v>591</v>
      </c>
      <c r="B148" s="346" t="s">
        <v>631</v>
      </c>
      <c r="C148" s="346">
        <v>708440</v>
      </c>
      <c r="D148" s="346" t="s">
        <v>1</v>
      </c>
      <c r="E148" s="346" t="s">
        <v>2</v>
      </c>
      <c r="F148" s="346" t="s">
        <v>156</v>
      </c>
      <c r="G148" s="346" t="s">
        <v>27</v>
      </c>
      <c r="H148" s="346"/>
      <c r="I148" s="346"/>
      <c r="J148" s="346"/>
      <c r="K148" s="346"/>
      <c r="L148" s="346"/>
      <c r="M148" s="346"/>
      <c r="N148" s="346"/>
      <c r="O148" s="346"/>
      <c r="P148" s="346"/>
      <c r="Q148" s="346"/>
      <c r="R148" s="346"/>
      <c r="S148" s="346"/>
      <c r="T148" s="346">
        <v>30560</v>
      </c>
      <c r="X148" s="115">
        <f t="shared" si="48"/>
        <v>1</v>
      </c>
      <c r="Y148" s="115">
        <f t="shared" si="49"/>
        <v>2</v>
      </c>
      <c r="Z148" s="115" t="e">
        <f t="shared" si="50"/>
        <v>#VALUE!</v>
      </c>
      <c r="AA148" s="115">
        <f t="shared" si="51"/>
        <v>30.56</v>
      </c>
      <c r="AB148" s="246">
        <f t="shared" si="37"/>
        <v>52</v>
      </c>
    </row>
    <row r="149" spans="1:58">
      <c r="A149" s="346" t="s">
        <v>591</v>
      </c>
      <c r="B149" s="346" t="s">
        <v>648</v>
      </c>
      <c r="C149" s="346">
        <v>737560</v>
      </c>
      <c r="D149" s="346" t="s">
        <v>5</v>
      </c>
      <c r="E149" s="346" t="s">
        <v>2</v>
      </c>
      <c r="F149" s="346" t="s">
        <v>7</v>
      </c>
      <c r="G149" s="346" t="s">
        <v>10</v>
      </c>
      <c r="H149" s="346"/>
      <c r="I149" s="346"/>
      <c r="J149" s="346"/>
      <c r="K149" s="346"/>
      <c r="L149" s="346"/>
      <c r="M149" s="346"/>
      <c r="N149" s="346"/>
      <c r="O149" s="346"/>
      <c r="P149" s="346"/>
      <c r="Q149" s="346"/>
      <c r="R149" s="346"/>
      <c r="S149" s="346"/>
      <c r="T149" s="346">
        <v>12680</v>
      </c>
      <c r="X149" s="115">
        <f t="shared" si="48"/>
        <v>6</v>
      </c>
      <c r="Y149" s="115">
        <f t="shared" si="49"/>
        <v>7</v>
      </c>
      <c r="Z149" s="115" t="e">
        <f t="shared" si="50"/>
        <v>#VALUE!</v>
      </c>
      <c r="AA149" s="115">
        <f t="shared" si="51"/>
        <v>12.68</v>
      </c>
      <c r="AB149" s="246">
        <f t="shared" si="37"/>
        <v>52</v>
      </c>
      <c r="AE149" s="374" t="s">
        <v>703</v>
      </c>
      <c r="AF149" s="374"/>
      <c r="AS149" s="51"/>
      <c r="AT149" s="374" t="s">
        <v>703</v>
      </c>
      <c r="AU149" s="374"/>
    </row>
    <row r="150" spans="1:58">
      <c r="A150" s="346" t="s">
        <v>591</v>
      </c>
      <c r="B150" s="346" t="s">
        <v>650</v>
      </c>
      <c r="C150" s="346">
        <v>763160</v>
      </c>
      <c r="D150" s="346" t="s">
        <v>5</v>
      </c>
      <c r="E150" s="346" t="s">
        <v>2</v>
      </c>
      <c r="F150" s="346" t="s">
        <v>19</v>
      </c>
      <c r="G150" s="346"/>
      <c r="H150" s="346"/>
      <c r="I150" s="346"/>
      <c r="J150" s="346"/>
      <c r="K150" s="346"/>
      <c r="L150" s="346"/>
      <c r="M150" s="346" t="s">
        <v>4</v>
      </c>
      <c r="N150" s="346"/>
      <c r="O150" s="346"/>
      <c r="P150" s="346"/>
      <c r="Q150" s="346"/>
      <c r="R150" s="346"/>
      <c r="S150" s="346"/>
      <c r="T150" s="346">
        <v>15320</v>
      </c>
      <c r="X150" s="115">
        <f t="shared" si="48"/>
        <v>8</v>
      </c>
      <c r="Y150" s="115">
        <f t="shared" si="49"/>
        <v>14</v>
      </c>
      <c r="Z150" s="115" t="e">
        <f t="shared" si="50"/>
        <v>#VALUE!</v>
      </c>
      <c r="AA150" s="115">
        <f t="shared" si="51"/>
        <v>15.32</v>
      </c>
      <c r="AB150" s="246">
        <f t="shared" si="37"/>
        <v>53</v>
      </c>
      <c r="AE150" t="s">
        <v>98</v>
      </c>
      <c r="AF150" t="s">
        <v>99</v>
      </c>
      <c r="AS150" s="51"/>
      <c r="AT150" s="51" t="s">
        <v>98</v>
      </c>
      <c r="AU150" s="51" t="s">
        <v>99</v>
      </c>
    </row>
    <row r="151" spans="1:58">
      <c r="A151" s="346" t="s">
        <v>591</v>
      </c>
      <c r="B151" s="346" t="s">
        <v>601</v>
      </c>
      <c r="C151" s="346">
        <v>766480</v>
      </c>
      <c r="D151" s="346" t="s">
        <v>14</v>
      </c>
      <c r="E151" s="346" t="s">
        <v>2</v>
      </c>
      <c r="F151" s="346" t="s">
        <v>310</v>
      </c>
      <c r="G151" s="346"/>
      <c r="H151" s="346"/>
      <c r="I151" s="346" t="s">
        <v>565</v>
      </c>
      <c r="J151" s="346"/>
      <c r="K151" s="346"/>
      <c r="L151" s="346" t="s">
        <v>560</v>
      </c>
      <c r="M151" s="346"/>
      <c r="N151" s="346"/>
      <c r="O151" s="346"/>
      <c r="P151" s="346"/>
      <c r="Q151" s="346"/>
      <c r="R151" s="346"/>
      <c r="S151" s="346"/>
      <c r="T151" s="346">
        <v>28520</v>
      </c>
      <c r="X151" s="115">
        <f t="shared" si="48"/>
        <v>2</v>
      </c>
      <c r="Y151" s="115">
        <f t="shared" si="49"/>
        <v>10</v>
      </c>
      <c r="Z151" s="115" t="e">
        <f t="shared" si="50"/>
        <v>#VALUE!</v>
      </c>
      <c r="AA151" s="115">
        <f t="shared" si="51"/>
        <v>28.52</v>
      </c>
      <c r="AB151" s="246">
        <f t="shared" si="37"/>
        <v>53</v>
      </c>
      <c r="AD151" t="s">
        <v>97</v>
      </c>
      <c r="AE151">
        <f>COUNTIFS(D:D,"AA",F:F,"ATONGOAL",M:M,"STANCO")+COUNTIFS(D:D,"AA",F:F,"ATONGOAL",M:M,"STANTI")+COUNTIFS(D:D,"AA",F:F,"ATONGOAL",M:M,"STANFK")+COUNTIFS(D:D,"AA",F:F,"ATONGOAL",M:M,"STANFK DIRECT")+COUNTIFS(D:D,"AA",F:F,"ATONGOAL",M:M,"STANPEN")+COUNTIFS(D:D,"AA",F:F,"ATONGOAL",G:G,"STANGK")+COUNTIFS(D:D,"AA",F:F,"ATONGOAL",G:G,"STANGS")+COUNTIFS(D:D,"AA",F:F,"ATONGOAL",G:G,"STANTI")+COUNTIFS(D:D,"AA",F:F,"ATONGOAL",G:G,"STANFK")</f>
        <v>0</v>
      </c>
      <c r="AF151" s="51">
        <f>COUNTIFS(D:D,"AA",F:F,"ATONGOAL",G:G,"",M:M,"")+COUNTIFS(D:D,"DA",F:F,"ATONGOAL",G:G,"",M:M,"")</f>
        <v>0</v>
      </c>
      <c r="AS151" s="51" t="s">
        <v>39</v>
      </c>
      <c r="AT151" s="51">
        <f>COUNTIFS(D:D,"DD",F:F,"ATONGOAL",M:M,"STANCO")+COUNTIFS(D:D,"DD",F:F,"ATONGOAL",M:M,"STANTI")+COUNTIFS(D:D,"DD",F:F,"ATONGOAL",M:M,"STANFK")+COUNTIFS(D:D,"DD",F:F,"ATONGOAL",M:M,"STANFK DIRECT")+COUNTIFS(D:D,"DD",F:F,"ATONGOAL",M:M,"STANPEN")+COUNTIFS(D:D,"DD",F:F,"ATONGOAL",G:G,"STANGK")+COUNTIFS(D:D,"DD",F:F,"ATONGOAL",G:G,"STANGS")+COUNTIFS(D:D,"DD",F:F,"ATONGOAL",G:G,"STANTI")+COUNTIFS(D:D,"DD",F:F,"ATONGOAL",G:G,"STANFK")</f>
        <v>1</v>
      </c>
      <c r="AU151" s="51">
        <f>COUNTIFS(D:D,"DD",F:F,"ATONGOAL",G:G,"",M:M,"")+COUNTIFS(D:D,"AD",F:F,"ATONGOAL",G:G,"",M:M,"")</f>
        <v>1</v>
      </c>
    </row>
    <row r="152" spans="1:58">
      <c r="A152" s="346" t="s">
        <v>591</v>
      </c>
      <c r="B152" s="346" t="s">
        <v>633</v>
      </c>
      <c r="C152" s="346">
        <v>796520</v>
      </c>
      <c r="D152" s="346" t="s">
        <v>1</v>
      </c>
      <c r="E152" s="346" t="s">
        <v>2</v>
      </c>
      <c r="F152" s="346" t="s">
        <v>156</v>
      </c>
      <c r="G152" s="346" t="s">
        <v>25</v>
      </c>
      <c r="H152" s="346"/>
      <c r="I152" s="346"/>
      <c r="J152" s="346"/>
      <c r="K152" s="346"/>
      <c r="L152" s="346"/>
      <c r="M152" s="346"/>
      <c r="N152" s="346"/>
      <c r="O152" s="346"/>
      <c r="P152" s="346"/>
      <c r="Q152" s="346"/>
      <c r="R152" s="346"/>
      <c r="S152" s="346"/>
      <c r="T152" s="346">
        <v>34600</v>
      </c>
      <c r="X152" s="115">
        <f t="shared" si="48"/>
        <v>1</v>
      </c>
      <c r="Y152" s="115">
        <f t="shared" si="49"/>
        <v>3</v>
      </c>
      <c r="Z152" s="115" t="e">
        <f t="shared" si="50"/>
        <v>#VALUE!</v>
      </c>
      <c r="AA152" s="115">
        <f t="shared" si="51"/>
        <v>34.6</v>
      </c>
      <c r="AB152" s="246">
        <f t="shared" si="37"/>
        <v>53</v>
      </c>
    </row>
    <row r="153" spans="1:58">
      <c r="A153" s="346" t="s">
        <v>591</v>
      </c>
      <c r="B153" s="346" t="s">
        <v>603</v>
      </c>
      <c r="C153" s="346">
        <v>815560</v>
      </c>
      <c r="D153" s="346" t="s">
        <v>14</v>
      </c>
      <c r="E153" s="346" t="s">
        <v>2</v>
      </c>
      <c r="F153" s="346" t="s">
        <v>310</v>
      </c>
      <c r="G153" s="346"/>
      <c r="H153" s="346"/>
      <c r="I153" s="346" t="s">
        <v>561</v>
      </c>
      <c r="J153" s="346"/>
      <c r="K153" s="346"/>
      <c r="L153" s="346" t="s">
        <v>567</v>
      </c>
      <c r="M153" s="346"/>
      <c r="N153" s="346"/>
      <c r="O153" s="346"/>
      <c r="P153" s="346"/>
      <c r="Q153" s="346"/>
      <c r="R153" s="346"/>
      <c r="S153" s="346"/>
      <c r="T153" s="346">
        <v>21240</v>
      </c>
      <c r="X153" s="115">
        <f t="shared" si="48"/>
        <v>2</v>
      </c>
      <c r="Y153" s="115">
        <f t="shared" si="49"/>
        <v>3</v>
      </c>
      <c r="Z153" s="115" t="e">
        <f t="shared" si="50"/>
        <v>#VALUE!</v>
      </c>
      <c r="AA153" s="115">
        <f t="shared" si="51"/>
        <v>21.24</v>
      </c>
      <c r="AB153" s="246">
        <f t="shared" si="37"/>
        <v>54</v>
      </c>
    </row>
    <row r="154" spans="1:58">
      <c r="A154" s="346" t="s">
        <v>591</v>
      </c>
      <c r="B154" s="346" t="s">
        <v>634</v>
      </c>
      <c r="C154" s="346">
        <v>840760</v>
      </c>
      <c r="D154" s="346" t="s">
        <v>1</v>
      </c>
      <c r="E154" s="346" t="s">
        <v>2</v>
      </c>
      <c r="F154" s="346" t="s">
        <v>156</v>
      </c>
      <c r="G154" s="346" t="s">
        <v>25</v>
      </c>
      <c r="H154" s="346"/>
      <c r="I154" s="346"/>
      <c r="J154" s="346"/>
      <c r="K154" s="346"/>
      <c r="L154" s="346"/>
      <c r="M154" s="346"/>
      <c r="N154" s="346"/>
      <c r="O154" s="346"/>
      <c r="P154" s="346"/>
      <c r="Q154" s="346"/>
      <c r="R154" s="346"/>
      <c r="S154" s="346"/>
      <c r="T154" s="346">
        <v>61720</v>
      </c>
      <c r="X154" s="115">
        <f t="shared" si="48"/>
        <v>1</v>
      </c>
      <c r="Y154" s="115">
        <f t="shared" si="49"/>
        <v>3</v>
      </c>
      <c r="Z154" s="115" t="e">
        <f t="shared" si="50"/>
        <v>#VALUE!</v>
      </c>
      <c r="AA154" s="115">
        <f t="shared" si="51"/>
        <v>61.72</v>
      </c>
      <c r="AB154" s="246">
        <f>IF(ROUND(C154/60000,0)=0,1,ROUND(C154/60000,0))+40</f>
        <v>54</v>
      </c>
      <c r="AE154" s="374" t="s">
        <v>703</v>
      </c>
      <c r="AF154" s="374"/>
      <c r="AH154" s="1"/>
      <c r="AS154" s="51"/>
      <c r="AT154" s="374" t="s">
        <v>703</v>
      </c>
      <c r="AU154" s="374"/>
      <c r="AV154" s="51"/>
    </row>
    <row r="155" spans="1:58">
      <c r="A155" s="346" t="s">
        <v>591</v>
      </c>
      <c r="B155" s="346" t="s">
        <v>651</v>
      </c>
      <c r="C155" s="346">
        <v>896880</v>
      </c>
      <c r="D155" s="346" t="s">
        <v>5</v>
      </c>
      <c r="E155" s="346" t="s">
        <v>6</v>
      </c>
      <c r="F155" s="346" t="s">
        <v>3</v>
      </c>
      <c r="G155" s="346" t="s">
        <v>29</v>
      </c>
      <c r="H155" s="346"/>
      <c r="I155" s="346"/>
      <c r="J155" s="346"/>
      <c r="K155" s="346"/>
      <c r="L155" s="346"/>
      <c r="M155" s="346"/>
      <c r="N155" s="346"/>
      <c r="O155" s="346"/>
      <c r="P155" s="346"/>
      <c r="Q155" s="346"/>
      <c r="R155" s="346"/>
      <c r="S155" s="346"/>
      <c r="T155" s="346">
        <v>10920</v>
      </c>
      <c r="X155" s="115">
        <f t="shared" si="48"/>
        <v>1</v>
      </c>
      <c r="Y155" s="115">
        <f t="shared" si="49"/>
        <v>2</v>
      </c>
      <c r="Z155" s="115" t="e">
        <f t="shared" si="50"/>
        <v>#VALUE!</v>
      </c>
      <c r="AA155" s="115">
        <f t="shared" si="51"/>
        <v>10.92</v>
      </c>
      <c r="AB155" s="246">
        <f t="shared" si="37"/>
        <v>55</v>
      </c>
      <c r="AE155" t="s">
        <v>0</v>
      </c>
      <c r="AF155" t="s">
        <v>233</v>
      </c>
      <c r="AG155" t="s">
        <v>232</v>
      </c>
      <c r="AH155" t="s">
        <v>45</v>
      </c>
      <c r="AS155" s="51"/>
      <c r="AT155" s="115" t="s">
        <v>0</v>
      </c>
      <c r="AU155" s="115" t="s">
        <v>233</v>
      </c>
      <c r="AV155" s="115" t="s">
        <v>232</v>
      </c>
      <c r="AW155" t="s">
        <v>45</v>
      </c>
    </row>
    <row r="156" spans="1:58">
      <c r="A156" s="346" t="s">
        <v>591</v>
      </c>
      <c r="B156" s="346" t="s">
        <v>635</v>
      </c>
      <c r="C156" s="346">
        <v>901680</v>
      </c>
      <c r="D156" s="346" t="s">
        <v>1</v>
      </c>
      <c r="E156" s="346" t="s">
        <v>6</v>
      </c>
      <c r="F156" s="346" t="s">
        <v>3</v>
      </c>
      <c r="G156" s="346" t="s">
        <v>29</v>
      </c>
      <c r="H156" s="346"/>
      <c r="I156" s="346"/>
      <c r="J156" s="346"/>
      <c r="K156" s="346"/>
      <c r="L156" s="346"/>
      <c r="M156" s="346"/>
      <c r="N156" s="346"/>
      <c r="O156" s="346"/>
      <c r="P156" s="346"/>
      <c r="Q156" s="346"/>
      <c r="R156" s="346"/>
      <c r="S156" s="346"/>
      <c r="T156" s="346">
        <v>20360</v>
      </c>
      <c r="X156" s="115">
        <f t="shared" si="48"/>
        <v>1</v>
      </c>
      <c r="Y156" s="115">
        <f t="shared" si="49"/>
        <v>2</v>
      </c>
      <c r="Z156" s="115" t="e">
        <f t="shared" si="50"/>
        <v>#VALUE!</v>
      </c>
      <c r="AA156" s="115">
        <f t="shared" si="51"/>
        <v>20.36</v>
      </c>
      <c r="AB156" s="246">
        <f t="shared" si="37"/>
        <v>55</v>
      </c>
      <c r="AD156" t="s">
        <v>68</v>
      </c>
      <c r="AE156" s="51">
        <f>AE151</f>
        <v>0</v>
      </c>
      <c r="AF156">
        <f>COUNTIFS(D:D,"DA",F:F,"ATONGOAL",G:G,"",M:M,"")</f>
        <v>0</v>
      </c>
      <c r="AG156" s="51">
        <f>COUNTIFS(D:D,"AA",F:F,"ATONGOAL",G:G,"",M:M,"")</f>
        <v>0</v>
      </c>
      <c r="AH156">
        <f>SUM(AE156:AG156)</f>
        <v>0</v>
      </c>
      <c r="AS156" s="51" t="s">
        <v>39</v>
      </c>
      <c r="AT156" s="115">
        <f>AT151</f>
        <v>1</v>
      </c>
      <c r="AU156" s="51">
        <f>COUNTIFS(D:D,"AD",F:F,"ATONGOAL",G:G,"",M:M,"")</f>
        <v>0</v>
      </c>
      <c r="AV156" s="51">
        <f>COUNTIFS(D:D,"DD",F:F,"ATONGOAL",G:G,"",M:M,"")</f>
        <v>1</v>
      </c>
      <c r="AW156">
        <f>SUM(AT156:AV156)</f>
        <v>2</v>
      </c>
    </row>
    <row r="157" spans="1:58" s="115" customFormat="1">
      <c r="A157" s="346" t="s">
        <v>591</v>
      </c>
      <c r="B157" s="346" t="s">
        <v>636</v>
      </c>
      <c r="C157" s="346">
        <v>923520</v>
      </c>
      <c r="D157" s="346" t="s">
        <v>1</v>
      </c>
      <c r="E157" s="346" t="s">
        <v>2</v>
      </c>
      <c r="F157" s="346" t="s">
        <v>156</v>
      </c>
      <c r="G157" s="346" t="s">
        <v>29</v>
      </c>
      <c r="H157" s="346"/>
      <c r="I157" s="346"/>
      <c r="J157" s="346"/>
      <c r="K157" s="346"/>
      <c r="L157" s="346"/>
      <c r="M157" s="346"/>
      <c r="N157" s="346"/>
      <c r="O157" s="346"/>
      <c r="P157" s="346"/>
      <c r="Q157" s="346"/>
      <c r="R157" s="346"/>
      <c r="S157" s="346"/>
      <c r="T157" s="346">
        <v>21160</v>
      </c>
      <c r="X157" s="115">
        <f t="shared" si="48"/>
        <v>1</v>
      </c>
      <c r="Y157" s="115">
        <f t="shared" si="49"/>
        <v>2</v>
      </c>
      <c r="Z157" s="115" t="e">
        <f t="shared" si="50"/>
        <v>#VALUE!</v>
      </c>
      <c r="AA157" s="115">
        <f t="shared" si="51"/>
        <v>21.16</v>
      </c>
      <c r="AB157" s="246">
        <f t="shared" si="37"/>
        <v>55</v>
      </c>
      <c r="AD157" s="115" t="s">
        <v>45</v>
      </c>
      <c r="AE157" s="115">
        <f>COUNTIFS(D:D,"AA",M:M,"STANCO")+COUNTIFS(D:D,"AA",M:M,"STANTI")+COUNTIFS(D:D,"AA",M:M,"STANFK")+COUNTIFS(D:D,"AA",M:M,"STANFK DIRECT")+COUNTIFS(D:D,"AA",M:M,"STANPEN")+COUNTIFS(D:D,"AA",G:G,"STANGK")+COUNTIFS(D:D,"AA",G:G,"STANGS")+COUNTIFS(D:D,"AA",G:G,"STANTI")+COUNTIFS(D:D,"AA",G:G,"STANFK")</f>
        <v>48</v>
      </c>
      <c r="AF157" s="115">
        <f>COUNTIFS(D:D,"DA",G:G,"",M:M,"")</f>
        <v>35</v>
      </c>
      <c r="AG157" s="115">
        <f>COUNTIFS(D:D,"AA",G:G,"",M:M,"")</f>
        <v>14</v>
      </c>
      <c r="AS157" s="115" t="s">
        <v>45</v>
      </c>
      <c r="AT157" s="115">
        <f>COUNTIFS(D:D,"DD",M:M,"STANCO")+COUNTIFS(D:D,"DD",M:M,"STANTI")+COUNTIFS(D:D,"DD",M:M,"STANFK")+COUNTIFS(D:D,"DD",M:M,"STANFK DIRECT")+COUNTIFS(D:D,"DD",M:M,"STANPEN")+COUNTIFS(D:D,"DD",G:G,"STANGK")+COUNTIFS(D:D,"DD",G:G,"STANGS")+COUNTIFS(D:D,"DD",G:G,"STANTI")+COUNTIFS(D:D,"DD",G:G,"STANFK")</f>
        <v>45</v>
      </c>
      <c r="AU157" s="115">
        <f>COUNTIFS(D:D,"AD",G:G,"",M:M,"")</f>
        <v>47</v>
      </c>
      <c r="AV157" s="115">
        <f>COUNTIFS(D:D,"DD",G:G,"",M:M,"")</f>
        <v>26</v>
      </c>
    </row>
    <row r="158" spans="1:58">
      <c r="A158" s="346" t="s">
        <v>591</v>
      </c>
      <c r="B158" s="346" t="s">
        <v>654</v>
      </c>
      <c r="C158" s="346">
        <v>945880</v>
      </c>
      <c r="D158" s="346" t="s">
        <v>5</v>
      </c>
      <c r="E158" s="346" t="s">
        <v>2</v>
      </c>
      <c r="F158" s="346" t="s">
        <v>156</v>
      </c>
      <c r="G158" s="346" t="s">
        <v>29</v>
      </c>
      <c r="H158" s="346"/>
      <c r="I158" s="346"/>
      <c r="J158" s="346"/>
      <c r="K158" s="346"/>
      <c r="L158" s="346"/>
      <c r="M158" s="346"/>
      <c r="N158" s="346"/>
      <c r="O158" s="346"/>
      <c r="P158" s="346"/>
      <c r="Q158" s="346"/>
      <c r="R158" s="346"/>
      <c r="S158" s="346"/>
      <c r="T158" s="346">
        <v>19440</v>
      </c>
      <c r="X158" s="115">
        <f t="shared" si="48"/>
        <v>1</v>
      </c>
      <c r="Y158" s="115">
        <f t="shared" si="49"/>
        <v>2</v>
      </c>
      <c r="Z158" s="115" t="e">
        <f t="shared" si="50"/>
        <v>#VALUE!</v>
      </c>
      <c r="AA158" s="115">
        <f t="shared" si="51"/>
        <v>19.440000000000001</v>
      </c>
      <c r="AB158" s="246">
        <f t="shared" si="37"/>
        <v>56</v>
      </c>
      <c r="AD158" t="s">
        <v>265</v>
      </c>
      <c r="AE158" s="153">
        <f>AE156/AE157</f>
        <v>0</v>
      </c>
      <c r="AF158" s="153">
        <f t="shared" ref="AF158:AG158" si="52">AF156/AF157</f>
        <v>0</v>
      </c>
      <c r="AG158" s="153">
        <f t="shared" si="52"/>
        <v>0</v>
      </c>
      <c r="AH158" s="153"/>
      <c r="AI158" s="153"/>
      <c r="AJ158" s="153"/>
      <c r="AK158" s="153"/>
      <c r="AL158" s="153"/>
      <c r="AM158" s="153"/>
      <c r="AN158" s="153"/>
      <c r="AO158" s="153"/>
      <c r="AP158" s="153"/>
      <c r="AQ158" s="153"/>
      <c r="AR158" s="153"/>
      <c r="AS158" s="115" t="s">
        <v>265</v>
      </c>
      <c r="AT158" s="153">
        <f t="shared" ref="AT158" si="53">AT156/AT157</f>
        <v>2.2222222222222223E-2</v>
      </c>
      <c r="AU158" s="153">
        <f t="shared" ref="AU158" si="54">AU156/AU157</f>
        <v>0</v>
      </c>
      <c r="AV158" s="153">
        <f t="shared" ref="AV158" si="55">AV156/AV157</f>
        <v>3.8461538461538464E-2</v>
      </c>
    </row>
    <row r="159" spans="1:58" s="115" customFormat="1">
      <c r="A159" s="346" t="s">
        <v>591</v>
      </c>
      <c r="B159" s="346" t="s">
        <v>659</v>
      </c>
      <c r="C159" s="346">
        <v>970800</v>
      </c>
      <c r="D159" s="346" t="s">
        <v>5</v>
      </c>
      <c r="E159" s="346" t="s">
        <v>2</v>
      </c>
      <c r="F159" s="346" t="s">
        <v>156</v>
      </c>
      <c r="G159" s="346" t="s">
        <v>10</v>
      </c>
      <c r="H159" s="346"/>
      <c r="I159" s="346" t="s">
        <v>595</v>
      </c>
      <c r="J159" s="346"/>
      <c r="K159" s="346"/>
      <c r="L159" s="346"/>
      <c r="M159" s="346"/>
      <c r="N159" s="346"/>
      <c r="O159" s="346"/>
      <c r="P159" s="346"/>
      <c r="Q159" s="346"/>
      <c r="R159" s="346"/>
      <c r="S159" s="346"/>
      <c r="T159" s="346">
        <v>28240</v>
      </c>
      <c r="X159" s="115">
        <f t="shared" si="48"/>
        <v>1</v>
      </c>
      <c r="Y159" s="115">
        <f t="shared" si="49"/>
        <v>2</v>
      </c>
      <c r="Z159" s="115" t="e">
        <f t="shared" si="50"/>
        <v>#VALUE!</v>
      </c>
      <c r="AA159" s="115">
        <f t="shared" si="51"/>
        <v>28.24</v>
      </c>
      <c r="AB159" s="246">
        <f t="shared" si="37"/>
        <v>56</v>
      </c>
      <c r="AD159" s="115" t="s">
        <v>331</v>
      </c>
      <c r="AE159" s="153" t="e">
        <f>AE156/$AH156</f>
        <v>#DIV/0!</v>
      </c>
      <c r="AF159" s="153" t="e">
        <f t="shared" ref="AF159:AG159" si="56">AF156/$AH156</f>
        <v>#DIV/0!</v>
      </c>
      <c r="AG159" s="153" t="e">
        <f t="shared" si="56"/>
        <v>#DIV/0!</v>
      </c>
      <c r="AH159" s="153"/>
      <c r="AI159" s="153"/>
      <c r="AJ159" s="153"/>
      <c r="AK159" s="153"/>
      <c r="AL159" s="153"/>
      <c r="AM159" s="153"/>
      <c r="AN159" s="153"/>
      <c r="AO159" s="153"/>
      <c r="AP159" s="153"/>
      <c r="AQ159" s="153"/>
      <c r="AR159" s="153"/>
      <c r="AS159" s="115" t="s">
        <v>331</v>
      </c>
      <c r="AT159" s="153">
        <f>AT156/$AW156</f>
        <v>0.5</v>
      </c>
      <c r="AU159" s="153">
        <f t="shared" ref="AU159:AV159" si="57">AU156/$AW156</f>
        <v>0</v>
      </c>
      <c r="AV159" s="153">
        <f t="shared" si="57"/>
        <v>0.5</v>
      </c>
    </row>
    <row r="160" spans="1:58">
      <c r="A160" s="346" t="s">
        <v>591</v>
      </c>
      <c r="B160" s="346" t="s">
        <v>662</v>
      </c>
      <c r="C160" s="346">
        <v>993160</v>
      </c>
      <c r="D160" s="346" t="s">
        <v>5</v>
      </c>
      <c r="E160" s="346" t="s">
        <v>6</v>
      </c>
      <c r="F160" s="346" t="s">
        <v>3</v>
      </c>
      <c r="G160" s="346" t="s">
        <v>29</v>
      </c>
      <c r="H160" s="346"/>
      <c r="I160" s="346"/>
      <c r="J160" s="346"/>
      <c r="K160" s="346"/>
      <c r="L160" s="346"/>
      <c r="M160" s="346"/>
      <c r="N160" s="346"/>
      <c r="O160" s="346"/>
      <c r="P160" s="346"/>
      <c r="Q160" s="346"/>
      <c r="R160" s="346"/>
      <c r="S160" s="346"/>
      <c r="T160" s="346">
        <v>16480</v>
      </c>
      <c r="X160" s="115">
        <f t="shared" si="48"/>
        <v>1</v>
      </c>
      <c r="Y160" s="115">
        <f t="shared" si="49"/>
        <v>2</v>
      </c>
      <c r="Z160" s="115" t="e">
        <f t="shared" si="50"/>
        <v>#VALUE!</v>
      </c>
      <c r="AA160" s="115">
        <f t="shared" si="51"/>
        <v>16.48</v>
      </c>
      <c r="AB160" s="246">
        <f t="shared" si="37"/>
        <v>57</v>
      </c>
    </row>
    <row r="161" spans="1:49">
      <c r="A161" s="346" t="s">
        <v>591</v>
      </c>
      <c r="B161" s="346" t="s">
        <v>618</v>
      </c>
      <c r="C161" s="346">
        <v>995480</v>
      </c>
      <c r="D161" s="346" t="s">
        <v>17</v>
      </c>
      <c r="E161" s="346" t="s">
        <v>6</v>
      </c>
      <c r="F161" s="346" t="s">
        <v>9</v>
      </c>
      <c r="G161" s="346"/>
      <c r="H161" s="346"/>
      <c r="I161" s="346" t="s">
        <v>565</v>
      </c>
      <c r="J161" s="346"/>
      <c r="K161" s="346"/>
      <c r="L161" s="346" t="s">
        <v>559</v>
      </c>
      <c r="M161" s="346"/>
      <c r="N161" s="346"/>
      <c r="O161" s="346" t="s">
        <v>595</v>
      </c>
      <c r="P161" s="346"/>
      <c r="Q161" s="346"/>
      <c r="R161" s="346"/>
      <c r="S161" s="346"/>
      <c r="T161" s="346">
        <v>69080</v>
      </c>
      <c r="X161" s="115">
        <f t="shared" si="48"/>
        <v>-12</v>
      </c>
      <c r="Y161" s="115">
        <f t="shared" si="49"/>
        <v>-11</v>
      </c>
      <c r="Z161" s="115" t="e">
        <f t="shared" si="50"/>
        <v>#VALUE!</v>
      </c>
      <c r="AA161" s="115">
        <f t="shared" si="51"/>
        <v>69.08</v>
      </c>
      <c r="AB161" s="246">
        <f t="shared" si="37"/>
        <v>57</v>
      </c>
      <c r="AD161" s="51"/>
      <c r="AE161" s="374" t="s">
        <v>703</v>
      </c>
      <c r="AF161" s="374"/>
      <c r="AG161" s="51"/>
      <c r="AS161" s="51"/>
      <c r="AT161" s="374" t="s">
        <v>703</v>
      </c>
      <c r="AU161" s="374"/>
      <c r="AV161" s="51"/>
      <c r="AW161" s="51"/>
    </row>
    <row r="162" spans="1:49">
      <c r="A162" s="346" t="s">
        <v>591</v>
      </c>
      <c r="B162" s="346" t="s">
        <v>637</v>
      </c>
      <c r="C162" s="346">
        <v>1087440</v>
      </c>
      <c r="D162" s="346" t="s">
        <v>1</v>
      </c>
      <c r="E162" s="346" t="s">
        <v>2</v>
      </c>
      <c r="F162" s="346" t="s">
        <v>156</v>
      </c>
      <c r="G162" s="346"/>
      <c r="H162" s="346"/>
      <c r="I162" s="346"/>
      <c r="J162" s="346"/>
      <c r="K162" s="346"/>
      <c r="L162" s="346"/>
      <c r="M162" s="346" t="s">
        <v>4</v>
      </c>
      <c r="N162" s="346"/>
      <c r="O162" s="346"/>
      <c r="P162" s="346"/>
      <c r="Q162" s="346"/>
      <c r="R162" s="346"/>
      <c r="S162" s="346"/>
      <c r="T162" s="346">
        <v>11320</v>
      </c>
      <c r="X162" s="115">
        <f t="shared" si="48"/>
        <v>1</v>
      </c>
      <c r="Y162" s="115">
        <f t="shared" si="49"/>
        <v>-11</v>
      </c>
      <c r="Z162" s="115" t="e">
        <f t="shared" si="50"/>
        <v>#VALUE!</v>
      </c>
      <c r="AA162" s="115">
        <f t="shared" si="51"/>
        <v>11.32</v>
      </c>
      <c r="AB162" s="246">
        <f t="shared" si="37"/>
        <v>58</v>
      </c>
      <c r="AD162" s="374" t="s">
        <v>101</v>
      </c>
      <c r="AE162" s="374"/>
      <c r="AF162" s="374"/>
      <c r="AG162" s="374"/>
      <c r="AS162" s="374" t="s">
        <v>101</v>
      </c>
      <c r="AT162" s="374"/>
      <c r="AU162" s="374"/>
      <c r="AV162" s="374"/>
      <c r="AW162" s="51"/>
    </row>
    <row r="163" spans="1:49">
      <c r="A163" s="346" t="s">
        <v>591</v>
      </c>
      <c r="B163" s="346" t="s">
        <v>620</v>
      </c>
      <c r="C163" s="346">
        <v>1087480</v>
      </c>
      <c r="D163" s="346" t="s">
        <v>17</v>
      </c>
      <c r="E163" s="346" t="s">
        <v>2</v>
      </c>
      <c r="F163" s="346" t="s">
        <v>156</v>
      </c>
      <c r="G163" s="346"/>
      <c r="H163" s="346"/>
      <c r="I163" s="346" t="s">
        <v>563</v>
      </c>
      <c r="J163" s="346"/>
      <c r="K163" s="346"/>
      <c r="L163" s="346" t="s">
        <v>564</v>
      </c>
      <c r="M163" s="346"/>
      <c r="N163" s="346"/>
      <c r="O163" s="346"/>
      <c r="P163" s="346"/>
      <c r="Q163" s="346"/>
      <c r="R163" s="346"/>
      <c r="S163" s="346"/>
      <c r="T163" s="346">
        <v>29520</v>
      </c>
      <c r="X163" s="115">
        <f t="shared" si="48"/>
        <v>1</v>
      </c>
      <c r="Y163" s="115">
        <f t="shared" si="49"/>
        <v>2</v>
      </c>
      <c r="Z163" s="115" t="e">
        <f t="shared" si="50"/>
        <v>#VALUE!</v>
      </c>
      <c r="AA163" s="115">
        <f t="shared" si="51"/>
        <v>29.52</v>
      </c>
      <c r="AB163" s="246">
        <f t="shared" si="37"/>
        <v>58</v>
      </c>
      <c r="AD163" s="51"/>
      <c r="AE163" s="51" t="s">
        <v>11</v>
      </c>
      <c r="AF163" s="51" t="s">
        <v>23</v>
      </c>
      <c r="AG163" s="51" t="s">
        <v>18</v>
      </c>
      <c r="AH163" s="1" t="s">
        <v>14</v>
      </c>
      <c r="AS163" s="51"/>
      <c r="AT163" s="51" t="s">
        <v>11</v>
      </c>
      <c r="AU163" s="51" t="s">
        <v>23</v>
      </c>
      <c r="AV163" s="51" t="s">
        <v>18</v>
      </c>
      <c r="AW163" s="1" t="s">
        <v>17</v>
      </c>
    </row>
    <row r="164" spans="1:49">
      <c r="A164" s="346" t="s">
        <v>591</v>
      </c>
      <c r="B164" s="346" t="s">
        <v>606</v>
      </c>
      <c r="C164" s="346">
        <v>1105000</v>
      </c>
      <c r="D164" s="346" t="s">
        <v>14</v>
      </c>
      <c r="E164" s="346" t="s">
        <v>6</v>
      </c>
      <c r="F164" s="346" t="s">
        <v>3</v>
      </c>
      <c r="G164" s="346"/>
      <c r="H164" s="346"/>
      <c r="I164" s="346" t="s">
        <v>563</v>
      </c>
      <c r="J164" s="346"/>
      <c r="K164" s="346"/>
      <c r="L164" s="346" t="s">
        <v>568</v>
      </c>
      <c r="M164" s="346"/>
      <c r="N164" s="346"/>
      <c r="O164" s="346"/>
      <c r="P164" s="346"/>
      <c r="Q164" s="346"/>
      <c r="R164" s="346"/>
      <c r="S164" s="346"/>
      <c r="T164" s="346">
        <v>22760</v>
      </c>
      <c r="X164" s="115">
        <f t="shared" si="48"/>
        <v>1</v>
      </c>
      <c r="Y164" s="115">
        <f t="shared" si="49"/>
        <v>2</v>
      </c>
      <c r="Z164" s="115" t="e">
        <f t="shared" si="50"/>
        <v>#VALUE!</v>
      </c>
      <c r="AA164" s="115">
        <f t="shared" si="51"/>
        <v>22.76</v>
      </c>
      <c r="AB164" s="246">
        <f t="shared" si="37"/>
        <v>58</v>
      </c>
      <c r="AD164" s="51" t="s">
        <v>68</v>
      </c>
      <c r="AE164" s="51">
        <f>COUNTIFS(D:D,"AA",F:F,"ATONGOAL",G:G,"",H:H,"SHORT",M:M,"")</f>
        <v>0</v>
      </c>
      <c r="AF164" s="51">
        <f>COUNTIFS(D:D,"AA",F:F,"ATONGOAL",G:G,"",H:H,"SHORTLONG",M:M,"")</f>
        <v>0</v>
      </c>
      <c r="AG164" s="51">
        <f>COUNTIFS(D:D,"AA",F:F,"ATONGOAL",G:G,"",H:H,"LONG",M:M,"")</f>
        <v>0</v>
      </c>
      <c r="AH164" s="51">
        <f>COUNTIFS(D:D,"DA",F:F,"ATONGOAL",G:G,"",M:M,"")</f>
        <v>0</v>
      </c>
      <c r="AS164" s="51" t="s">
        <v>39</v>
      </c>
      <c r="AT164" s="51">
        <f>COUNTIFS(D:D,"DD",F:F,"ATONGOAL",G:G,"",H:H,"SHORT",M:M,"")</f>
        <v>0</v>
      </c>
      <c r="AU164" s="51">
        <f>COUNTIFS(D:D,"DD",F:F,"ATONGOAL",G:G,"",H:H,"SHORTLONG",M:M,"")</f>
        <v>0</v>
      </c>
      <c r="AV164" s="51">
        <f>COUNTIFS(D:D,"DD",F:F,"ATONGOAL",G:G,"",H:H,"LONG",M:M,"")</f>
        <v>0</v>
      </c>
      <c r="AW164" s="51">
        <f>COUNTIFS(D:D,"AD",F:F,"ATONGOAL",G:G,"",M:M,"")</f>
        <v>0</v>
      </c>
    </row>
    <row r="165" spans="1:49">
      <c r="A165" s="346" t="s">
        <v>591</v>
      </c>
      <c r="B165" s="346" t="s">
        <v>638</v>
      </c>
      <c r="C165" s="346">
        <v>1126080</v>
      </c>
      <c r="D165" s="346" t="s">
        <v>1</v>
      </c>
      <c r="E165" s="346" t="s">
        <v>6</v>
      </c>
      <c r="F165" s="346" t="s">
        <v>8</v>
      </c>
      <c r="G165" s="346" t="s">
        <v>29</v>
      </c>
      <c r="H165" s="346"/>
      <c r="I165" s="346"/>
      <c r="J165" s="346"/>
      <c r="K165" s="346"/>
      <c r="L165" s="346"/>
      <c r="M165" s="346"/>
      <c r="N165" s="346"/>
      <c r="O165" s="346"/>
      <c r="P165" s="346"/>
      <c r="Q165" s="346"/>
      <c r="R165" s="346"/>
      <c r="S165" s="346"/>
      <c r="T165" s="346">
        <v>30320</v>
      </c>
      <c r="X165" s="115">
        <f t="shared" si="48"/>
        <v>-10</v>
      </c>
      <c r="Y165" s="115">
        <f t="shared" si="49"/>
        <v>-9</v>
      </c>
      <c r="Z165" s="115" t="e">
        <f t="shared" si="50"/>
        <v>#VALUE!</v>
      </c>
      <c r="AA165" s="115">
        <f t="shared" si="51"/>
        <v>30.32</v>
      </c>
      <c r="AB165" s="246">
        <f t="shared" si="37"/>
        <v>59</v>
      </c>
    </row>
    <row r="166" spans="1:49">
      <c r="A166" s="346" t="s">
        <v>591</v>
      </c>
      <c r="B166" s="346" t="s">
        <v>666</v>
      </c>
      <c r="C166" s="346">
        <v>1162520</v>
      </c>
      <c r="D166" s="346" t="s">
        <v>5</v>
      </c>
      <c r="E166" s="346" t="s">
        <v>2</v>
      </c>
      <c r="F166" s="346" t="s">
        <v>156</v>
      </c>
      <c r="G166" s="346" t="s">
        <v>25</v>
      </c>
      <c r="H166" s="346"/>
      <c r="I166" s="346"/>
      <c r="J166" s="346"/>
      <c r="K166" s="346"/>
      <c r="L166" s="346"/>
      <c r="M166" s="346"/>
      <c r="N166" s="346"/>
      <c r="O166" s="346"/>
      <c r="P166" s="346"/>
      <c r="Q166" s="346"/>
      <c r="R166" s="346"/>
      <c r="S166" s="346"/>
      <c r="T166" s="346">
        <v>21800</v>
      </c>
      <c r="X166" s="115">
        <f t="shared" si="48"/>
        <v>1</v>
      </c>
      <c r="Y166" s="115">
        <f t="shared" si="49"/>
        <v>-9</v>
      </c>
      <c r="Z166" s="115" t="e">
        <f t="shared" si="50"/>
        <v>#VALUE!</v>
      </c>
      <c r="AA166" s="115">
        <f t="shared" si="51"/>
        <v>21.8</v>
      </c>
      <c r="AB166" s="246">
        <f t="shared" si="37"/>
        <v>59</v>
      </c>
    </row>
    <row r="167" spans="1:49">
      <c r="A167" s="346" t="s">
        <v>591</v>
      </c>
      <c r="B167" s="346" t="s">
        <v>667</v>
      </c>
      <c r="C167" s="346">
        <v>1180360</v>
      </c>
      <c r="D167" s="346" t="s">
        <v>5</v>
      </c>
      <c r="E167" s="346" t="s">
        <v>6</v>
      </c>
      <c r="F167" s="346" t="s">
        <v>3</v>
      </c>
      <c r="G167" s="346" t="s">
        <v>29</v>
      </c>
      <c r="H167" s="346"/>
      <c r="I167" s="346"/>
      <c r="J167" s="346"/>
      <c r="K167" s="346"/>
      <c r="L167" s="346"/>
      <c r="M167" s="346"/>
      <c r="N167" s="346"/>
      <c r="O167" s="346"/>
      <c r="P167" s="346"/>
      <c r="Q167" s="346"/>
      <c r="R167" s="346"/>
      <c r="S167" s="346"/>
      <c r="T167" s="346">
        <v>25760</v>
      </c>
      <c r="X167" s="115">
        <f t="shared" si="48"/>
        <v>1</v>
      </c>
      <c r="Y167" s="115">
        <f t="shared" si="49"/>
        <v>2</v>
      </c>
      <c r="Z167" s="115" t="e">
        <f t="shared" si="50"/>
        <v>#VALUE!</v>
      </c>
      <c r="AA167" s="115">
        <f t="shared" si="51"/>
        <v>25.76</v>
      </c>
      <c r="AB167" s="246">
        <f t="shared" si="37"/>
        <v>60</v>
      </c>
      <c r="AD167" s="51"/>
      <c r="AE167" s="374" t="s">
        <v>703</v>
      </c>
      <c r="AF167" s="374"/>
      <c r="AG167" s="51"/>
      <c r="AH167" s="51"/>
      <c r="AS167" s="51"/>
      <c r="AT167" s="374" t="s">
        <v>703</v>
      </c>
      <c r="AU167" s="374"/>
      <c r="AV167" s="51"/>
      <c r="AW167" s="51"/>
    </row>
    <row r="168" spans="1:49">
      <c r="A168" s="346" t="s">
        <v>591</v>
      </c>
      <c r="B168" s="346" t="s">
        <v>649</v>
      </c>
      <c r="C168" s="346">
        <v>1193200</v>
      </c>
      <c r="D168" s="346" t="s">
        <v>17</v>
      </c>
      <c r="E168" s="346" t="s">
        <v>2</v>
      </c>
      <c r="F168" s="346" t="s">
        <v>156</v>
      </c>
      <c r="G168" s="346"/>
      <c r="H168" s="346"/>
      <c r="I168" s="346" t="s">
        <v>561</v>
      </c>
      <c r="J168" s="346"/>
      <c r="K168" s="346"/>
      <c r="L168" s="346" t="s">
        <v>570</v>
      </c>
      <c r="M168" s="346"/>
      <c r="N168" s="346"/>
      <c r="O168" s="346"/>
      <c r="P168" s="346"/>
      <c r="Q168" s="346"/>
      <c r="R168" s="346"/>
      <c r="S168" s="346"/>
      <c r="T168" s="346">
        <v>19800</v>
      </c>
      <c r="X168" s="115">
        <f t="shared" si="48"/>
        <v>1</v>
      </c>
      <c r="Y168" s="115">
        <f t="shared" si="49"/>
        <v>2</v>
      </c>
      <c r="Z168" s="115" t="e">
        <f t="shared" si="50"/>
        <v>#VALUE!</v>
      </c>
      <c r="AA168" s="115">
        <f t="shared" si="51"/>
        <v>19.8</v>
      </c>
      <c r="AB168" s="246">
        <f t="shared" si="37"/>
        <v>60</v>
      </c>
      <c r="AD168" s="374" t="s">
        <v>103</v>
      </c>
      <c r="AE168" s="374"/>
      <c r="AF168" s="374"/>
      <c r="AG168" s="374"/>
      <c r="AH168" s="51"/>
      <c r="AJ168" s="115"/>
      <c r="AK168" s="374"/>
      <c r="AL168" s="374"/>
      <c r="AM168" s="115"/>
      <c r="AN168" s="115"/>
      <c r="AO168" s="115"/>
      <c r="AS168" s="374" t="s">
        <v>103</v>
      </c>
      <c r="AT168" s="374"/>
      <c r="AU168" s="374"/>
      <c r="AV168" s="374"/>
      <c r="AW168" s="51"/>
    </row>
    <row r="169" spans="1:49">
      <c r="A169" s="346" t="s">
        <v>591</v>
      </c>
      <c r="B169" s="346" t="s">
        <v>668</v>
      </c>
      <c r="C169" s="346">
        <v>1207880</v>
      </c>
      <c r="D169" s="346" t="s">
        <v>5</v>
      </c>
      <c r="E169" s="346" t="s">
        <v>2</v>
      </c>
      <c r="F169" s="346" t="s">
        <v>310</v>
      </c>
      <c r="G169" s="346" t="s">
        <v>29</v>
      </c>
      <c r="H169" s="346"/>
      <c r="I169" s="346"/>
      <c r="J169" s="346"/>
      <c r="K169" s="346"/>
      <c r="L169" s="346"/>
      <c r="M169" s="346"/>
      <c r="N169" s="346"/>
      <c r="O169" s="346"/>
      <c r="P169" s="346"/>
      <c r="Q169" s="346"/>
      <c r="R169" s="346"/>
      <c r="S169" s="346"/>
      <c r="T169" s="346">
        <v>21200</v>
      </c>
      <c r="X169" s="115">
        <f t="shared" si="48"/>
        <v>2</v>
      </c>
      <c r="Y169" s="115">
        <f t="shared" si="49"/>
        <v>3</v>
      </c>
      <c r="Z169" s="115" t="e">
        <f t="shared" si="50"/>
        <v>#VALUE!</v>
      </c>
      <c r="AA169" s="115">
        <f t="shared" si="51"/>
        <v>21.2</v>
      </c>
      <c r="AB169" s="246">
        <f t="shared" si="37"/>
        <v>60</v>
      </c>
      <c r="AD169" s="51"/>
      <c r="AE169" s="346" t="s">
        <v>563</v>
      </c>
      <c r="AF169" s="346" t="s">
        <v>561</v>
      </c>
      <c r="AG169" s="368" t="s">
        <v>565</v>
      </c>
      <c r="AJ169" s="374"/>
      <c r="AK169" s="374"/>
      <c r="AL169" s="374"/>
      <c r="AM169" s="374"/>
      <c r="AN169" s="115"/>
      <c r="AO169" s="115"/>
      <c r="AS169" s="51"/>
      <c r="AT169" s="346" t="s">
        <v>563</v>
      </c>
      <c r="AU169" s="346" t="s">
        <v>561</v>
      </c>
      <c r="AV169" s="368" t="s">
        <v>565</v>
      </c>
    </row>
    <row r="170" spans="1:49">
      <c r="A170" s="346" t="s">
        <v>591</v>
      </c>
      <c r="B170" s="346" t="s">
        <v>640</v>
      </c>
      <c r="C170" s="346">
        <v>1225840</v>
      </c>
      <c r="D170" s="346" t="s">
        <v>1</v>
      </c>
      <c r="E170" s="346"/>
      <c r="F170" s="346"/>
      <c r="G170" s="346" t="s">
        <v>29</v>
      </c>
      <c r="H170" s="346"/>
      <c r="I170" s="346"/>
      <c r="J170" s="346"/>
      <c r="K170" s="346"/>
      <c r="L170" s="346"/>
      <c r="M170" s="346"/>
      <c r="N170" s="346"/>
      <c r="O170" s="346"/>
      <c r="P170" s="346"/>
      <c r="Q170" s="346"/>
      <c r="R170" s="346"/>
      <c r="S170" s="346"/>
      <c r="T170" s="346">
        <v>51320</v>
      </c>
      <c r="X170" s="115">
        <f t="shared" si="48"/>
        <v>0</v>
      </c>
      <c r="Y170" s="115">
        <f t="shared" si="49"/>
        <v>2</v>
      </c>
      <c r="Z170" s="115" t="e">
        <f t="shared" si="50"/>
        <v>#VALUE!</v>
      </c>
      <c r="AA170" s="115">
        <f t="shared" si="51"/>
        <v>51.32</v>
      </c>
      <c r="AB170" s="246">
        <f t="shared" si="37"/>
        <v>60</v>
      </c>
      <c r="AD170" s="51" t="s">
        <v>5</v>
      </c>
      <c r="AE170" s="51">
        <f>COUNTIFS(D:D,"AA",F:F,"ATONGOAL",G:G,"",I:I,"S1",M:M,"")</f>
        <v>0</v>
      </c>
      <c r="AF170" s="51">
        <f>COUNTIFS(D:D,"AA",F:F,"ATONGOAL",G:G,"",I:I,"S2",M:M,"")</f>
        <v>0</v>
      </c>
      <c r="AG170" s="51">
        <f>COUNTIFS(D:D,"AA",F:F,"ATONGOAL",G:G,"",I:I,"S3",M:M,"")</f>
        <v>0</v>
      </c>
      <c r="AJ170" s="115"/>
      <c r="AK170" s="115"/>
      <c r="AL170" s="115"/>
      <c r="AM170" s="115"/>
      <c r="AN170" s="204"/>
      <c r="AO170" s="115"/>
      <c r="AS170" s="51" t="s">
        <v>1</v>
      </c>
      <c r="AT170" s="51">
        <f>COUNTIFS(D:D,"DD",F:F,"ATONGOAL",G:G,"",I:I,"S1",M:M,"")</f>
        <v>0</v>
      </c>
      <c r="AU170" s="51">
        <f>COUNTIFS(D:D,"DD",F:F,"ATONGOAL",G:G,"",I:I,"S2",M:M,"")</f>
        <v>0</v>
      </c>
      <c r="AV170" s="51">
        <f>COUNTIFS(D:D,"DD",F:F,"ATONGOAL",G:G,"",I:I,"S3",M:M,"")</f>
        <v>0</v>
      </c>
    </row>
    <row r="171" spans="1:49">
      <c r="A171" s="346" t="s">
        <v>591</v>
      </c>
      <c r="B171" s="346" t="s">
        <v>609</v>
      </c>
      <c r="C171" s="346">
        <v>1265160</v>
      </c>
      <c r="D171" s="346" t="s">
        <v>14</v>
      </c>
      <c r="E171" s="346" t="s">
        <v>6</v>
      </c>
      <c r="F171" s="346" t="s">
        <v>3</v>
      </c>
      <c r="G171" s="346"/>
      <c r="H171" s="346"/>
      <c r="I171" s="346" t="s">
        <v>563</v>
      </c>
      <c r="J171" s="346"/>
      <c r="K171" s="346"/>
      <c r="L171" s="346" t="s">
        <v>564</v>
      </c>
      <c r="M171" s="346"/>
      <c r="N171" s="346"/>
      <c r="O171" s="346"/>
      <c r="P171" s="346"/>
      <c r="Q171" s="346"/>
      <c r="R171" s="346"/>
      <c r="S171" s="346"/>
      <c r="T171" s="346">
        <v>18120</v>
      </c>
      <c r="X171" s="115">
        <f t="shared" si="48"/>
        <v>1</v>
      </c>
      <c r="Y171" s="115">
        <f t="shared" si="49"/>
        <v>1</v>
      </c>
      <c r="Z171" s="115" t="e">
        <f t="shared" si="50"/>
        <v>#VALUE!</v>
      </c>
      <c r="AA171" s="115">
        <f t="shared" si="51"/>
        <v>18.12</v>
      </c>
      <c r="AB171" s="246">
        <f t="shared" si="37"/>
        <v>61</v>
      </c>
      <c r="AJ171" s="115"/>
      <c r="AK171" s="178"/>
      <c r="AL171" s="178"/>
      <c r="AM171" s="178"/>
      <c r="AN171" s="178"/>
      <c r="AO171" s="178"/>
      <c r="AS171" s="51"/>
      <c r="AT171" s="51"/>
      <c r="AU171" s="51"/>
      <c r="AV171" s="51"/>
      <c r="AW171" s="51"/>
    </row>
    <row r="172" spans="1:49">
      <c r="A172" s="346" t="s">
        <v>591</v>
      </c>
      <c r="B172" s="346" t="s">
        <v>646</v>
      </c>
      <c r="C172" s="346">
        <v>1269400</v>
      </c>
      <c r="D172" s="346" t="s">
        <v>17</v>
      </c>
      <c r="E172" s="346" t="s">
        <v>6</v>
      </c>
      <c r="F172" s="346" t="s">
        <v>8</v>
      </c>
      <c r="G172" s="346"/>
      <c r="H172" s="346"/>
      <c r="I172" s="346" t="s">
        <v>561</v>
      </c>
      <c r="J172" s="346"/>
      <c r="K172" s="346"/>
      <c r="L172" s="346" t="s">
        <v>567</v>
      </c>
      <c r="M172" s="346"/>
      <c r="N172" s="346"/>
      <c r="O172" s="346"/>
      <c r="P172" s="346"/>
      <c r="Q172" s="346"/>
      <c r="R172" s="346"/>
      <c r="S172" s="346"/>
      <c r="T172" s="346">
        <v>53680</v>
      </c>
      <c r="X172" s="115">
        <f t="shared" si="48"/>
        <v>-10</v>
      </c>
      <c r="Y172" s="115">
        <f t="shared" si="49"/>
        <v>-9</v>
      </c>
      <c r="Z172" s="115" t="e">
        <f t="shared" si="50"/>
        <v>#VALUE!</v>
      </c>
      <c r="AA172" s="115">
        <f t="shared" si="51"/>
        <v>53.68</v>
      </c>
      <c r="AB172" s="246">
        <f t="shared" si="37"/>
        <v>61</v>
      </c>
      <c r="AJ172" s="115"/>
      <c r="AK172" s="115"/>
      <c r="AL172" s="115"/>
      <c r="AM172" s="115"/>
      <c r="AN172" s="115"/>
      <c r="AO172" s="115"/>
      <c r="AS172" s="51"/>
      <c r="AT172" s="51"/>
      <c r="AU172" s="51"/>
      <c r="AV172" s="51"/>
      <c r="AW172" s="51"/>
    </row>
    <row r="173" spans="1:49">
      <c r="A173" s="346" t="s">
        <v>591</v>
      </c>
      <c r="B173" s="346" t="s">
        <v>672</v>
      </c>
      <c r="C173" s="346">
        <v>1323040</v>
      </c>
      <c r="D173" s="346" t="s">
        <v>5</v>
      </c>
      <c r="E173" s="346" t="s">
        <v>6</v>
      </c>
      <c r="F173" s="346" t="s">
        <v>3</v>
      </c>
      <c r="G173" s="346" t="s">
        <v>25</v>
      </c>
      <c r="H173" s="346"/>
      <c r="I173" s="346"/>
      <c r="J173" s="346"/>
      <c r="K173" s="346"/>
      <c r="L173" s="346"/>
      <c r="M173" s="346"/>
      <c r="N173" s="346"/>
      <c r="O173" s="346"/>
      <c r="P173" s="346"/>
      <c r="Q173" s="346"/>
      <c r="R173" s="346"/>
      <c r="S173" s="346"/>
      <c r="T173" s="346">
        <v>23680</v>
      </c>
      <c r="X173" s="115">
        <f t="shared" si="48"/>
        <v>1</v>
      </c>
      <c r="Y173" s="115">
        <f t="shared" si="49"/>
        <v>-9</v>
      </c>
      <c r="Z173" s="115" t="e">
        <f t="shared" si="50"/>
        <v>#VALUE!</v>
      </c>
      <c r="AA173" s="115">
        <f t="shared" si="51"/>
        <v>23.68</v>
      </c>
      <c r="AB173" s="246">
        <f t="shared" si="37"/>
        <v>62</v>
      </c>
      <c r="AD173" s="51"/>
      <c r="AE173" s="374" t="s">
        <v>703</v>
      </c>
      <c r="AF173" s="374"/>
      <c r="AG173" s="51"/>
      <c r="AH173" s="51"/>
      <c r="AJ173" s="115"/>
      <c r="AK173" s="374"/>
      <c r="AL173" s="374"/>
      <c r="AM173" s="115"/>
      <c r="AN173" s="115"/>
      <c r="AO173" s="115"/>
      <c r="AS173" s="51"/>
      <c r="AT173" s="374" t="s">
        <v>703</v>
      </c>
      <c r="AU173" s="374"/>
      <c r="AV173" s="51"/>
      <c r="AW173" s="51"/>
    </row>
    <row r="174" spans="1:49">
      <c r="A174" s="346" t="s">
        <v>591</v>
      </c>
      <c r="B174" s="346" t="s">
        <v>652</v>
      </c>
      <c r="C174" s="346">
        <v>1333120</v>
      </c>
      <c r="D174" s="346" t="s">
        <v>17</v>
      </c>
      <c r="E174" s="346" t="s">
        <v>6</v>
      </c>
      <c r="F174" s="346" t="s">
        <v>3</v>
      </c>
      <c r="G174" s="346"/>
      <c r="H174" s="346"/>
      <c r="I174" s="346" t="s">
        <v>561</v>
      </c>
      <c r="J174" s="346"/>
      <c r="K174" s="346"/>
      <c r="L174" s="346" t="s">
        <v>571</v>
      </c>
      <c r="M174" s="346"/>
      <c r="N174" s="346"/>
      <c r="O174" s="346"/>
      <c r="P174" s="346"/>
      <c r="Q174" s="346"/>
      <c r="R174" s="346"/>
      <c r="S174" s="346"/>
      <c r="T174" s="346">
        <v>30440</v>
      </c>
      <c r="X174" s="115">
        <f t="shared" si="48"/>
        <v>1</v>
      </c>
      <c r="Y174" s="115">
        <f t="shared" si="49"/>
        <v>2</v>
      </c>
      <c r="Z174" s="115" t="e">
        <f t="shared" si="50"/>
        <v>#VALUE!</v>
      </c>
      <c r="AA174" s="115">
        <f t="shared" si="51"/>
        <v>30.44</v>
      </c>
      <c r="AB174" s="246">
        <f t="shared" si="37"/>
        <v>62</v>
      </c>
      <c r="AD174" s="374" t="s">
        <v>103</v>
      </c>
      <c r="AE174" s="374"/>
      <c r="AF174" s="374"/>
      <c r="AG174" s="374"/>
      <c r="AH174" s="51"/>
      <c r="AJ174" s="374"/>
      <c r="AK174" s="374"/>
      <c r="AL174" s="374"/>
      <c r="AM174" s="374"/>
      <c r="AN174" s="374"/>
      <c r="AO174" s="115"/>
      <c r="AS174" s="374" t="s">
        <v>103</v>
      </c>
      <c r="AT174" s="374"/>
      <c r="AU174" s="374"/>
      <c r="AV174" s="374"/>
      <c r="AW174" s="51"/>
    </row>
    <row r="175" spans="1:49">
      <c r="A175" s="346" t="s">
        <v>591</v>
      </c>
      <c r="B175" s="346" t="s">
        <v>642</v>
      </c>
      <c r="C175" s="346">
        <v>1378520</v>
      </c>
      <c r="D175" s="346" t="s">
        <v>1</v>
      </c>
      <c r="E175" s="346" t="s">
        <v>6</v>
      </c>
      <c r="F175" s="346" t="s">
        <v>3</v>
      </c>
      <c r="G175" s="346"/>
      <c r="H175" s="346"/>
      <c r="I175" s="346"/>
      <c r="J175" s="346"/>
      <c r="K175" s="346"/>
      <c r="L175" s="346"/>
      <c r="M175" s="346" t="s">
        <v>29</v>
      </c>
      <c r="N175" s="346"/>
      <c r="O175" s="346"/>
      <c r="P175" s="346"/>
      <c r="Q175" s="346"/>
      <c r="R175" s="346"/>
      <c r="S175" s="346"/>
      <c r="T175" s="346">
        <v>11720</v>
      </c>
      <c r="X175" s="115">
        <f t="shared" si="48"/>
        <v>1</v>
      </c>
      <c r="Y175" s="115">
        <f t="shared" si="49"/>
        <v>2</v>
      </c>
      <c r="Z175" s="115" t="e">
        <f t="shared" si="50"/>
        <v>#VALUE!</v>
      </c>
      <c r="AA175" s="115">
        <f t="shared" si="51"/>
        <v>11.72</v>
      </c>
      <c r="AB175" s="246">
        <f t="shared" si="37"/>
        <v>63</v>
      </c>
      <c r="AD175" s="51"/>
      <c r="AE175" s="346" t="s">
        <v>563</v>
      </c>
      <c r="AF175" s="346" t="s">
        <v>561</v>
      </c>
      <c r="AG175" s="368" t="s">
        <v>565</v>
      </c>
      <c r="AJ175" s="115"/>
      <c r="AK175" s="115"/>
      <c r="AL175" s="115"/>
      <c r="AM175" s="115"/>
      <c r="AN175" s="115"/>
      <c r="AO175" s="115"/>
      <c r="AS175" s="51"/>
      <c r="AT175" s="346" t="s">
        <v>563</v>
      </c>
      <c r="AU175" s="346" t="s">
        <v>561</v>
      </c>
      <c r="AV175" s="368" t="s">
        <v>565</v>
      </c>
    </row>
    <row r="176" spans="1:49">
      <c r="A176" s="346" t="s">
        <v>591</v>
      </c>
      <c r="B176" s="346" t="s">
        <v>653</v>
      </c>
      <c r="C176" s="346">
        <v>1387800</v>
      </c>
      <c r="D176" s="346" t="s">
        <v>1</v>
      </c>
      <c r="E176" s="346"/>
      <c r="F176" s="346"/>
      <c r="G176" s="346"/>
      <c r="H176" s="346"/>
      <c r="I176" s="346" t="s">
        <v>595</v>
      </c>
      <c r="J176" s="346"/>
      <c r="K176" s="346"/>
      <c r="L176" s="346"/>
      <c r="M176" s="346" t="s">
        <v>29</v>
      </c>
      <c r="N176" s="346"/>
      <c r="O176" s="346"/>
      <c r="P176" s="346"/>
      <c r="Q176" s="346"/>
      <c r="R176" s="346"/>
      <c r="S176" s="346"/>
      <c r="T176" s="346">
        <v>23200</v>
      </c>
      <c r="X176" s="115">
        <f t="shared" si="48"/>
        <v>0</v>
      </c>
      <c r="Y176" s="115">
        <f t="shared" si="49"/>
        <v>1</v>
      </c>
      <c r="Z176" s="115" t="e">
        <f t="shared" si="50"/>
        <v>#VALUE!</v>
      </c>
      <c r="AA176" s="115">
        <f t="shared" si="51"/>
        <v>23.2</v>
      </c>
      <c r="AB176" s="246">
        <f t="shared" si="37"/>
        <v>63</v>
      </c>
      <c r="AD176" s="51" t="s">
        <v>14</v>
      </c>
      <c r="AE176" s="51">
        <f>COUNTIFS(D:D,"DA",F:F,"ATONGOAL",G:G,"",I:I,"S1")</f>
        <v>0</v>
      </c>
      <c r="AF176" s="51">
        <f>COUNTIFS(D:D,"DA",F:F,"ATONGOAL",G:G,"",I:I,"S2")</f>
        <v>0</v>
      </c>
      <c r="AG176" s="51">
        <f>COUNTIFS(D:D,"DA",F:F,"ATONGOAL",G:G,"",I:I,"S3")</f>
        <v>0</v>
      </c>
      <c r="AJ176" s="115"/>
      <c r="AK176" s="178"/>
      <c r="AL176" s="178"/>
      <c r="AM176" s="178"/>
      <c r="AN176" s="178"/>
      <c r="AO176" s="178"/>
      <c r="AS176" s="51" t="s">
        <v>17</v>
      </c>
      <c r="AT176" s="51">
        <f>COUNTIFS(D:D,"AD",F:F,"ATONGOAL",G:G,"",I:I,"S1")</f>
        <v>0</v>
      </c>
      <c r="AU176" s="51">
        <f>COUNTIFS(D:D,"AD",F:F,"ATONGOAL",G:G,"",I:I,"S2")</f>
        <v>0</v>
      </c>
      <c r="AV176" s="51">
        <f>COUNTIFS(D:D,"AD",F:F,"ATONGOAL",G:G,"",I:I,"S3")</f>
        <v>0</v>
      </c>
    </row>
    <row r="177" spans="1:51">
      <c r="A177" s="346" t="s">
        <v>591</v>
      </c>
      <c r="B177" s="346" t="s">
        <v>615</v>
      </c>
      <c r="C177" s="346">
        <v>1399000</v>
      </c>
      <c r="D177" s="346" t="s">
        <v>14</v>
      </c>
      <c r="E177" s="346" t="s">
        <v>6</v>
      </c>
      <c r="F177" s="346" t="s">
        <v>3</v>
      </c>
      <c r="G177" s="346"/>
      <c r="H177" s="346"/>
      <c r="I177" s="346" t="s">
        <v>561</v>
      </c>
      <c r="J177" s="346"/>
      <c r="K177" s="346"/>
      <c r="L177" s="346" t="s">
        <v>571</v>
      </c>
      <c r="M177" s="346"/>
      <c r="N177" s="346"/>
      <c r="O177" s="346"/>
      <c r="P177" s="346"/>
      <c r="Q177" s="346"/>
      <c r="R177" s="346"/>
      <c r="S177" s="346"/>
      <c r="T177" s="346">
        <v>25200</v>
      </c>
      <c r="X177" s="115">
        <f t="shared" si="48"/>
        <v>1</v>
      </c>
      <c r="Y177" s="115">
        <f t="shared" si="49"/>
        <v>1</v>
      </c>
      <c r="Z177" s="115" t="e">
        <f t="shared" si="50"/>
        <v>#VALUE!</v>
      </c>
      <c r="AA177" s="115">
        <f t="shared" si="51"/>
        <v>25.2</v>
      </c>
      <c r="AB177" s="246">
        <f t="shared" si="37"/>
        <v>63</v>
      </c>
      <c r="AS177" s="51"/>
      <c r="AT177" s="51"/>
      <c r="AU177" s="51"/>
      <c r="AV177" s="51"/>
      <c r="AW177" s="51"/>
    </row>
    <row r="178" spans="1:51" s="115" customFormat="1">
      <c r="A178" s="346" t="s">
        <v>591</v>
      </c>
      <c r="B178" s="346" t="s">
        <v>655</v>
      </c>
      <c r="C178" s="346">
        <v>1411120</v>
      </c>
      <c r="D178" s="346" t="s">
        <v>17</v>
      </c>
      <c r="E178" s="346" t="s">
        <v>2</v>
      </c>
      <c r="F178" s="346" t="s">
        <v>156</v>
      </c>
      <c r="G178" s="346"/>
      <c r="H178" s="346"/>
      <c r="I178" s="346" t="s">
        <v>565</v>
      </c>
      <c r="J178" s="346"/>
      <c r="K178" s="346"/>
      <c r="L178" s="346" t="s">
        <v>559</v>
      </c>
      <c r="M178" s="346"/>
      <c r="N178" s="346"/>
      <c r="O178" s="346" t="s">
        <v>712</v>
      </c>
      <c r="P178" s="346"/>
      <c r="Q178" s="346"/>
      <c r="R178" s="346"/>
      <c r="S178" s="346"/>
      <c r="T178" s="346">
        <v>50120</v>
      </c>
      <c r="X178" s="115">
        <f t="shared" si="48"/>
        <v>1</v>
      </c>
      <c r="Y178" s="115">
        <f t="shared" si="49"/>
        <v>2</v>
      </c>
      <c r="Z178" s="115" t="e">
        <f t="shared" si="50"/>
        <v>#VALUE!</v>
      </c>
      <c r="AA178" s="115">
        <f t="shared" si="51"/>
        <v>50.12</v>
      </c>
      <c r="AB178" s="246">
        <f t="shared" si="37"/>
        <v>64</v>
      </c>
    </row>
    <row r="179" spans="1:51" s="115" customFormat="1">
      <c r="A179" s="346" t="s">
        <v>591</v>
      </c>
      <c r="B179" s="346" t="s">
        <v>675</v>
      </c>
      <c r="C179" s="346">
        <v>1454880</v>
      </c>
      <c r="D179" s="346" t="s">
        <v>5</v>
      </c>
      <c r="E179" s="346" t="s">
        <v>6</v>
      </c>
      <c r="F179" s="346" t="s">
        <v>3</v>
      </c>
      <c r="G179" s="346" t="s">
        <v>27</v>
      </c>
      <c r="H179" s="346"/>
      <c r="I179" s="346"/>
      <c r="J179" s="346"/>
      <c r="K179" s="346"/>
      <c r="L179" s="346"/>
      <c r="M179" s="346"/>
      <c r="N179" s="346"/>
      <c r="O179" s="346"/>
      <c r="P179" s="346"/>
      <c r="Q179" s="346"/>
      <c r="R179" s="346"/>
      <c r="S179" s="346"/>
      <c r="T179" s="346">
        <v>15880</v>
      </c>
      <c r="X179" s="115">
        <f t="shared" si="48"/>
        <v>1</v>
      </c>
      <c r="Y179" s="115">
        <f t="shared" si="49"/>
        <v>2</v>
      </c>
      <c r="Z179" s="115" t="e">
        <f t="shared" si="50"/>
        <v>#VALUE!</v>
      </c>
      <c r="AA179" s="115">
        <f t="shared" si="51"/>
        <v>15.88</v>
      </c>
      <c r="AB179" s="246">
        <f>IF(ROUND(C179/60000,0)=0,1,ROUND(C179/60000,0))+40</f>
        <v>64</v>
      </c>
      <c r="AE179" s="374" t="s">
        <v>703</v>
      </c>
      <c r="AF179" s="374"/>
      <c r="AT179" s="374" t="s">
        <v>703</v>
      </c>
      <c r="AU179" s="374"/>
    </row>
    <row r="180" spans="1:51" s="115" customFormat="1">
      <c r="A180" s="346" t="s">
        <v>591</v>
      </c>
      <c r="B180" s="346" t="s">
        <v>660</v>
      </c>
      <c r="C180" s="346">
        <v>1457840</v>
      </c>
      <c r="D180" s="346" t="s">
        <v>17</v>
      </c>
      <c r="E180" s="346" t="s">
        <v>6</v>
      </c>
      <c r="F180" s="346" t="s">
        <v>3</v>
      </c>
      <c r="G180" s="346"/>
      <c r="H180" s="346"/>
      <c r="I180" s="346" t="s">
        <v>565</v>
      </c>
      <c r="J180" s="346"/>
      <c r="K180" s="346"/>
      <c r="L180" s="346" t="s">
        <v>558</v>
      </c>
      <c r="M180" s="346"/>
      <c r="N180" s="346"/>
      <c r="O180" s="346" t="s">
        <v>712</v>
      </c>
      <c r="P180" s="346"/>
      <c r="Q180" s="346"/>
      <c r="R180" s="346"/>
      <c r="S180" s="346"/>
      <c r="T180" s="346">
        <v>34240</v>
      </c>
      <c r="X180" s="115">
        <f t="shared" si="48"/>
        <v>1</v>
      </c>
      <c r="Y180" s="115">
        <f t="shared" si="49"/>
        <v>2</v>
      </c>
      <c r="Z180" s="115" t="e">
        <f t="shared" si="50"/>
        <v>#VALUE!</v>
      </c>
      <c r="AA180" s="115">
        <f t="shared" si="51"/>
        <v>34.24</v>
      </c>
      <c r="AB180" s="246">
        <f t="shared" si="37"/>
        <v>64</v>
      </c>
      <c r="AD180" s="374" t="s">
        <v>305</v>
      </c>
      <c r="AE180" s="374"/>
      <c r="AF180" s="374"/>
      <c r="AG180" s="374"/>
      <c r="AS180" s="374" t="s">
        <v>104</v>
      </c>
      <c r="AT180" s="374"/>
      <c r="AU180" s="374"/>
      <c r="AV180" s="374"/>
    </row>
    <row r="181" spans="1:51" s="115" customFormat="1">
      <c r="A181" s="346" t="s">
        <v>591</v>
      </c>
      <c r="B181" s="346" t="s">
        <v>657</v>
      </c>
      <c r="C181" s="346">
        <v>1491880</v>
      </c>
      <c r="D181" s="346" t="s">
        <v>1</v>
      </c>
      <c r="E181" s="346" t="s">
        <v>6</v>
      </c>
      <c r="F181" s="346" t="s">
        <v>310</v>
      </c>
      <c r="G181" s="346" t="s">
        <v>29</v>
      </c>
      <c r="H181" s="346"/>
      <c r="I181" s="346" t="s">
        <v>595</v>
      </c>
      <c r="J181" s="346"/>
      <c r="K181" s="346"/>
      <c r="L181" s="346"/>
      <c r="M181" s="346"/>
      <c r="N181" s="346"/>
      <c r="O181" s="346"/>
      <c r="P181" s="346"/>
      <c r="Q181" s="346"/>
      <c r="R181" s="346"/>
      <c r="S181" s="346"/>
      <c r="T181" s="346">
        <v>55160</v>
      </c>
      <c r="X181" s="115">
        <f t="shared" si="48"/>
        <v>-2</v>
      </c>
      <c r="Y181" s="115">
        <f t="shared" si="49"/>
        <v>-1</v>
      </c>
      <c r="Z181" s="115" t="e">
        <f t="shared" si="50"/>
        <v>#VALUE!</v>
      </c>
      <c r="AA181" s="115">
        <f t="shared" si="51"/>
        <v>55.16</v>
      </c>
      <c r="AB181" s="246">
        <f t="shared" si="37"/>
        <v>65</v>
      </c>
      <c r="AE181" s="115" t="s">
        <v>4</v>
      </c>
      <c r="AF181" s="115" t="s">
        <v>10</v>
      </c>
      <c r="AG181" s="115" t="s">
        <v>29</v>
      </c>
      <c r="AH181" s="204" t="s">
        <v>127</v>
      </c>
      <c r="AI181" s="115" t="s">
        <v>164</v>
      </c>
      <c r="AT181" s="115" t="s">
        <v>4</v>
      </c>
      <c r="AU181" s="115" t="s">
        <v>10</v>
      </c>
      <c r="AV181" s="115" t="s">
        <v>29</v>
      </c>
      <c r="AW181" s="204" t="s">
        <v>127</v>
      </c>
      <c r="AX181" s="115" t="s">
        <v>164</v>
      </c>
    </row>
    <row r="182" spans="1:51" s="115" customFormat="1">
      <c r="A182" s="346" t="s">
        <v>591</v>
      </c>
      <c r="B182" s="346" t="s">
        <v>691</v>
      </c>
      <c r="C182" s="346">
        <v>1544080</v>
      </c>
      <c r="D182" s="346" t="s">
        <v>5</v>
      </c>
      <c r="E182" s="346" t="s">
        <v>6</v>
      </c>
      <c r="F182" s="346" t="s">
        <v>3</v>
      </c>
      <c r="G182" s="346" t="s">
        <v>27</v>
      </c>
      <c r="H182" s="346"/>
      <c r="I182" s="346"/>
      <c r="J182" s="346"/>
      <c r="K182" s="346"/>
      <c r="L182" s="346"/>
      <c r="M182" s="346"/>
      <c r="N182" s="346"/>
      <c r="O182" s="346"/>
      <c r="P182" s="346"/>
      <c r="Q182" s="346"/>
      <c r="R182" s="346"/>
      <c r="S182" s="346"/>
      <c r="T182" s="346">
        <v>15440</v>
      </c>
      <c r="X182" s="115">
        <f t="shared" si="48"/>
        <v>1</v>
      </c>
      <c r="Y182" s="115">
        <f t="shared" si="49"/>
        <v>-1</v>
      </c>
      <c r="Z182" s="115" t="e">
        <f t="shared" si="50"/>
        <v>#VALUE!</v>
      </c>
      <c r="AA182" s="115">
        <f t="shared" si="51"/>
        <v>15.44</v>
      </c>
      <c r="AB182" s="246">
        <f t="shared" si="37"/>
        <v>66</v>
      </c>
      <c r="AD182" s="115" t="s">
        <v>5</v>
      </c>
      <c r="AE182" s="178">
        <f>COUNTIFS(D:D,"AA",E:E,"POS",M:M,"STANCO",F:F,"ATONGOAL")</f>
        <v>0</v>
      </c>
      <c r="AF182" s="178">
        <f>COUNTIFS(D:D,"AA",E:E,"POS",M:M,"STANFK",F:F,"ATONGOAL")</f>
        <v>0</v>
      </c>
      <c r="AG182" s="178">
        <f>COUNTIFS(D:D,"AA",E:E,"POS",M:M,"STANTI",F:F,"ATONGOAL")</f>
        <v>0</v>
      </c>
      <c r="AH182" s="178">
        <f>COUNTIFS(D:D,"AA",E:E,"POS",M:M,"STANPEN",F:F,"ATONGOAL")</f>
        <v>0</v>
      </c>
      <c r="AI182" s="178">
        <f>COUNTIFS(D:D,"AA",E:E,"POS",M:M,"STANFK DIRECT",F:F,"ATONGOAL")</f>
        <v>0</v>
      </c>
      <c r="AJ182" s="115">
        <f>SUM(AE182:AI182)</f>
        <v>0</v>
      </c>
      <c r="AS182" s="115" t="s">
        <v>1</v>
      </c>
      <c r="AT182" s="115">
        <f>COUNTIFS(D:D,"DD",E:E,"NEG",M:M,"STANCO",F:F,"ATONGOAL")</f>
        <v>1</v>
      </c>
      <c r="AU182" s="115">
        <f>COUNTIFS(D:D,"DD",E:E,"NEG",M:M,"STANFK",F:F,"ATONGOAL")</f>
        <v>0</v>
      </c>
      <c r="AV182" s="115">
        <f>COUNTIFS(D:D,"DD",E:E,"NEG",M:M,"STANTI",F:F,"ATONGOAL")</f>
        <v>0</v>
      </c>
      <c r="AW182" s="115">
        <f>COUNTIFS(D:D,"DD",E:E,"NEG",M:M,"STANPEN",F:F,"ATONGOAL")</f>
        <v>0</v>
      </c>
      <c r="AX182" s="115">
        <f>COUNTIFS(D:D,"DD",E:E,"NEG",M:M,"STANFK DIRECT",F:F,"ATONGOAL")</f>
        <v>0</v>
      </c>
      <c r="AY182" s="115">
        <f>SUM(AT182:AX182)</f>
        <v>1</v>
      </c>
    </row>
    <row r="183" spans="1:51" s="115" customFormat="1">
      <c r="A183" s="346" t="s">
        <v>591</v>
      </c>
      <c r="B183" s="346" t="s">
        <v>673</v>
      </c>
      <c r="C183" s="346">
        <v>1547520</v>
      </c>
      <c r="D183" s="346" t="s">
        <v>17</v>
      </c>
      <c r="E183" s="346" t="s">
        <v>2</v>
      </c>
      <c r="F183" s="346" t="s">
        <v>156</v>
      </c>
      <c r="G183" s="346"/>
      <c r="H183" s="346"/>
      <c r="I183" s="346" t="s">
        <v>561</v>
      </c>
      <c r="J183" s="346"/>
      <c r="K183" s="346"/>
      <c r="L183" s="346" t="s">
        <v>571</v>
      </c>
      <c r="M183" s="346"/>
      <c r="N183" s="346"/>
      <c r="O183" s="346" t="s">
        <v>712</v>
      </c>
      <c r="P183" s="346"/>
      <c r="Q183" s="346"/>
      <c r="R183" s="346"/>
      <c r="S183" s="346"/>
      <c r="T183" s="346">
        <v>27800</v>
      </c>
      <c r="X183" s="115">
        <f t="shared" si="48"/>
        <v>1</v>
      </c>
      <c r="Y183" s="115">
        <f t="shared" si="49"/>
        <v>2</v>
      </c>
      <c r="Z183" s="115" t="e">
        <f t="shared" si="50"/>
        <v>#VALUE!</v>
      </c>
      <c r="AA183" s="115">
        <f t="shared" si="51"/>
        <v>27.8</v>
      </c>
      <c r="AB183" s="246">
        <f t="shared" ref="AB183:AB203" si="58">IF(ROUND(C183/60000,0)=0,1,ROUND(C183/60000,0))+40</f>
        <v>66</v>
      </c>
      <c r="AD183" s="115" t="s">
        <v>45</v>
      </c>
      <c r="AE183" s="178">
        <f>COUNTIFS(D:D,"AA",M:M,"STANCO")</f>
        <v>2</v>
      </c>
      <c r="AF183" s="178">
        <f>COUNTIFS(D:D,"AA",M:M,"STANFK")</f>
        <v>1</v>
      </c>
      <c r="AG183" s="178">
        <f>COUNTIFS(D:D,"AA",M:M,"STANTI")</f>
        <v>2</v>
      </c>
      <c r="AH183" s="178">
        <f>COUNTIFS(D:D,"AA",M:M,"STANPEN")</f>
        <v>0</v>
      </c>
      <c r="AI183" s="178">
        <f>COUNTIFS(D:D,"AA",M:M,"STANFK DIRECT")</f>
        <v>1</v>
      </c>
      <c r="AS183" s="115" t="s">
        <v>45</v>
      </c>
      <c r="AT183" s="115">
        <f>COUNTIFS(D:D,"DD",M:M,"STANCO")</f>
        <v>5</v>
      </c>
      <c r="AU183" s="115">
        <f>COUNTIFS(D:D,"DD",M:M,"STANFK")</f>
        <v>4</v>
      </c>
      <c r="AV183" s="115">
        <f>COUNTIFS(D:D,"DD",M:M,"STANTI")</f>
        <v>3</v>
      </c>
      <c r="AW183" s="115">
        <f>COUNTIFS(D:D,"DD",M:M,"STANPEN")</f>
        <v>0</v>
      </c>
      <c r="AX183" s="115">
        <f>COUNTIFS(D:D,"DD",M:M,"STANFK DIRECT")</f>
        <v>1</v>
      </c>
    </row>
    <row r="184" spans="1:51" s="115" customFormat="1">
      <c r="A184" s="346" t="s">
        <v>591</v>
      </c>
      <c r="B184" s="346" t="s">
        <v>619</v>
      </c>
      <c r="C184" s="346">
        <v>1563320</v>
      </c>
      <c r="D184" s="346" t="s">
        <v>14</v>
      </c>
      <c r="E184" s="346" t="s">
        <v>6</v>
      </c>
      <c r="F184" s="346" t="s">
        <v>3</v>
      </c>
      <c r="G184" s="346"/>
      <c r="H184" s="346"/>
      <c r="I184" s="346" t="s">
        <v>561</v>
      </c>
      <c r="J184" s="346"/>
      <c r="K184" s="346"/>
      <c r="L184" s="346" t="s">
        <v>566</v>
      </c>
      <c r="M184" s="346"/>
      <c r="N184" s="346"/>
      <c r="O184" s="346"/>
      <c r="P184" s="346"/>
      <c r="Q184" s="346"/>
      <c r="R184" s="346"/>
      <c r="S184" s="346"/>
      <c r="T184" s="346">
        <v>29440</v>
      </c>
      <c r="X184" s="115">
        <f t="shared" si="48"/>
        <v>1</v>
      </c>
      <c r="Y184" s="115">
        <f t="shared" si="49"/>
        <v>2</v>
      </c>
      <c r="Z184" s="115" t="e">
        <f t="shared" si="50"/>
        <v>#VALUE!</v>
      </c>
      <c r="AA184" s="115">
        <f t="shared" si="51"/>
        <v>29.44</v>
      </c>
      <c r="AB184" s="246">
        <f t="shared" si="58"/>
        <v>66</v>
      </c>
      <c r="AD184" s="115" t="s">
        <v>265</v>
      </c>
      <c r="AE184" s="153">
        <f>AE182/AE183</f>
        <v>0</v>
      </c>
      <c r="AF184" s="153">
        <f>AF182/AF183</f>
        <v>0</v>
      </c>
      <c r="AG184" s="153">
        <f>AG182/AG183</f>
        <v>0</v>
      </c>
      <c r="AH184" s="153" t="e">
        <f t="shared" ref="AH184:AI184" si="59">AH182/AH183</f>
        <v>#DIV/0!</v>
      </c>
      <c r="AI184" s="153">
        <f t="shared" si="59"/>
        <v>0</v>
      </c>
      <c r="AS184" s="115" t="s">
        <v>265</v>
      </c>
      <c r="AT184" s="153">
        <f>AT182/AT183</f>
        <v>0.2</v>
      </c>
      <c r="AU184" s="153">
        <f>AU182/AU183</f>
        <v>0</v>
      </c>
      <c r="AV184" s="153">
        <f>AV182/AV183</f>
        <v>0</v>
      </c>
      <c r="AW184" s="153" t="e">
        <f t="shared" ref="AW184:AX184" si="60">AW182/AW183</f>
        <v>#DIV/0!</v>
      </c>
      <c r="AX184" s="153">
        <f t="shared" si="60"/>
        <v>0</v>
      </c>
    </row>
    <row r="185" spans="1:51" s="115" customFormat="1">
      <c r="A185" s="346" t="s">
        <v>591</v>
      </c>
      <c r="B185" s="346" t="s">
        <v>676</v>
      </c>
      <c r="C185" s="346">
        <v>1580760</v>
      </c>
      <c r="D185" s="346" t="s">
        <v>17</v>
      </c>
      <c r="E185" s="346" t="s">
        <v>6</v>
      </c>
      <c r="F185" s="346" t="s">
        <v>3</v>
      </c>
      <c r="G185" s="346"/>
      <c r="H185" s="346"/>
      <c r="I185" s="346" t="s">
        <v>565</v>
      </c>
      <c r="J185" s="346"/>
      <c r="K185" s="346"/>
      <c r="L185" s="346" t="s">
        <v>558</v>
      </c>
      <c r="M185" s="346"/>
      <c r="N185" s="346"/>
      <c r="O185" s="346"/>
      <c r="P185" s="346"/>
      <c r="Q185" s="346"/>
      <c r="R185" s="346"/>
      <c r="S185" s="346"/>
      <c r="T185" s="346">
        <v>16840</v>
      </c>
      <c r="X185" s="115">
        <f t="shared" si="48"/>
        <v>1</v>
      </c>
      <c r="Y185" s="115">
        <f t="shared" si="49"/>
        <v>2</v>
      </c>
      <c r="Z185" s="115" t="e">
        <f t="shared" si="50"/>
        <v>#VALUE!</v>
      </c>
      <c r="AA185" s="115">
        <f t="shared" si="51"/>
        <v>16.84</v>
      </c>
      <c r="AB185" s="246">
        <f t="shared" si="58"/>
        <v>66</v>
      </c>
      <c r="AD185" s="115" t="s">
        <v>331</v>
      </c>
      <c r="AE185" s="151" t="e">
        <f>AE182/$AJ182</f>
        <v>#DIV/0!</v>
      </c>
      <c r="AF185" s="151" t="e">
        <f>AF182/$AJ182</f>
        <v>#DIV/0!</v>
      </c>
      <c r="AG185" s="151" t="e">
        <f>AG182/$AJ182</f>
        <v>#DIV/0!</v>
      </c>
      <c r="AH185" s="151" t="e">
        <f t="shared" ref="AH185:AI185" si="61">AH182/$AJ182</f>
        <v>#DIV/0!</v>
      </c>
      <c r="AI185" s="151" t="e">
        <f t="shared" si="61"/>
        <v>#DIV/0!</v>
      </c>
      <c r="AS185" s="115" t="s">
        <v>331</v>
      </c>
      <c r="AT185" s="151">
        <f>AT182/$AY182</f>
        <v>1</v>
      </c>
      <c r="AU185" s="151">
        <f>AU182/$AY182</f>
        <v>0</v>
      </c>
      <c r="AV185" s="151">
        <f>AV182/$AY182</f>
        <v>0</v>
      </c>
      <c r="AW185" s="151">
        <f t="shared" ref="AW185:AX185" si="62">AW182/$AY182</f>
        <v>0</v>
      </c>
      <c r="AX185" s="151">
        <f t="shared" si="62"/>
        <v>0</v>
      </c>
    </row>
    <row r="186" spans="1:51" s="115" customFormat="1">
      <c r="A186" s="346" t="s">
        <v>591</v>
      </c>
      <c r="B186" s="346" t="s">
        <v>658</v>
      </c>
      <c r="C186" s="346">
        <v>1600400</v>
      </c>
      <c r="D186" s="346" t="s">
        <v>1</v>
      </c>
      <c r="E186" s="346" t="s">
        <v>2</v>
      </c>
      <c r="F186" s="346" t="s">
        <v>156</v>
      </c>
      <c r="G186" s="346" t="s">
        <v>10</v>
      </c>
      <c r="H186" s="346"/>
      <c r="I186" s="346" t="s">
        <v>595</v>
      </c>
      <c r="J186" s="346"/>
      <c r="K186" s="346"/>
      <c r="L186" s="346"/>
      <c r="M186" s="346"/>
      <c r="N186" s="346"/>
      <c r="O186" s="346"/>
      <c r="P186" s="346"/>
      <c r="Q186" s="346"/>
      <c r="R186" s="346"/>
      <c r="S186" s="346"/>
      <c r="T186" s="346">
        <v>28960</v>
      </c>
      <c r="X186" s="115">
        <f t="shared" si="48"/>
        <v>1</v>
      </c>
      <c r="Y186" s="115">
        <f t="shared" si="49"/>
        <v>2</v>
      </c>
      <c r="Z186" s="115" t="e">
        <f t="shared" si="50"/>
        <v>#VALUE!</v>
      </c>
      <c r="AA186" s="115">
        <f t="shared" si="51"/>
        <v>28.96</v>
      </c>
      <c r="AB186" s="246">
        <f t="shared" si="58"/>
        <v>67</v>
      </c>
    </row>
    <row r="187" spans="1:51" s="115" customFormat="1">
      <c r="A187" s="346" t="s">
        <v>591</v>
      </c>
      <c r="B187" s="346" t="s">
        <v>629</v>
      </c>
      <c r="C187" s="346">
        <v>1617360</v>
      </c>
      <c r="D187" s="346" t="s">
        <v>14</v>
      </c>
      <c r="E187" s="346" t="s">
        <v>2</v>
      </c>
      <c r="F187" s="346" t="s">
        <v>7</v>
      </c>
      <c r="G187" s="346"/>
      <c r="H187" s="346"/>
      <c r="I187" s="346" t="s">
        <v>563</v>
      </c>
      <c r="J187" s="346"/>
      <c r="K187" s="346"/>
      <c r="L187" s="346" t="s">
        <v>564</v>
      </c>
      <c r="M187" s="346"/>
      <c r="N187" s="346"/>
      <c r="O187" s="346"/>
      <c r="P187" s="346"/>
      <c r="Q187" s="346"/>
      <c r="R187" s="346"/>
      <c r="S187" s="346"/>
      <c r="T187" s="346">
        <v>26640</v>
      </c>
      <c r="X187" s="115">
        <f t="shared" si="48"/>
        <v>6</v>
      </c>
      <c r="Y187" s="115">
        <f t="shared" si="49"/>
        <v>7</v>
      </c>
      <c r="Z187" s="115" t="e">
        <f t="shared" si="50"/>
        <v>#VALUE!</v>
      </c>
      <c r="AA187" s="115">
        <f t="shared" si="51"/>
        <v>26.64</v>
      </c>
      <c r="AB187" s="246">
        <f t="shared" si="58"/>
        <v>67</v>
      </c>
      <c r="AE187" s="374" t="s">
        <v>703</v>
      </c>
      <c r="AF187" s="374"/>
      <c r="AT187" s="374" t="s">
        <v>703</v>
      </c>
      <c r="AU187" s="374"/>
    </row>
    <row r="188" spans="1:51" s="115" customFormat="1">
      <c r="A188" s="346" t="s">
        <v>591</v>
      </c>
      <c r="B188" s="346" t="s">
        <v>695</v>
      </c>
      <c r="C188" s="346">
        <v>1664560</v>
      </c>
      <c r="D188" s="346" t="s">
        <v>5</v>
      </c>
      <c r="E188" s="346" t="s">
        <v>2</v>
      </c>
      <c r="F188" s="346" t="s">
        <v>310</v>
      </c>
      <c r="G188" s="346" t="s">
        <v>10</v>
      </c>
      <c r="H188" s="346"/>
      <c r="I188" s="346"/>
      <c r="J188" s="346"/>
      <c r="K188" s="346"/>
      <c r="L188" s="346"/>
      <c r="M188" s="346"/>
      <c r="N188" s="346"/>
      <c r="O188" s="346"/>
      <c r="P188" s="346"/>
      <c r="Q188" s="346"/>
      <c r="R188" s="346"/>
      <c r="S188" s="346"/>
      <c r="T188" s="346">
        <v>9800</v>
      </c>
      <c r="X188" s="115">
        <f t="shared" si="48"/>
        <v>2</v>
      </c>
      <c r="Y188" s="115">
        <f t="shared" si="49"/>
        <v>8</v>
      </c>
      <c r="Z188" s="115" t="e">
        <f t="shared" si="50"/>
        <v>#VALUE!</v>
      </c>
      <c r="AA188" s="115">
        <f t="shared" si="51"/>
        <v>9.8000000000000007</v>
      </c>
      <c r="AB188" s="246">
        <f t="shared" si="58"/>
        <v>68</v>
      </c>
      <c r="AD188" s="374" t="s">
        <v>306</v>
      </c>
      <c r="AE188" s="374"/>
      <c r="AF188" s="374"/>
      <c r="AG188" s="374"/>
      <c r="AH188" s="374"/>
      <c r="AS188" s="374" t="s">
        <v>104</v>
      </c>
      <c r="AT188" s="374"/>
      <c r="AU188" s="374"/>
      <c r="AV188" s="374"/>
    </row>
    <row r="189" spans="1:51">
      <c r="A189" s="346" t="s">
        <v>591</v>
      </c>
      <c r="B189" s="346" t="s">
        <v>663</v>
      </c>
      <c r="C189" s="346">
        <v>1677120</v>
      </c>
      <c r="D189" s="346" t="s">
        <v>1</v>
      </c>
      <c r="E189" s="346" t="s">
        <v>2</v>
      </c>
      <c r="F189" s="346" t="s">
        <v>156</v>
      </c>
      <c r="G189" s="346" t="s">
        <v>27</v>
      </c>
      <c r="H189" s="346"/>
      <c r="I189" s="346"/>
      <c r="J189" s="346"/>
      <c r="K189" s="346"/>
      <c r="L189" s="346"/>
      <c r="M189" s="346"/>
      <c r="N189" s="346"/>
      <c r="O189" s="346"/>
      <c r="P189" s="346"/>
      <c r="Q189" s="346"/>
      <c r="R189" s="346"/>
      <c r="S189" s="346"/>
      <c r="T189" s="346">
        <v>9120</v>
      </c>
      <c r="X189" s="115">
        <f t="shared" si="48"/>
        <v>1</v>
      </c>
      <c r="Y189" s="115">
        <f t="shared" si="49"/>
        <v>3</v>
      </c>
      <c r="Z189" s="115" t="e">
        <f t="shared" si="50"/>
        <v>#VALUE!</v>
      </c>
      <c r="AA189" s="115">
        <f t="shared" si="51"/>
        <v>9.1199999999999992</v>
      </c>
      <c r="AB189" s="246">
        <f t="shared" si="58"/>
        <v>68</v>
      </c>
      <c r="AD189" s="115"/>
      <c r="AE189" s="115" t="s">
        <v>10</v>
      </c>
      <c r="AF189" s="115" t="s">
        <v>29</v>
      </c>
      <c r="AG189" s="115" t="s">
        <v>25</v>
      </c>
      <c r="AH189" s="115" t="s">
        <v>27</v>
      </c>
      <c r="AI189" s="115"/>
      <c r="AS189" s="115"/>
      <c r="AT189" s="115" t="s">
        <v>10</v>
      </c>
      <c r="AU189" s="115" t="s">
        <v>29</v>
      </c>
      <c r="AV189" s="115" t="s">
        <v>25</v>
      </c>
      <c r="AW189" s="115" t="s">
        <v>27</v>
      </c>
      <c r="AX189" s="115"/>
    </row>
    <row r="190" spans="1:51" s="115" customFormat="1">
      <c r="A190" s="346" t="s">
        <v>591</v>
      </c>
      <c r="B190" s="346" t="s">
        <v>632</v>
      </c>
      <c r="C190" s="346">
        <v>1678240</v>
      </c>
      <c r="D190" s="346" t="s">
        <v>14</v>
      </c>
      <c r="E190" s="346" t="s">
        <v>2</v>
      </c>
      <c r="F190" s="346" t="s">
        <v>310</v>
      </c>
      <c r="G190" s="346"/>
      <c r="H190" s="346"/>
      <c r="I190" s="346" t="s">
        <v>561</v>
      </c>
      <c r="J190" s="346"/>
      <c r="K190" s="346"/>
      <c r="L190" s="346" t="s">
        <v>567</v>
      </c>
      <c r="M190" s="346"/>
      <c r="N190" s="346"/>
      <c r="O190" s="346"/>
      <c r="P190" s="346"/>
      <c r="Q190" s="346"/>
      <c r="R190" s="346"/>
      <c r="S190" s="346"/>
      <c r="T190" s="346">
        <v>26000</v>
      </c>
      <c r="X190" s="115">
        <f t="shared" si="48"/>
        <v>2</v>
      </c>
      <c r="Y190" s="115">
        <f t="shared" si="49"/>
        <v>3</v>
      </c>
      <c r="Z190" s="115" t="e">
        <f t="shared" si="50"/>
        <v>#VALUE!</v>
      </c>
      <c r="AA190" s="115">
        <f t="shared" si="51"/>
        <v>26</v>
      </c>
      <c r="AB190" s="246">
        <f t="shared" si="58"/>
        <v>68</v>
      </c>
      <c r="AD190" s="115" t="s">
        <v>5</v>
      </c>
      <c r="AE190" s="178">
        <f>COUNTIFS(D:D,"AA",E:E,"POS",G:G,"STANFK",F:F,"ATONGOAL")</f>
        <v>0</v>
      </c>
      <c r="AF190" s="178">
        <f>COUNTIFS(D:D,"AA",E:E,"POS",G:G,"STANTI",F:F,"ATONGOAL")</f>
        <v>0</v>
      </c>
      <c r="AG190" s="178">
        <f>COUNTIFS(D:D,"AA",E:E,"POS",G:G,"STANGK",F:F,"ATONGOAL")</f>
        <v>0</v>
      </c>
      <c r="AH190" s="178">
        <f>COUNTIFS(D:D,"AA",E:E,"POS",G:G,"STANGS",F:F,"ATONGOAL")</f>
        <v>0</v>
      </c>
      <c r="AI190" s="178">
        <f>SUM(AE190:AH190)</f>
        <v>0</v>
      </c>
      <c r="AS190" s="115" t="s">
        <v>1</v>
      </c>
      <c r="AT190" s="115">
        <f>COUNTIFS(D:D,"DD",E:E,"NEG",G:G,"STANFK",F:F,"ATONGOAL")</f>
        <v>0</v>
      </c>
      <c r="AU190" s="115">
        <f>COUNTIFS(D:D,"DD",E:E,"NEG",G:G,"STANTI",F:F,"ATONGOAL")</f>
        <v>0</v>
      </c>
      <c r="AV190" s="115">
        <f>COUNTIFS(D:D,"DD",E:E,"NEG",G:G,"STANGK",F:F,"ATONGOAL")</f>
        <v>0</v>
      </c>
      <c r="AW190" s="115">
        <f>COUNTIFS(D:D,"DD",E:E,"NEG",G:G,"STANGS",F:F,"ATONGOAL")</f>
        <v>0</v>
      </c>
      <c r="AX190" s="115">
        <f>SUM(AT190:AW190)</f>
        <v>0</v>
      </c>
    </row>
    <row r="191" spans="1:51">
      <c r="A191" s="346" t="s">
        <v>591</v>
      </c>
      <c r="B191" s="346" t="s">
        <v>678</v>
      </c>
      <c r="C191" s="346">
        <v>1694920</v>
      </c>
      <c r="D191" s="346" t="s">
        <v>17</v>
      </c>
      <c r="E191" s="346" t="s">
        <v>6</v>
      </c>
      <c r="F191" s="346" t="s">
        <v>310</v>
      </c>
      <c r="G191" s="346"/>
      <c r="H191" s="346"/>
      <c r="I191" s="346" t="s">
        <v>561</v>
      </c>
      <c r="J191" s="346"/>
      <c r="K191" s="346"/>
      <c r="L191" s="346" t="s">
        <v>567</v>
      </c>
      <c r="M191" s="346"/>
      <c r="N191" s="346"/>
      <c r="O191" s="346"/>
      <c r="P191" s="346"/>
      <c r="Q191" s="346"/>
      <c r="R191" s="346"/>
      <c r="S191" s="346"/>
      <c r="T191" s="346">
        <v>38680</v>
      </c>
      <c r="X191" s="115">
        <f t="shared" si="48"/>
        <v>-2</v>
      </c>
      <c r="Y191" s="115">
        <f t="shared" si="49"/>
        <v>0</v>
      </c>
      <c r="Z191" s="115" t="e">
        <f t="shared" si="50"/>
        <v>#VALUE!</v>
      </c>
      <c r="AA191" s="115">
        <f t="shared" si="51"/>
        <v>38.68</v>
      </c>
      <c r="AB191" s="246">
        <f t="shared" si="58"/>
        <v>68</v>
      </c>
      <c r="AD191" s="115" t="s">
        <v>45</v>
      </c>
      <c r="AE191" s="178">
        <f>COUNTIFS(D:D,"AA",G:G,"STANFK")</f>
        <v>10</v>
      </c>
      <c r="AF191" s="178">
        <f>COUNTIFS(D:D,"AA",G:G,"STANTI")</f>
        <v>17</v>
      </c>
      <c r="AG191" s="178">
        <f>COUNTIFS(D:D,"AA",G:G,"STANGK")</f>
        <v>6</v>
      </c>
      <c r="AH191" s="178">
        <f>COUNTIFS(D:D,"AA",G:G,"STANGS")</f>
        <v>9</v>
      </c>
      <c r="AS191" s="115" t="s">
        <v>45</v>
      </c>
      <c r="AT191" s="115">
        <f>COUNTIFS(D:D,"DD",G:G,"STANFK")</f>
        <v>4</v>
      </c>
      <c r="AU191" s="115">
        <f>COUNTIFS(D:D,"DD",G:G,"STANTI")</f>
        <v>19</v>
      </c>
      <c r="AV191" s="115">
        <f>COUNTIFS(D:D,"DD",G:G,"STANGK")</f>
        <v>5</v>
      </c>
      <c r="AW191" s="115">
        <f>COUNTIFS(D:D,"DD",G:G,"STANGS")</f>
        <v>4</v>
      </c>
    </row>
    <row r="192" spans="1:51">
      <c r="A192" s="346" t="s">
        <v>591</v>
      </c>
      <c r="B192" s="346" t="s">
        <v>639</v>
      </c>
      <c r="C192" s="346">
        <v>1718200</v>
      </c>
      <c r="D192" s="346" t="s">
        <v>14</v>
      </c>
      <c r="E192" s="346" t="s">
        <v>6</v>
      </c>
      <c r="F192" s="346" t="s">
        <v>3</v>
      </c>
      <c r="G192" s="346"/>
      <c r="H192" s="346"/>
      <c r="I192" s="346" t="s">
        <v>563</v>
      </c>
      <c r="J192" s="346"/>
      <c r="K192" s="346"/>
      <c r="L192" s="346" t="s">
        <v>569</v>
      </c>
      <c r="M192" s="346"/>
      <c r="N192" s="346"/>
      <c r="O192" s="346"/>
      <c r="P192" s="346"/>
      <c r="Q192" s="346"/>
      <c r="R192" s="346"/>
      <c r="S192" s="346"/>
      <c r="T192" s="346">
        <v>34640</v>
      </c>
      <c r="X192" s="115">
        <f t="shared" si="48"/>
        <v>1</v>
      </c>
      <c r="Y192" s="115">
        <f t="shared" si="49"/>
        <v>-1</v>
      </c>
      <c r="Z192" s="115" t="e">
        <f t="shared" si="50"/>
        <v>#VALUE!</v>
      </c>
      <c r="AA192" s="115">
        <f t="shared" si="51"/>
        <v>34.64</v>
      </c>
      <c r="AB192" s="246">
        <f t="shared" si="58"/>
        <v>69</v>
      </c>
      <c r="AD192" s="115" t="s">
        <v>265</v>
      </c>
      <c r="AE192" s="216">
        <f>AE190/AE191</f>
        <v>0</v>
      </c>
      <c r="AF192" s="216">
        <f>AF190/AF191</f>
        <v>0</v>
      </c>
      <c r="AG192" s="216">
        <f t="shared" ref="AG192:AH192" si="63">AG190/AG191</f>
        <v>0</v>
      </c>
      <c r="AH192" s="216">
        <f t="shared" si="63"/>
        <v>0</v>
      </c>
      <c r="AS192" s="115" t="s">
        <v>265</v>
      </c>
      <c r="AT192" s="216">
        <f>AT190/AT191</f>
        <v>0</v>
      </c>
      <c r="AU192" s="216">
        <f>AU190/AU191</f>
        <v>0</v>
      </c>
      <c r="AV192" s="216">
        <f t="shared" ref="AV192:AW192" si="64">AV190/AV191</f>
        <v>0</v>
      </c>
      <c r="AW192" s="216">
        <f t="shared" si="64"/>
        <v>0</v>
      </c>
    </row>
    <row r="193" spans="1:52">
      <c r="A193" s="346" t="s">
        <v>591</v>
      </c>
      <c r="B193" s="346" t="s">
        <v>688</v>
      </c>
      <c r="C193" s="346">
        <v>1740840</v>
      </c>
      <c r="D193" s="346" t="s">
        <v>17</v>
      </c>
      <c r="E193" s="346" t="s">
        <v>6</v>
      </c>
      <c r="F193" s="346" t="s">
        <v>7</v>
      </c>
      <c r="G193" s="346"/>
      <c r="H193" s="346"/>
      <c r="I193" s="346" t="s">
        <v>565</v>
      </c>
      <c r="J193" s="346"/>
      <c r="K193" s="346"/>
      <c r="L193" s="346" t="s">
        <v>559</v>
      </c>
      <c r="M193" s="346"/>
      <c r="N193" s="346"/>
      <c r="O193" s="346"/>
      <c r="P193" s="346"/>
      <c r="Q193" s="346"/>
      <c r="R193" s="346"/>
      <c r="S193" s="346"/>
      <c r="T193" s="346">
        <v>32560</v>
      </c>
      <c r="X193" s="115">
        <f t="shared" si="48"/>
        <v>-6</v>
      </c>
      <c r="Y193" s="115">
        <f t="shared" si="49"/>
        <v>-5</v>
      </c>
      <c r="Z193" s="115" t="e">
        <f t="shared" si="50"/>
        <v>#VALUE!</v>
      </c>
      <c r="AA193" s="115">
        <f t="shared" si="51"/>
        <v>32.56</v>
      </c>
      <c r="AB193" s="246">
        <f t="shared" si="58"/>
        <v>69</v>
      </c>
      <c r="AD193" s="115" t="s">
        <v>331</v>
      </c>
      <c r="AE193" s="151" t="e">
        <f>AE190/$AI190</f>
        <v>#DIV/0!</v>
      </c>
      <c r="AF193" s="151" t="e">
        <f>AF190/$AI190</f>
        <v>#DIV/0!</v>
      </c>
      <c r="AG193" s="151" t="e">
        <f t="shared" ref="AG193:AH193" si="65">AG190/$AI190</f>
        <v>#DIV/0!</v>
      </c>
      <c r="AH193" s="151" t="e">
        <f t="shared" si="65"/>
        <v>#DIV/0!</v>
      </c>
      <c r="AS193" s="115" t="s">
        <v>331</v>
      </c>
      <c r="AT193" s="151" t="e">
        <f>AT190/$AX190</f>
        <v>#DIV/0!</v>
      </c>
      <c r="AU193" s="151" t="e">
        <f>AU190/$AX190</f>
        <v>#DIV/0!</v>
      </c>
      <c r="AV193" s="151" t="e">
        <f t="shared" ref="AV193:AW193" si="66">AV190/$AX190</f>
        <v>#DIV/0!</v>
      </c>
      <c r="AW193" s="151" t="e">
        <f t="shared" si="66"/>
        <v>#DIV/0!</v>
      </c>
      <c r="AX193" s="151"/>
      <c r="AZ193" s="115"/>
    </row>
    <row r="194" spans="1:52">
      <c r="A194" s="346" t="s">
        <v>591</v>
      </c>
      <c r="B194" s="346" t="s">
        <v>665</v>
      </c>
      <c r="C194" s="346">
        <v>1797440</v>
      </c>
      <c r="D194" s="346" t="s">
        <v>1</v>
      </c>
      <c r="E194" s="346" t="s">
        <v>6</v>
      </c>
      <c r="F194" s="346" t="s">
        <v>703</v>
      </c>
      <c r="G194" s="346"/>
      <c r="H194" s="346"/>
      <c r="I194" s="346"/>
      <c r="J194" s="346"/>
      <c r="K194" s="346"/>
      <c r="L194" s="346"/>
      <c r="M194" s="346" t="s">
        <v>4</v>
      </c>
      <c r="N194" s="346"/>
      <c r="O194" s="346"/>
      <c r="P194" s="346"/>
      <c r="Q194" s="346"/>
      <c r="R194" s="346"/>
      <c r="S194" s="346"/>
      <c r="T194" s="346">
        <v>44760</v>
      </c>
      <c r="X194" s="115">
        <f t="shared" si="48"/>
        <v>-20</v>
      </c>
      <c r="Y194" s="115">
        <f t="shared" si="49"/>
        <v>-26</v>
      </c>
      <c r="Z194" s="115" t="e">
        <f t="shared" si="50"/>
        <v>#VALUE!</v>
      </c>
      <c r="AA194" s="115">
        <f t="shared" si="51"/>
        <v>44.76</v>
      </c>
      <c r="AB194" s="246">
        <f t="shared" si="58"/>
        <v>70</v>
      </c>
      <c r="AD194" s="51"/>
      <c r="AE194" s="51"/>
      <c r="AF194" s="51"/>
      <c r="AG194" s="51"/>
      <c r="AH194" s="100"/>
      <c r="AI194" s="100"/>
      <c r="AJ194" s="100"/>
      <c r="AK194" s="115"/>
      <c r="AS194" s="51"/>
      <c r="AT194" s="51"/>
      <c r="AU194" s="51"/>
      <c r="AV194" s="51"/>
      <c r="AW194" s="100"/>
      <c r="AX194" s="100"/>
      <c r="AY194" s="100"/>
      <c r="AZ194" s="115"/>
    </row>
    <row r="195" spans="1:52">
      <c r="A195" s="346" t="s">
        <v>591</v>
      </c>
      <c r="B195" s="346" t="s">
        <v>698</v>
      </c>
      <c r="C195" s="346">
        <v>1846920</v>
      </c>
      <c r="D195" s="346" t="s">
        <v>5</v>
      </c>
      <c r="E195" s="346" t="s">
        <v>6</v>
      </c>
      <c r="F195" s="346" t="s">
        <v>3</v>
      </c>
      <c r="G195" s="346"/>
      <c r="H195" s="346"/>
      <c r="I195" s="346" t="s">
        <v>595</v>
      </c>
      <c r="J195" s="346"/>
      <c r="K195" s="346"/>
      <c r="L195" s="346"/>
      <c r="M195" s="346"/>
      <c r="N195" s="346"/>
      <c r="O195" s="346"/>
      <c r="P195" s="346"/>
      <c r="Q195" s="346"/>
      <c r="R195" s="346"/>
      <c r="S195" s="346"/>
      <c r="T195" s="346">
        <v>33360</v>
      </c>
      <c r="X195" s="115">
        <f t="shared" ref="X195:X258" si="67">mapValues(E195,F195,"P265")</f>
        <v>1</v>
      </c>
      <c r="Y195" s="115">
        <f t="shared" ref="Y195:Y258" si="68">X194+X195</f>
        <v>-19</v>
      </c>
      <c r="Z195" s="115" t="e">
        <f t="shared" ref="Z195:Z258" si="69">VALUE(MID(B195,FIND(" ",B195)+1,FIND(" ",B195,FIND(" ",B195)+1)-FIND(" ",B195)))</f>
        <v>#VALUE!</v>
      </c>
      <c r="AA195" s="115">
        <f t="shared" ref="AA195:AA258" si="70">T195/1000</f>
        <v>33.36</v>
      </c>
      <c r="AB195" s="246">
        <f t="shared" si="58"/>
        <v>71</v>
      </c>
    </row>
    <row r="196" spans="1:52">
      <c r="A196" s="346" t="s">
        <v>591</v>
      </c>
      <c r="B196" s="346" t="s">
        <v>692</v>
      </c>
      <c r="C196" s="346">
        <v>1864880</v>
      </c>
      <c r="D196" s="346" t="s">
        <v>17</v>
      </c>
      <c r="E196" s="346" t="s">
        <v>6</v>
      </c>
      <c r="F196" s="346" t="s">
        <v>7</v>
      </c>
      <c r="G196" s="346"/>
      <c r="H196" s="346"/>
      <c r="I196" s="346" t="s">
        <v>565</v>
      </c>
      <c r="J196" s="346"/>
      <c r="K196" s="346"/>
      <c r="L196" s="346" t="s">
        <v>559</v>
      </c>
      <c r="M196" s="346"/>
      <c r="N196" s="346"/>
      <c r="O196" s="346" t="s">
        <v>712</v>
      </c>
      <c r="P196" s="346"/>
      <c r="Q196" s="346"/>
      <c r="R196" s="346"/>
      <c r="S196" s="346"/>
      <c r="T196" s="346">
        <v>30080</v>
      </c>
      <c r="X196" s="115">
        <f t="shared" si="67"/>
        <v>-6</v>
      </c>
      <c r="Y196" s="115">
        <f t="shared" si="68"/>
        <v>-5</v>
      </c>
      <c r="Z196" s="115" t="e">
        <f t="shared" si="69"/>
        <v>#VALUE!</v>
      </c>
      <c r="AA196" s="115">
        <f t="shared" si="70"/>
        <v>30.08</v>
      </c>
      <c r="AB196" s="246">
        <f t="shared" si="58"/>
        <v>71</v>
      </c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7"/>
      <c r="AT196" s="57"/>
      <c r="AU196" s="57"/>
      <c r="AV196" s="57"/>
      <c r="AW196" s="57"/>
    </row>
    <row r="197" spans="1:52">
      <c r="A197" s="346" t="s">
        <v>591</v>
      </c>
      <c r="B197" s="346" t="s">
        <v>669</v>
      </c>
      <c r="C197" s="346">
        <v>1959120</v>
      </c>
      <c r="D197" s="346" t="s">
        <v>1</v>
      </c>
      <c r="E197" s="346" t="s">
        <v>6</v>
      </c>
      <c r="F197" s="346" t="s">
        <v>8</v>
      </c>
      <c r="G197" s="346"/>
      <c r="H197" s="346"/>
      <c r="I197" s="346"/>
      <c r="J197" s="346"/>
      <c r="K197" s="346"/>
      <c r="L197" s="346"/>
      <c r="M197" s="346" t="s">
        <v>10</v>
      </c>
      <c r="N197" s="346"/>
      <c r="O197" s="346"/>
      <c r="P197" s="346"/>
      <c r="Q197" s="346"/>
      <c r="R197" s="346"/>
      <c r="S197" s="346"/>
      <c r="T197" s="346">
        <v>21800</v>
      </c>
      <c r="X197" s="115">
        <f t="shared" si="67"/>
        <v>-10</v>
      </c>
      <c r="Y197" s="115">
        <f t="shared" si="68"/>
        <v>-16</v>
      </c>
      <c r="Z197" s="115" t="e">
        <f t="shared" si="69"/>
        <v>#VALUE!</v>
      </c>
      <c r="AA197" s="115">
        <f t="shared" si="70"/>
        <v>21.8</v>
      </c>
      <c r="AB197" s="246">
        <f t="shared" si="58"/>
        <v>73</v>
      </c>
    </row>
    <row r="198" spans="1:52">
      <c r="A198" s="346" t="s">
        <v>591</v>
      </c>
      <c r="B198" s="346" t="s">
        <v>704</v>
      </c>
      <c r="C198" s="346">
        <v>1982040</v>
      </c>
      <c r="D198" s="346" t="s">
        <v>5</v>
      </c>
      <c r="E198" s="346" t="s">
        <v>6</v>
      </c>
      <c r="F198" s="346" t="s">
        <v>3</v>
      </c>
      <c r="G198" s="346" t="s">
        <v>25</v>
      </c>
      <c r="H198" s="346"/>
      <c r="I198" s="346"/>
      <c r="J198" s="346"/>
      <c r="K198" s="346"/>
      <c r="L198" s="346"/>
      <c r="M198" s="346"/>
      <c r="N198" s="346"/>
      <c r="O198" s="346"/>
      <c r="P198" s="346"/>
      <c r="Q198" s="346"/>
      <c r="R198" s="346"/>
      <c r="S198" s="346"/>
      <c r="T198" s="346">
        <v>14880</v>
      </c>
      <c r="X198" s="115">
        <f t="shared" si="67"/>
        <v>1</v>
      </c>
      <c r="Y198" s="115">
        <f t="shared" si="68"/>
        <v>-9</v>
      </c>
      <c r="Z198" s="115" t="e">
        <f t="shared" si="69"/>
        <v>#VALUE!</v>
      </c>
      <c r="AA198" s="115">
        <f t="shared" si="70"/>
        <v>14.88</v>
      </c>
      <c r="AB198" s="246">
        <f t="shared" si="58"/>
        <v>73</v>
      </c>
      <c r="AD198" s="51"/>
      <c r="AE198" s="374" t="s">
        <v>102</v>
      </c>
      <c r="AF198" s="374"/>
      <c r="AG198" s="51"/>
      <c r="AH198" s="51"/>
      <c r="AS198" s="51"/>
      <c r="AT198" s="374" t="s">
        <v>102</v>
      </c>
      <c r="AU198" s="374"/>
      <c r="AV198" s="51"/>
      <c r="AW198" s="51"/>
    </row>
    <row r="199" spans="1:52">
      <c r="A199" s="346" t="s">
        <v>591</v>
      </c>
      <c r="B199" s="346" t="s">
        <v>699</v>
      </c>
      <c r="C199" s="346">
        <v>1984920</v>
      </c>
      <c r="D199" s="346" t="s">
        <v>17</v>
      </c>
      <c r="E199" s="346" t="s">
        <v>2</v>
      </c>
      <c r="F199" s="346" t="s">
        <v>156</v>
      </c>
      <c r="G199" s="346"/>
      <c r="H199" s="346"/>
      <c r="I199" s="346" t="s">
        <v>563</v>
      </c>
      <c r="J199" s="346"/>
      <c r="K199" s="346"/>
      <c r="L199" s="346" t="s">
        <v>564</v>
      </c>
      <c r="M199" s="346"/>
      <c r="N199" s="346"/>
      <c r="O199" s="346" t="s">
        <v>712</v>
      </c>
      <c r="P199" s="346"/>
      <c r="Q199" s="346"/>
      <c r="R199" s="346"/>
      <c r="S199" s="346"/>
      <c r="T199" s="346">
        <v>35400</v>
      </c>
      <c r="X199" s="115">
        <f t="shared" si="67"/>
        <v>1</v>
      </c>
      <c r="Y199" s="115">
        <f t="shared" si="68"/>
        <v>2</v>
      </c>
      <c r="Z199" s="115" t="e">
        <f t="shared" si="69"/>
        <v>#VALUE!</v>
      </c>
      <c r="AA199" s="115">
        <f t="shared" si="70"/>
        <v>35.4</v>
      </c>
      <c r="AB199" s="246">
        <f t="shared" si="58"/>
        <v>73</v>
      </c>
      <c r="AD199" s="51"/>
      <c r="AE199" s="51" t="s">
        <v>98</v>
      </c>
      <c r="AF199" s="51" t="s">
        <v>99</v>
      </c>
      <c r="AG199" s="51"/>
      <c r="AH199" s="51"/>
      <c r="AS199" s="51"/>
      <c r="AT199" s="51" t="s">
        <v>98</v>
      </c>
      <c r="AU199" s="51" t="s">
        <v>99</v>
      </c>
      <c r="AV199" s="51"/>
      <c r="AW199" s="51"/>
    </row>
    <row r="200" spans="1:52">
      <c r="A200" s="346" t="s">
        <v>591</v>
      </c>
      <c r="B200" s="346" t="s">
        <v>641</v>
      </c>
      <c r="C200" s="346">
        <v>2008320</v>
      </c>
      <c r="D200" s="346" t="s">
        <v>14</v>
      </c>
      <c r="E200" s="346" t="s">
        <v>6</v>
      </c>
      <c r="F200" s="346" t="s">
        <v>3</v>
      </c>
      <c r="G200" s="346"/>
      <c r="H200" s="346"/>
      <c r="I200" s="346" t="s">
        <v>563</v>
      </c>
      <c r="J200" s="346"/>
      <c r="K200" s="346"/>
      <c r="L200" s="346" t="s">
        <v>564</v>
      </c>
      <c r="M200" s="346"/>
      <c r="N200" s="346"/>
      <c r="O200" s="346"/>
      <c r="P200" s="346"/>
      <c r="Q200" s="346"/>
      <c r="R200" s="346"/>
      <c r="S200" s="346"/>
      <c r="T200" s="346">
        <v>20640</v>
      </c>
      <c r="X200" s="115">
        <f t="shared" si="67"/>
        <v>1</v>
      </c>
      <c r="Y200" s="115">
        <f t="shared" si="68"/>
        <v>2</v>
      </c>
      <c r="Z200" s="115" t="e">
        <f t="shared" si="69"/>
        <v>#VALUE!</v>
      </c>
      <c r="AA200" s="115">
        <f t="shared" si="70"/>
        <v>20.64</v>
      </c>
      <c r="AB200" s="246">
        <f t="shared" si="58"/>
        <v>73</v>
      </c>
      <c r="AD200" s="51" t="s">
        <v>97</v>
      </c>
      <c r="AE200" s="115">
        <f>COUNTIFS(D:D,"AA",F:F,"ATONGOAL",M:M,"STANCO")+COUNTIFS(D:D,"AA",F:F,"ATONGOAL",M:M,"STANTI")+COUNTIFS(D:D,"AA",F:F,"ATONGOAL",M:M,"STANFK")+COUNTIFS(D:D,"AA",F:F,"ATONGOAL",M:M,"STANFK DIRECT")+COUNTIFS(D:D,"AA",F:F,"ATONGOAL",M:M,"STANPEN")+COUNTIFS(D:D,"AA",F:F,"ATONGOAL",G:G,"STANGK")+COUNTIFS(D:D,"AA",F:F,"ATONGOAL",G:G,"STANGS")+COUNTIFS(D:D,"AA",F:F,"ATONGOAL",G:G,"STANTI")+COUNTIFS(D:D,"AA",F:F,"ATONGOAL",G:G,"STANFK")+COUNTIFS(D:D,"AA",F:F,"ATON",M:M,"STANCO")+COUNTIFS(D:D,"AA",F:F,"ATON",M:M,"STANTI")+COUNTIFS(D:D,"AA",F:F,"ATON",M:M,"STANFK")+COUNTIFS(D:D,"AA",F:F,"ATON",M:M,"STANFK DIRECT")+COUNTIFS(D:D,"AA",F:F,"ATON",M:M,"STANPEN")+COUNTIFS(D:D,"AA",F:F,"ATON",G:G,"STANGK")+COUNTIFS(D:D,"AA",F:F,"ATON",G:G,"STANGS")+COUNTIFS(D:D,"AA",F:F,"ATON",G:G,"STANTI")+COUNTIFS(D:D,"AA",F:F,"ATON",G:G,"STANFK")+COUNTIFS(D:D,"AA",F:F,"ATOF",M:M,"STANCO")+COUNTIFS(D:D,"AA",F:F,"ATOF",M:M,"STANTI")+COUNTIFS(D:D,"AA",F:F,"ATOF",M:M,"STANFK")+COUNTIFS(D:D,"AA",F:F,"ATOF",M:M,"STANFK DIRECT")+COUNTIFS(D:D,"AA",F:F,"ATOF",M:M,"STANPEN")+COUNTIFS(D:D,"AA",F:F,"ATOF",G:G,"STANGK")+COUNTIFS(D:D,"AA",F:F,"ATOF",G:G,"STANGS")+COUNTIFS(D:D,"AA",F:F,"ATOF",G:G,"STANTI")+COUNTIFS(D:D,"AA",F:F,"ATOF",G:G,"STANFK")+COUNTIFS(D:D,"AA",F:F,"ATBK",M:M,"STANCO")+COUNTIFS(D:D,"AA",F:F,"ATBK",M:M,"STANTI")+COUNTIFS(D:D,"AA",F:F,"ATBK",M:M,"STANFK")+COUNTIFS(D:D,"AA",F:F,"ATBK",M:M,"STANFK DIRECT")+COUNTIFS(D:D,"AA",F:F,"ATBK",M:M,"STANPEN")+COUNTIFS(D:D,"AA",F:F,"ATBK",G:G,"STANGK")+COUNTIFS(D:D,"AA",F:F,"ATBK",G:G,"STANGS")+COUNTIFS(D:D,"AA",F:F,"ATBK",G:G,"STANTI")+COUNTIFS(D:D,"AA",F:F,"ATBK",G:G,"STANFK")</f>
        <v>5</v>
      </c>
      <c r="AF200" s="51">
        <f>COUNTIFS(D:D,"AA",F:F,"ATONGOAL",G:G,"",M:M,"")+COUNTIFS(D:D,"DA",F:F,"ATONGOAL",G:G,"",M:M,"")+COUNTIFS(D:D,"AA",F:F,"ATON",G:G,"",M:M,"")+COUNTIFS(D:D,"DA",F:F,"ATON",G:G,"",M:M,"")+COUNTIFS(D:D,"AA",F:F,"ATOF",G:G,"",M:M,"")+COUNTIFS(D:D,"DA",F:F,"ATOF",G:G,"",M:M,"")+COUNTIFS(D:D,"AA",F:F,"ATBK",G:G,"",M:M,"")+COUNTIFS(D:D,"DA",F:F,"ATBK",G:G,"",M:M,"")</f>
        <v>0</v>
      </c>
      <c r="AG200" s="51"/>
      <c r="AH200" s="51"/>
      <c r="AS200" s="51" t="s">
        <v>39</v>
      </c>
      <c r="AT200" s="115">
        <f>COUNTIFS(D:D,"DD",F:F,"ATONGOAL",M:M,"STANCO")+COUNTIFS(D:D,"DD",F:F,"ATONGOAL",M:M,"STANTI")+COUNTIFS(D:D,"DD",F:F,"ATONGOAL",M:M,"STANFK")+COUNTIFS(D:D,"DD",F:F,"ATONGOAL",M:M,"STANFK DIRECT")+COUNTIFS(D:D,"DD",F:F,"ATONGOAL",M:M,"STANPEN")+COUNTIFS(D:D,"DD",F:F,"ATONGOAL",G:G,"STANGK")+COUNTIFS(D:D,"DD",F:F,"ATONGOAL",G:G,"STANGS")+COUNTIFS(D:D,"DD",F:F,"ATONGOAL",G:G,"STANTI")+COUNTIFS(D:D,"DD",F:F,"ATONGOAL",G:G,"STANFK")+COUNTIFS(D:D,"DD",F:F,"ATON",M:M,"STANCO")+COUNTIFS(D:D,"DD",F:F,"ATON",M:M,"STANTI")+COUNTIFS(D:D,"DD",F:F,"ATON",M:M,"STANFK")+COUNTIFS(D:D,"DD",F:F,"ATON",M:M,"STANFK DIRECT")+COUNTIFS(D:D,"DD",F:F,"ATON",M:M,"STANPEN")+COUNTIFS(D:D,"DD",F:F,"ATON",G:G,"STANGK")+COUNTIFS(D:D,"DD",F:F,"ATON",G:G,"STANGS")+COUNTIFS(D:D,"DD",F:F,"ATON",G:G,"STANTI")+COUNTIFS(D:D,"DD",F:F,"ATON",G:G,"STANFK")+COUNTIFS(D:D,"DD",F:F,"ATOF",M:M,"STANCO")+COUNTIFS(D:D,"DD",F:F,"ATOF",M:M,"STANTI")+COUNTIFS(D:D,"DD",F:F,"ATOF",M:M,"STANFK")+COUNTIFS(D:D,"DD",F:F,"ATOF",M:M,"STANFK DIRECT")+COUNTIFS(D:D,"DD",F:F,"ATOF",M:M,"STANPEN")+COUNTIFS(D:D,"DD",F:F,"ATOF",G:G,"STANGK")+COUNTIFS(D:D,"DD",F:F,"ATOF",G:G,"STANGS")+COUNTIFS(D:D,"DD",F:F,"ATOF",G:G,"STANTI")+COUNTIFS(D:D,"DD",F:F,"ATOF",G:G,"STANFK")+COUNTIFS(D:D,"DD",F:F,"ATBK",M:M,"STANCO")+COUNTIFS(D:D,"DD",F:F,"ATBK",M:M,"STANTI")+COUNTIFS(D:D,"DD",F:F,"ATBK",M:M,"STANFK")+COUNTIFS(D:D,"DD",F:F,"ATBK",M:M,"STANFK DIRECT")+COUNTIFS(D:D,"DD",F:F,"ATBK",M:M,"STANPEN")+COUNTIFS(D:D,"DD",F:F,"ATBK",G:G,"STANGK")+COUNTIFS(D:D,"DD",F:F,"ATBK",G:G,"STANGS")+COUNTIFS(D:D,"DD",F:F,"ATBK",G:G,"STANTI")+COUNTIFS(D:D,"DD",F:F,"ATBK",G:G,"STANFK")</f>
        <v>8</v>
      </c>
      <c r="AU200" s="51">
        <f>COUNTIFS(D:D,"DD",F:F,"ATONGOAL",G:G,"",M:M,"")+COUNTIFS(D:D,"AD",F:F,"ATONGOAL",G:G,"",M:M,"")+COUNTIFS(D:D,"DD",F:F,"ATON",G:G,"",M:M,"")+COUNTIFS(D:D,"AD",F:F,"ATON",G:G,"",M:M,"")+COUNTIFS(D:D,"DD",F:F,"ATOF",G:G,"",M:M,"")+COUNTIFS(D:D,"AD",F:F,"ATOF",G:G,"",M:M,"")+COUNTIFS(D:D,"DD",F:F,"ATBK",G:G,"",M:M,"")+COUNTIFS(D:D,"AD",F:F,"ATBK",G:G,"",M:M,"")</f>
        <v>7</v>
      </c>
      <c r="AV200" s="51"/>
      <c r="AW200" s="51"/>
    </row>
    <row r="201" spans="1:52">
      <c r="A201" s="346" t="s">
        <v>591</v>
      </c>
      <c r="B201" s="346" t="s">
        <v>705</v>
      </c>
      <c r="C201" s="346">
        <v>2014520</v>
      </c>
      <c r="D201" s="346" t="s">
        <v>17</v>
      </c>
      <c r="E201" s="346" t="s">
        <v>6</v>
      </c>
      <c r="F201" s="346" t="s">
        <v>8</v>
      </c>
      <c r="G201" s="346"/>
      <c r="H201" s="346"/>
      <c r="I201" s="346" t="s">
        <v>565</v>
      </c>
      <c r="J201" s="346"/>
      <c r="K201" s="346"/>
      <c r="L201" s="346" t="s">
        <v>559</v>
      </c>
      <c r="M201" s="346"/>
      <c r="N201" s="346"/>
      <c r="O201" s="346" t="s">
        <v>712</v>
      </c>
      <c r="P201" s="346"/>
      <c r="Q201" s="346"/>
      <c r="R201" s="346"/>
      <c r="S201" s="346"/>
      <c r="T201" s="346">
        <v>46680</v>
      </c>
      <c r="X201" s="115">
        <f t="shared" si="67"/>
        <v>-10</v>
      </c>
      <c r="Y201" s="115">
        <f t="shared" si="68"/>
        <v>-9</v>
      </c>
      <c r="Z201" s="115" t="e">
        <f t="shared" si="69"/>
        <v>#VALUE!</v>
      </c>
      <c r="AA201" s="115">
        <f t="shared" si="70"/>
        <v>46.68</v>
      </c>
      <c r="AB201" s="246">
        <f t="shared" si="58"/>
        <v>74</v>
      </c>
      <c r="AD201" s="51"/>
      <c r="AE201" s="51"/>
      <c r="AF201" s="51"/>
      <c r="AG201" s="51"/>
      <c r="AH201" s="51"/>
      <c r="AS201" s="51"/>
      <c r="AT201" s="51"/>
      <c r="AU201" s="51"/>
      <c r="AV201" s="51"/>
      <c r="AW201" s="51"/>
    </row>
    <row r="202" spans="1:52">
      <c r="A202" s="346" t="s">
        <v>591</v>
      </c>
      <c r="B202" s="346" t="s">
        <v>706</v>
      </c>
      <c r="C202" s="346">
        <v>2071320</v>
      </c>
      <c r="D202" s="346" t="s">
        <v>5</v>
      </c>
      <c r="E202" s="346" t="s">
        <v>6</v>
      </c>
      <c r="F202" s="346" t="s">
        <v>3</v>
      </c>
      <c r="G202" s="346" t="s">
        <v>25</v>
      </c>
      <c r="H202" s="346"/>
      <c r="I202" s="346"/>
      <c r="J202" s="346"/>
      <c r="K202" s="346"/>
      <c r="L202" s="346"/>
      <c r="M202" s="346"/>
      <c r="N202" s="346"/>
      <c r="O202" s="346"/>
      <c r="P202" s="346"/>
      <c r="Q202" s="346"/>
      <c r="R202" s="346"/>
      <c r="S202" s="346"/>
      <c r="T202" s="346">
        <v>11160</v>
      </c>
      <c r="X202" s="115">
        <f t="shared" si="67"/>
        <v>1</v>
      </c>
      <c r="Y202" s="115">
        <f t="shared" si="68"/>
        <v>-9</v>
      </c>
      <c r="Z202" s="115" t="e">
        <f t="shared" si="69"/>
        <v>#VALUE!</v>
      </c>
      <c r="AA202" s="115">
        <f t="shared" si="70"/>
        <v>11.16</v>
      </c>
      <c r="AB202" s="246">
        <f t="shared" si="58"/>
        <v>75</v>
      </c>
      <c r="AD202" s="51"/>
      <c r="AE202" s="51"/>
      <c r="AF202" s="51"/>
      <c r="AG202" s="51"/>
      <c r="AH202" s="51"/>
      <c r="AS202" s="51"/>
      <c r="AT202" s="51"/>
      <c r="AU202" s="51"/>
      <c r="AV202" s="51"/>
      <c r="AW202" s="51"/>
    </row>
    <row r="203" spans="1:52">
      <c r="A203" s="346" t="s">
        <v>591</v>
      </c>
      <c r="B203" s="346" t="s">
        <v>707</v>
      </c>
      <c r="C203" s="346">
        <v>2070480</v>
      </c>
      <c r="D203" s="346" t="s">
        <v>17</v>
      </c>
      <c r="E203" s="346" t="s">
        <v>2</v>
      </c>
      <c r="F203" s="346" t="s">
        <v>156</v>
      </c>
      <c r="G203" s="346"/>
      <c r="H203" s="346"/>
      <c r="I203" s="346" t="s">
        <v>563</v>
      </c>
      <c r="J203" s="346"/>
      <c r="K203" s="346"/>
      <c r="L203" s="346" t="s">
        <v>569</v>
      </c>
      <c r="M203" s="346"/>
      <c r="N203" s="346"/>
      <c r="O203" s="346"/>
      <c r="P203" s="346"/>
      <c r="Q203" s="346"/>
      <c r="R203" s="346"/>
      <c r="S203" s="346"/>
      <c r="T203" s="346">
        <v>17360</v>
      </c>
      <c r="X203" s="115">
        <f t="shared" si="67"/>
        <v>1</v>
      </c>
      <c r="Y203" s="115">
        <f t="shared" si="68"/>
        <v>2</v>
      </c>
      <c r="Z203" s="115" t="e">
        <f t="shared" si="69"/>
        <v>#VALUE!</v>
      </c>
      <c r="AA203" s="115">
        <f t="shared" si="70"/>
        <v>17.36</v>
      </c>
      <c r="AB203" s="246">
        <f t="shared" si="58"/>
        <v>75</v>
      </c>
      <c r="AD203" s="51"/>
      <c r="AE203" s="374" t="s">
        <v>102</v>
      </c>
      <c r="AF203" s="374"/>
      <c r="AG203" s="51"/>
      <c r="AH203" s="45"/>
      <c r="AS203" s="51"/>
      <c r="AT203" s="374" t="s">
        <v>102</v>
      </c>
      <c r="AU203" s="374"/>
      <c r="AV203" s="51"/>
      <c r="AW203" s="51"/>
    </row>
    <row r="204" spans="1:52">
      <c r="A204" s="346" t="s">
        <v>591</v>
      </c>
      <c r="B204" s="346" t="s">
        <v>645</v>
      </c>
      <c r="C204" s="346">
        <v>2073840</v>
      </c>
      <c r="D204" s="346" t="s">
        <v>14</v>
      </c>
      <c r="E204" s="346" t="s">
        <v>6</v>
      </c>
      <c r="F204" s="346" t="s">
        <v>3</v>
      </c>
      <c r="G204" s="346"/>
      <c r="H204" s="346"/>
      <c r="I204" s="346" t="s">
        <v>563</v>
      </c>
      <c r="J204" s="346"/>
      <c r="K204" s="346"/>
      <c r="L204" s="346" t="s">
        <v>564</v>
      </c>
      <c r="M204" s="346"/>
      <c r="N204" s="346"/>
      <c r="O204" s="346" t="s">
        <v>712</v>
      </c>
      <c r="P204" s="346"/>
      <c r="Q204" s="346"/>
      <c r="R204" s="346"/>
      <c r="S204" s="346"/>
      <c r="T204" s="346">
        <v>23280</v>
      </c>
      <c r="X204" s="115">
        <f t="shared" si="67"/>
        <v>1</v>
      </c>
      <c r="Y204" s="115">
        <f t="shared" si="68"/>
        <v>2</v>
      </c>
      <c r="Z204" s="115" t="e">
        <f t="shared" si="69"/>
        <v>#VALUE!</v>
      </c>
      <c r="AA204" s="115">
        <f t="shared" si="70"/>
        <v>23.28</v>
      </c>
      <c r="AB204" s="246">
        <f>IF(ROUND(C204/60000,0)=0,1,ROUND(C204/60000,0))+40</f>
        <v>75</v>
      </c>
      <c r="AD204" s="51"/>
      <c r="AE204" s="115" t="s">
        <v>0</v>
      </c>
      <c r="AF204" s="115" t="s">
        <v>233</v>
      </c>
      <c r="AG204" s="115" t="s">
        <v>232</v>
      </c>
      <c r="AH204" s="51" t="s">
        <v>45</v>
      </c>
      <c r="AS204" s="51"/>
      <c r="AT204" s="115" t="s">
        <v>0</v>
      </c>
      <c r="AU204" s="115" t="s">
        <v>233</v>
      </c>
      <c r="AV204" s="115" t="s">
        <v>232</v>
      </c>
      <c r="AW204" s="51" t="s">
        <v>45</v>
      </c>
    </row>
    <row r="205" spans="1:52">
      <c r="A205" s="346" t="s">
        <v>591</v>
      </c>
      <c r="B205" s="346" t="s">
        <v>709</v>
      </c>
      <c r="C205" s="346">
        <v>2085120</v>
      </c>
      <c r="D205" s="346" t="s">
        <v>17</v>
      </c>
      <c r="E205" s="346" t="s">
        <v>2</v>
      </c>
      <c r="F205" s="346" t="s">
        <v>156</v>
      </c>
      <c r="G205" s="346"/>
      <c r="H205" s="346"/>
      <c r="I205" s="346" t="s">
        <v>561</v>
      </c>
      <c r="J205" s="346"/>
      <c r="K205" s="346"/>
      <c r="L205" s="346" t="s">
        <v>577</v>
      </c>
      <c r="M205" s="346"/>
      <c r="N205" s="346"/>
      <c r="O205" s="346" t="s">
        <v>712</v>
      </c>
      <c r="P205" s="346"/>
      <c r="Q205" s="346"/>
      <c r="R205" s="346"/>
      <c r="S205" s="346"/>
      <c r="T205" s="346">
        <v>41000</v>
      </c>
      <c r="X205" s="115">
        <f t="shared" si="67"/>
        <v>1</v>
      </c>
      <c r="Y205" s="115">
        <f t="shared" si="68"/>
        <v>2</v>
      </c>
      <c r="Z205" s="115" t="e">
        <f t="shared" si="69"/>
        <v>#VALUE!</v>
      </c>
      <c r="AA205" s="115">
        <f t="shared" si="70"/>
        <v>41</v>
      </c>
      <c r="AB205" s="246">
        <f t="shared" ref="AB205:AB216" si="71">IF(ROUND(C205/60000,0)=0,1,ROUND(C205/60000,0))+40</f>
        <v>75</v>
      </c>
      <c r="AD205" s="51" t="s">
        <v>68</v>
      </c>
      <c r="AE205" s="115">
        <f>COUNTIFS(D:D,"AA",F:F,"ATONGOAL",M:M,"STANCO")+COUNTIFS(D:D,"AA",F:F,"ATONGOAL",M:M,"STANTI")+COUNTIFS(D:D,"AA",F:F,"ATONGOAL",M:M,"STANFK")+COUNTIFS(D:D,"AA",F:F,"ATONGOAL",M:M,"STANFK DIRECT")+COUNTIFS(D:D,"AA",F:F,"ATONGOAL",M:M,"STANPEN")+COUNTIFS(D:D,"AA",F:F,"ATONGOAL",G:G,"STANGK")+COUNTIFS(D:D,"AA",F:F,"ATONGOAL",G:G,"STANGS")+COUNTIFS(D:D,"AA",F:F,"ATONGOAL",G:G,"STANTI")+COUNTIFS(D:D,"AA",F:F,"ATONGOAL",G:G,"STANFK")+COUNTIFS(D:D,"AA",F:F,"ATON",M:M,"STANCO")+COUNTIFS(D:D,"AA",F:F,"ATON",M:M,"STANTI")+COUNTIFS(D:D,"AA",F:F,"ATON",M:M,"STANFK")+COUNTIFS(D:D,"AA",F:F,"ATON",M:M,"STANFK DIRECT")+COUNTIFS(D:D,"AA",F:F,"ATON",M:M,"STANPEN")+COUNTIFS(D:D,"AA",F:F,"ATON",G:G,"STANGK")+COUNTIFS(D:D,"AA",F:F,"ATON",G:G,"STANGS")+COUNTIFS(D:D,"AA",F:F,"ATON",G:G,"STANTI")+COUNTIFS(D:D,"AA",F:F,"ATON",G:G,"STANFK")+COUNTIFS(D:D,"AA",F:F,"ATOF",M:M,"STANCO")+COUNTIFS(D:D,"AA",F:F,"ATOF",M:M,"STANTI")+COUNTIFS(D:D,"AA",F:F,"ATOF",M:M,"STANFK")+COUNTIFS(D:D,"AA",F:F,"ATOF",M:M,"STANFK DIRECT")+COUNTIFS(D:D,"AA",F:F,"ATOF",M:M,"STANPEN")+COUNTIFS(D:D,"AA",F:F,"ATOF",G:G,"STANGK")+COUNTIFS(D:D,"AA",F:F,"ATOF",G:G,"STANGS")+COUNTIFS(D:D,"AA",F:F,"ATOF",G:G,"STANTI")+COUNTIFS(D:D,"AA",F:F,"ATOF",G:G,"STANFK")+COUNTIFS(D:D,"AA",F:F,"ATBK",M:M,"STANCO")+COUNTIFS(D:D,"AA",F:F,"ATBK",M:M,"STANTI")+COUNTIFS(D:D,"AA",F:F,"ATBK",M:M,"STANFK")+COUNTIFS(D:D,"AA",F:F,"ATBK",M:M,"STANFK DIRECT")+COUNTIFS(D:D,"AA",F:F,"ATBK",M:M,"STANPEN")+COUNTIFS(D:D,"AA",F:F,"ATBK",G:G,"STANGK")+COUNTIFS(D:D,"AA",F:F,"ATBK",G:G,"STANGS")+COUNTIFS(D:D,"AA",F:F,"ATBK",G:G,"STANTI")+COUNTIFS(D:D,"AA",F:F,"ATBK",G:G,"STANFK")</f>
        <v>5</v>
      </c>
      <c r="AF205" s="51">
        <f>COUNTIFS(D:D,"DA",F:F,"ATONGOAL",G:G,"",M:M,"")+COUNTIFS(D:D,"DA",F:F,"ATON",G:G,"")+COUNTIFS(D:D,"DA",F:F,"ATOF",G:G,"")+COUNTIFS(D:D,"DA",F:F,"ATBK",G:G,"")</f>
        <v>0</v>
      </c>
      <c r="AG205" s="51">
        <f>COUNTIFS(D:D,"AA",F:F,"ATONGOAL",G:G,"",M:M,"")+COUNTIFS(D:D,"AA",F:F,"ATON",G:G,"",M:M,"")+COUNTIFS(D:D,"AA",F:F,"ATOF",G:G,"",M:M,"")+COUNTIFS(D:D,"AA",F:F,"ATBK",G:G,"",M:M,"")</f>
        <v>0</v>
      </c>
      <c r="AH205" s="51">
        <f>SUM(AE205:AG205)</f>
        <v>5</v>
      </c>
      <c r="AS205" s="51" t="s">
        <v>39</v>
      </c>
      <c r="AT205" s="115">
        <f>COUNTIFS(D:D,"DD",F:F,"ATONGOAL",M:M,"STANCO")+COUNTIFS(D:D,"DD",F:F,"ATONGOAL",M:M,"STANTI")+COUNTIFS(D:D,"DD",F:F,"ATONGOAL",M:M,"STANFK")+COUNTIFS(D:D,"DD",F:F,"ATONGOAL",M:M,"STANFK DIRECT")+COUNTIFS(D:D,"DD",F:F,"ATONGOAL",M:M,"STANPEN")+COUNTIFS(D:D,"DD",F:F,"ATONGOAL",G:G,"STANGK")+COUNTIFS(D:D,"DD",F:F,"ATONGOAL",G:G,"STANGS")+COUNTIFS(D:D,"DD",F:F,"ATONGOAL",G:G,"STANTI")+COUNTIFS(D:D,"DD",F:F,"ATONGOAL",G:G,"STANFK")+COUNTIFS(D:D,"DD",F:F,"ATON",M:M,"STANCO")+COUNTIFS(D:D,"DD",F:F,"ATON",M:M,"STANTI")+COUNTIFS(D:D,"DD",F:F,"ATON",M:M,"STANFK")+COUNTIFS(D:D,"DD",F:F,"ATON",M:M,"STANFK DIRECT")+COUNTIFS(D:D,"DD",F:F,"ATON",M:M,"STANPEN")+COUNTIFS(D:D,"DD",F:F,"ATON",G:G,"STANGK")+COUNTIFS(D:D,"DD",F:F,"ATON",G:G,"STANGS")+COUNTIFS(D:D,"DD",F:F,"ATON",G:G,"STANTI")+COUNTIFS(D:D,"DD",F:F,"ATON",G:G,"STANFK")+COUNTIFS(D:D,"DD",F:F,"ATOF",M:M,"STANCO")+COUNTIFS(D:D,"DD",F:F,"ATOF",M:M,"STANTI")+COUNTIFS(D:D,"DD",F:F,"ATOF",M:M,"STANFK")+COUNTIFS(D:D,"DD",F:F,"ATOF",M:M,"STANFK DIRECT")+COUNTIFS(D:D,"DD",F:F,"ATOF",M:M,"STANPEN")+COUNTIFS(D:D,"DD",F:F,"ATOF",G:G,"STANGK")+COUNTIFS(D:D,"DD",F:F,"ATOF",G:G,"STANGS")+COUNTIFS(D:D,"DD",F:F,"ATOF",G:G,"STANTI")+COUNTIFS(D:D,"DD",F:F,"ATOF",G:G,"STANFK")+COUNTIFS(D:D,"DD",F:F,"ATBK",M:M,"STANCO")+COUNTIFS(D:D,"DD",F:F,"ATBK",M:M,"STANTI")+COUNTIFS(D:D,"DD",F:F,"ATBK",M:M,"STANFK")+COUNTIFS(D:D,"DD",F:F,"ATBK",M:M,"STANFK DIRECT")+COUNTIFS(D:D,"DD",F:F,"ATBK",M:M,"STANPEN")+COUNTIFS(D:D,"DD",F:F,"ATBK",G:G,"STANGK")+COUNTIFS(D:D,"DD",F:F,"ATBK",G:G,"STANGS")+COUNTIFS(D:D,"DD",F:F,"ATBK",G:G,"STANTI")+COUNTIFS(D:D,"DD",F:F,"ATBK",G:G,"STANFK")</f>
        <v>8</v>
      </c>
      <c r="AU205" s="51">
        <f>COUNTIFS(D:D,"AD",F:F,"ATONGOAL")+COUNTIFS(D:D,"AD",F:F,"ATON")+COUNTIFS(D:D,"AD",F:F,"ATOF")+COUNTIFS(D:D,"AD",F:F,"ATBK")</f>
        <v>5</v>
      </c>
      <c r="AV205" s="51">
        <f>COUNTIFS(D:D,"DD",F:F,"ATONGOAL",G:G,"",M:M,"")+COUNTIFS(D:D,"DD",F:F,"ATON",G:G,"",M:M,"")+COUNTIFS(D:D,"DD",F:F,"ATOF",G:G,"",M:M,"")+COUNTIFS(D:D,"DD",F:F,"ATBK",G:G,"",M:M,"")</f>
        <v>2</v>
      </c>
      <c r="AW205" s="51">
        <f>SUM(AT205:AV205)</f>
        <v>15</v>
      </c>
    </row>
    <row r="206" spans="1:52" s="115" customFormat="1">
      <c r="A206" s="346" t="s">
        <v>591</v>
      </c>
      <c r="B206" s="346" t="s">
        <v>708</v>
      </c>
      <c r="C206" s="346">
        <v>2133840</v>
      </c>
      <c r="D206" s="346" t="s">
        <v>5</v>
      </c>
      <c r="E206" s="346" t="s">
        <v>6</v>
      </c>
      <c r="F206" s="346" t="s">
        <v>3</v>
      </c>
      <c r="G206" s="346" t="s">
        <v>10</v>
      </c>
      <c r="H206" s="346"/>
      <c r="I206" s="346" t="s">
        <v>595</v>
      </c>
      <c r="J206" s="346"/>
      <c r="K206" s="346"/>
      <c r="L206" s="346"/>
      <c r="M206" s="346"/>
      <c r="N206" s="346"/>
      <c r="O206" s="346"/>
      <c r="P206" s="346"/>
      <c r="Q206" s="346"/>
      <c r="R206" s="346"/>
      <c r="S206" s="346"/>
      <c r="T206" s="346">
        <v>28080</v>
      </c>
      <c r="X206" s="115">
        <f t="shared" si="67"/>
        <v>1</v>
      </c>
      <c r="Y206" s="115">
        <f t="shared" si="68"/>
        <v>2</v>
      </c>
      <c r="Z206" s="115" t="e">
        <f t="shared" si="69"/>
        <v>#VALUE!</v>
      </c>
      <c r="AA206" s="115">
        <f t="shared" si="70"/>
        <v>28.08</v>
      </c>
      <c r="AB206" s="246">
        <f t="shared" si="71"/>
        <v>76</v>
      </c>
      <c r="AD206" s="115" t="s">
        <v>45</v>
      </c>
      <c r="AE206" s="115">
        <f>AE157</f>
        <v>48</v>
      </c>
      <c r="AF206" s="115">
        <f t="shared" ref="AF206:AV206" si="72">AF157</f>
        <v>35</v>
      </c>
      <c r="AG206" s="115">
        <f t="shared" si="72"/>
        <v>14</v>
      </c>
      <c r="AS206" s="115" t="s">
        <v>45</v>
      </c>
      <c r="AT206" s="115">
        <f t="shared" si="72"/>
        <v>45</v>
      </c>
      <c r="AU206" s="115">
        <f t="shared" si="72"/>
        <v>47</v>
      </c>
      <c r="AV206" s="115">
        <f t="shared" si="72"/>
        <v>26</v>
      </c>
    </row>
    <row r="207" spans="1:52" s="115" customFormat="1">
      <c r="A207" s="346" t="s">
        <v>591</v>
      </c>
      <c r="B207" s="346" t="s">
        <v>713</v>
      </c>
      <c r="C207" s="346">
        <v>2148240</v>
      </c>
      <c r="D207" s="346" t="s">
        <v>17</v>
      </c>
      <c r="E207" s="346" t="s">
        <v>2</v>
      </c>
      <c r="F207" s="346" t="s">
        <v>156</v>
      </c>
      <c r="G207" s="346"/>
      <c r="H207" s="346"/>
      <c r="I207" s="346" t="s">
        <v>565</v>
      </c>
      <c r="J207" s="346"/>
      <c r="K207" s="346"/>
      <c r="L207" s="346" t="s">
        <v>559</v>
      </c>
      <c r="M207" s="346"/>
      <c r="N207" s="346"/>
      <c r="O207" s="346"/>
      <c r="P207" s="346"/>
      <c r="Q207" s="346"/>
      <c r="R207" s="346"/>
      <c r="S207" s="346"/>
      <c r="T207" s="346">
        <v>18080</v>
      </c>
      <c r="X207" s="115">
        <f t="shared" si="67"/>
        <v>1</v>
      </c>
      <c r="Y207" s="115">
        <f t="shared" si="68"/>
        <v>2</v>
      </c>
      <c r="Z207" s="115" t="e">
        <f t="shared" si="69"/>
        <v>#VALUE!</v>
      </c>
      <c r="AA207" s="115">
        <f t="shared" si="70"/>
        <v>18.079999999999998</v>
      </c>
      <c r="AB207" s="246">
        <f t="shared" si="71"/>
        <v>76</v>
      </c>
      <c r="AD207" s="115" t="s">
        <v>265</v>
      </c>
      <c r="AE207" s="153">
        <f>AE205/AE206</f>
        <v>0.10416666666666667</v>
      </c>
      <c r="AF207" s="153">
        <f t="shared" ref="AF207:AV207" si="73">AF205/AF206</f>
        <v>0</v>
      </c>
      <c r="AG207" s="153">
        <f t="shared" si="73"/>
        <v>0</v>
      </c>
      <c r="AH207" s="153"/>
      <c r="AI207" s="153"/>
      <c r="AJ207" s="153"/>
      <c r="AK207" s="153"/>
      <c r="AL207" s="153"/>
      <c r="AM207" s="153"/>
      <c r="AN207" s="153"/>
      <c r="AO207" s="153"/>
      <c r="AP207" s="153"/>
      <c r="AQ207" s="153"/>
      <c r="AR207" s="153"/>
      <c r="AS207" s="115" t="s">
        <v>265</v>
      </c>
      <c r="AT207" s="153">
        <f t="shared" si="73"/>
        <v>0.17777777777777778</v>
      </c>
      <c r="AU207" s="153">
        <f t="shared" si="73"/>
        <v>0.10638297872340426</v>
      </c>
      <c r="AV207" s="153">
        <f t="shared" si="73"/>
        <v>7.6923076923076927E-2</v>
      </c>
    </row>
    <row r="208" spans="1:52" s="115" customFormat="1">
      <c r="A208" s="346" t="s">
        <v>591</v>
      </c>
      <c r="B208" s="346" t="s">
        <v>656</v>
      </c>
      <c r="C208" s="346">
        <v>2154320</v>
      </c>
      <c r="D208" s="346" t="s">
        <v>14</v>
      </c>
      <c r="E208" s="346" t="s">
        <v>6</v>
      </c>
      <c r="F208" s="346" t="s">
        <v>3</v>
      </c>
      <c r="G208" s="346"/>
      <c r="H208" s="346"/>
      <c r="I208" s="346" t="s">
        <v>561</v>
      </c>
      <c r="J208" s="346"/>
      <c r="K208" s="346"/>
      <c r="L208" s="346" t="s">
        <v>570</v>
      </c>
      <c r="M208" s="346"/>
      <c r="N208" s="346"/>
      <c r="O208" s="346"/>
      <c r="P208" s="346"/>
      <c r="Q208" s="346"/>
      <c r="R208" s="346"/>
      <c r="S208" s="346"/>
      <c r="T208" s="346">
        <v>29720</v>
      </c>
      <c r="X208" s="115">
        <f t="shared" si="67"/>
        <v>1</v>
      </c>
      <c r="Y208" s="115">
        <f t="shared" si="68"/>
        <v>2</v>
      </c>
      <c r="Z208" s="115" t="e">
        <f t="shared" si="69"/>
        <v>#VALUE!</v>
      </c>
      <c r="AA208" s="115">
        <f t="shared" si="70"/>
        <v>29.72</v>
      </c>
      <c r="AB208" s="246">
        <f t="shared" si="71"/>
        <v>76</v>
      </c>
      <c r="AD208" s="115" t="s">
        <v>331</v>
      </c>
      <c r="AE208" s="151">
        <f>AE205/$AH205</f>
        <v>1</v>
      </c>
      <c r="AF208" s="151">
        <f t="shared" ref="AF208:AG208" si="74">AF205/$AH205</f>
        <v>0</v>
      </c>
      <c r="AG208" s="151">
        <f t="shared" si="74"/>
        <v>0</v>
      </c>
      <c r="AH208" s="153"/>
      <c r="AI208" s="153"/>
      <c r="AJ208" s="153"/>
      <c r="AK208" s="153"/>
      <c r="AL208" s="153"/>
      <c r="AM208" s="153"/>
      <c r="AN208" s="153"/>
      <c r="AO208" s="153"/>
      <c r="AP208" s="153"/>
      <c r="AQ208" s="153"/>
      <c r="AR208" s="153"/>
      <c r="AS208" s="153" t="s">
        <v>331</v>
      </c>
      <c r="AT208" s="151">
        <f>AT205/$AW205</f>
        <v>0.53333333333333333</v>
      </c>
      <c r="AU208" s="151">
        <f t="shared" ref="AU208:AV208" si="75">AU205/$AW205</f>
        <v>0.33333333333333331</v>
      </c>
      <c r="AV208" s="151">
        <f t="shared" si="75"/>
        <v>0.13333333333333333</v>
      </c>
    </row>
    <row r="209" spans="1:49">
      <c r="A209" s="346" t="s">
        <v>591</v>
      </c>
      <c r="B209" s="346" t="s">
        <v>671</v>
      </c>
      <c r="C209" s="346">
        <v>2184520</v>
      </c>
      <c r="D209" s="346" t="s">
        <v>1</v>
      </c>
      <c r="E209" s="346" t="s">
        <v>2</v>
      </c>
      <c r="F209" s="346" t="s">
        <v>156</v>
      </c>
      <c r="G209" s="346" t="s">
        <v>29</v>
      </c>
      <c r="H209" s="346"/>
      <c r="I209" s="346"/>
      <c r="J209" s="346"/>
      <c r="K209" s="346"/>
      <c r="L209" s="346"/>
      <c r="M209" s="346"/>
      <c r="N209" s="346"/>
      <c r="O209" s="346"/>
      <c r="P209" s="346"/>
      <c r="Q209" s="346"/>
      <c r="R209" s="346"/>
      <c r="S209" s="346"/>
      <c r="T209" s="346">
        <v>25200</v>
      </c>
      <c r="X209" s="115">
        <f t="shared" si="67"/>
        <v>1</v>
      </c>
      <c r="Y209" s="115">
        <f t="shared" si="68"/>
        <v>2</v>
      </c>
      <c r="Z209" s="115" t="e">
        <f t="shared" si="69"/>
        <v>#VALUE!</v>
      </c>
      <c r="AA209" s="115">
        <f t="shared" si="70"/>
        <v>25.2</v>
      </c>
      <c r="AB209" s="246">
        <f t="shared" si="71"/>
        <v>76</v>
      </c>
      <c r="AD209" s="51"/>
      <c r="AE209" s="51"/>
      <c r="AF209" s="51"/>
      <c r="AG209" s="51"/>
      <c r="AH209" s="51"/>
      <c r="AS209" s="51"/>
      <c r="AT209" s="51"/>
      <c r="AU209" s="51"/>
      <c r="AV209" s="51"/>
      <c r="AW209" s="51"/>
    </row>
    <row r="210" spans="1:49">
      <c r="A210" s="346" t="s">
        <v>591</v>
      </c>
      <c r="B210" s="346" t="s">
        <v>711</v>
      </c>
      <c r="C210" s="346">
        <v>2209600</v>
      </c>
      <c r="D210" s="346" t="s">
        <v>5</v>
      </c>
      <c r="E210" s="346" t="s">
        <v>6</v>
      </c>
      <c r="F210" s="346" t="s">
        <v>3</v>
      </c>
      <c r="G210" s="346" t="s">
        <v>29</v>
      </c>
      <c r="H210" s="346"/>
      <c r="I210" s="346"/>
      <c r="J210" s="346"/>
      <c r="K210" s="346"/>
      <c r="L210" s="346"/>
      <c r="M210" s="346"/>
      <c r="N210" s="346"/>
      <c r="O210" s="346"/>
      <c r="P210" s="346"/>
      <c r="Q210" s="346"/>
      <c r="R210" s="346"/>
      <c r="S210" s="346"/>
      <c r="T210" s="346">
        <v>36000</v>
      </c>
      <c r="X210" s="115">
        <f t="shared" si="67"/>
        <v>1</v>
      </c>
      <c r="Y210" s="115">
        <f t="shared" si="68"/>
        <v>2</v>
      </c>
      <c r="Z210" s="115" t="e">
        <f t="shared" si="69"/>
        <v>#VALUE!</v>
      </c>
      <c r="AA210" s="115">
        <f t="shared" si="70"/>
        <v>36</v>
      </c>
      <c r="AB210" s="246">
        <f t="shared" si="71"/>
        <v>77</v>
      </c>
      <c r="AD210" s="51"/>
      <c r="AE210" s="51"/>
      <c r="AF210" s="51"/>
      <c r="AG210" s="51"/>
      <c r="AH210" s="51"/>
      <c r="AS210" s="51"/>
      <c r="AT210" s="51"/>
      <c r="AU210" s="51"/>
      <c r="AV210" s="51"/>
      <c r="AW210" s="51"/>
    </row>
    <row r="211" spans="1:49">
      <c r="A211" s="346" t="s">
        <v>591</v>
      </c>
      <c r="B211" s="346" t="s">
        <v>679</v>
      </c>
      <c r="C211" s="346">
        <v>2252960</v>
      </c>
      <c r="D211" s="346" t="s">
        <v>1</v>
      </c>
      <c r="E211" s="346" t="s">
        <v>2</v>
      </c>
      <c r="F211" s="346" t="s">
        <v>156</v>
      </c>
      <c r="G211" s="346" t="s">
        <v>10</v>
      </c>
      <c r="H211" s="346"/>
      <c r="I211" s="346"/>
      <c r="J211" s="346"/>
      <c r="K211" s="346"/>
      <c r="L211" s="346"/>
      <c r="M211" s="346"/>
      <c r="N211" s="346"/>
      <c r="O211" s="346"/>
      <c r="P211" s="346"/>
      <c r="Q211" s="346"/>
      <c r="R211" s="346"/>
      <c r="S211" s="346"/>
      <c r="T211" s="346">
        <v>23400</v>
      </c>
      <c r="X211" s="115">
        <f t="shared" si="67"/>
        <v>1</v>
      </c>
      <c r="Y211" s="115">
        <f t="shared" si="68"/>
        <v>2</v>
      </c>
      <c r="Z211" s="115" t="e">
        <f t="shared" si="69"/>
        <v>#VALUE!</v>
      </c>
      <c r="AA211" s="115">
        <f t="shared" si="70"/>
        <v>23.4</v>
      </c>
      <c r="AB211" s="246">
        <f t="shared" si="71"/>
        <v>78</v>
      </c>
      <c r="AD211" s="51"/>
      <c r="AE211" s="374" t="s">
        <v>102</v>
      </c>
      <c r="AF211" s="374"/>
      <c r="AG211" s="51"/>
      <c r="AH211" s="51"/>
      <c r="AS211" s="51"/>
      <c r="AT211" s="374" t="s">
        <v>102</v>
      </c>
      <c r="AU211" s="374"/>
      <c r="AV211" s="51"/>
      <c r="AW211" s="51"/>
    </row>
    <row r="212" spans="1:49">
      <c r="A212" s="346" t="s">
        <v>591</v>
      </c>
      <c r="B212" s="346" t="s">
        <v>714</v>
      </c>
      <c r="C212" s="346">
        <v>2283040</v>
      </c>
      <c r="D212" s="346" t="s">
        <v>5</v>
      </c>
      <c r="E212" s="346" t="s">
        <v>6</v>
      </c>
      <c r="F212" s="346" t="s">
        <v>3</v>
      </c>
      <c r="G212" s="346" t="s">
        <v>10</v>
      </c>
      <c r="H212" s="346"/>
      <c r="I212" s="346"/>
      <c r="J212" s="346"/>
      <c r="K212" s="346"/>
      <c r="L212" s="346"/>
      <c r="M212" s="346"/>
      <c r="N212" s="346"/>
      <c r="O212" s="346"/>
      <c r="P212" s="346"/>
      <c r="Q212" s="346"/>
      <c r="R212" s="346"/>
      <c r="S212" s="346"/>
      <c r="T212" s="346">
        <v>18240</v>
      </c>
      <c r="X212" s="115">
        <f t="shared" si="67"/>
        <v>1</v>
      </c>
      <c r="Y212" s="115">
        <f t="shared" si="68"/>
        <v>2</v>
      </c>
      <c r="Z212" s="115" t="e">
        <f t="shared" si="69"/>
        <v>#VALUE!</v>
      </c>
      <c r="AA212" s="115">
        <f t="shared" si="70"/>
        <v>18.239999999999998</v>
      </c>
      <c r="AB212" s="246">
        <f t="shared" si="71"/>
        <v>78</v>
      </c>
      <c r="AD212" s="374" t="s">
        <v>101</v>
      </c>
      <c r="AE212" s="374"/>
      <c r="AF212" s="374"/>
      <c r="AG212" s="374"/>
      <c r="AH212" s="51"/>
      <c r="AS212" s="374" t="s">
        <v>101</v>
      </c>
      <c r="AT212" s="374"/>
      <c r="AU212" s="374"/>
      <c r="AV212" s="374"/>
      <c r="AW212" s="51"/>
    </row>
    <row r="213" spans="1:49">
      <c r="A213" s="346" t="s">
        <v>591</v>
      </c>
      <c r="B213" s="346" t="s">
        <v>715</v>
      </c>
      <c r="C213" s="346">
        <v>2289280</v>
      </c>
      <c r="D213" s="346" t="s">
        <v>17</v>
      </c>
      <c r="E213" s="346" t="s">
        <v>6</v>
      </c>
      <c r="F213" s="346" t="s">
        <v>3</v>
      </c>
      <c r="G213" s="346"/>
      <c r="H213" s="346"/>
      <c r="I213" s="346" t="s">
        <v>561</v>
      </c>
      <c r="J213" s="346"/>
      <c r="K213" s="346"/>
      <c r="L213" s="346" t="s">
        <v>571</v>
      </c>
      <c r="M213" s="346"/>
      <c r="N213" s="346"/>
      <c r="O213" s="346" t="s">
        <v>712</v>
      </c>
      <c r="P213" s="346"/>
      <c r="Q213" s="346"/>
      <c r="R213" s="346"/>
      <c r="S213" s="346"/>
      <c r="T213" s="346">
        <v>62720</v>
      </c>
      <c r="X213" s="115">
        <f t="shared" si="67"/>
        <v>1</v>
      </c>
      <c r="Y213" s="115">
        <f t="shared" si="68"/>
        <v>2</v>
      </c>
      <c r="Z213" s="115" t="e">
        <f t="shared" si="69"/>
        <v>#VALUE!</v>
      </c>
      <c r="AA213" s="115">
        <f t="shared" si="70"/>
        <v>62.72</v>
      </c>
      <c r="AB213" s="246">
        <f t="shared" si="71"/>
        <v>78</v>
      </c>
      <c r="AD213" s="51"/>
      <c r="AE213" s="51" t="s">
        <v>11</v>
      </c>
      <c r="AF213" s="51" t="s">
        <v>23</v>
      </c>
      <c r="AG213" s="51" t="s">
        <v>18</v>
      </c>
      <c r="AH213" s="45" t="s">
        <v>14</v>
      </c>
      <c r="AS213" s="51"/>
      <c r="AT213" s="51" t="s">
        <v>11</v>
      </c>
      <c r="AU213" s="51" t="s">
        <v>23</v>
      </c>
      <c r="AV213" s="51" t="s">
        <v>18</v>
      </c>
      <c r="AW213" s="45" t="s">
        <v>14</v>
      </c>
    </row>
    <row r="214" spans="1:49">
      <c r="A214" s="346" t="s">
        <v>591</v>
      </c>
      <c r="B214" s="346" t="s">
        <v>680</v>
      </c>
      <c r="C214" s="346">
        <v>2350720</v>
      </c>
      <c r="D214" s="346" t="s">
        <v>1</v>
      </c>
      <c r="E214" s="346" t="s">
        <v>2</v>
      </c>
      <c r="F214" s="346" t="s">
        <v>156</v>
      </c>
      <c r="G214" s="346" t="s">
        <v>29</v>
      </c>
      <c r="H214" s="346"/>
      <c r="I214" s="346"/>
      <c r="J214" s="346"/>
      <c r="K214" s="346"/>
      <c r="L214" s="346"/>
      <c r="M214" s="346"/>
      <c r="N214" s="346"/>
      <c r="O214" s="346"/>
      <c r="P214" s="346"/>
      <c r="Q214" s="346"/>
      <c r="R214" s="346"/>
      <c r="S214" s="346"/>
      <c r="T214" s="346">
        <v>13600</v>
      </c>
      <c r="X214" s="115">
        <f t="shared" si="67"/>
        <v>1</v>
      </c>
      <c r="Y214" s="115">
        <f t="shared" si="68"/>
        <v>2</v>
      </c>
      <c r="Z214" s="115" t="e">
        <f t="shared" si="69"/>
        <v>#VALUE!</v>
      </c>
      <c r="AA214" s="115">
        <f t="shared" si="70"/>
        <v>13.6</v>
      </c>
      <c r="AB214" s="246">
        <f t="shared" si="71"/>
        <v>79</v>
      </c>
      <c r="AD214" s="51" t="s">
        <v>68</v>
      </c>
      <c r="AE214" s="51">
        <f>COUNTIFS(D:D,"AA",F:F,"ATONGOAL",G:G,"",H:H,"SHORT",M:M,"")+COUNTIFS(D:D,"AA",F:F,"ATON",G:G,"",H:H,"SHORT",M:M,"")+COUNTIFS(D:D,"AA",F:F,"ATOF",G:G,"",H:H,"SHORT",M:M,"")+COUNTIFS(D:D,"AA",F:F,"ATBK",G:G,"",H:H,"SHORT",M:M,"")</f>
        <v>0</v>
      </c>
      <c r="AF214" s="51">
        <f>COUNTIFS(D:D,"AA",F:F,"ATONGOAL",G:G,"",H:H,"SHORTLONG",M:M,"")+COUNTIFS(D:D,"AA",F:F,"ATON",G:G,"",H:H,"SHORTLONG",M:M,"")+COUNTIFS(D:D,"AA",F:F,"ATOF",G:G,"",H:H,"SHORTLONG",M:M,"")+COUNTIFS(D:D,"AA",F:F,"ATBK",G:G,"",H:H,"SHORTLONG",M:M,"")</f>
        <v>0</v>
      </c>
      <c r="AG214" s="51">
        <f>COUNTIFS(D:D,"AA",F:F,"ATONGOAL",G:G,"",H:H,"LONG",M:M,"")+COUNTIFS(D:D,"AA",F:F,"ATON",G:G,"",H:H,"LONG",M:M,"")+COUNTIFS(D:D,"AA",F:F,"ATOF",G:G,"",H:H,"LONG",M:M,"")+COUNTIFS(D:D,"AA",F:F,"ATBK",G:G,"",H:H,"LONG",M:M,"")</f>
        <v>0</v>
      </c>
      <c r="AH214" s="51">
        <f>COUNTIFS(D:D,"DA",F:F,"ATONGOAL",G:G,"")+COUNTIFS(D:D,"DA",F:F,"ATON",G:G,"")+COUNTIFS(D:D,"DA",F:F,"ATOF",G:G,"")+COUNTIFS(D:D,"DA",F:F,"ATBK",G:G,"")</f>
        <v>0</v>
      </c>
      <c r="AS214" s="51" t="s">
        <v>39</v>
      </c>
      <c r="AT214" s="51">
        <f>COUNTIFS(D:D,"DD",F:F,"ATONGOAL",G:G,"",H:H,"SHORT",M:M,"")+COUNTIFS(D:D,"DD",F:F,"ATON",G:G,"",H:H,"SHORT",M:M,"")+COUNTIFS(D:D,"DD",F:F,"ATOF",G:G,"",H:H,"SHORT",M:M,"")+COUNTIFS(D:D,"DD",F:F,"ATBK",G:G,"",H:H,"SHORT",M:M,"")</f>
        <v>0</v>
      </c>
      <c r="AU214" s="51">
        <f>COUNTIFS(D:D,"DD",F:F,"ATONGOAL",G:G,"",H:H,"SHORTLONG",M:M,"")+COUNTIFS(D:D,"DD",F:F,"ATON",G:G,"",H:H,"SHORTLONG",M:M,"")+COUNTIFS(D:D,"DD",F:F,"ATOF",G:G,"",H:H,"SHORTLONG",M:M,"")+COUNTIFS(D:D,"DD",F:F,"ATBK",G:G,"",H:H,"SHORTLONG",M:M,"")</f>
        <v>0</v>
      </c>
      <c r="AV214" s="51">
        <f>COUNTIFS(D:D,"DD",F:F,"ATONGOAL",G:G,"",H:H,"LONG",M:M,"")+COUNTIFS(D:D,"DD",F:F,"ATON",G:G,"",H:H,"LONG",M:M,"")+COUNTIFS(D:D,"DD",F:F,"ATOF",G:G,"",H:H,"LONG",M:M,"")+COUNTIFS(D:D,"DD",F:F,"ATBK",G:G,"",H:H,"LONG",M:M,"")</f>
        <v>0</v>
      </c>
      <c r="AW214" s="51">
        <f>COUNTIFS(D:D,"AD",F:F,"ATONGOAL",G:G,"")+COUNTIFS(D:D,"AD",F:F,"ATON",G:G,"")+COUNTIFS(D:D,"AD",F:F,"ATOF",G:G,"")+COUNTIFS(D:D,"AD",F:F,"ATBK",G:G,"")</f>
        <v>5</v>
      </c>
    </row>
    <row r="215" spans="1:49">
      <c r="A215" s="346" t="s">
        <v>591</v>
      </c>
      <c r="B215" s="346" t="s">
        <v>716</v>
      </c>
      <c r="C215" s="346">
        <v>2366800</v>
      </c>
      <c r="D215" s="346" t="s">
        <v>5</v>
      </c>
      <c r="E215" s="346" t="s">
        <v>6</v>
      </c>
      <c r="F215" s="346" t="s">
        <v>3</v>
      </c>
      <c r="G215" s="346" t="s">
        <v>10</v>
      </c>
      <c r="H215" s="346"/>
      <c r="I215" s="346"/>
      <c r="J215" s="346"/>
      <c r="K215" s="346"/>
      <c r="L215" s="346"/>
      <c r="M215" s="346"/>
      <c r="N215" s="346"/>
      <c r="O215" s="346"/>
      <c r="P215" s="346"/>
      <c r="Q215" s="346"/>
      <c r="R215" s="346"/>
      <c r="S215" s="346"/>
      <c r="T215" s="346">
        <v>14080</v>
      </c>
      <c r="X215" s="115">
        <f t="shared" si="67"/>
        <v>1</v>
      </c>
      <c r="Y215" s="115">
        <f t="shared" si="68"/>
        <v>2</v>
      </c>
      <c r="Z215" s="115" t="e">
        <f t="shared" si="69"/>
        <v>#VALUE!</v>
      </c>
      <c r="AA215" s="115">
        <f t="shared" si="70"/>
        <v>14.08</v>
      </c>
      <c r="AB215" s="246">
        <f t="shared" si="71"/>
        <v>79</v>
      </c>
    </row>
    <row r="216" spans="1:49">
      <c r="A216" s="346" t="s">
        <v>591</v>
      </c>
      <c r="B216" s="346" t="s">
        <v>717</v>
      </c>
      <c r="C216" s="346">
        <v>2368880</v>
      </c>
      <c r="D216" s="346" t="s">
        <v>17</v>
      </c>
      <c r="E216" s="346"/>
      <c r="F216" s="346"/>
      <c r="G216" s="346"/>
      <c r="H216" s="346"/>
      <c r="I216" s="346" t="s">
        <v>561</v>
      </c>
      <c r="J216" s="346"/>
      <c r="K216" s="346"/>
      <c r="L216" s="346" t="s">
        <v>567</v>
      </c>
      <c r="M216" s="346"/>
      <c r="N216" s="346"/>
      <c r="O216" s="346" t="s">
        <v>712</v>
      </c>
      <c r="P216" s="346"/>
      <c r="Q216" s="346"/>
      <c r="R216" s="346"/>
      <c r="S216" s="346"/>
      <c r="T216" s="346">
        <v>43000</v>
      </c>
      <c r="X216" s="115">
        <f t="shared" si="67"/>
        <v>0</v>
      </c>
      <c r="Y216" s="115">
        <f t="shared" si="68"/>
        <v>1</v>
      </c>
      <c r="Z216" s="115" t="e">
        <f t="shared" si="69"/>
        <v>#VALUE!</v>
      </c>
      <c r="AA216" s="115">
        <f t="shared" si="70"/>
        <v>43</v>
      </c>
      <c r="AB216" s="246">
        <f t="shared" si="71"/>
        <v>79</v>
      </c>
    </row>
    <row r="217" spans="1:49">
      <c r="X217" s="115">
        <f t="shared" si="67"/>
        <v>0</v>
      </c>
      <c r="Y217" s="115">
        <f t="shared" si="68"/>
        <v>0</v>
      </c>
      <c r="Z217" s="115" t="e">
        <f t="shared" si="69"/>
        <v>#VALUE!</v>
      </c>
      <c r="AA217" s="115">
        <f t="shared" si="70"/>
        <v>0</v>
      </c>
      <c r="AD217" s="51"/>
      <c r="AE217" s="374" t="s">
        <v>102</v>
      </c>
      <c r="AF217" s="374"/>
      <c r="AG217" s="51"/>
      <c r="AH217" s="51"/>
      <c r="AI217" s="51"/>
      <c r="AJ217" s="51"/>
      <c r="AK217" s="51"/>
      <c r="AL217" s="51"/>
      <c r="AM217" s="51"/>
      <c r="AN217" s="51"/>
      <c r="AO217" s="51"/>
      <c r="AP217" s="51"/>
      <c r="AQ217" s="51"/>
      <c r="AS217" s="51"/>
      <c r="AT217" s="374" t="s">
        <v>102</v>
      </c>
      <c r="AU217" s="374"/>
      <c r="AV217" s="51"/>
      <c r="AW217" s="51"/>
    </row>
    <row r="218" spans="1:49">
      <c r="X218" s="115">
        <f t="shared" si="67"/>
        <v>0</v>
      </c>
      <c r="Y218" s="115">
        <f t="shared" si="68"/>
        <v>0</v>
      </c>
      <c r="Z218" s="115" t="e">
        <f t="shared" si="69"/>
        <v>#VALUE!</v>
      </c>
      <c r="AA218" s="115">
        <f t="shared" si="70"/>
        <v>0</v>
      </c>
      <c r="AD218" s="374" t="s">
        <v>103</v>
      </c>
      <c r="AE218" s="374"/>
      <c r="AF218" s="374"/>
      <c r="AG218" s="374"/>
      <c r="AH218" s="51"/>
      <c r="AI218" s="51"/>
      <c r="AJ218" s="51"/>
      <c r="AK218" s="51"/>
      <c r="AL218" s="51"/>
      <c r="AM218" s="51"/>
      <c r="AN218" s="51"/>
      <c r="AO218" s="51"/>
      <c r="AP218" s="51"/>
      <c r="AQ218" s="51"/>
      <c r="AS218" s="374" t="s">
        <v>103</v>
      </c>
      <c r="AT218" s="374"/>
      <c r="AU218" s="374"/>
      <c r="AV218" s="374"/>
      <c r="AW218" s="51"/>
    </row>
    <row r="219" spans="1:49">
      <c r="X219" s="115">
        <f t="shared" si="67"/>
        <v>0</v>
      </c>
      <c r="Y219" s="115">
        <f t="shared" si="68"/>
        <v>0</v>
      </c>
      <c r="Z219" s="115" t="e">
        <f t="shared" si="69"/>
        <v>#VALUE!</v>
      </c>
      <c r="AA219" s="115">
        <f t="shared" si="70"/>
        <v>0</v>
      </c>
      <c r="AD219" s="51"/>
      <c r="AE219" s="346" t="s">
        <v>563</v>
      </c>
      <c r="AF219" s="346" t="s">
        <v>561</v>
      </c>
      <c r="AG219" s="368" t="s">
        <v>565</v>
      </c>
      <c r="AI219" s="51"/>
      <c r="AJ219" s="51"/>
      <c r="AK219" s="51"/>
      <c r="AL219" s="51"/>
      <c r="AM219" s="51"/>
      <c r="AN219" s="51"/>
      <c r="AO219" s="51"/>
      <c r="AP219" s="51"/>
      <c r="AQ219" s="51"/>
      <c r="AS219" s="51"/>
      <c r="AT219" s="346" t="s">
        <v>563</v>
      </c>
      <c r="AU219" s="346" t="s">
        <v>561</v>
      </c>
      <c r="AV219" s="368" t="s">
        <v>565</v>
      </c>
    </row>
    <row r="220" spans="1:49">
      <c r="X220" s="115">
        <f t="shared" si="67"/>
        <v>0</v>
      </c>
      <c r="Y220" s="115">
        <f t="shared" si="68"/>
        <v>0</v>
      </c>
      <c r="Z220" s="115" t="e">
        <f t="shared" si="69"/>
        <v>#VALUE!</v>
      </c>
      <c r="AA220" s="115">
        <f t="shared" si="70"/>
        <v>0</v>
      </c>
      <c r="AD220" s="51" t="s">
        <v>5</v>
      </c>
      <c r="AE220" s="51">
        <f>COUNTIFS(D:D,"AA",F:F,"ATONGOAL",G:G,"",I:I,"S1",M:M,"")+COUNTIFS(D:D,"AA",F:F,"ATON",G:G,"",I:I,"S1",M:M,"")+COUNTIFS(D:D,"AA",F:F,"ATOF",G:G,"",I:I,"S1",M:M,"")+COUNTIFS(D:D,"AA",F:F,"ATBK",G:G,"",I:I,"S1",M:M,"")</f>
        <v>0</v>
      </c>
      <c r="AF220" s="51">
        <f>COUNTIFS(D:D,"AA",F:F,"ATONGOAL",G:G,"",I:I,"S2",M:M,"")+COUNTIFS(D:D,"AA",F:F,"ATON",G:G,"",I:I,"S2",M:M,"")+COUNTIFS(D:D,"AA",F:F,"ATOF",G:G,"",I:I,"S2",M:M,"")+COUNTIFS(D:D,"AA",F:F,"ATBK",G:G,"",I:I,"S2",M:M,"")</f>
        <v>0</v>
      </c>
      <c r="AG220" s="51">
        <f>COUNTIFS(D:D,"AA",F:F,"ATONGOAL",G:G,"",I:I,"S3",M:M,"")+COUNTIFS(D:D,"AA",F:F,"ATON",G:G,"",I:I,"S3",M:M,"")+COUNTIFS(D:D,"AA",F:F,"ATOF",G:G,"",I:I,"S3",M:M,"")+COUNTIFS(D:D,"AA",F:F,"ATBK",G:G,"",I:I,"S3",M:M,"")</f>
        <v>0</v>
      </c>
      <c r="AI220" s="51"/>
      <c r="AJ220" s="51"/>
      <c r="AK220" s="51"/>
      <c r="AL220" s="51"/>
      <c r="AM220" s="51"/>
      <c r="AN220" s="51"/>
      <c r="AO220" s="51"/>
      <c r="AP220" s="51"/>
      <c r="AQ220" s="51"/>
      <c r="AS220" s="51" t="s">
        <v>1</v>
      </c>
      <c r="AT220" s="51">
        <f>COUNTIFS(D:D,"DD",F:F,"ATONGOAL",G:G,"-",I:I,"S1")+COUNTIFS(D:D,"DD",F:F,"ATON",G:G,"-",I:I,"S1")+COUNTIFS(D:D,"DD",F:F,"ATOF",G:G,"-",I:I,"S1")+COUNTIFS(D:D,"DD",F:F,"ATBK",G:G,"-",I:I,"S1")</f>
        <v>0</v>
      </c>
      <c r="AU220" s="51">
        <f>COUNTIFS(D:D,"DD",F:F,"ATONGOAL",G:G,"-",I:I,"S2")+COUNTIFS(D:D,"DD",F:F,"ATON",G:G,"-",I:I,"S2")+COUNTIFS(D:D,"DD",F:F,"ATOF",G:G,"-",I:I,"S2")+COUNTIFS(D:D,"DD",F:F,"ATBK",G:G,"-",I:I,"S2")</f>
        <v>0</v>
      </c>
      <c r="AV220" s="51">
        <f>COUNTIFS(D:D,"DD",F:F,"ATONGOAL",G:G,"",I:I,"S3",M:M,"")+COUNTIFS(D:D,"DD",F:F,"ATON",G:G,"",I:I,"S3",M:M,"")+COUNTIFS(D:D,"DD",F:F,"ATOF",G:G,"",I:I,"S3",M:M,"")+COUNTIFS(D:D,"DD",F:F,"ATBK",G:G,";M:M;""",I:I,"S3")</f>
        <v>0</v>
      </c>
    </row>
    <row r="221" spans="1:49">
      <c r="X221" s="115">
        <f t="shared" si="67"/>
        <v>0</v>
      </c>
      <c r="Y221" s="115">
        <f t="shared" si="68"/>
        <v>0</v>
      </c>
      <c r="Z221" s="115" t="e">
        <f t="shared" si="69"/>
        <v>#VALUE!</v>
      </c>
      <c r="AA221" s="115">
        <f t="shared" si="70"/>
        <v>0</v>
      </c>
      <c r="AD221" s="51"/>
      <c r="AE221" s="51"/>
      <c r="AF221" s="51"/>
      <c r="AG221" s="51"/>
      <c r="AH221" s="51"/>
      <c r="AI221" s="51"/>
      <c r="AJ221" s="51"/>
      <c r="AK221" s="51"/>
      <c r="AL221" s="51"/>
      <c r="AM221" s="51"/>
      <c r="AN221" s="51"/>
      <c r="AO221" s="51"/>
      <c r="AP221" s="51"/>
      <c r="AQ221" s="51"/>
      <c r="AS221" s="51"/>
      <c r="AT221" s="51"/>
      <c r="AU221" s="51"/>
      <c r="AV221" s="51"/>
      <c r="AW221" s="51"/>
    </row>
    <row r="222" spans="1:49">
      <c r="X222" s="115">
        <f t="shared" si="67"/>
        <v>0</v>
      </c>
      <c r="Y222" s="115">
        <f t="shared" si="68"/>
        <v>0</v>
      </c>
      <c r="Z222" s="115" t="e">
        <f t="shared" si="69"/>
        <v>#VALUE!</v>
      </c>
      <c r="AA222" s="115">
        <f t="shared" si="70"/>
        <v>0</v>
      </c>
      <c r="AD222" s="51"/>
      <c r="AE222" s="51"/>
      <c r="AF222" s="51"/>
      <c r="AG222" s="51"/>
      <c r="AH222" s="51"/>
      <c r="AI222" s="51"/>
      <c r="AJ222" s="51"/>
      <c r="AK222" s="51"/>
      <c r="AL222" s="51"/>
      <c r="AM222" s="51"/>
      <c r="AN222" s="51"/>
      <c r="AO222" s="51"/>
      <c r="AP222" s="51"/>
      <c r="AQ222" s="51"/>
      <c r="AS222" s="51"/>
      <c r="AT222" s="51"/>
      <c r="AU222" s="51"/>
      <c r="AV222" s="51"/>
      <c r="AW222" s="51"/>
    </row>
    <row r="223" spans="1:49">
      <c r="X223" s="115">
        <f t="shared" si="67"/>
        <v>0</v>
      </c>
      <c r="Y223" s="115">
        <f t="shared" si="68"/>
        <v>0</v>
      </c>
      <c r="Z223" s="115" t="e">
        <f t="shared" si="69"/>
        <v>#VALUE!</v>
      </c>
      <c r="AA223" s="115">
        <f t="shared" si="70"/>
        <v>0</v>
      </c>
      <c r="AD223" s="51"/>
      <c r="AE223" s="374" t="s">
        <v>102</v>
      </c>
      <c r="AF223" s="374"/>
      <c r="AG223" s="51"/>
      <c r="AH223" s="51"/>
      <c r="AI223" s="51"/>
      <c r="AJ223" s="51"/>
      <c r="AK223" s="51"/>
      <c r="AL223" s="51"/>
      <c r="AM223" s="51"/>
      <c r="AN223" s="51"/>
      <c r="AO223" s="51"/>
      <c r="AP223" s="51"/>
      <c r="AQ223" s="51"/>
      <c r="AS223" s="51"/>
      <c r="AT223" s="374" t="s">
        <v>102</v>
      </c>
      <c r="AU223" s="374"/>
      <c r="AV223" s="51"/>
      <c r="AW223" s="51"/>
    </row>
    <row r="224" spans="1:49">
      <c r="X224" s="115">
        <f t="shared" si="67"/>
        <v>0</v>
      </c>
      <c r="Y224" s="115">
        <f t="shared" si="68"/>
        <v>0</v>
      </c>
      <c r="Z224" s="115" t="e">
        <f t="shared" si="69"/>
        <v>#VALUE!</v>
      </c>
      <c r="AA224" s="115">
        <f t="shared" si="70"/>
        <v>0</v>
      </c>
      <c r="AD224" s="374" t="s">
        <v>103</v>
      </c>
      <c r="AE224" s="374"/>
      <c r="AF224" s="374"/>
      <c r="AG224" s="374"/>
      <c r="AH224" s="51"/>
      <c r="AI224" s="51"/>
      <c r="AJ224" s="51"/>
      <c r="AK224" s="51"/>
      <c r="AL224" s="51"/>
      <c r="AM224" s="51"/>
      <c r="AN224" s="51"/>
      <c r="AO224" s="51"/>
      <c r="AP224" s="51"/>
      <c r="AQ224" s="51"/>
      <c r="AS224" s="374" t="s">
        <v>103</v>
      </c>
      <c r="AT224" s="374"/>
      <c r="AU224" s="374"/>
      <c r="AV224" s="374"/>
      <c r="AW224" s="51"/>
    </row>
    <row r="225" spans="24:51">
      <c r="X225" s="115">
        <f t="shared" si="67"/>
        <v>0</v>
      </c>
      <c r="Y225" s="115">
        <f t="shared" si="68"/>
        <v>0</v>
      </c>
      <c r="Z225" s="115" t="e">
        <f t="shared" si="69"/>
        <v>#VALUE!</v>
      </c>
      <c r="AA225" s="115">
        <f t="shared" si="70"/>
        <v>0</v>
      </c>
      <c r="AD225" s="51"/>
      <c r="AE225" s="346" t="s">
        <v>563</v>
      </c>
      <c r="AF225" s="346" t="s">
        <v>561</v>
      </c>
      <c r="AG225" s="368" t="s">
        <v>565</v>
      </c>
      <c r="AI225" s="51"/>
      <c r="AJ225" s="51"/>
      <c r="AK225" s="51"/>
      <c r="AL225" s="51"/>
      <c r="AM225" s="51"/>
      <c r="AN225" s="51"/>
      <c r="AO225" s="51"/>
      <c r="AP225" s="51"/>
      <c r="AQ225" s="51"/>
      <c r="AS225" s="51"/>
      <c r="AT225" s="346" t="s">
        <v>563</v>
      </c>
      <c r="AU225" s="346" t="s">
        <v>561</v>
      </c>
      <c r="AV225" s="368" t="s">
        <v>565</v>
      </c>
    </row>
    <row r="226" spans="24:51">
      <c r="X226" s="115">
        <f t="shared" si="67"/>
        <v>0</v>
      </c>
      <c r="Y226" s="115">
        <f t="shared" si="68"/>
        <v>0</v>
      </c>
      <c r="Z226" s="115" t="e">
        <f t="shared" si="69"/>
        <v>#VALUE!</v>
      </c>
      <c r="AA226" s="115">
        <f t="shared" si="70"/>
        <v>0</v>
      </c>
      <c r="AD226" s="51" t="s">
        <v>14</v>
      </c>
      <c r="AE226" s="51">
        <f>COUNTIFS(D:D,"DA",F:F,"ATONGOAL",G:G,"",I:I,"S1")+COUNTIFS(D:D,"DA",F:F,"ATON",G:G,"",I:I,"S1")+COUNTIFS(D:D,"DA",F:F,"ATOF",G:G,"",I:I,"S1")+COUNTIFS(D:D,"DA",F:F,"ATBK",G:G,"",I:I,"S1")</f>
        <v>0</v>
      </c>
      <c r="AF226" s="51">
        <f>COUNTIFS(D:D,"DA",F:F,"ATONGOAL",G:G,"",I:I,"S2")+COUNTIFS(D:D,"DA",F:F,"ATON",G:G,"",I:I,"S2")+COUNTIFS(D:D,"DA",F:F,"ATOF",G:G,"",I:I,"S2")+COUNTIFS(D:D,"DA",F:F,"ATBK",G:G,"",I:I,"S2")</f>
        <v>0</v>
      </c>
      <c r="AG226" s="51">
        <f>COUNTIFS(D:D,"DA",F:F,"ATONGOAL",G:G,"",I:I,"S3")+COUNTIFS(D:D,"DA",F:F,"ATON",G:G,"",I:I,"S3")+COUNTIFS(D:D,"DA",F:F,"ATOF",G:G,"",I:I,"S3")+COUNTIFS(D:D,"DA",F:F,"ATBK",G:G,"",I:I,"S3")</f>
        <v>0</v>
      </c>
      <c r="AI226" s="51"/>
      <c r="AJ226" s="51"/>
      <c r="AK226" s="51"/>
      <c r="AL226" s="51"/>
      <c r="AM226" s="51"/>
      <c r="AN226" s="51"/>
      <c r="AO226" s="51"/>
      <c r="AP226" s="51"/>
      <c r="AQ226" s="51"/>
      <c r="AS226" s="51" t="s">
        <v>17</v>
      </c>
      <c r="AT226" s="51">
        <f>COUNTIFS(D:D,"AD",F:F,"ATONGOAL",G:G,"",I:I,"S1")+COUNTIFS(D:D,"AD",F:F,"ATON",G:G,"",I:I,"S1")+COUNTIFS(D:D,"AD",F:F,"ATOF",G:G,"",I:I,"S1")+COUNTIFS(D:D,"AD",F:F,"ATBK",G:G,"",I:I,"S1")</f>
        <v>1</v>
      </c>
      <c r="AU226" s="51">
        <f>COUNTIFS(D:D,"AD",F:F,"ATONGOAL",G:G,"",I:I,"S2")+COUNTIFS(D:D,"AD",F:F,"ATON",G:G,"",I:I,"S2")+COUNTIFS(D:D,"AD",F:F,"ATOF",G:G,"",I:I,"S2")+COUNTIFS(D:D,"AD",F:F,"ATBK",G:G,"",I:I,"S2")</f>
        <v>1</v>
      </c>
      <c r="AV226" s="51">
        <f>COUNTIFS(D:D,"AD",F:F,"ATONGOAL",G:G,"",I:I,"S3")+COUNTIFS(D:D,"AD",F:F,"ATON",G:G,"",I:I,"S3")+COUNTIFS(D:D,"AD",F:F,"ATOF",G:G,"",I:I,"S3")+COUNTIFS(D:D,"AD",F:F,"ATBK",G:G,"",I:I,"S3")</f>
        <v>3</v>
      </c>
    </row>
    <row r="227" spans="24:51" s="115" customFormat="1">
      <c r="X227" s="115">
        <f t="shared" si="67"/>
        <v>0</v>
      </c>
      <c r="Y227" s="115">
        <f t="shared" si="68"/>
        <v>0</v>
      </c>
      <c r="Z227" s="115" t="e">
        <f t="shared" si="69"/>
        <v>#VALUE!</v>
      </c>
      <c r="AA227" s="115">
        <f t="shared" si="70"/>
        <v>0</v>
      </c>
      <c r="AB227" s="246"/>
    </row>
    <row r="228" spans="24:51" s="115" customFormat="1">
      <c r="X228" s="115">
        <f t="shared" si="67"/>
        <v>0</v>
      </c>
      <c r="Y228" s="115">
        <f t="shared" si="68"/>
        <v>0</v>
      </c>
      <c r="Z228" s="115" t="e">
        <f t="shared" si="69"/>
        <v>#VALUE!</v>
      </c>
      <c r="AA228" s="115">
        <f t="shared" si="70"/>
        <v>0</v>
      </c>
      <c r="AB228" s="246"/>
    </row>
    <row r="229" spans="24:51" s="115" customFormat="1">
      <c r="X229" s="115">
        <f t="shared" si="67"/>
        <v>0</v>
      </c>
      <c r="Y229" s="115">
        <f t="shared" si="68"/>
        <v>0</v>
      </c>
      <c r="Z229" s="115" t="e">
        <f t="shared" si="69"/>
        <v>#VALUE!</v>
      </c>
      <c r="AA229" s="115">
        <f t="shared" si="70"/>
        <v>0</v>
      </c>
      <c r="AB229" s="246"/>
      <c r="AE229" s="374" t="s">
        <v>335</v>
      </c>
      <c r="AF229" s="374"/>
      <c r="AT229" s="374" t="s">
        <v>335</v>
      </c>
      <c r="AU229" s="374"/>
    </row>
    <row r="230" spans="24:51" s="115" customFormat="1">
      <c r="X230" s="115">
        <f t="shared" si="67"/>
        <v>0</v>
      </c>
      <c r="Y230" s="115">
        <f t="shared" si="68"/>
        <v>0</v>
      </c>
      <c r="Z230" s="115" t="e">
        <f t="shared" si="69"/>
        <v>#VALUE!</v>
      </c>
      <c r="AA230" s="115">
        <f t="shared" si="70"/>
        <v>0</v>
      </c>
      <c r="AB230" s="246"/>
      <c r="AD230" s="374" t="s">
        <v>305</v>
      </c>
      <c r="AE230" s="374"/>
      <c r="AF230" s="374"/>
      <c r="AG230" s="374"/>
      <c r="AS230" s="374" t="s">
        <v>104</v>
      </c>
      <c r="AT230" s="374"/>
      <c r="AU230" s="374"/>
      <c r="AV230" s="374"/>
    </row>
    <row r="231" spans="24:51" s="115" customFormat="1">
      <c r="X231" s="115">
        <f t="shared" si="67"/>
        <v>0</v>
      </c>
      <c r="Y231" s="115">
        <f t="shared" si="68"/>
        <v>0</v>
      </c>
      <c r="Z231" s="115" t="e">
        <f t="shared" si="69"/>
        <v>#VALUE!</v>
      </c>
      <c r="AA231" s="115">
        <f t="shared" si="70"/>
        <v>0</v>
      </c>
      <c r="AB231" s="246"/>
      <c r="AE231" s="115" t="s">
        <v>4</v>
      </c>
      <c r="AF231" s="115" t="s">
        <v>10</v>
      </c>
      <c r="AG231" s="115" t="s">
        <v>29</v>
      </c>
      <c r="AH231" s="204" t="s">
        <v>127</v>
      </c>
      <c r="AI231" s="115" t="s">
        <v>164</v>
      </c>
      <c r="AT231" s="115" t="s">
        <v>4</v>
      </c>
      <c r="AU231" s="115" t="s">
        <v>10</v>
      </c>
      <c r="AV231" s="115" t="s">
        <v>29</v>
      </c>
      <c r="AW231" s="204" t="s">
        <v>127</v>
      </c>
      <c r="AX231" s="115" t="s">
        <v>164</v>
      </c>
    </row>
    <row r="232" spans="24:51" s="115" customFormat="1">
      <c r="X232" s="115">
        <f t="shared" si="67"/>
        <v>0</v>
      </c>
      <c r="Y232" s="115">
        <f t="shared" si="68"/>
        <v>0</v>
      </c>
      <c r="Z232" s="115" t="e">
        <f t="shared" si="69"/>
        <v>#VALUE!</v>
      </c>
      <c r="AA232" s="115">
        <f t="shared" si="70"/>
        <v>0</v>
      </c>
      <c r="AB232" s="246"/>
      <c r="AD232" s="115" t="s">
        <v>5</v>
      </c>
      <c r="AE232" s="178">
        <f>COUNTIFS(D:D,"AA",E:E,"POS",M:M,"STANCO",F:F,"ATONGOAL")+COUNTIFS(D:D,"AA",E:E,"POS",M:M,"STANCO",F:F,"ATON")+COUNTIFS(D:D,"AA",E:E,"POS",M:M,"STANCO",F:F,"ATOF")+COUNTIFS(D:D,"AA",E:E,"POS",M:M,"STANCO",F:F,"ATBK")</f>
        <v>1</v>
      </c>
      <c r="AF232" s="178">
        <f>COUNTIFS(D:D,"AA",E:E,"POS",M:M,"STANFK",F:F,"ATONGOAL")+COUNTIFS(D:D,"AA",E:E,"POS",M:M,"STANFK",F:F,"ATON")+COUNTIFS(D:D,"AA",E:E,"POS",M:M,"STANFK",F:F,"ATOF")+COUNTIFS(D:D,"AA",E:E,"POS",M:M,"STANFK",F:F,"ATBK")</f>
        <v>1</v>
      </c>
      <c r="AG232" s="178">
        <f>COUNTIFS(D:D,"AA",E:E,"POS",M:M,"STANTI",F:F,"ATONGOAL")+COUNTIFS(D:D,"AA",E:E,"POS",M:M,"STANTI",F:F,"ATON")+COUNTIFS(D:D,"AA",E:E,"POS",M:M,"STANTI",F:F,"ATOF")+COUNTIFS(D:D,"AA",E:E,"POS",M:M,"STANTI",F:F,"ATBK")</f>
        <v>0</v>
      </c>
      <c r="AH232" s="178">
        <f>COUNTIFS(D:D,"AA",E:E,"POS",M:M,"STANPEN",F:F,"ATONGOAL")+COUNTIFS(D:D,"AA",E:E,"POS",M:M,"STANPEN",F:F,"ATON")+COUNTIFS(D:D,"AA",E:E,"POS",M:M,"STANPEN",F:F,"ATOF")+COUNTIFS(D:D,"AA",E:E,"POS",M:M,"STANPEN",F:F,"ATBK")</f>
        <v>0</v>
      </c>
      <c r="AI232" s="178">
        <f>COUNTIFS(D:D,"AA",E:E,"POS",M:M,"STANFK DIRECT",F:F,"ATONGOAL")+COUNTIFS(D:D,"AA",E:E,"POS",M:M,"STANFK DIRECT",F:F,"ATON")+COUNTIFS(D:D,"AA",E:E,"POS",M:M,"STANFK DIRECT",F:F,"ATOF")+COUNTIFS(D:D,"AA",E:E,"POS",M:M,"STANFK DIRECT",F:F,"ATBK")</f>
        <v>1</v>
      </c>
      <c r="AJ232" s="115">
        <f>SUM(AE232:AI232)</f>
        <v>3</v>
      </c>
      <c r="AS232" s="115" t="s">
        <v>1</v>
      </c>
      <c r="AT232" s="115">
        <f>COUNTIFS(D:D,"DD",E:E,"NEG",M:M,"STANCO",F:F,"ATONGOAL")+COUNTIFS(D:D,"DD",E:E,"NEG",M:M,"STANCO",F:F,"ATON")+COUNTIFS(D:D,"DD",E:E,"NEG",M:M,"STANCO",F:F,"ATOF")+COUNTIFS(D:D,"DD",E:E,"NEG",M:M,"STANCO",F:F,"ATBK")</f>
        <v>3</v>
      </c>
      <c r="AU232" s="115">
        <f>COUNTIFS(D:D,"DD",E:E,"NEG",M:M,"STANFK",F:F,"ATONGOAL")+COUNTIFS(D:D,"DD",E:E,"NEG",M:M,"STANFK",F:F,"ATON")+COUNTIFS(D:D,"DD",E:E,"NEG",M:M,"STANFK",F:F,"ATOF")+COUNTIFS(D:D,"DD",E:E,"NEG",M:M,"STANFK",F:F,"ATBK")</f>
        <v>2</v>
      </c>
      <c r="AV232" s="115">
        <f>COUNTIFS(D:D,"DD",E:E,"NEG",M:M,"STANTI",F:F,"ATONGOAL")+COUNTIFS(D:D,"DD",E:E,"NEG",M:M,"STANTI",F:F,"ATON")+COUNTIFS(D:D,"DD",E:E,"NEG",M:M,"STANTI",F:F,"ATOF")+COUNTIFS(D:D,"DD",E:E,"NEG",M:M,"STANTI",F:F,"ATBK")</f>
        <v>0</v>
      </c>
      <c r="AW232" s="115">
        <f>COUNTIFS(D:D,"DD",E:E,"NEG",M:M,"STANPEN",F:F,"ATONGOAL")+COUNTIFS(D:D,"DD",E:E,"NEG",M:M,"STANPEN",F:F,"ATON")+COUNTIFS(D:D,"DD",E:E,"NEG",M:M,"STANPEN",F:F,"ATOF")+COUNTIFS(D:D,"DD",E:E,"NEG",M:M,"STANPEN",F:F,"ATBK")</f>
        <v>0</v>
      </c>
      <c r="AX232" s="115">
        <f>COUNTIFS(D:D,"DD",E:E,"NEG",M:M,"STANFK DIRECT",F:F,"ATONGOAL")+COUNTIFS(D:D,"DD",E:E,"NEG",M:M,"STANFK DIRECT",F:F,"ATON")+COUNTIFS(D:D,"DD",E:E,"NEG",M:M,"STANFK DIRECT",F:F,"ATOF")+COUNTIFS(D:D,"DD",E:E,"NEG",M:M,"STANFK DIRECT",F:F,"ATBK")</f>
        <v>1</v>
      </c>
      <c r="AY232" s="115">
        <f>SUM(AT232:AX232)</f>
        <v>6</v>
      </c>
    </row>
    <row r="233" spans="24:51" s="115" customFormat="1">
      <c r="X233" s="115">
        <f t="shared" si="67"/>
        <v>0</v>
      </c>
      <c r="Y233" s="115">
        <f t="shared" si="68"/>
        <v>0</v>
      </c>
      <c r="Z233" s="115" t="e">
        <f t="shared" si="69"/>
        <v>#VALUE!</v>
      </c>
      <c r="AA233" s="115">
        <f t="shared" si="70"/>
        <v>0</v>
      </c>
      <c r="AB233" s="246"/>
      <c r="AD233" s="115" t="s">
        <v>45</v>
      </c>
      <c r="AE233" s="178">
        <f>COUNTIFS(D:D,"AA",M:M,"STANCO")</f>
        <v>2</v>
      </c>
      <c r="AF233" s="178">
        <f>COUNTIFS(D:D,"AA",M:M,"STANFK")</f>
        <v>1</v>
      </c>
      <c r="AG233" s="178">
        <f>COUNTIFS(D:D,"AA",M:M,"STANTI")</f>
        <v>2</v>
      </c>
      <c r="AH233" s="178">
        <f>COUNTIFS(D:D,"AA",M:M,"STANPEN")</f>
        <v>0</v>
      </c>
      <c r="AI233" s="178">
        <f>COUNTIFS(D:D,"AA",M:M,"STANFK DIRECT")</f>
        <v>1</v>
      </c>
      <c r="AS233" s="115" t="s">
        <v>45</v>
      </c>
      <c r="AT233" s="115">
        <f>COUNTIFS(D:D,"DD",M:M,"STANCO")</f>
        <v>5</v>
      </c>
      <c r="AU233" s="115">
        <f>COUNTIFS(D:D,"DD",M:M,"STANFK")</f>
        <v>4</v>
      </c>
      <c r="AV233" s="115">
        <f>COUNTIFS(D:D,"DD",M:M,"STANTI")</f>
        <v>3</v>
      </c>
      <c r="AW233" s="115">
        <f>COUNTIFS(D:D,"DD",M:M,"STANPEN")</f>
        <v>0</v>
      </c>
      <c r="AX233" s="115">
        <f>COUNTIFS(D:D,"DD",M:M,"STANFK DIRECT")</f>
        <v>1</v>
      </c>
    </row>
    <row r="234" spans="24:51" s="115" customFormat="1">
      <c r="X234" s="115">
        <f t="shared" si="67"/>
        <v>0</v>
      </c>
      <c r="Y234" s="115">
        <f t="shared" si="68"/>
        <v>0</v>
      </c>
      <c r="Z234" s="115" t="e">
        <f t="shared" si="69"/>
        <v>#VALUE!</v>
      </c>
      <c r="AA234" s="115">
        <f t="shared" si="70"/>
        <v>0</v>
      </c>
      <c r="AB234" s="246"/>
      <c r="AD234" s="115" t="s">
        <v>265</v>
      </c>
      <c r="AE234" s="153">
        <f>AE232/AE233</f>
        <v>0.5</v>
      </c>
      <c r="AF234" s="153">
        <f t="shared" ref="AF234" si="76">AF232/AF233</f>
        <v>1</v>
      </c>
      <c r="AG234" s="153">
        <f t="shared" ref="AG234" si="77">AG232/AG233</f>
        <v>0</v>
      </c>
      <c r="AH234" s="153" t="e">
        <f t="shared" ref="AH234" si="78">AH232/AH233</f>
        <v>#DIV/0!</v>
      </c>
      <c r="AI234" s="153">
        <f t="shared" ref="AI234" si="79">AI232/AI233</f>
        <v>1</v>
      </c>
      <c r="AS234" s="115" t="s">
        <v>265</v>
      </c>
      <c r="AT234" s="153">
        <f>AT232/AT233</f>
        <v>0.6</v>
      </c>
      <c r="AU234" s="153">
        <f t="shared" ref="AU234" si="80">AU232/AU233</f>
        <v>0.5</v>
      </c>
      <c r="AV234" s="153">
        <f t="shared" ref="AV234" si="81">AV232/AV233</f>
        <v>0</v>
      </c>
      <c r="AW234" s="153" t="e">
        <f t="shared" ref="AW234" si="82">AW232/AW233</f>
        <v>#DIV/0!</v>
      </c>
      <c r="AX234" s="153">
        <f t="shared" ref="AX234" si="83">AX232/AX233</f>
        <v>1</v>
      </c>
    </row>
    <row r="235" spans="24:51" s="115" customFormat="1">
      <c r="X235" s="115">
        <f t="shared" si="67"/>
        <v>0</v>
      </c>
      <c r="Y235" s="115">
        <f t="shared" si="68"/>
        <v>0</v>
      </c>
      <c r="Z235" s="115" t="e">
        <f t="shared" si="69"/>
        <v>#VALUE!</v>
      </c>
      <c r="AA235" s="115">
        <f t="shared" si="70"/>
        <v>0</v>
      </c>
      <c r="AB235" s="246"/>
      <c r="AD235" s="115" t="s">
        <v>331</v>
      </c>
      <c r="AE235" s="151">
        <f>AE232/$AJ232</f>
        <v>0.33333333333333331</v>
      </c>
      <c r="AF235" s="151">
        <f>AF232/$AJ232</f>
        <v>0.33333333333333331</v>
      </c>
      <c r="AG235" s="151">
        <f>AG232/$AJ232</f>
        <v>0</v>
      </c>
      <c r="AH235" s="151">
        <f t="shared" ref="AH235:AI235" si="84">AH232/$AJ232</f>
        <v>0</v>
      </c>
      <c r="AI235" s="151">
        <f t="shared" si="84"/>
        <v>0.33333333333333331</v>
      </c>
      <c r="AS235" s="115" t="s">
        <v>331</v>
      </c>
      <c r="AT235" s="151">
        <f>AT232/$AY232</f>
        <v>0.5</v>
      </c>
      <c r="AU235" s="151">
        <f>AU232/$AY232</f>
        <v>0.33333333333333331</v>
      </c>
      <c r="AV235" s="151">
        <f>AV232/$AY232</f>
        <v>0</v>
      </c>
      <c r="AW235" s="151">
        <f t="shared" ref="AW235:AX235" si="85">AW232/$AY232</f>
        <v>0</v>
      </c>
      <c r="AX235" s="151">
        <f t="shared" si="85"/>
        <v>0.16666666666666666</v>
      </c>
    </row>
    <row r="236" spans="24:51" s="115" customFormat="1">
      <c r="X236" s="115">
        <f t="shared" si="67"/>
        <v>0</v>
      </c>
      <c r="Y236" s="115">
        <f t="shared" si="68"/>
        <v>0</v>
      </c>
      <c r="Z236" s="115" t="e">
        <f t="shared" si="69"/>
        <v>#VALUE!</v>
      </c>
      <c r="AA236" s="115">
        <f t="shared" si="70"/>
        <v>0</v>
      </c>
      <c r="AB236" s="246"/>
    </row>
    <row r="237" spans="24:51" s="115" customFormat="1">
      <c r="X237" s="115">
        <f t="shared" si="67"/>
        <v>0</v>
      </c>
      <c r="Y237" s="115">
        <f t="shared" si="68"/>
        <v>0</v>
      </c>
      <c r="Z237" s="115" t="e">
        <f t="shared" si="69"/>
        <v>#VALUE!</v>
      </c>
      <c r="AA237" s="115">
        <f t="shared" si="70"/>
        <v>0</v>
      </c>
      <c r="AB237" s="246"/>
      <c r="AE237" s="374" t="s">
        <v>335</v>
      </c>
      <c r="AF237" s="374"/>
      <c r="AT237" s="374" t="s">
        <v>335</v>
      </c>
      <c r="AU237" s="374"/>
    </row>
    <row r="238" spans="24:51" s="115" customFormat="1">
      <c r="X238" s="115">
        <f t="shared" si="67"/>
        <v>0</v>
      </c>
      <c r="Y238" s="115">
        <f t="shared" si="68"/>
        <v>0</v>
      </c>
      <c r="Z238" s="115" t="e">
        <f t="shared" si="69"/>
        <v>#VALUE!</v>
      </c>
      <c r="AA238" s="115">
        <f t="shared" si="70"/>
        <v>0</v>
      </c>
      <c r="AB238" s="246"/>
      <c r="AD238" s="374" t="s">
        <v>306</v>
      </c>
      <c r="AE238" s="374"/>
      <c r="AF238" s="374"/>
      <c r="AG238" s="374"/>
      <c r="AH238" s="374"/>
      <c r="AS238" s="374" t="s">
        <v>104</v>
      </c>
      <c r="AT238" s="374"/>
      <c r="AU238" s="374"/>
      <c r="AV238" s="374"/>
    </row>
    <row r="239" spans="24:51">
      <c r="X239" s="115">
        <f t="shared" si="67"/>
        <v>0</v>
      </c>
      <c r="Y239" s="115">
        <f t="shared" si="68"/>
        <v>0</v>
      </c>
      <c r="Z239" s="115" t="e">
        <f t="shared" si="69"/>
        <v>#VALUE!</v>
      </c>
      <c r="AA239" s="115">
        <f t="shared" si="70"/>
        <v>0</v>
      </c>
      <c r="AD239" s="115"/>
      <c r="AE239" s="115" t="s">
        <v>10</v>
      </c>
      <c r="AF239" s="115" t="s">
        <v>29</v>
      </c>
      <c r="AG239" s="115" t="s">
        <v>25</v>
      </c>
      <c r="AH239" s="115" t="s">
        <v>27</v>
      </c>
      <c r="AI239" s="115"/>
      <c r="AK239" s="115"/>
      <c r="AL239" s="115"/>
      <c r="AM239" s="115"/>
      <c r="AN239" s="115"/>
      <c r="AO239" s="115"/>
      <c r="AP239" s="115"/>
      <c r="AQ239" s="115"/>
      <c r="AS239" s="115"/>
      <c r="AT239" s="115" t="s">
        <v>10</v>
      </c>
      <c r="AU239" s="115" t="s">
        <v>29</v>
      </c>
      <c r="AV239" s="115" t="s">
        <v>25</v>
      </c>
      <c r="AW239" s="115" t="s">
        <v>27</v>
      </c>
      <c r="AX239" s="115"/>
      <c r="AY239" s="115"/>
    </row>
    <row r="240" spans="24:51">
      <c r="X240" s="115">
        <f t="shared" si="67"/>
        <v>0</v>
      </c>
      <c r="Y240" s="115">
        <f t="shared" si="68"/>
        <v>0</v>
      </c>
      <c r="Z240" s="115" t="e">
        <f t="shared" si="69"/>
        <v>#VALUE!</v>
      </c>
      <c r="AA240" s="115">
        <f t="shared" si="70"/>
        <v>0</v>
      </c>
      <c r="AD240" s="115" t="s">
        <v>5</v>
      </c>
      <c r="AE240" s="178">
        <f>COUNTIFS(D:D,"AA",E:E,"POS",G:G,"STANFK",F:F,"ATONGOAL")+COUNTIFS(D:D,"AA",E:E,"POS",G:G,"STANFK",F:F,"ATON")+COUNTIFS(D:D,"AA",E:E,"POS",G:G,"STANFK",F:F,"ATOF")+COUNTIFS(D:D,"AA",E:E,"POS",G:G,"STANFK",F:F,"ATBK")</f>
        <v>1</v>
      </c>
      <c r="AF240" s="178">
        <f>COUNTIFS(D:D,"AA",E:E,"POS",G:G,"STANTI",F:F,"ATONGOAL")+COUNTIFS(D:D,"AA",E:E,"POS",G:G,"STANTI",F:F,"ATON")+COUNTIFS(D:D,"AA",E:E,"POS",G:G,"STANTI",F:F,"ATOF")+COUNTIFS(D:D,"AA",E:E,"POS",G:G,"STANTI",F:F,"ATBK")</f>
        <v>0</v>
      </c>
      <c r="AG240" s="178">
        <f>COUNTIFS(D:D,"AA",E:E,"POS",G:G,"STANGK",F:F,"ATONGOAL")+COUNTIFS(D:D,"AA",E:E,"POS",G:G,"STANGK",F:F,"ATON")+COUNTIFS(D:D,"AA",E:E,"POS",G:G,"STANGK",F:F,"ATOF")+COUNTIFS(D:D,"AA",E:E,"POS",G:G,"STANGK",F:F,"ATBK")</f>
        <v>0</v>
      </c>
      <c r="AH240" s="178">
        <f>COUNTIFS(D:D,"AA",E:E,"POS",G:G,"STANGS",F:F,"ATONGOAL")+COUNTIFS(D:D,"AA",E:E,"POS",G:G,"STANGS",F:F,"ATON")+COUNTIFS(D:D,"AA",E:E,"POS",G:G,"STANGS",F:F,"ATOF")+COUNTIFS(D:D,"AA",E:E,"POS",G:G,"STANGS",F:F,"ATBK")</f>
        <v>0</v>
      </c>
      <c r="AI240" s="178">
        <f>SUM(AE240:AH240)</f>
        <v>1</v>
      </c>
      <c r="AK240" s="115"/>
      <c r="AL240" s="115"/>
      <c r="AM240" s="115"/>
      <c r="AN240" s="115"/>
      <c r="AO240" s="115"/>
      <c r="AP240" s="115"/>
      <c r="AQ240" s="115"/>
      <c r="AS240" s="115" t="s">
        <v>1</v>
      </c>
      <c r="AT240" s="115">
        <f>COUNTIFS(D:D,"DD",E:E,"NEG",G:G,"STANFK",F:F,"ATONGOAL")+COUNTIFS(D:D,"DD",E:E,"NEG",G:G,"STANFK",F:F,"ATON")+COUNTIFS(D:D,"DD",E:E,"NEG",G:G,"STANFK",F:F,"ATOF")+COUNTIFS(D:D,"DD",E:E,"NEG",G:G,"STANFK",F:F,"ATBK")</f>
        <v>0</v>
      </c>
      <c r="AU240" s="115">
        <f>COUNTIFS(D:D,"DD",E:E,"NEG",G:G,"STANTI",F:F,"ATONGOAL")+COUNTIFS(D:D,"DD",E:E,"NEG",G:G,"STANTI",F:F,"ATON")+COUNTIFS(D:D,"DD",E:E,"NEG",G:G,"STANTI",F:F,"ATOF")+COUNTIFS(D:D,"DD",E:E,"NEG",G:G,"STANTI",F:F,"ATBK")</f>
        <v>2</v>
      </c>
      <c r="AV240" s="115">
        <f>COUNTIFS(D:D,"DD",E:E,"NEG",G:G,"STANGK",F:F,"ATONGOAL")+COUNTIFS(D:D,"DD",E:E,"NEG",G:G,"STANGK",F:F,"ATON")+COUNTIFS(D:D,"DD",E:E,"NEG",G:G,"STANGK",F:F,"ATOF")+COUNTIFS(D:D,"DD",E:E,"NEG",G:G,"STANGK",F:F,"ATBK")</f>
        <v>0</v>
      </c>
      <c r="AW240" s="115">
        <f>COUNTIFS(D:D,"DD",E:E,"NEG",G:G,"STANGS",F:F,"ATONGOAL")+COUNTIFS(D:D,"DD",E:E,"NEG",G:G,"STANGS",F:F,"ATON")+COUNTIFS(D:D,"DD",E:E,"NEG",G:G,"STANGS",F:F,"ATOF")+COUNTIFS(D:D,"DD",E:E,"NEG",G:G,"STANGS",F:F,"ATBK")</f>
        <v>0</v>
      </c>
      <c r="AX240" s="115">
        <f>SUM(AT240:AW240)</f>
        <v>2</v>
      </c>
    </row>
    <row r="241" spans="15:52">
      <c r="X241" s="115">
        <f t="shared" si="67"/>
        <v>0</v>
      </c>
      <c r="Y241" s="115">
        <f t="shared" si="68"/>
        <v>0</v>
      </c>
      <c r="Z241" s="115" t="e">
        <f t="shared" si="69"/>
        <v>#VALUE!</v>
      </c>
      <c r="AA241" s="115">
        <f t="shared" si="70"/>
        <v>0</v>
      </c>
      <c r="AD241" s="115" t="s">
        <v>45</v>
      </c>
      <c r="AE241" s="178">
        <f>COUNTIFS(D:D,"AA",G:G,"STANFK")</f>
        <v>10</v>
      </c>
      <c r="AF241" s="178">
        <f>COUNTIFS(D:D,"AA",G:G,"STANTI")</f>
        <v>17</v>
      </c>
      <c r="AG241" s="178">
        <f>COUNTIFS(D:D,"AA",G:G,"STANGK")</f>
        <v>6</v>
      </c>
      <c r="AH241" s="178">
        <f>COUNTIFS(D:D,"AA",G:G,"STANGS")</f>
        <v>9</v>
      </c>
      <c r="AI241" s="115"/>
      <c r="AK241" s="115"/>
      <c r="AL241" s="115"/>
      <c r="AM241" s="115"/>
      <c r="AN241" s="115"/>
      <c r="AO241" s="115"/>
      <c r="AP241" s="115"/>
      <c r="AQ241" s="115"/>
      <c r="AS241" s="115" t="s">
        <v>45</v>
      </c>
      <c r="AT241" s="115">
        <f>COUNTIFS(D:D,"DD",G:G,"STANFK")</f>
        <v>4</v>
      </c>
      <c r="AU241" s="115">
        <f>COUNTIFS(D:D,"DD",G:G,"STANTI")</f>
        <v>19</v>
      </c>
      <c r="AV241" s="115">
        <f>COUNTIFS(D:D,"DD",G:G,"STANGK")</f>
        <v>5</v>
      </c>
      <c r="AW241" s="115">
        <f>COUNTIFS(D:D,"DD",G:G,"STANGS")</f>
        <v>4</v>
      </c>
      <c r="AX241" s="115"/>
    </row>
    <row r="242" spans="15:52">
      <c r="X242" s="115">
        <f t="shared" si="67"/>
        <v>0</v>
      </c>
      <c r="Y242" s="115">
        <f t="shared" si="68"/>
        <v>0</v>
      </c>
      <c r="Z242" s="115" t="e">
        <f t="shared" si="69"/>
        <v>#VALUE!</v>
      </c>
      <c r="AA242" s="115">
        <f t="shared" si="70"/>
        <v>0</v>
      </c>
      <c r="AD242" s="115" t="s">
        <v>265</v>
      </c>
      <c r="AE242" s="216">
        <f t="shared" ref="AE242" si="86">AE240/AE241</f>
        <v>0.1</v>
      </c>
      <c r="AF242" s="216">
        <f>AF240/AF241</f>
        <v>0</v>
      </c>
      <c r="AG242" s="216">
        <f t="shared" ref="AG242" si="87">AG240/AG241</f>
        <v>0</v>
      </c>
      <c r="AH242" s="216">
        <f t="shared" ref="AH242" si="88">AH240/AH241</f>
        <v>0</v>
      </c>
      <c r="AI242" s="115"/>
      <c r="AK242" s="115"/>
      <c r="AL242" s="115"/>
      <c r="AM242" s="115"/>
      <c r="AN242" s="115"/>
      <c r="AO242" s="115"/>
      <c r="AP242" s="115"/>
      <c r="AQ242" s="115"/>
      <c r="AS242" s="115" t="s">
        <v>265</v>
      </c>
      <c r="AT242" s="216">
        <f t="shared" ref="AT242" si="89">AT240/AT241</f>
        <v>0</v>
      </c>
      <c r="AU242" s="216">
        <f>AU240/AU241</f>
        <v>0.10526315789473684</v>
      </c>
      <c r="AV242" s="216">
        <f t="shared" ref="AV242" si="90">AV240/AV241</f>
        <v>0</v>
      </c>
      <c r="AW242" s="216">
        <f t="shared" ref="AW242" si="91">AW240/AW241</f>
        <v>0</v>
      </c>
      <c r="AX242" s="115"/>
    </row>
    <row r="243" spans="15:52">
      <c r="X243" s="115">
        <f t="shared" si="67"/>
        <v>0</v>
      </c>
      <c r="Y243" s="115">
        <f t="shared" si="68"/>
        <v>0</v>
      </c>
      <c r="Z243" s="115" t="e">
        <f t="shared" si="69"/>
        <v>#VALUE!</v>
      </c>
      <c r="AA243" s="115">
        <f t="shared" si="70"/>
        <v>0</v>
      </c>
      <c r="AD243" s="115" t="s">
        <v>331</v>
      </c>
      <c r="AE243" s="151">
        <f>AE240/$AI240</f>
        <v>1</v>
      </c>
      <c r="AF243" s="151">
        <f>AF240/$AI240</f>
        <v>0</v>
      </c>
      <c r="AG243" s="151">
        <f t="shared" ref="AG243:AH243" si="92">AG240/$AI240</f>
        <v>0</v>
      </c>
      <c r="AH243" s="151">
        <f t="shared" si="92"/>
        <v>0</v>
      </c>
      <c r="AI243" s="115"/>
      <c r="AK243" s="115"/>
      <c r="AL243" s="115"/>
      <c r="AM243" s="115"/>
      <c r="AN243" s="115"/>
      <c r="AO243" s="115"/>
      <c r="AP243" s="115"/>
      <c r="AQ243" s="115"/>
      <c r="AS243" s="115" t="s">
        <v>331</v>
      </c>
      <c r="AT243" s="151">
        <f>AT240/$AX240</f>
        <v>0</v>
      </c>
      <c r="AU243" s="151">
        <f>AU240/$AX240</f>
        <v>1</v>
      </c>
      <c r="AV243" s="151">
        <f t="shared" ref="AV243:AW243" si="93">AV240/$AX240</f>
        <v>0</v>
      </c>
      <c r="AW243" s="151">
        <f t="shared" si="93"/>
        <v>0</v>
      </c>
      <c r="AX243" s="151"/>
      <c r="AZ243" s="115"/>
    </row>
    <row r="244" spans="15:52">
      <c r="X244" s="115">
        <f t="shared" si="67"/>
        <v>0</v>
      </c>
      <c r="Y244" s="115">
        <f t="shared" si="68"/>
        <v>0</v>
      </c>
      <c r="Z244" s="115" t="e">
        <f t="shared" si="69"/>
        <v>#VALUE!</v>
      </c>
      <c r="AA244" s="115">
        <f t="shared" si="70"/>
        <v>0</v>
      </c>
      <c r="AD244" s="51"/>
      <c r="AE244" s="51"/>
      <c r="AF244" s="51"/>
      <c r="AG244" s="51"/>
      <c r="AH244" s="100"/>
      <c r="AI244" s="100"/>
      <c r="AJ244" s="100"/>
      <c r="AK244" s="115"/>
      <c r="AL244" s="51"/>
      <c r="AM244" s="51"/>
      <c r="AN244" s="51"/>
      <c r="AO244" s="51"/>
      <c r="AP244" s="51"/>
      <c r="AQ244" s="51"/>
      <c r="AS244" s="51"/>
      <c r="AT244" s="51"/>
      <c r="AU244" s="51"/>
      <c r="AV244" s="51"/>
      <c r="AW244" s="100"/>
      <c r="AX244" s="100"/>
      <c r="AZ244" s="115"/>
    </row>
    <row r="245" spans="15:52">
      <c r="X245" s="115">
        <f t="shared" si="67"/>
        <v>0</v>
      </c>
      <c r="Y245" s="115">
        <f t="shared" si="68"/>
        <v>0</v>
      </c>
      <c r="Z245" s="115" t="e">
        <f t="shared" si="69"/>
        <v>#VALUE!</v>
      </c>
      <c r="AA245" s="115">
        <f t="shared" si="70"/>
        <v>0</v>
      </c>
    </row>
    <row r="246" spans="15:52">
      <c r="X246" s="115">
        <f t="shared" si="67"/>
        <v>0</v>
      </c>
      <c r="Y246" s="115">
        <f t="shared" si="68"/>
        <v>0</v>
      </c>
      <c r="Z246" s="115" t="e">
        <f t="shared" si="69"/>
        <v>#VALUE!</v>
      </c>
      <c r="AA246" s="115">
        <f t="shared" si="70"/>
        <v>0</v>
      </c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57"/>
      <c r="AS246" s="57"/>
      <c r="AT246" s="57"/>
      <c r="AU246" s="57"/>
      <c r="AV246" s="57"/>
      <c r="AW246" s="57"/>
    </row>
    <row r="247" spans="15:52">
      <c r="X247" s="115">
        <f t="shared" si="67"/>
        <v>0</v>
      </c>
      <c r="Y247" s="115">
        <f t="shared" si="68"/>
        <v>0</v>
      </c>
      <c r="Z247" s="115" t="e">
        <f t="shared" si="69"/>
        <v>#VALUE!</v>
      </c>
      <c r="AA247" s="115">
        <f t="shared" si="70"/>
        <v>0</v>
      </c>
    </row>
    <row r="248" spans="15:52">
      <c r="O248" s="91"/>
      <c r="X248" s="115">
        <f t="shared" si="67"/>
        <v>0</v>
      </c>
      <c r="Y248" s="115">
        <f t="shared" si="68"/>
        <v>0</v>
      </c>
      <c r="Z248" s="115" t="e">
        <f t="shared" si="69"/>
        <v>#VALUE!</v>
      </c>
      <c r="AA248" s="115">
        <f t="shared" si="70"/>
        <v>0</v>
      </c>
      <c r="AD248" s="51"/>
      <c r="AE248" s="374" t="s">
        <v>2</v>
      </c>
      <c r="AF248" s="374"/>
      <c r="AG248" s="51"/>
      <c r="AH248" s="51"/>
      <c r="AS248" s="51"/>
      <c r="AT248" s="374" t="s">
        <v>6</v>
      </c>
      <c r="AU248" s="374"/>
      <c r="AV248" s="51"/>
      <c r="AW248" s="51"/>
    </row>
    <row r="249" spans="15:52">
      <c r="O249" s="91"/>
      <c r="X249" s="115">
        <f t="shared" si="67"/>
        <v>0</v>
      </c>
      <c r="Y249" s="115">
        <f t="shared" si="68"/>
        <v>0</v>
      </c>
      <c r="Z249" s="115" t="e">
        <f t="shared" si="69"/>
        <v>#VALUE!</v>
      </c>
      <c r="AA249" s="115">
        <f t="shared" si="70"/>
        <v>0</v>
      </c>
      <c r="AD249" s="51"/>
      <c r="AE249" s="51" t="s">
        <v>98</v>
      </c>
      <c r="AF249" s="51" t="s">
        <v>99</v>
      </c>
      <c r="AG249" s="51"/>
      <c r="AH249" s="51"/>
      <c r="AS249" s="51"/>
      <c r="AT249" s="51" t="s">
        <v>98</v>
      </c>
      <c r="AU249" s="51" t="s">
        <v>99</v>
      </c>
      <c r="AV249" s="51"/>
      <c r="AW249" s="51"/>
    </row>
    <row r="250" spans="15:52">
      <c r="O250" s="91"/>
      <c r="X250" s="115">
        <f t="shared" si="67"/>
        <v>0</v>
      </c>
      <c r="Y250" s="115">
        <f t="shared" si="68"/>
        <v>0</v>
      </c>
      <c r="Z250" s="115" t="e">
        <f t="shared" si="69"/>
        <v>#VALUE!</v>
      </c>
      <c r="AA250" s="115">
        <f t="shared" si="70"/>
        <v>0</v>
      </c>
      <c r="AD250" s="51" t="s">
        <v>97</v>
      </c>
      <c r="AE250" s="51">
        <f>COUNTIFS(D:D,"AA",E:E,"POS",G:G,"STANCO")+COUNTIFS(D:D,"AA",E:E,"POS",G:G,"STANTI")+COUNTIFS(D:D,"AA",E:E,"POS",G:G,"STANFK")+COUNTIFS(D:D,"AA",E:E,"POS",G:G,"STANGK")+COUNTIFS(D:D,"AA",E:E,"POS",G:G,"STANGS")+COUNTIFS(D:D,"AA",E:E,"POS",G:G,"STANFK DIRECT")+COUNTIFS(D:D,"AA",E:E,"POS",G:G,"STANPEN")+AE588</f>
        <v>19</v>
      </c>
      <c r="AF250" s="51">
        <f>COUNTIFS(D:D,"AA",E:E,"POS",G:G,"",M:M,"")+COUNTIFS(D:D,"DA",E:E,"POS",G:G,"",M:M,"")</f>
        <v>11</v>
      </c>
      <c r="AG250" s="51"/>
      <c r="AH250" s="51"/>
      <c r="AS250" s="51" t="s">
        <v>39</v>
      </c>
      <c r="AT250" s="51">
        <f>COUNTIFS(D:D,"DD",E:E,"NEG",G:G,"STANCO")+COUNTIFS(D:D,"DD",E:E,"NEG",G:G,"STANTI")+COUNTIFS(D:D,"DD",E:E,"NEG",G:G,"STANFK")+COUNTIFS(D:D,"DD",E:E,"NEG",G:G,"STANGK")+COUNTIFS(D:D,"DD",E:E,"NEG",G:G,"STANGS")+COUNTIFS(D:D,"DD",E:E,"NEG",G:G,"STANPEN")+COUNTIFS(D:D,"DD",E:E,"NEG",G:G,"STANFK DIRECT")+AV589</f>
        <v>22</v>
      </c>
      <c r="AU250" s="51">
        <f>COUNTIFS(D:D,"DD",E:E,"NEG",G:G,"",M:M,"")+COUNTIFS(D:D,"AD",E:E,"NEG",G:G,"",M:M,"")</f>
        <v>32</v>
      </c>
      <c r="AV250" s="51"/>
      <c r="AW250" s="51"/>
    </row>
    <row r="251" spans="15:52">
      <c r="O251" s="91"/>
      <c r="X251" s="115">
        <f t="shared" si="67"/>
        <v>0</v>
      </c>
      <c r="Y251" s="115">
        <f t="shared" si="68"/>
        <v>0</v>
      </c>
      <c r="Z251" s="115" t="e">
        <f t="shared" si="69"/>
        <v>#VALUE!</v>
      </c>
      <c r="AA251" s="115">
        <f t="shared" si="70"/>
        <v>0</v>
      </c>
      <c r="AD251" s="51"/>
      <c r="AE251" s="51"/>
      <c r="AF251" s="51"/>
      <c r="AG251" s="51"/>
      <c r="AH251" s="51"/>
      <c r="AS251" s="51"/>
      <c r="AT251" s="51"/>
      <c r="AU251" s="51"/>
      <c r="AV251" s="51"/>
      <c r="AW251" s="51"/>
    </row>
    <row r="252" spans="15:52">
      <c r="O252" s="91"/>
      <c r="X252" s="115">
        <f t="shared" si="67"/>
        <v>0</v>
      </c>
      <c r="Y252" s="115">
        <f t="shared" si="68"/>
        <v>0</v>
      </c>
      <c r="Z252" s="115" t="e">
        <f t="shared" si="69"/>
        <v>#VALUE!</v>
      </c>
      <c r="AA252" s="115">
        <f t="shared" si="70"/>
        <v>0</v>
      </c>
      <c r="AD252" s="51"/>
      <c r="AE252" s="51"/>
      <c r="AF252" s="51"/>
      <c r="AG252" s="51"/>
      <c r="AH252" s="51"/>
      <c r="AS252" s="51"/>
      <c r="AT252" s="51"/>
      <c r="AU252" s="51"/>
      <c r="AV252" s="51"/>
      <c r="AW252" s="51"/>
    </row>
    <row r="253" spans="15:52">
      <c r="O253" s="91"/>
      <c r="X253" s="115">
        <f t="shared" si="67"/>
        <v>0</v>
      </c>
      <c r="Y253" s="115">
        <f t="shared" si="68"/>
        <v>0</v>
      </c>
      <c r="Z253" s="115" t="e">
        <f t="shared" si="69"/>
        <v>#VALUE!</v>
      </c>
      <c r="AA253" s="115">
        <f t="shared" si="70"/>
        <v>0</v>
      </c>
      <c r="AD253" s="51"/>
      <c r="AE253" s="374" t="s">
        <v>2</v>
      </c>
      <c r="AF253" s="374"/>
      <c r="AG253" s="51"/>
      <c r="AH253" s="45"/>
      <c r="AS253" s="51"/>
      <c r="AT253" s="374" t="s">
        <v>6</v>
      </c>
      <c r="AU253" s="374"/>
      <c r="AV253" s="51"/>
      <c r="AW253" s="51"/>
    </row>
    <row r="254" spans="15:52">
      <c r="O254" s="91"/>
      <c r="X254" s="115">
        <f t="shared" si="67"/>
        <v>0</v>
      </c>
      <c r="Y254" s="115">
        <f t="shared" si="68"/>
        <v>0</v>
      </c>
      <c r="Z254" s="115" t="e">
        <f t="shared" si="69"/>
        <v>#VALUE!</v>
      </c>
      <c r="AA254" s="115">
        <f t="shared" si="70"/>
        <v>0</v>
      </c>
      <c r="AC254" s="173"/>
      <c r="AD254" s="51"/>
      <c r="AE254" s="51" t="s">
        <v>100</v>
      </c>
      <c r="AF254" s="51" t="s">
        <v>14</v>
      </c>
      <c r="AG254" s="51" t="s">
        <v>5</v>
      </c>
      <c r="AH254" s="51"/>
      <c r="AS254" s="51"/>
      <c r="AT254" s="51" t="s">
        <v>100</v>
      </c>
      <c r="AU254" s="51" t="s">
        <v>17</v>
      </c>
      <c r="AV254" s="51" t="s">
        <v>1</v>
      </c>
      <c r="AW254" s="51"/>
    </row>
    <row r="255" spans="15:52">
      <c r="O255" s="91"/>
      <c r="X255" s="115">
        <f t="shared" si="67"/>
        <v>0</v>
      </c>
      <c r="Y255" s="115">
        <f t="shared" si="68"/>
        <v>0</v>
      </c>
      <c r="Z255" s="115" t="e">
        <f t="shared" si="69"/>
        <v>#VALUE!</v>
      </c>
      <c r="AA255" s="115">
        <f t="shared" si="70"/>
        <v>0</v>
      </c>
      <c r="AC255" s="173"/>
      <c r="AD255" s="51" t="s">
        <v>68</v>
      </c>
      <c r="AE255" s="51">
        <f>COUNTIFS(D:D,"AA",E:E,"POS",G:G,"STANCO")+COUNTIFS(D:D,"AA",E:E,"POS",G:G,"STANTI")+COUNTIFS(D:D,"AA",E:E,"POS",G:G,"STANFK")+COUNTIFS(D:D,"AA",E:E,"POS",G:G,"STANGK")+COUNTIFS(D:D,"AA",E:E,"POS",G:G,"STANGS")+COUNTIFS(D:D,"AA",E:E,"POS",G:G,"STANFK DIRECT")+COUNTIFS(D:D,"AA",E:E,"POS",G:G,"STANPEN")+AE588</f>
        <v>19</v>
      </c>
      <c r="AF255" s="51">
        <f>COUNTIFS(D:D,"DA",E:E,"POS",G:G,"")</f>
        <v>9</v>
      </c>
      <c r="AG255" s="51">
        <f>COUNTIFS(D:D,"AA",E:E,"POS",G:G,"",M:M,"")</f>
        <v>2</v>
      </c>
      <c r="AH255" s="51"/>
      <c r="AS255" s="51" t="s">
        <v>39</v>
      </c>
      <c r="AT255" s="51">
        <f>COUNTIFS(D:D,"DD",E:E,"NEG",G:G,"STANCO")+COUNTIFS(D:D,"DD",E:E,"NEG",G:G,"STANTI")+COUNTIFS(D:D,"DD",E:E,"NEG",G:G,"STANFK")+COUNTIFS(D:D,"DD",E:E,"NEG",G:G,"STANGK")+COUNTIFS(D:D,"DD",E:E,"NEG",G:G,"STANGS")+COUNTIFS(D:D,"DD",E:E,"NEG",G:G,"STANPEN")+COUNTIFS(D:D,"DD",E:E,"NEG",G:G,"STANFK DIRECT")+AV589</f>
        <v>22</v>
      </c>
      <c r="AU255" s="51">
        <f>COUNTIFS(D:D,"AD",E:E,"NEG",G:G,"")</f>
        <v>26</v>
      </c>
      <c r="AV255" s="51">
        <f>COUNTIFS(D:D,"DD",E:E,"NEG",G:G,"",M:M,"")</f>
        <v>6</v>
      </c>
      <c r="AW255" s="51"/>
    </row>
    <row r="256" spans="15:52">
      <c r="O256" s="91"/>
      <c r="X256" s="115">
        <f t="shared" si="67"/>
        <v>0</v>
      </c>
      <c r="Y256" s="115">
        <f t="shared" si="68"/>
        <v>0</v>
      </c>
      <c r="Z256" s="115" t="e">
        <f t="shared" si="69"/>
        <v>#VALUE!</v>
      </c>
      <c r="AA256" s="115">
        <f t="shared" si="70"/>
        <v>0</v>
      </c>
      <c r="AD256" s="51"/>
      <c r="AE256" s="51"/>
      <c r="AF256" s="51"/>
      <c r="AG256" s="51"/>
      <c r="AH256" s="51"/>
      <c r="AS256" s="51"/>
      <c r="AT256" s="51"/>
      <c r="AU256" s="51"/>
      <c r="AV256" s="51"/>
      <c r="AW256" s="51"/>
    </row>
    <row r="257" spans="15:49">
      <c r="O257" s="91"/>
      <c r="X257" s="115">
        <f t="shared" si="67"/>
        <v>0</v>
      </c>
      <c r="Y257" s="115">
        <f t="shared" si="68"/>
        <v>0</v>
      </c>
      <c r="Z257" s="115" t="e">
        <f t="shared" si="69"/>
        <v>#VALUE!</v>
      </c>
      <c r="AA257" s="115">
        <f t="shared" si="70"/>
        <v>0</v>
      </c>
      <c r="AD257" s="51"/>
      <c r="AE257" s="51"/>
      <c r="AF257" s="51"/>
      <c r="AG257" s="51"/>
      <c r="AH257" s="51"/>
      <c r="AS257" s="51"/>
      <c r="AT257" s="51"/>
      <c r="AU257" s="51"/>
      <c r="AV257" s="51"/>
      <c r="AW257" s="51"/>
    </row>
    <row r="258" spans="15:49">
      <c r="O258" s="91"/>
      <c r="X258" s="115">
        <f t="shared" si="67"/>
        <v>0</v>
      </c>
      <c r="Y258" s="115">
        <f t="shared" si="68"/>
        <v>0</v>
      </c>
      <c r="Z258" s="115" t="e">
        <f t="shared" si="69"/>
        <v>#VALUE!</v>
      </c>
      <c r="AA258" s="115">
        <f t="shared" si="70"/>
        <v>0</v>
      </c>
      <c r="AD258" s="51"/>
      <c r="AE258" s="374" t="s">
        <v>2</v>
      </c>
      <c r="AF258" s="374"/>
      <c r="AG258" s="51"/>
      <c r="AH258" s="51"/>
      <c r="AS258" s="51"/>
      <c r="AT258" s="374" t="s">
        <v>6</v>
      </c>
      <c r="AU258" s="374"/>
      <c r="AV258" s="51"/>
      <c r="AW258" s="51"/>
    </row>
    <row r="259" spans="15:49">
      <c r="O259" s="91"/>
      <c r="X259" s="115">
        <f t="shared" ref="X259:X322" si="94">mapValues(E259,F259,"P265")</f>
        <v>0</v>
      </c>
      <c r="Y259" s="115">
        <f t="shared" ref="Y259:Y322" si="95">X258+X259</f>
        <v>0</v>
      </c>
      <c r="Z259" s="115" t="e">
        <f t="shared" ref="Z259:Z322" si="96">VALUE(MID(B259,FIND(" ",B259)+1,FIND(" ",B259,FIND(" ",B259)+1)-FIND(" ",B259)))</f>
        <v>#VALUE!</v>
      </c>
      <c r="AA259" s="115">
        <f t="shared" ref="AA259:AA322" si="97">T259/1000</f>
        <v>0</v>
      </c>
      <c r="AD259" s="374" t="s">
        <v>101</v>
      </c>
      <c r="AE259" s="374"/>
      <c r="AF259" s="374"/>
      <c r="AG259" s="374"/>
      <c r="AH259" s="51"/>
      <c r="AS259" s="374" t="s">
        <v>101</v>
      </c>
      <c r="AT259" s="374"/>
      <c r="AU259" s="374"/>
      <c r="AV259" s="374"/>
      <c r="AW259" s="51"/>
    </row>
    <row r="260" spans="15:49">
      <c r="O260" s="91"/>
      <c r="X260" s="115">
        <f t="shared" si="94"/>
        <v>0</v>
      </c>
      <c r="Y260" s="115">
        <f t="shared" si="95"/>
        <v>0</v>
      </c>
      <c r="Z260" s="115" t="e">
        <f t="shared" si="96"/>
        <v>#VALUE!</v>
      </c>
      <c r="AA260" s="115">
        <f t="shared" si="97"/>
        <v>0</v>
      </c>
      <c r="AD260" s="51"/>
      <c r="AE260" s="51" t="s">
        <v>11</v>
      </c>
      <c r="AF260" s="51" t="s">
        <v>23</v>
      </c>
      <c r="AG260" s="51" t="s">
        <v>18</v>
      </c>
      <c r="AH260" s="45" t="s">
        <v>14</v>
      </c>
      <c r="AS260" s="51"/>
      <c r="AT260" s="51" t="s">
        <v>11</v>
      </c>
      <c r="AU260" s="51" t="s">
        <v>23</v>
      </c>
      <c r="AV260" s="51" t="s">
        <v>18</v>
      </c>
      <c r="AW260" s="45" t="s">
        <v>17</v>
      </c>
    </row>
    <row r="261" spans="15:49">
      <c r="O261" s="91"/>
      <c r="X261" s="115">
        <f t="shared" si="94"/>
        <v>0</v>
      </c>
      <c r="Y261" s="115">
        <f t="shared" si="95"/>
        <v>0</v>
      </c>
      <c r="Z261" s="115" t="e">
        <f t="shared" si="96"/>
        <v>#VALUE!</v>
      </c>
      <c r="AA261" s="115">
        <f t="shared" si="97"/>
        <v>0</v>
      </c>
      <c r="AD261" s="51" t="s">
        <v>68</v>
      </c>
      <c r="AE261" s="51">
        <f>COUNTIFS(D:D,"AA",E:E,"POS",G:G,"",H:H,"SHORT",M:M,"")</f>
        <v>0</v>
      </c>
      <c r="AF261" s="51">
        <f>COUNTIFS(D:D,"AA",E:E,"POS",G:G,"",H:H,"SHORTLONG",M:M,"")</f>
        <v>0</v>
      </c>
      <c r="AG261" s="51">
        <f>COUNTIFS(D:D,"AA",E:E,"POS",G:G,"",H:H,"LONG",M:M,"")</f>
        <v>0</v>
      </c>
      <c r="AH261" s="51">
        <f>COUNTIFS(D:D,"DA",E:E,"POS",G:G,"")</f>
        <v>9</v>
      </c>
      <c r="AS261" s="51" t="s">
        <v>39</v>
      </c>
      <c r="AT261" s="51">
        <f>COUNTIFS(D:D,"DD",E:E,"NEG",G:G,"",H:H,"SHORT",M:M,"")</f>
        <v>0</v>
      </c>
      <c r="AU261" s="51">
        <f>COUNTIFS(D:D,"DD",E:E,"NEG",G:G,"",H:H,"SHORTLONG",M:M,"")</f>
        <v>0</v>
      </c>
      <c r="AV261" s="51">
        <f>COUNTIFS(D:D,"DD",E:E,"NEG",G:G,"",H:H,"LONG",M:M,"")</f>
        <v>0</v>
      </c>
      <c r="AW261" s="51">
        <f>COUNTIFS(D:D,"AD",E:E,"NEG",G:G,"")</f>
        <v>26</v>
      </c>
    </row>
    <row r="262" spans="15:49">
      <c r="O262" s="91"/>
      <c r="X262" s="115">
        <f t="shared" si="94"/>
        <v>0</v>
      </c>
      <c r="Y262" s="115">
        <f t="shared" si="95"/>
        <v>0</v>
      </c>
      <c r="Z262" s="115" t="e">
        <f t="shared" si="96"/>
        <v>#VALUE!</v>
      </c>
      <c r="AA262" s="115">
        <f t="shared" si="97"/>
        <v>0</v>
      </c>
      <c r="AD262" s="51"/>
      <c r="AE262" s="51"/>
      <c r="AF262" s="51"/>
      <c r="AG262" s="51"/>
      <c r="AH262" s="51"/>
      <c r="AS262" s="51"/>
      <c r="AT262" s="51"/>
      <c r="AU262" s="51"/>
      <c r="AV262" s="51"/>
      <c r="AW262" s="51"/>
    </row>
    <row r="263" spans="15:49">
      <c r="O263" s="91"/>
      <c r="X263" s="115">
        <f t="shared" si="94"/>
        <v>0</v>
      </c>
      <c r="Y263" s="115">
        <f t="shared" si="95"/>
        <v>0</v>
      </c>
      <c r="Z263" s="115" t="e">
        <f t="shared" si="96"/>
        <v>#VALUE!</v>
      </c>
      <c r="AA263" s="115">
        <f t="shared" si="97"/>
        <v>0</v>
      </c>
      <c r="AD263" s="51"/>
      <c r="AE263" s="51"/>
      <c r="AF263" s="51"/>
      <c r="AG263" s="51"/>
      <c r="AH263" s="51"/>
      <c r="AS263" s="51"/>
      <c r="AT263" s="51"/>
      <c r="AU263" s="51"/>
      <c r="AV263" s="51"/>
      <c r="AW263" s="51"/>
    </row>
    <row r="264" spans="15:49">
      <c r="O264" s="91"/>
      <c r="X264" s="115">
        <f t="shared" si="94"/>
        <v>0</v>
      </c>
      <c r="Y264" s="115">
        <f t="shared" si="95"/>
        <v>0</v>
      </c>
      <c r="Z264" s="115" t="e">
        <f t="shared" si="96"/>
        <v>#VALUE!</v>
      </c>
      <c r="AA264" s="115">
        <f t="shared" si="97"/>
        <v>0</v>
      </c>
      <c r="AD264" s="51"/>
      <c r="AE264" s="374" t="s">
        <v>2</v>
      </c>
      <c r="AF264" s="374"/>
      <c r="AG264" s="51"/>
      <c r="AH264" s="51"/>
      <c r="AS264" s="51"/>
      <c r="AT264" s="374" t="s">
        <v>6</v>
      </c>
      <c r="AU264" s="374"/>
      <c r="AV264" s="51"/>
      <c r="AW264" s="51"/>
    </row>
    <row r="265" spans="15:49">
      <c r="O265" s="91"/>
      <c r="X265" s="115">
        <f t="shared" si="94"/>
        <v>0</v>
      </c>
      <c r="Y265" s="115">
        <f t="shared" si="95"/>
        <v>0</v>
      </c>
      <c r="Z265" s="115" t="e">
        <f t="shared" si="96"/>
        <v>#VALUE!</v>
      </c>
      <c r="AA265" s="115">
        <f t="shared" si="97"/>
        <v>0</v>
      </c>
      <c r="AD265" s="374" t="s">
        <v>103</v>
      </c>
      <c r="AE265" s="374"/>
      <c r="AF265" s="374"/>
      <c r="AG265" s="374"/>
      <c r="AH265" s="51"/>
      <c r="AS265" s="374" t="s">
        <v>103</v>
      </c>
      <c r="AT265" s="374"/>
      <c r="AU265" s="374"/>
      <c r="AV265" s="374"/>
      <c r="AW265" s="51"/>
    </row>
    <row r="266" spans="15:49">
      <c r="O266" s="91"/>
      <c r="X266" s="115">
        <f t="shared" si="94"/>
        <v>0</v>
      </c>
      <c r="Y266" s="115">
        <f t="shared" si="95"/>
        <v>0</v>
      </c>
      <c r="Z266" s="115" t="e">
        <f t="shared" si="96"/>
        <v>#VALUE!</v>
      </c>
      <c r="AA266" s="115">
        <f t="shared" si="97"/>
        <v>0</v>
      </c>
      <c r="AD266" s="51"/>
      <c r="AE266" s="346" t="s">
        <v>563</v>
      </c>
      <c r="AF266" s="346" t="s">
        <v>561</v>
      </c>
      <c r="AG266" s="368" t="s">
        <v>565</v>
      </c>
      <c r="AS266" s="51"/>
      <c r="AT266" s="346" t="s">
        <v>563</v>
      </c>
      <c r="AU266" s="346" t="s">
        <v>561</v>
      </c>
      <c r="AV266" s="368" t="s">
        <v>565</v>
      </c>
    </row>
    <row r="267" spans="15:49">
      <c r="O267" s="91"/>
      <c r="X267" s="115">
        <f t="shared" si="94"/>
        <v>0</v>
      </c>
      <c r="Y267" s="115">
        <f t="shared" si="95"/>
        <v>0</v>
      </c>
      <c r="Z267" s="115" t="e">
        <f t="shared" si="96"/>
        <v>#VALUE!</v>
      </c>
      <c r="AA267" s="115">
        <f t="shared" si="97"/>
        <v>0</v>
      </c>
      <c r="AD267" s="51" t="s">
        <v>5</v>
      </c>
      <c r="AE267" s="51">
        <f>COUNTIFS(D:D,"AA",E:E,"POS",G:G,"",I:I,"S1",M:M,"")</f>
        <v>0</v>
      </c>
      <c r="AF267" s="51">
        <f>COUNTIFS(D:D,"AA",E:E,"POS",G:G,"",I:I,"S2",M:M,"")</f>
        <v>0</v>
      </c>
      <c r="AG267" s="51">
        <f>COUNTIFS(D:D,"AA",E:E,"POS",G:G,"",I:I,"S3",M:M,"")</f>
        <v>0</v>
      </c>
      <c r="AS267" s="51" t="s">
        <v>1</v>
      </c>
      <c r="AT267" s="51">
        <f>COUNTIFS(D:D,"DD",E:E,"NEG",G:G,"",I:I,"S1",M:M,"")</f>
        <v>0</v>
      </c>
      <c r="AU267" s="51">
        <f>COUNTIFS(D:D,"DD",E:E,"NEG",G:G,"",I:I,"S2")</f>
        <v>0</v>
      </c>
      <c r="AV267" s="51">
        <f>COUNTIFS(D:D,"DD",E:E,"NEG",G:G,"",I:I,"S3")</f>
        <v>0</v>
      </c>
    </row>
    <row r="268" spans="15:49">
      <c r="O268" s="91"/>
      <c r="X268" s="115">
        <f t="shared" si="94"/>
        <v>0</v>
      </c>
      <c r="Y268" s="115">
        <f t="shared" si="95"/>
        <v>0</v>
      </c>
      <c r="Z268" s="115" t="e">
        <f t="shared" si="96"/>
        <v>#VALUE!</v>
      </c>
      <c r="AA268" s="115">
        <f t="shared" si="97"/>
        <v>0</v>
      </c>
      <c r="AD268" s="51"/>
      <c r="AE268" s="51"/>
      <c r="AF268" s="51"/>
      <c r="AG268" s="51"/>
      <c r="AH268" s="51"/>
      <c r="AS268" s="51"/>
      <c r="AT268" s="51"/>
      <c r="AU268" s="51"/>
      <c r="AV268" s="51"/>
      <c r="AW268" s="51"/>
    </row>
    <row r="269" spans="15:49">
      <c r="O269" s="91"/>
      <c r="X269" s="115">
        <f t="shared" si="94"/>
        <v>0</v>
      </c>
      <c r="Y269" s="115">
        <f t="shared" si="95"/>
        <v>0</v>
      </c>
      <c r="Z269" s="115" t="e">
        <f t="shared" si="96"/>
        <v>#VALUE!</v>
      </c>
      <c r="AA269" s="115">
        <f t="shared" si="97"/>
        <v>0</v>
      </c>
      <c r="AD269" s="51"/>
      <c r="AE269" s="51"/>
      <c r="AF269" s="51"/>
      <c r="AG269" s="51"/>
      <c r="AH269" s="51"/>
      <c r="AS269" s="51"/>
      <c r="AT269" s="51"/>
      <c r="AU269" s="51"/>
      <c r="AV269" s="51"/>
      <c r="AW269" s="51"/>
    </row>
    <row r="270" spans="15:49">
      <c r="O270" s="91"/>
      <c r="X270" s="115">
        <f t="shared" si="94"/>
        <v>0</v>
      </c>
      <c r="Y270" s="115">
        <f t="shared" si="95"/>
        <v>0</v>
      </c>
      <c r="Z270" s="115" t="e">
        <f t="shared" si="96"/>
        <v>#VALUE!</v>
      </c>
      <c r="AA270" s="115">
        <f t="shared" si="97"/>
        <v>0</v>
      </c>
      <c r="AD270" s="51"/>
      <c r="AE270" s="374" t="s">
        <v>2</v>
      </c>
      <c r="AF270" s="374"/>
      <c r="AG270" s="51"/>
      <c r="AH270" s="51"/>
      <c r="AS270" s="51"/>
      <c r="AT270" s="374" t="s">
        <v>6</v>
      </c>
      <c r="AU270" s="374"/>
      <c r="AV270" s="51"/>
      <c r="AW270" s="51"/>
    </row>
    <row r="271" spans="15:49">
      <c r="O271" s="91"/>
      <c r="X271" s="115">
        <f t="shared" si="94"/>
        <v>0</v>
      </c>
      <c r="Y271" s="115">
        <f t="shared" si="95"/>
        <v>0</v>
      </c>
      <c r="Z271" s="115" t="e">
        <f t="shared" si="96"/>
        <v>#VALUE!</v>
      </c>
      <c r="AA271" s="115">
        <f t="shared" si="97"/>
        <v>0</v>
      </c>
      <c r="AD271" s="374" t="s">
        <v>103</v>
      </c>
      <c r="AE271" s="374"/>
      <c r="AF271" s="374"/>
      <c r="AG271" s="374"/>
      <c r="AH271" s="51"/>
      <c r="AS271" s="374" t="s">
        <v>103</v>
      </c>
      <c r="AT271" s="374"/>
      <c r="AU271" s="374"/>
      <c r="AV271" s="374"/>
      <c r="AW271" s="51"/>
    </row>
    <row r="272" spans="15:49">
      <c r="O272" s="91"/>
      <c r="X272" s="115">
        <f t="shared" si="94"/>
        <v>0</v>
      </c>
      <c r="Y272" s="115">
        <f t="shared" si="95"/>
        <v>0</v>
      </c>
      <c r="Z272" s="115" t="e">
        <f t="shared" si="96"/>
        <v>#VALUE!</v>
      </c>
      <c r="AA272" s="115">
        <f t="shared" si="97"/>
        <v>0</v>
      </c>
      <c r="AD272" s="51"/>
      <c r="AE272" s="346" t="s">
        <v>563</v>
      </c>
      <c r="AF272" s="346" t="s">
        <v>561</v>
      </c>
      <c r="AG272" s="368" t="s">
        <v>565</v>
      </c>
      <c r="AS272" s="51"/>
      <c r="AT272" s="346" t="s">
        <v>563</v>
      </c>
      <c r="AU272" s="346" t="s">
        <v>561</v>
      </c>
      <c r="AV272" s="368" t="s">
        <v>565</v>
      </c>
    </row>
    <row r="273" spans="15:53">
      <c r="O273" s="91"/>
      <c r="X273" s="115">
        <f t="shared" si="94"/>
        <v>0</v>
      </c>
      <c r="Y273" s="115">
        <f t="shared" si="95"/>
        <v>0</v>
      </c>
      <c r="Z273" s="115" t="e">
        <f t="shared" si="96"/>
        <v>#VALUE!</v>
      </c>
      <c r="AA273" s="115">
        <f t="shared" si="97"/>
        <v>0</v>
      </c>
      <c r="AD273" s="51" t="s">
        <v>14</v>
      </c>
      <c r="AE273" s="51">
        <f>COUNTIFS(D:D,"DA",E:E,"POS",G:G,"",I:I,"S1")</f>
        <v>4</v>
      </c>
      <c r="AF273" s="51">
        <f>COUNTIFS(D:D,"DA",E:E,"POS",G:G,"",I:I,"S2")</f>
        <v>3</v>
      </c>
      <c r="AG273" s="51">
        <f>COUNTIFS(D:D,"DA",E:E,"POS",G:G,"",I:I,"S3")</f>
        <v>2</v>
      </c>
      <c r="AS273" s="51" t="s">
        <v>17</v>
      </c>
      <c r="AT273" s="51">
        <f>COUNTIFS(D:D,"AD",E:E,"NEG",G:G,"",I:I,"S1")</f>
        <v>2</v>
      </c>
      <c r="AU273" s="51">
        <f>COUNTIFS(D:D,"AD",E:E,"NEG",G:G,"",I:I,"S2")</f>
        <v>12</v>
      </c>
      <c r="AV273" s="51">
        <f>COUNTIFS(D:D,"AD",E:E,"NEG",G:G,"",I:I,"S3")</f>
        <v>12</v>
      </c>
    </row>
    <row r="274" spans="15:53">
      <c r="O274" s="91"/>
      <c r="X274" s="115">
        <f t="shared" si="94"/>
        <v>0</v>
      </c>
      <c r="Y274" s="115">
        <f t="shared" si="95"/>
        <v>0</v>
      </c>
      <c r="Z274" s="115" t="e">
        <f t="shared" si="96"/>
        <v>#VALUE!</v>
      </c>
      <c r="AA274" s="115">
        <f t="shared" si="97"/>
        <v>0</v>
      </c>
      <c r="AD274" s="51"/>
      <c r="AE274" s="51"/>
      <c r="AF274" s="51"/>
      <c r="AG274" s="51"/>
      <c r="AH274" s="51"/>
      <c r="AS274" s="51"/>
      <c r="AT274" s="51"/>
      <c r="AU274" s="51"/>
      <c r="AV274" s="51"/>
      <c r="AW274" s="51"/>
    </row>
    <row r="275" spans="15:53">
      <c r="O275" s="91"/>
      <c r="X275" s="115">
        <f t="shared" si="94"/>
        <v>0</v>
      </c>
      <c r="Y275" s="115">
        <f t="shared" si="95"/>
        <v>0</v>
      </c>
      <c r="Z275" s="115" t="e">
        <f t="shared" si="96"/>
        <v>#VALUE!</v>
      </c>
      <c r="AA275" s="115">
        <f t="shared" si="97"/>
        <v>0</v>
      </c>
      <c r="AD275" s="51"/>
      <c r="AE275" s="115">
        <f>COUNTIFS(D:D,"AA",F:F,"ATONGOAL",W:W,"-2;1")</f>
        <v>0</v>
      </c>
      <c r="AF275" s="51"/>
      <c r="AG275" s="51"/>
      <c r="AH275" s="51"/>
      <c r="AS275" s="51"/>
      <c r="AT275" s="51"/>
      <c r="AU275" s="51"/>
      <c r="AV275" s="51"/>
      <c r="AW275" s="51"/>
    </row>
    <row r="276" spans="15:53">
      <c r="O276" s="91"/>
      <c r="X276" s="115">
        <f t="shared" si="94"/>
        <v>0</v>
      </c>
      <c r="Y276" s="115">
        <f t="shared" si="95"/>
        <v>0</v>
      </c>
      <c r="Z276" s="115" t="e">
        <f t="shared" si="96"/>
        <v>#VALUE!</v>
      </c>
      <c r="AA276" s="115">
        <f t="shared" si="97"/>
        <v>0</v>
      </c>
      <c r="AD276" s="51"/>
      <c r="AE276" s="374" t="s">
        <v>2</v>
      </c>
      <c r="AF276" s="374"/>
      <c r="AG276" s="51"/>
      <c r="AH276" s="51"/>
      <c r="AS276" s="51"/>
      <c r="AT276" s="374" t="s">
        <v>6</v>
      </c>
      <c r="AU276" s="374"/>
      <c r="AV276" s="51"/>
      <c r="AW276" s="51"/>
    </row>
    <row r="277" spans="15:53">
      <c r="O277" s="91"/>
      <c r="X277" s="115">
        <f t="shared" si="94"/>
        <v>0</v>
      </c>
      <c r="Y277" s="115">
        <f t="shared" si="95"/>
        <v>0</v>
      </c>
      <c r="Z277" s="115" t="e">
        <f t="shared" si="96"/>
        <v>#VALUE!</v>
      </c>
      <c r="AA277" s="115">
        <f t="shared" si="97"/>
        <v>0</v>
      </c>
      <c r="AD277" s="374" t="s">
        <v>104</v>
      </c>
      <c r="AE277" s="374"/>
      <c r="AF277" s="374"/>
      <c r="AG277" s="374"/>
      <c r="AH277" s="51"/>
      <c r="AS277" s="374" t="s">
        <v>104</v>
      </c>
      <c r="AT277" s="374"/>
      <c r="AU277" s="374"/>
      <c r="AV277" s="374"/>
      <c r="AW277" s="51"/>
    </row>
    <row r="278" spans="15:53">
      <c r="O278" s="91"/>
      <c r="X278" s="115">
        <f t="shared" si="94"/>
        <v>0</v>
      </c>
      <c r="Y278" s="115">
        <f t="shared" si="95"/>
        <v>0</v>
      </c>
      <c r="Z278" s="115" t="e">
        <f t="shared" si="96"/>
        <v>#VALUE!</v>
      </c>
      <c r="AA278" s="115">
        <f t="shared" si="97"/>
        <v>0</v>
      </c>
      <c r="AD278" s="51"/>
      <c r="AE278" s="51" t="s">
        <v>4</v>
      </c>
      <c r="AF278" s="51" t="s">
        <v>29</v>
      </c>
      <c r="AG278" s="51" t="s">
        <v>10</v>
      </c>
      <c r="AH278" s="100" t="s">
        <v>25</v>
      </c>
      <c r="AI278" s="100" t="s">
        <v>27</v>
      </c>
      <c r="AJ278" s="97" t="s">
        <v>127</v>
      </c>
      <c r="AK278" t="s">
        <v>164</v>
      </c>
      <c r="AS278" s="51"/>
      <c r="AT278" s="51" t="s">
        <v>4</v>
      </c>
      <c r="AU278" s="51" t="s">
        <v>29</v>
      </c>
      <c r="AV278" s="51" t="s">
        <v>10</v>
      </c>
      <c r="AW278" s="100" t="s">
        <v>25</v>
      </c>
      <c r="AX278" s="100" t="s">
        <v>27</v>
      </c>
      <c r="AY278" s="97" t="s">
        <v>127</v>
      </c>
      <c r="AZ278" s="115" t="s">
        <v>164</v>
      </c>
    </row>
    <row r="279" spans="15:53">
      <c r="O279" s="91"/>
      <c r="X279" s="115">
        <f t="shared" si="94"/>
        <v>0</v>
      </c>
      <c r="Y279" s="115">
        <f t="shared" si="95"/>
        <v>0</v>
      </c>
      <c r="Z279" s="115" t="e">
        <f t="shared" si="96"/>
        <v>#VALUE!</v>
      </c>
      <c r="AA279" s="115">
        <f t="shared" si="97"/>
        <v>0</v>
      </c>
      <c r="AD279" s="51" t="s">
        <v>5</v>
      </c>
      <c r="AE279" s="51">
        <f>COUNTIFS(D:D,"AA",E:E,"POS",G:G,"STANCO")+AE583</f>
        <v>1</v>
      </c>
      <c r="AF279" s="51">
        <f>COUNTIFS(D:D,"AA",E:E,"POS",G:G,"STANTI")+AF583</f>
        <v>8</v>
      </c>
      <c r="AG279" s="51">
        <f>COUNTIFS(D:D,"AA",E:E,"POS",G:G,"STANFK")+AG583</f>
        <v>5</v>
      </c>
      <c r="AH279" s="100">
        <f>COUNTIFS(D:D,"AA",E:E,"POS",G:G,"STANGK")</f>
        <v>1</v>
      </c>
      <c r="AI279" s="100">
        <f>COUNTIFS(D:D,"AA",E:E,"POS",G:G,"STANGS")</f>
        <v>3</v>
      </c>
      <c r="AJ279" s="100">
        <f>COUNTIFS(D:D,"AA",E:E,"POS",G:G,"STANPEN")+AH583</f>
        <v>0</v>
      </c>
      <c r="AK279" s="115">
        <f>COUNTIFS(D:D,"AA",E:E,"POS",G:G,"STANFK DIRECT")+AI583</f>
        <v>1</v>
      </c>
      <c r="AS279" s="51" t="s">
        <v>1</v>
      </c>
      <c r="AT279" s="51">
        <f>COUNTIFS(D:D,"DD",E:E,"NEG",G:G,"STANCO")+AT583</f>
        <v>3</v>
      </c>
      <c r="AU279" s="51">
        <f>COUNTIFS(D:D,"DD",E:E,"NEG",G:G,"STANTI")+AU583</f>
        <v>13</v>
      </c>
      <c r="AV279" s="51">
        <f>COUNTIFS(D:D,"DD",E:E,"NEG",G:G,"STANFK")+AV583</f>
        <v>3</v>
      </c>
      <c r="AW279" s="100">
        <f>COUNTIFS(D:D,"DD",E:E,"NEG",G:G,"STANGK")</f>
        <v>1</v>
      </c>
      <c r="AX279" s="100">
        <f>COUNTIFS(D:D,"DD",E:E,"NEG",G:G,"STANGS")</f>
        <v>1</v>
      </c>
      <c r="AY279" s="100">
        <f>COUNTIFS(D:D,"DD",E:E,"NEG",G:G,"STANPEN")+AW583</f>
        <v>0</v>
      </c>
      <c r="AZ279" s="115">
        <f>COUNTIFS(D:D,"DD",E:E,"NEG",G:G,"STANFK DIRECT")+AX583</f>
        <v>1</v>
      </c>
    </row>
    <row r="280" spans="15:53" s="115" customFormat="1">
      <c r="O280" s="91"/>
      <c r="X280" s="115">
        <f t="shared" si="94"/>
        <v>0</v>
      </c>
      <c r="Y280" s="115">
        <f t="shared" si="95"/>
        <v>0</v>
      </c>
      <c r="Z280" s="115" t="e">
        <f t="shared" si="96"/>
        <v>#VALUE!</v>
      </c>
      <c r="AA280" s="115">
        <f t="shared" si="97"/>
        <v>0</v>
      </c>
      <c r="AB280" s="246"/>
    </row>
    <row r="281" spans="15:53" s="115" customFormat="1">
      <c r="O281" s="91"/>
      <c r="X281" s="115">
        <f t="shared" si="94"/>
        <v>0</v>
      </c>
      <c r="Y281" s="115">
        <f t="shared" si="95"/>
        <v>0</v>
      </c>
      <c r="Z281" s="115" t="e">
        <f t="shared" si="96"/>
        <v>#VALUE!</v>
      </c>
      <c r="AA281" s="115">
        <f t="shared" si="97"/>
        <v>0</v>
      </c>
      <c r="AB281" s="246"/>
      <c r="AD281" s="191"/>
      <c r="AE281" s="191"/>
      <c r="AF281" s="191"/>
      <c r="AG281" s="191"/>
      <c r="AH281" s="191"/>
      <c r="AI281" s="191"/>
      <c r="AJ281" s="191"/>
      <c r="AK281" s="191"/>
      <c r="AL281" s="191"/>
      <c r="AM281" s="191"/>
      <c r="AN281" s="191"/>
      <c r="AO281" s="191"/>
      <c r="AP281" s="191"/>
      <c r="AQ281" s="191"/>
      <c r="AR281" s="191"/>
      <c r="AS281" s="191"/>
      <c r="AT281" s="191"/>
      <c r="AU281" s="191"/>
      <c r="AV281" s="191"/>
      <c r="AW281" s="191"/>
      <c r="AX281" s="191"/>
      <c r="AY281" s="191"/>
      <c r="AZ281" s="191"/>
      <c r="BA281" s="191"/>
    </row>
    <row r="282" spans="15:53" s="115" customFormat="1">
      <c r="O282" s="91"/>
      <c r="X282" s="115">
        <f t="shared" si="94"/>
        <v>0</v>
      </c>
      <c r="Y282" s="115">
        <f t="shared" si="95"/>
        <v>0</v>
      </c>
      <c r="Z282" s="115" t="e">
        <f t="shared" si="96"/>
        <v>#VALUE!</v>
      </c>
      <c r="AA282" s="115">
        <f t="shared" si="97"/>
        <v>0</v>
      </c>
      <c r="AB282" s="246"/>
      <c r="AE282" s="374" t="s">
        <v>304</v>
      </c>
      <c r="AF282" s="374"/>
      <c r="AT282" s="374" t="s">
        <v>304</v>
      </c>
      <c r="AU282" s="374"/>
    </row>
    <row r="283" spans="15:53" s="115" customFormat="1">
      <c r="O283" s="91"/>
      <c r="X283" s="115">
        <f t="shared" si="94"/>
        <v>0</v>
      </c>
      <c r="Y283" s="115">
        <f t="shared" si="95"/>
        <v>0</v>
      </c>
      <c r="Z283" s="115" t="e">
        <f t="shared" si="96"/>
        <v>#VALUE!</v>
      </c>
      <c r="AA283" s="115">
        <f t="shared" si="97"/>
        <v>0</v>
      </c>
      <c r="AB283" s="246"/>
      <c r="AE283" s="115" t="s">
        <v>98</v>
      </c>
      <c r="AF283" s="115" t="s">
        <v>99</v>
      </c>
      <c r="AT283" s="115" t="s">
        <v>98</v>
      </c>
      <c r="AU283" s="115" t="s">
        <v>99</v>
      </c>
    </row>
    <row r="284" spans="15:53" s="115" customFormat="1">
      <c r="O284" s="91"/>
      <c r="X284" s="115">
        <f t="shared" si="94"/>
        <v>0</v>
      </c>
      <c r="Y284" s="115">
        <f t="shared" si="95"/>
        <v>0</v>
      </c>
      <c r="Z284" s="115" t="e">
        <f t="shared" si="96"/>
        <v>#VALUE!</v>
      </c>
      <c r="AA284" s="115">
        <f t="shared" si="97"/>
        <v>0</v>
      </c>
      <c r="AB284" s="246"/>
      <c r="AD284" s="115" t="s">
        <v>97</v>
      </c>
      <c r="AE284" s="115">
        <f>COUNTIFS(D:D,"AA",E:E,"POS",M:M,"STANCO",F:F,"WINPEN")+COUNTIFS(D:D,"AA",E:E,"POS",M:M,"STANTI",F:F,"WINPEN")+COUNTIFS(D:D,"AA",E:E,"POS",M:M,"STANFK",F:F,"WINPEN")+COUNTIFS(D:D,"AA",E:E,"POS",G:G,"STANGK",F:F,"WINPEN")+COUNTIFS(D:D,"AA",E:E,"POS",G:G,"STANGS",F:F,"WINPEN")+COUNTIFS(D:D,"AA",E:E,"POS",M:M,"STANFK DIRECT",F:F,"WINPEN")+COUNTIFS(D:D,"AA",E:E,"POS",M:M,"STANPEN",F:F,"WINPEN")+COUNTIFS(D:D,"AA",E:E,"POS",G:G,"STANTI",F:F,"WINPEN")+COUNTIFS(D:D,"AA",E:E,"POS",G:G,"STANFK",F:F,"WINPEN")</f>
        <v>0</v>
      </c>
      <c r="AF284" s="115">
        <f>COUNTIFS(D:D,"AA",E:E,"POS",G:G,"",M:M,"",F:F,"WINPEN")+COUNTIFS(D:D,"DA",E:E,"POS",G:G,"",M:M,"",F:F,"WINPEN")</f>
        <v>0</v>
      </c>
      <c r="AS284" s="115" t="s">
        <v>39</v>
      </c>
      <c r="AT284" s="115">
        <f>COUNTIFS(D:D,"DD",E:E,"NEG",M:M,"STANCO",F:F,"WINPEN")+COUNTIFS(D:D,"DD",E:E,"NEG",M:M,"STANTI",F:F,"WINPEN")+COUNTIFS(D:D,"DD",E:E,"NEG",M:M,"STANFK",F:F,"WINPEN")+COUNTIFS(D:D,"DD",E:E,"NEG",G:G,"STANGK",F:F,"WINPEN")+COUNTIFS(D:D,"DD",E:E,"NEG",G:G,"STANGS",F:F,"WINPEN")+COUNTIFS(D:D,"DD",E:E,"NEG",M:M,"STANPEN",F:F,"WINPEN")+COUNTIFS(D:D,"DD",E:E,"NEG",M:M,"STANFK DIRECT",F:F,"WINPEN")+COUNTIFS(D:D,"DD",E:E,"NEG",G:G,"STANTI",F:F,"WINPEN")+COUNTIFS(D:D,"DD",E:E,"NEG",G:G,"STANFK",F:F,"WINPEN")</f>
        <v>0</v>
      </c>
      <c r="AU284" s="115">
        <f>COUNTIFS(D:D,"DD",E:E,"NEG",G:G,"",M:M,"",F:F,"WINPEN")+COUNTIFS(D:D,"AD",E:E,"NEG",G:G,"",M:M,"",F:F,"WINPEN")</f>
        <v>0</v>
      </c>
    </row>
    <row r="285" spans="15:53" s="115" customFormat="1">
      <c r="O285" s="91"/>
      <c r="X285" s="115">
        <f t="shared" si="94"/>
        <v>0</v>
      </c>
      <c r="Y285" s="115">
        <f t="shared" si="95"/>
        <v>0</v>
      </c>
      <c r="Z285" s="115" t="e">
        <f t="shared" si="96"/>
        <v>#VALUE!</v>
      </c>
      <c r="AA285" s="115">
        <f t="shared" si="97"/>
        <v>0</v>
      </c>
      <c r="AB285" s="246"/>
    </row>
    <row r="286" spans="15:53" s="115" customFormat="1">
      <c r="O286" s="91"/>
      <c r="X286" s="115">
        <f t="shared" si="94"/>
        <v>0</v>
      </c>
      <c r="Y286" s="115">
        <f t="shared" si="95"/>
        <v>0</v>
      </c>
      <c r="Z286" s="115" t="e">
        <f t="shared" si="96"/>
        <v>#VALUE!</v>
      </c>
      <c r="AA286" s="115">
        <f t="shared" si="97"/>
        <v>0</v>
      </c>
      <c r="AB286" s="246"/>
    </row>
    <row r="287" spans="15:53" s="115" customFormat="1">
      <c r="O287" s="91"/>
      <c r="X287" s="115">
        <f t="shared" si="94"/>
        <v>0</v>
      </c>
      <c r="Y287" s="115">
        <f t="shared" si="95"/>
        <v>0</v>
      </c>
      <c r="Z287" s="115" t="e">
        <f t="shared" si="96"/>
        <v>#VALUE!</v>
      </c>
      <c r="AA287" s="115">
        <f t="shared" si="97"/>
        <v>0</v>
      </c>
      <c r="AB287" s="246"/>
      <c r="AE287" s="374" t="s">
        <v>304</v>
      </c>
      <c r="AF287" s="374"/>
      <c r="AH287" s="188"/>
      <c r="AT287" s="374" t="s">
        <v>304</v>
      </c>
      <c r="AU287" s="374"/>
    </row>
    <row r="288" spans="15:53" s="115" customFormat="1">
      <c r="O288" s="91"/>
      <c r="X288" s="115">
        <f t="shared" si="94"/>
        <v>0</v>
      </c>
      <c r="Y288" s="115">
        <f t="shared" si="95"/>
        <v>0</v>
      </c>
      <c r="Z288" s="115" t="e">
        <f t="shared" si="96"/>
        <v>#VALUE!</v>
      </c>
      <c r="AA288" s="115">
        <f t="shared" si="97"/>
        <v>0</v>
      </c>
      <c r="AB288" s="246"/>
      <c r="AE288" s="115" t="s">
        <v>100</v>
      </c>
      <c r="AF288" s="115" t="s">
        <v>14</v>
      </c>
      <c r="AG288" s="115" t="s">
        <v>5</v>
      </c>
      <c r="AT288" s="115" t="s">
        <v>100</v>
      </c>
      <c r="AU288" s="115" t="s">
        <v>17</v>
      </c>
      <c r="AV288" s="115" t="s">
        <v>1</v>
      </c>
    </row>
    <row r="289" spans="15:49" s="115" customFormat="1">
      <c r="O289" s="91"/>
      <c r="X289" s="115">
        <f t="shared" si="94"/>
        <v>0</v>
      </c>
      <c r="Y289" s="115">
        <f t="shared" si="95"/>
        <v>0</v>
      </c>
      <c r="Z289" s="115" t="e">
        <f t="shared" si="96"/>
        <v>#VALUE!</v>
      </c>
      <c r="AA289" s="115">
        <f t="shared" si="97"/>
        <v>0</v>
      </c>
      <c r="AB289" s="246"/>
      <c r="AD289" s="115" t="s">
        <v>68</v>
      </c>
      <c r="AE289" s="115">
        <f>AE284</f>
        <v>0</v>
      </c>
      <c r="AF289" s="115">
        <f>COUNTIFS(D:D,"DA",E:E,"POS",G:G,"",F:F,"WINPEN")</f>
        <v>0</v>
      </c>
      <c r="AG289" s="115">
        <f>COUNTIFS(D:D,"AA",E:E,"POS",G:G,"",M:M,"",F:F,"WINPEN")</f>
        <v>0</v>
      </c>
      <c r="AS289" s="115" t="s">
        <v>39</v>
      </c>
      <c r="AT289" s="115">
        <f>AT284</f>
        <v>0</v>
      </c>
      <c r="AU289" s="115">
        <f>COUNTIFS(D:D,"AD",E:E,"NEG",G:G,"",F:F,"WINPEN")</f>
        <v>0</v>
      </c>
      <c r="AV289" s="115">
        <f>COUNTIFS(D:D,"DD",E:E,"NEG",G:G,"",M:M,"",F:F,"WINPEN")</f>
        <v>0</v>
      </c>
    </row>
    <row r="290" spans="15:49" s="115" customFormat="1">
      <c r="O290" s="91"/>
      <c r="X290" s="115">
        <f t="shared" si="94"/>
        <v>0</v>
      </c>
      <c r="Y290" s="115">
        <f t="shared" si="95"/>
        <v>0</v>
      </c>
      <c r="Z290" s="115" t="e">
        <f t="shared" si="96"/>
        <v>#VALUE!</v>
      </c>
      <c r="AA290" s="115">
        <f t="shared" si="97"/>
        <v>0</v>
      </c>
      <c r="AB290" s="246"/>
    </row>
    <row r="291" spans="15:49" s="115" customFormat="1">
      <c r="O291" s="91"/>
      <c r="X291" s="115">
        <f t="shared" si="94"/>
        <v>0</v>
      </c>
      <c r="Y291" s="115">
        <f t="shared" si="95"/>
        <v>0</v>
      </c>
      <c r="Z291" s="115" t="e">
        <f t="shared" si="96"/>
        <v>#VALUE!</v>
      </c>
      <c r="AA291" s="115">
        <f t="shared" si="97"/>
        <v>0</v>
      </c>
      <c r="AB291" s="246"/>
    </row>
    <row r="292" spans="15:49" s="115" customFormat="1">
      <c r="O292" s="91"/>
      <c r="X292" s="115">
        <f t="shared" si="94"/>
        <v>0</v>
      </c>
      <c r="Y292" s="115">
        <f t="shared" si="95"/>
        <v>0</v>
      </c>
      <c r="Z292" s="115" t="e">
        <f t="shared" si="96"/>
        <v>#VALUE!</v>
      </c>
      <c r="AA292" s="115">
        <f t="shared" si="97"/>
        <v>0</v>
      </c>
      <c r="AB292" s="246"/>
      <c r="AE292" s="374" t="s">
        <v>304</v>
      </c>
      <c r="AF292" s="374"/>
      <c r="AT292" s="374" t="s">
        <v>304</v>
      </c>
      <c r="AU292" s="374"/>
    </row>
    <row r="293" spans="15:49" s="115" customFormat="1">
      <c r="O293" s="91"/>
      <c r="X293" s="115">
        <f t="shared" si="94"/>
        <v>0</v>
      </c>
      <c r="Y293" s="115">
        <f t="shared" si="95"/>
        <v>0</v>
      </c>
      <c r="Z293" s="115" t="e">
        <f t="shared" si="96"/>
        <v>#VALUE!</v>
      </c>
      <c r="AA293" s="115">
        <f t="shared" si="97"/>
        <v>0</v>
      </c>
      <c r="AB293" s="246"/>
      <c r="AD293" s="374" t="s">
        <v>101</v>
      </c>
      <c r="AE293" s="374"/>
      <c r="AF293" s="374"/>
      <c r="AG293" s="374"/>
      <c r="AS293" s="374" t="s">
        <v>101</v>
      </c>
      <c r="AT293" s="374"/>
      <c r="AU293" s="374"/>
      <c r="AV293" s="374"/>
    </row>
    <row r="294" spans="15:49" s="115" customFormat="1">
      <c r="O294" s="91"/>
      <c r="X294" s="115">
        <f t="shared" si="94"/>
        <v>0</v>
      </c>
      <c r="Y294" s="115">
        <f t="shared" si="95"/>
        <v>0</v>
      </c>
      <c r="Z294" s="115" t="e">
        <f t="shared" si="96"/>
        <v>#VALUE!</v>
      </c>
      <c r="AA294" s="115">
        <f t="shared" si="97"/>
        <v>0</v>
      </c>
      <c r="AB294" s="246"/>
      <c r="AE294" s="115" t="s">
        <v>11</v>
      </c>
      <c r="AF294" s="115" t="s">
        <v>23</v>
      </c>
      <c r="AG294" s="115" t="s">
        <v>18</v>
      </c>
      <c r="AH294" s="188" t="s">
        <v>14</v>
      </c>
      <c r="AT294" s="115" t="s">
        <v>11</v>
      </c>
      <c r="AU294" s="115" t="s">
        <v>23</v>
      </c>
      <c r="AV294" s="115" t="s">
        <v>18</v>
      </c>
      <c r="AW294" s="188" t="s">
        <v>17</v>
      </c>
    </row>
    <row r="295" spans="15:49" s="115" customFormat="1">
      <c r="O295" s="91"/>
      <c r="X295" s="115">
        <f t="shared" si="94"/>
        <v>0</v>
      </c>
      <c r="Y295" s="115">
        <f t="shared" si="95"/>
        <v>0</v>
      </c>
      <c r="Z295" s="115" t="e">
        <f t="shared" si="96"/>
        <v>#VALUE!</v>
      </c>
      <c r="AA295" s="115">
        <f t="shared" si="97"/>
        <v>0</v>
      </c>
      <c r="AB295" s="246"/>
      <c r="AD295" s="115" t="s">
        <v>68</v>
      </c>
      <c r="AE295" s="115">
        <f>COUNTIFS(D:D,"AA",E:E,"POS",G:G,"",H:H,"SHORT",M:M,"",F:F,"WINPEN")</f>
        <v>0</v>
      </c>
      <c r="AF295" s="115">
        <f>COUNTIFS(D:D,"AA",E:E,"POS",G:G,"",H:H,"SHORTLONG",M:M,"",F:F,"WINPEN")</f>
        <v>0</v>
      </c>
      <c r="AG295" s="115">
        <f>COUNTIFS(D:D,"AA",E:E,"POS",G:G,"",H:H,"LONG",M:M,"",F:F,"WINPEN")</f>
        <v>0</v>
      </c>
      <c r="AH295" s="115">
        <f>COUNTIFS(D:D,"DA",E:E,"POS",G:G,"",F:F,"WINPEN")</f>
        <v>0</v>
      </c>
      <c r="AS295" s="115" t="s">
        <v>39</v>
      </c>
      <c r="AT295" s="115">
        <f>COUNTIFS(D:D,"DD",E:E,"NEG",G:G,"",H:H,"SHORT",M:M,"",F:F,"WINPEN")</f>
        <v>0</v>
      </c>
      <c r="AU295" s="115">
        <f>COUNTIFS(D:D,"DD",E:E,"NEG",G:G,"",H:H,"SHORTLONG",M:M,"",F:F,"WINPEN")</f>
        <v>0</v>
      </c>
      <c r="AV295" s="115">
        <f>COUNTIFS(D:D,"DD",E:E,"NEG",G:G,"",H:H,"LONG",M:M,"",F:F,"WINPEN")</f>
        <v>0</v>
      </c>
      <c r="AW295" s="115">
        <f>COUNTIFS(D:D,"AD",E:E,"NEG",G:G,"",F:F,"WINPEN")</f>
        <v>0</v>
      </c>
    </row>
    <row r="296" spans="15:49" s="115" customFormat="1">
      <c r="O296" s="91"/>
      <c r="X296" s="115">
        <f t="shared" si="94"/>
        <v>0</v>
      </c>
      <c r="Y296" s="115">
        <f t="shared" si="95"/>
        <v>0</v>
      </c>
      <c r="Z296" s="115" t="e">
        <f t="shared" si="96"/>
        <v>#VALUE!</v>
      </c>
      <c r="AA296" s="115">
        <f t="shared" si="97"/>
        <v>0</v>
      </c>
      <c r="AB296" s="246"/>
    </row>
    <row r="297" spans="15:49" s="115" customFormat="1">
      <c r="O297" s="91"/>
      <c r="X297" s="115">
        <f t="shared" si="94"/>
        <v>0</v>
      </c>
      <c r="Y297" s="115">
        <f t="shared" si="95"/>
        <v>0</v>
      </c>
      <c r="Z297" s="115" t="e">
        <f t="shared" si="96"/>
        <v>#VALUE!</v>
      </c>
      <c r="AA297" s="115">
        <f t="shared" si="97"/>
        <v>0</v>
      </c>
      <c r="AB297" s="246"/>
    </row>
    <row r="298" spans="15:49" s="115" customFormat="1">
      <c r="O298" s="91"/>
      <c r="X298" s="115">
        <f t="shared" si="94"/>
        <v>0</v>
      </c>
      <c r="Y298" s="115">
        <f t="shared" si="95"/>
        <v>0</v>
      </c>
      <c r="Z298" s="115" t="e">
        <f t="shared" si="96"/>
        <v>#VALUE!</v>
      </c>
      <c r="AA298" s="115">
        <f t="shared" si="97"/>
        <v>0</v>
      </c>
      <c r="AB298" s="246"/>
      <c r="AE298" s="374" t="s">
        <v>304</v>
      </c>
      <c r="AF298" s="374"/>
      <c r="AT298" s="374" t="s">
        <v>304</v>
      </c>
      <c r="AU298" s="374"/>
    </row>
    <row r="299" spans="15:49" s="115" customFormat="1">
      <c r="O299" s="91"/>
      <c r="X299" s="115">
        <f t="shared" si="94"/>
        <v>0</v>
      </c>
      <c r="Y299" s="115">
        <f t="shared" si="95"/>
        <v>0</v>
      </c>
      <c r="Z299" s="115" t="e">
        <f t="shared" si="96"/>
        <v>#VALUE!</v>
      </c>
      <c r="AA299" s="115">
        <f t="shared" si="97"/>
        <v>0</v>
      </c>
      <c r="AB299" s="246"/>
      <c r="AD299" s="374" t="s">
        <v>103</v>
      </c>
      <c r="AE299" s="374"/>
      <c r="AF299" s="374"/>
      <c r="AG299" s="374"/>
      <c r="AS299" s="374" t="s">
        <v>103</v>
      </c>
      <c r="AT299" s="374"/>
      <c r="AU299" s="374"/>
      <c r="AV299" s="374"/>
    </row>
    <row r="300" spans="15:49" s="115" customFormat="1">
      <c r="O300" s="91"/>
      <c r="X300" s="115">
        <f t="shared" si="94"/>
        <v>0</v>
      </c>
      <c r="Y300" s="115">
        <f t="shared" si="95"/>
        <v>0</v>
      </c>
      <c r="Z300" s="115" t="e">
        <f t="shared" si="96"/>
        <v>#VALUE!</v>
      </c>
      <c r="AA300" s="115">
        <f t="shared" si="97"/>
        <v>0</v>
      </c>
      <c r="AB300" s="246"/>
      <c r="AE300" s="346" t="s">
        <v>563</v>
      </c>
      <c r="AF300" s="346" t="s">
        <v>561</v>
      </c>
      <c r="AG300" s="368" t="s">
        <v>565</v>
      </c>
      <c r="AT300" s="346" t="s">
        <v>563</v>
      </c>
      <c r="AU300" s="346" t="s">
        <v>561</v>
      </c>
      <c r="AV300" s="368" t="s">
        <v>565</v>
      </c>
    </row>
    <row r="301" spans="15:49" s="115" customFormat="1">
      <c r="O301" s="91"/>
      <c r="X301" s="115">
        <f t="shared" si="94"/>
        <v>0</v>
      </c>
      <c r="Y301" s="115">
        <f t="shared" si="95"/>
        <v>0</v>
      </c>
      <c r="Z301" s="115" t="e">
        <f t="shared" si="96"/>
        <v>#VALUE!</v>
      </c>
      <c r="AA301" s="115">
        <f t="shared" si="97"/>
        <v>0</v>
      </c>
      <c r="AB301" s="246"/>
      <c r="AD301" s="115" t="s">
        <v>5</v>
      </c>
      <c r="AE301" s="115">
        <f>COUNTIFS(D:D,"AA",E:E,"POS",G:G,"",I:I,"S1",M:M,"",F:F,"WINPEN")</f>
        <v>0</v>
      </c>
      <c r="AF301" s="115">
        <f>COUNTIFS(D:D,"AA",E:E,"POS",G:G,"",I:I,"S2",M:M,"",F:F,"WINPEN")</f>
        <v>0</v>
      </c>
      <c r="AG301" s="115">
        <f>COUNTIFS(D:D,"AA",E:E,"POS",G:G,"",I:I,"S3",M:M,"",F:F,"WINPEN")</f>
        <v>0</v>
      </c>
      <c r="AS301" s="115" t="s">
        <v>1</v>
      </c>
      <c r="AT301" s="115">
        <f>COUNTIFS(D:D,"DD",E:E,"NEG",G:G,"",I:I,"S1",M:M,"",F:F,"WINPEN")</f>
        <v>0</v>
      </c>
      <c r="AU301" s="115">
        <f>COUNTIFS(D:D,"DD",E:E,"NEG",G:G,"",I:I,"S2",F:F,"WINPEN")</f>
        <v>0</v>
      </c>
      <c r="AV301" s="115">
        <f>COUNTIFS(D:D,"DD",E:E,"NEG",G:G,"",I:I,"S3",F:F,"WINPEN")</f>
        <v>0</v>
      </c>
    </row>
    <row r="302" spans="15:49" s="115" customFormat="1">
      <c r="O302" s="91"/>
      <c r="X302" s="115">
        <f t="shared" si="94"/>
        <v>0</v>
      </c>
      <c r="Y302" s="115">
        <f t="shared" si="95"/>
        <v>0</v>
      </c>
      <c r="Z302" s="115" t="e">
        <f t="shared" si="96"/>
        <v>#VALUE!</v>
      </c>
      <c r="AA302" s="115">
        <f t="shared" si="97"/>
        <v>0</v>
      </c>
      <c r="AB302" s="246"/>
    </row>
    <row r="303" spans="15:49" s="115" customFormat="1">
      <c r="O303" s="91"/>
      <c r="X303" s="115">
        <f t="shared" si="94"/>
        <v>0</v>
      </c>
      <c r="Y303" s="115">
        <f t="shared" si="95"/>
        <v>0</v>
      </c>
      <c r="Z303" s="115" t="e">
        <f t="shared" si="96"/>
        <v>#VALUE!</v>
      </c>
      <c r="AA303" s="115">
        <f t="shared" si="97"/>
        <v>0</v>
      </c>
      <c r="AB303" s="246"/>
    </row>
    <row r="304" spans="15:49" s="115" customFormat="1">
      <c r="O304" s="91"/>
      <c r="X304" s="115">
        <f t="shared" si="94"/>
        <v>0</v>
      </c>
      <c r="Y304" s="115">
        <f t="shared" si="95"/>
        <v>0</v>
      </c>
      <c r="Z304" s="115" t="e">
        <f t="shared" si="96"/>
        <v>#VALUE!</v>
      </c>
      <c r="AA304" s="115">
        <f t="shared" si="97"/>
        <v>0</v>
      </c>
      <c r="AB304" s="246"/>
      <c r="AE304" s="374" t="s">
        <v>304</v>
      </c>
      <c r="AF304" s="374"/>
      <c r="AT304" s="374" t="s">
        <v>304</v>
      </c>
      <c r="AU304" s="374"/>
    </row>
    <row r="305" spans="15:51" s="115" customFormat="1">
      <c r="O305" s="91"/>
      <c r="X305" s="115">
        <f t="shared" si="94"/>
        <v>0</v>
      </c>
      <c r="Y305" s="115">
        <f t="shared" si="95"/>
        <v>0</v>
      </c>
      <c r="Z305" s="115" t="e">
        <f t="shared" si="96"/>
        <v>#VALUE!</v>
      </c>
      <c r="AA305" s="115">
        <f t="shared" si="97"/>
        <v>0</v>
      </c>
      <c r="AB305" s="246"/>
      <c r="AD305" s="374" t="s">
        <v>103</v>
      </c>
      <c r="AE305" s="374"/>
      <c r="AF305" s="374"/>
      <c r="AG305" s="374"/>
      <c r="AS305" s="374" t="s">
        <v>103</v>
      </c>
      <c r="AT305" s="374"/>
      <c r="AU305" s="374"/>
      <c r="AV305" s="374"/>
    </row>
    <row r="306" spans="15:51" s="115" customFormat="1">
      <c r="O306" s="91"/>
      <c r="X306" s="115">
        <f t="shared" si="94"/>
        <v>0</v>
      </c>
      <c r="Y306" s="115">
        <f t="shared" si="95"/>
        <v>0</v>
      </c>
      <c r="Z306" s="115" t="e">
        <f t="shared" si="96"/>
        <v>#VALUE!</v>
      </c>
      <c r="AA306" s="115">
        <f t="shared" si="97"/>
        <v>0</v>
      </c>
      <c r="AB306" s="246"/>
      <c r="AE306" s="346" t="s">
        <v>563</v>
      </c>
      <c r="AF306" s="346" t="s">
        <v>561</v>
      </c>
      <c r="AG306" s="368" t="s">
        <v>565</v>
      </c>
      <c r="AT306" s="346" t="s">
        <v>563</v>
      </c>
      <c r="AU306" s="346" t="s">
        <v>561</v>
      </c>
      <c r="AV306" s="368" t="s">
        <v>565</v>
      </c>
    </row>
    <row r="307" spans="15:51" s="115" customFormat="1">
      <c r="O307" s="91"/>
      <c r="X307" s="115">
        <f t="shared" si="94"/>
        <v>0</v>
      </c>
      <c r="Y307" s="115">
        <f t="shared" si="95"/>
        <v>0</v>
      </c>
      <c r="Z307" s="115" t="e">
        <f t="shared" si="96"/>
        <v>#VALUE!</v>
      </c>
      <c r="AA307" s="115">
        <f t="shared" si="97"/>
        <v>0</v>
      </c>
      <c r="AB307" s="246"/>
      <c r="AD307" s="115" t="s">
        <v>14</v>
      </c>
      <c r="AE307" s="115">
        <f>COUNTIFS(D:D,"DA",E:E,"POS",G:G,"",I:I,"S1",F:F,"WINPEN")</f>
        <v>0</v>
      </c>
      <c r="AF307" s="115">
        <f>COUNTIFS(D:D,"DA",E:E,"POS",G:G,"",I:I,"S2",F:F,"WINPEN")</f>
        <v>0</v>
      </c>
      <c r="AG307" s="115">
        <f>COUNTIFS(D:D,"DA",E:E,"POS",G:G,"",I:I,"S3",F:F,"WINPEN")</f>
        <v>0</v>
      </c>
      <c r="AS307" s="115" t="s">
        <v>17</v>
      </c>
      <c r="AT307" s="115">
        <f>COUNTIFS(D:D,"AD",E:E,"NEG",G:G,"",I:I,"S1",F:F,"WINPEN")</f>
        <v>0</v>
      </c>
      <c r="AU307" s="115">
        <f>COUNTIFS(D:D,"AD",E:E,"NEG",G:G,"",I:I,"S2",F:F,"WINPEN")</f>
        <v>0</v>
      </c>
      <c r="AV307" s="115">
        <f>COUNTIFS(D:D,"AD",E:E,"NEG",G:G,"",I:I,"S3",F:F,"WINPEN")</f>
        <v>0</v>
      </c>
    </row>
    <row r="308" spans="15:51" s="115" customFormat="1">
      <c r="O308" s="91"/>
      <c r="X308" s="115">
        <f t="shared" si="94"/>
        <v>0</v>
      </c>
      <c r="Y308" s="115">
        <f t="shared" si="95"/>
        <v>0</v>
      </c>
      <c r="Z308" s="115" t="e">
        <f t="shared" si="96"/>
        <v>#VALUE!</v>
      </c>
      <c r="AA308" s="115">
        <f t="shared" si="97"/>
        <v>0</v>
      </c>
      <c r="AB308" s="246"/>
    </row>
    <row r="309" spans="15:51" s="115" customFormat="1">
      <c r="O309" s="91"/>
      <c r="X309" s="115">
        <f t="shared" si="94"/>
        <v>0</v>
      </c>
      <c r="Y309" s="115">
        <f t="shared" si="95"/>
        <v>0</v>
      </c>
      <c r="Z309" s="115" t="e">
        <f t="shared" si="96"/>
        <v>#VALUE!</v>
      </c>
      <c r="AA309" s="115">
        <f t="shared" si="97"/>
        <v>0</v>
      </c>
      <c r="AB309" s="246"/>
    </row>
    <row r="310" spans="15:51" s="115" customFormat="1">
      <c r="O310" s="91"/>
      <c r="X310" s="115">
        <f t="shared" si="94"/>
        <v>0</v>
      </c>
      <c r="Y310" s="115">
        <f t="shared" si="95"/>
        <v>0</v>
      </c>
      <c r="Z310" s="115" t="e">
        <f t="shared" si="96"/>
        <v>#VALUE!</v>
      </c>
      <c r="AA310" s="115">
        <f t="shared" si="97"/>
        <v>0</v>
      </c>
      <c r="AB310" s="246"/>
      <c r="AE310" s="374" t="s">
        <v>304</v>
      </c>
      <c r="AF310" s="374"/>
      <c r="AT310" s="374" t="s">
        <v>304</v>
      </c>
      <c r="AU310" s="374"/>
    </row>
    <row r="311" spans="15:51" s="115" customFormat="1">
      <c r="O311" s="91"/>
      <c r="X311" s="115">
        <f t="shared" si="94"/>
        <v>0</v>
      </c>
      <c r="Y311" s="115">
        <f t="shared" si="95"/>
        <v>0</v>
      </c>
      <c r="Z311" s="115" t="e">
        <f t="shared" si="96"/>
        <v>#VALUE!</v>
      </c>
      <c r="AA311" s="115">
        <f t="shared" si="97"/>
        <v>0</v>
      </c>
      <c r="AB311" s="246"/>
      <c r="AD311" s="374" t="s">
        <v>305</v>
      </c>
      <c r="AE311" s="374"/>
      <c r="AF311" s="374"/>
      <c r="AG311" s="374"/>
      <c r="AS311" s="374" t="s">
        <v>104</v>
      </c>
      <c r="AT311" s="374"/>
      <c r="AU311" s="374"/>
      <c r="AV311" s="374"/>
    </row>
    <row r="312" spans="15:51" s="115" customFormat="1">
      <c r="O312" s="91"/>
      <c r="X312" s="115">
        <f t="shared" si="94"/>
        <v>0</v>
      </c>
      <c r="Y312" s="115">
        <f t="shared" si="95"/>
        <v>0</v>
      </c>
      <c r="Z312" s="115" t="e">
        <f t="shared" si="96"/>
        <v>#VALUE!</v>
      </c>
      <c r="AA312" s="115">
        <f t="shared" si="97"/>
        <v>0</v>
      </c>
      <c r="AB312" s="246"/>
      <c r="AE312" s="115" t="s">
        <v>4</v>
      </c>
      <c r="AF312" s="115" t="s">
        <v>29</v>
      </c>
      <c r="AG312" s="115" t="s">
        <v>10</v>
      </c>
      <c r="AH312" s="188" t="s">
        <v>127</v>
      </c>
      <c r="AI312" s="115" t="s">
        <v>164</v>
      </c>
      <c r="AT312" s="115" t="s">
        <v>4</v>
      </c>
      <c r="AU312" s="115" t="s">
        <v>29</v>
      </c>
      <c r="AV312" s="115" t="s">
        <v>10</v>
      </c>
      <c r="AW312" s="188" t="s">
        <v>127</v>
      </c>
      <c r="AX312" s="115" t="s">
        <v>164</v>
      </c>
    </row>
    <row r="313" spans="15:51" s="115" customFormat="1">
      <c r="O313" s="91"/>
      <c r="X313" s="115">
        <f t="shared" si="94"/>
        <v>0</v>
      </c>
      <c r="Y313" s="115">
        <f t="shared" si="95"/>
        <v>0</v>
      </c>
      <c r="Z313" s="115" t="e">
        <f t="shared" si="96"/>
        <v>#VALUE!</v>
      </c>
      <c r="AA313" s="115">
        <f t="shared" si="97"/>
        <v>0</v>
      </c>
      <c r="AB313" s="246"/>
      <c r="AD313" s="115" t="s">
        <v>5</v>
      </c>
      <c r="AE313" s="178">
        <f>COUNTIFS(D:D,"AA",E:E,"POS",M:M,"STANCO",F:F,"WINPEN")</f>
        <v>0</v>
      </c>
      <c r="AF313" s="178">
        <f>COUNTIFS(D:D,"AA",E:E,"POS",M:M,"STANTI",F:F,"WINPEN")</f>
        <v>0</v>
      </c>
      <c r="AG313" s="178">
        <f>COUNTIFS(D:D,"AA",E:E,"POS",M:M,"STANFK",F:F,"WINPEN")</f>
        <v>0</v>
      </c>
      <c r="AH313" s="178">
        <f>COUNTIFS(D:D,"AA",E:E,"POS",M:M,"STANPEN",F:F,"WINPEN")</f>
        <v>0</v>
      </c>
      <c r="AI313" s="178">
        <f>COUNTIFS(D:D,"AA",E:E,"POS",M:M,"STANFK DIRECT",F:F,"WINPEN")</f>
        <v>0</v>
      </c>
      <c r="AS313" s="115" t="s">
        <v>1</v>
      </c>
      <c r="AT313" s="115">
        <f>COUNTIFS(D:D,"DD",E:E,"NEG",M:M,"STANCO",F:F,"WINPEN")</f>
        <v>0</v>
      </c>
      <c r="AU313" s="115">
        <f>COUNTIFS(D:D,"DD",E:E,"NEG",M:M,"STANTI",F:F,"WINPEN")</f>
        <v>0</v>
      </c>
      <c r="AV313" s="115">
        <f>COUNTIFS(D:D,"DD",E:E,"NEG",M:M,"STANFK",F:F,"WINPEN")</f>
        <v>0</v>
      </c>
      <c r="AW313" s="115">
        <f>COUNTIFS(D:D,"DD",E:E,"NEG",M:M,"STANPEN",F:F,"WINPEN")</f>
        <v>0</v>
      </c>
      <c r="AX313" s="115">
        <f>COUNTIFS(D:D,"DD",E:E,"NEG",M:M,"STANFK DIRECT",F:F,"WINPEN")</f>
        <v>0</v>
      </c>
    </row>
    <row r="314" spans="15:51" s="115" customFormat="1">
      <c r="O314" s="91"/>
      <c r="X314" s="115">
        <f t="shared" si="94"/>
        <v>0</v>
      </c>
      <c r="Y314" s="115">
        <f t="shared" si="95"/>
        <v>0</v>
      </c>
      <c r="Z314" s="115" t="e">
        <f t="shared" si="96"/>
        <v>#VALUE!</v>
      </c>
      <c r="AA314" s="115">
        <f t="shared" si="97"/>
        <v>0</v>
      </c>
      <c r="AB314" s="246"/>
    </row>
    <row r="315" spans="15:51" s="115" customFormat="1">
      <c r="O315" s="91"/>
      <c r="X315" s="115">
        <f t="shared" si="94"/>
        <v>0</v>
      </c>
      <c r="Y315" s="115">
        <f t="shared" si="95"/>
        <v>0</v>
      </c>
      <c r="Z315" s="115" t="e">
        <f t="shared" si="96"/>
        <v>#VALUE!</v>
      </c>
      <c r="AA315" s="115">
        <f t="shared" si="97"/>
        <v>0</v>
      </c>
      <c r="AB315" s="246"/>
      <c r="AE315" s="374" t="s">
        <v>304</v>
      </c>
      <c r="AF315" s="374"/>
      <c r="AT315" s="374" t="s">
        <v>304</v>
      </c>
      <c r="AU315" s="374"/>
    </row>
    <row r="316" spans="15:51" s="115" customFormat="1">
      <c r="O316" s="91"/>
      <c r="X316" s="115">
        <f t="shared" si="94"/>
        <v>0</v>
      </c>
      <c r="Y316" s="115">
        <f t="shared" si="95"/>
        <v>0</v>
      </c>
      <c r="Z316" s="115" t="e">
        <f t="shared" si="96"/>
        <v>#VALUE!</v>
      </c>
      <c r="AA316" s="115">
        <f t="shared" si="97"/>
        <v>0</v>
      </c>
      <c r="AB316" s="246"/>
      <c r="AD316" s="374" t="s">
        <v>306</v>
      </c>
      <c r="AE316" s="374"/>
      <c r="AF316" s="374"/>
      <c r="AG316" s="374"/>
      <c r="AH316" s="374"/>
      <c r="AS316" s="374" t="s">
        <v>104</v>
      </c>
      <c r="AT316" s="374"/>
      <c r="AU316" s="374"/>
      <c r="AV316" s="374"/>
    </row>
    <row r="317" spans="15:51" s="115" customFormat="1">
      <c r="O317" s="91"/>
      <c r="X317" s="115">
        <f t="shared" si="94"/>
        <v>0</v>
      </c>
      <c r="Y317" s="115">
        <f t="shared" si="95"/>
        <v>0</v>
      </c>
      <c r="Z317" s="115" t="e">
        <f t="shared" si="96"/>
        <v>#VALUE!</v>
      </c>
      <c r="AA317" s="115">
        <f t="shared" si="97"/>
        <v>0</v>
      </c>
      <c r="AB317" s="246"/>
      <c r="AE317" s="115" t="s">
        <v>29</v>
      </c>
      <c r="AF317" s="115" t="s">
        <v>10</v>
      </c>
      <c r="AG317" s="115" t="s">
        <v>25</v>
      </c>
      <c r="AH317" s="115" t="s">
        <v>27</v>
      </c>
      <c r="AT317" s="115" t="s">
        <v>29</v>
      </c>
      <c r="AU317" s="115" t="s">
        <v>10</v>
      </c>
      <c r="AV317" s="115" t="s">
        <v>25</v>
      </c>
      <c r="AW317" s="115" t="s">
        <v>27</v>
      </c>
    </row>
    <row r="318" spans="15:51" s="115" customFormat="1">
      <c r="O318" s="91"/>
      <c r="X318" s="115">
        <f t="shared" si="94"/>
        <v>0</v>
      </c>
      <c r="Y318" s="115">
        <f t="shared" si="95"/>
        <v>0</v>
      </c>
      <c r="Z318" s="115" t="e">
        <f t="shared" si="96"/>
        <v>#VALUE!</v>
      </c>
      <c r="AA318" s="115">
        <f t="shared" si="97"/>
        <v>0</v>
      </c>
      <c r="AB318" s="246"/>
      <c r="AD318" s="115" t="s">
        <v>5</v>
      </c>
      <c r="AE318" s="178">
        <f>COUNTIFS(D:D,"AA",E:E,"POS",G:G,"STANTI",F:F,"WINPEN")</f>
        <v>0</v>
      </c>
      <c r="AF318" s="178">
        <f>COUNTIFS(D:D,"AA",E:E,"POS",G:G,"STANFK",F:F,"WINPEN")</f>
        <v>0</v>
      </c>
      <c r="AG318" s="178">
        <f>COUNTIFS(D:D,"AA",E:E,"POS",G:G,"STANGK",F:F,"WINPEN")</f>
        <v>0</v>
      </c>
      <c r="AH318" s="178">
        <f>COUNTIFS(D:D,"AA",E:E,"POS",G:G,"STANGS",F:F,"WINPEN")</f>
        <v>0</v>
      </c>
      <c r="AI318" s="178"/>
      <c r="AS318" s="115" t="s">
        <v>1</v>
      </c>
      <c r="AT318" s="115">
        <f>COUNTIFS(D:D,"DD",E:E,"NEG",G:G,"STANTI",F:F,"WINPEN")</f>
        <v>0</v>
      </c>
      <c r="AU318" s="115">
        <f>COUNTIFS(D:D,"DD",E:E,"NEG",G:G,"STANFK",F:F,"WINPEN")</f>
        <v>0</v>
      </c>
      <c r="AV318" s="115">
        <f>COUNTIFS(D:D,"DD",E:E,"NEG",G:G,"STANGK",F:F,"WINPEN")</f>
        <v>0</v>
      </c>
      <c r="AW318" s="115">
        <f>COUNTIFS(D:D,"DD",E:E,"NEG",G:G,"STANGS",F:F,"WINPEN")</f>
        <v>0</v>
      </c>
    </row>
    <row r="319" spans="15:51" s="115" customFormat="1">
      <c r="O319" s="91"/>
      <c r="X319" s="115">
        <f t="shared" si="94"/>
        <v>0</v>
      </c>
      <c r="Y319" s="115">
        <f t="shared" si="95"/>
        <v>0</v>
      </c>
      <c r="Z319" s="115" t="e">
        <f t="shared" si="96"/>
        <v>#VALUE!</v>
      </c>
      <c r="AA319" s="115">
        <f t="shared" si="97"/>
        <v>0</v>
      </c>
      <c r="AB319" s="246"/>
    </row>
    <row r="320" spans="15:51" s="115" customFormat="1">
      <c r="O320" s="91"/>
      <c r="X320" s="115">
        <f t="shared" si="94"/>
        <v>0</v>
      </c>
      <c r="Y320" s="115">
        <f t="shared" si="95"/>
        <v>0</v>
      </c>
      <c r="Z320" s="115" t="e">
        <f t="shared" si="96"/>
        <v>#VALUE!</v>
      </c>
      <c r="AA320" s="115">
        <f t="shared" si="97"/>
        <v>0</v>
      </c>
      <c r="AB320" s="246"/>
      <c r="AD320" s="191"/>
      <c r="AE320" s="191"/>
      <c r="AF320" s="191"/>
      <c r="AG320" s="191"/>
      <c r="AH320" s="191"/>
      <c r="AI320" s="191"/>
      <c r="AJ320" s="191"/>
      <c r="AK320" s="191"/>
      <c r="AL320" s="191"/>
      <c r="AM320" s="191"/>
      <c r="AN320" s="191"/>
      <c r="AO320" s="191"/>
      <c r="AP320" s="191"/>
      <c r="AQ320" s="191"/>
      <c r="AR320" s="191"/>
      <c r="AS320" s="191"/>
      <c r="AT320" s="191"/>
      <c r="AU320" s="191"/>
      <c r="AV320" s="191"/>
      <c r="AW320" s="191"/>
      <c r="AX320" s="191"/>
      <c r="AY320" s="191"/>
    </row>
    <row r="321" spans="15:54" s="115" customFormat="1">
      <c r="O321" s="91"/>
      <c r="X321" s="115">
        <f t="shared" si="94"/>
        <v>0</v>
      </c>
      <c r="Y321" s="115">
        <f t="shared" si="95"/>
        <v>0</v>
      </c>
      <c r="Z321" s="115" t="e">
        <f t="shared" si="96"/>
        <v>#VALUE!</v>
      </c>
      <c r="AA321" s="115">
        <f t="shared" si="97"/>
        <v>0</v>
      </c>
      <c r="AB321" s="246"/>
    </row>
    <row r="322" spans="15:54" s="115" customFormat="1">
      <c r="O322" s="91"/>
      <c r="X322" s="115">
        <f t="shared" si="94"/>
        <v>0</v>
      </c>
      <c r="Y322" s="115">
        <f t="shared" si="95"/>
        <v>0</v>
      </c>
      <c r="Z322" s="115" t="e">
        <f t="shared" si="96"/>
        <v>#VALUE!</v>
      </c>
      <c r="AA322" s="115">
        <f t="shared" si="97"/>
        <v>0</v>
      </c>
      <c r="AB322" s="246"/>
      <c r="AE322" s="374" t="s">
        <v>163</v>
      </c>
      <c r="AF322" s="374"/>
      <c r="AT322" s="374" t="s">
        <v>163</v>
      </c>
      <c r="AU322" s="374"/>
    </row>
    <row r="323" spans="15:54" s="115" customFormat="1">
      <c r="O323" s="91"/>
      <c r="X323" s="115">
        <f t="shared" ref="X323:X386" si="98">mapValues(E323,F323,"P265")</f>
        <v>0</v>
      </c>
      <c r="Y323" s="115">
        <f t="shared" ref="Y323:Y386" si="99">X322+X323</f>
        <v>0</v>
      </c>
      <c r="Z323" s="115" t="e">
        <f t="shared" ref="Z323:Z386" si="100">VALUE(MID(B323,FIND(" ",B323)+1,FIND(" ",B323,FIND(" ",B323)+1)-FIND(" ",B323)))</f>
        <v>#VALUE!</v>
      </c>
      <c r="AA323" s="115">
        <f t="shared" ref="AA323:AA386" si="101">T323/1000</f>
        <v>0</v>
      </c>
      <c r="AB323" s="246"/>
      <c r="AE323" s="115" t="s">
        <v>98</v>
      </c>
      <c r="AF323" s="115" t="s">
        <v>99</v>
      </c>
      <c r="AH323" s="115" t="s">
        <v>98</v>
      </c>
      <c r="AI323" s="115" t="s">
        <v>99</v>
      </c>
      <c r="AT323" s="115" t="s">
        <v>98</v>
      </c>
      <c r="AU323" s="115" t="s">
        <v>99</v>
      </c>
      <c r="AW323" s="115" t="s">
        <v>98</v>
      </c>
      <c r="AX323" s="115" t="s">
        <v>99</v>
      </c>
    </row>
    <row r="324" spans="15:54" s="115" customFormat="1">
      <c r="O324" s="91"/>
      <c r="X324" s="115">
        <f t="shared" si="98"/>
        <v>0</v>
      </c>
      <c r="Y324" s="115">
        <f t="shared" si="99"/>
        <v>0</v>
      </c>
      <c r="Z324" s="115" t="e">
        <f t="shared" si="100"/>
        <v>#VALUE!</v>
      </c>
      <c r="AA324" s="115">
        <f t="shared" si="101"/>
        <v>0</v>
      </c>
      <c r="AB324" s="246"/>
      <c r="AD324" s="115" t="s">
        <v>97</v>
      </c>
      <c r="AE324" s="115">
        <f>COUNTIFS(D:D,"AA",E:E,"POS",M:M,"STANCO",F:F,"WINSTANTI")+COUNTIFS(D:D,"AA",E:E,"POS",M:M,"STANTI",F:F,"WINSTANTI")+COUNTIFS(D:D,"AA",E:E,"POS",M:M,"STANFK",F:F,"WINSTANTI")+COUNTIFS(D:D,"AA",E:E,"POS",G:G,"STANGK",F:F,"WINSTANTI")+COUNTIFS(D:D,"AA",E:E,"POS",G:G,"STANGS",F:F,"WINSTANTI")+COUNTIFS(D:D,"AA",E:E,"POS",M:M,"STANFK DIRECT",F:F,"WINSTANTI")+COUNTIFS(D:D,"AA",E:E,"POS",M:M,"STANPEN",F:F,"WINSTANTI")+COUNTIFS(D:D,"AA",E:E,"POS",G:G,"STANTI",F:F,"WINSTANTI")+COUNTIFS(D:D,"AA",E:E,"POS",G:G,"STANFK",F:F,"WINSTANTI")</f>
        <v>0</v>
      </c>
      <c r="AF324" s="115">
        <f>COUNTIFS(D:D,"AA",E:E,"POS",G:G,"",M:M,"",F:F,"WINSTANTI")+COUNTIFS(D:D,"DA",E:E,"POS",G:G,"",M:M,"",F:F,"WINSTANTI")</f>
        <v>1</v>
      </c>
      <c r="AG324" s="115" t="s">
        <v>39</v>
      </c>
      <c r="AH324" s="115">
        <f>COUNTIFS(D:D,"DD",E:E,"POS",M:M,"STANCO",F:F,"WINSTANTI")+COUNTIFS(D:D,"DD",E:E,"POS",M:M,"STANTI",F:F,"WINSTANTI")+COUNTIFS(D:D,"DD",E:E,"POS",M:M,"STANFK",F:F,"WINSTANTI")+COUNTIFS(D:D,"DD",E:E,"POS",G:G,"STANGK",F:F,"WINSTANTI")+COUNTIFS(D:D,"DD",E:E,"POS",G:G,"STANGS",F:F,"WINSTANTI")+COUNTIFS(D:D,"DD",E:E,"POS",M:M,"STANPEN",F:F,"WINSTANTI")+COUNTIFS(D:D,"DD",E:E,"POS",M:M,"STANFK DIRECT",F:F,"WINSTANTI")+COUNTIFS(D:D,"DD",E:E,"POS",G:G,"STANTI",F:F,"WINSTANTI")+COUNTIFS(D:D,"DD",E:E,"POS",G:G,"STANFK",F:F,"WINSTANTI")</f>
        <v>0</v>
      </c>
      <c r="AI324" s="115">
        <f>COUNTIFS(D:D,"DD",E:E,"POS",G:G,"",M:M,"",F:F,"WINSTANTI")+COUNTIFS(D:D,"AD",E:E,"POS",G:G,"",M:M,"",F:F,"WINSTANTI")</f>
        <v>1</v>
      </c>
      <c r="AS324" s="115" t="s">
        <v>39</v>
      </c>
      <c r="AT324" s="115">
        <f>COUNTIFS(D:D,"DD",E:E,"NEG",M:M,"STANCO",F:F,"WINSTANTI")+COUNTIFS(D:D,"DD",E:E,"NEG",M:M,"STANTI",F:F,"WINSTANTI")+COUNTIFS(D:D,"DD",E:E,"NEG",M:M,"STANFK",F:F,"WINSTANTI")+COUNTIFS(D:D,"DD",E:E,"NEG",G:G,"STANGK",F:F,"WINSTANTI")+COUNTIFS(D:D,"DD",E:E,"NEG",G:G,"STANGS",F:F,"WINSTANTI")+COUNTIFS(D:D,"DD",E:E,"NEG",M:M,"STANPEN",F:F,"WINSTANTI")+COUNTIFS(D:D,"DD",E:E,"NEG",M:M,"STANFK DIRECT",F:F,"WINSTANTI")+COUNTIFS(D:D,"DD",E:E,"NEG",G:G,"STANTI",F:F,"WINSTANTI")+COUNTIFS(D:D,"DD",E:E,"NEG",G:G,"STANFK",F:F,"WINSTANTI")</f>
        <v>0</v>
      </c>
      <c r="AU324" s="115">
        <f>COUNTIFS(D:D,"DD",E:E,"NEG",G:G,"",M:M,"",F:F,"WINSTANTI")+COUNTIFS(D:D,"AD",E:E,"NEG",G:G,"",M:M,"",F:F,"WINSTANTI")</f>
        <v>0</v>
      </c>
      <c r="AV324" s="115" t="s">
        <v>68</v>
      </c>
      <c r="AW324" s="115">
        <f>COUNTIFS(D:D,"AA",E:E,"NEG",M:M,"STANCO",F:F,"WINSTANTI")+COUNTIFS(D:D,"AA",E:E,"NEG",M:M,"STANTI",F:F,"WINSTANTI")+COUNTIFS(D:D,"AA",E:E,"NEG",M:M,"STANFK",F:F,"WINSTANTI")+COUNTIFS(D:D,"AA",E:E,"NEG",G:G,"STANGK",F:F,"WINSTANTI")+COUNTIFS(D:D,"AA",E:E,"NEG",G:G,"STANGS",F:F,"WINSTANTI")+COUNTIFS(D:D,"AA",E:E,"NEG",M:M,"STANPEN",F:F,"WINSTANTI")+COUNTIFS(D:D,"AA",E:E,"NEG",M:M,"STANFK DIRECT",F:F,"WINSTANTI")+COUNTIFS(D:D,"AA",E:E,"NEG",G:G,"STANTI",F:F,"WINSTANTI")+COUNTIFS(D:D,"AA",E:E,"NEG",G:G,"STANFK",F:F,"WINSTANTI")</f>
        <v>0</v>
      </c>
      <c r="AX324" s="115">
        <f>COUNTIFS(D:D,"AA",E:E,"NEG",G:G,"",M:M,"",F:F,"WINSTANTI")+COUNTIFS(D:D,"DA",E:E,"NEG",G:G,"",M:M,"",F:F,"WINSTANTI")</f>
        <v>0</v>
      </c>
    </row>
    <row r="325" spans="15:54" s="115" customFormat="1">
      <c r="O325" s="91"/>
      <c r="X325" s="115">
        <f t="shared" si="98"/>
        <v>0</v>
      </c>
      <c r="Y325" s="115">
        <f t="shared" si="99"/>
        <v>0</v>
      </c>
      <c r="Z325" s="115" t="e">
        <f t="shared" si="100"/>
        <v>#VALUE!</v>
      </c>
      <c r="AA325" s="115">
        <f t="shared" si="101"/>
        <v>0</v>
      </c>
      <c r="AB325" s="246"/>
    </row>
    <row r="326" spans="15:54" s="115" customFormat="1">
      <c r="O326" s="91"/>
      <c r="X326" s="115">
        <f t="shared" si="98"/>
        <v>0</v>
      </c>
      <c r="Y326" s="115">
        <f t="shared" si="99"/>
        <v>0</v>
      </c>
      <c r="Z326" s="115" t="e">
        <f t="shared" si="100"/>
        <v>#VALUE!</v>
      </c>
      <c r="AA326" s="115">
        <f t="shared" si="101"/>
        <v>0</v>
      </c>
      <c r="AB326" s="246"/>
    </row>
    <row r="327" spans="15:54" s="115" customFormat="1">
      <c r="O327" s="91"/>
      <c r="X327" s="115">
        <f t="shared" si="98"/>
        <v>0</v>
      </c>
      <c r="Y327" s="115">
        <f t="shared" si="99"/>
        <v>0</v>
      </c>
      <c r="Z327" s="115" t="e">
        <f t="shared" si="100"/>
        <v>#VALUE!</v>
      </c>
      <c r="AA327" s="115">
        <f t="shared" si="101"/>
        <v>0</v>
      </c>
      <c r="AB327" s="246"/>
      <c r="AE327" s="374" t="s">
        <v>163</v>
      </c>
      <c r="AF327" s="374"/>
      <c r="AH327" s="188"/>
      <c r="AT327" s="374" t="s">
        <v>163</v>
      </c>
      <c r="AU327" s="374"/>
    </row>
    <row r="328" spans="15:54" s="115" customFormat="1">
      <c r="O328" s="91"/>
      <c r="X328" s="115">
        <f t="shared" si="98"/>
        <v>0</v>
      </c>
      <c r="Y328" s="115">
        <f t="shared" si="99"/>
        <v>0</v>
      </c>
      <c r="Z328" s="115" t="e">
        <f t="shared" si="100"/>
        <v>#VALUE!</v>
      </c>
      <c r="AA328" s="115">
        <f t="shared" si="101"/>
        <v>0</v>
      </c>
      <c r="AB328" s="246"/>
      <c r="AE328" s="115" t="s">
        <v>100</v>
      </c>
      <c r="AF328" s="115" t="s">
        <v>14</v>
      </c>
      <c r="AG328" s="115" t="s">
        <v>5</v>
      </c>
      <c r="AI328" s="115" t="s">
        <v>100</v>
      </c>
      <c r="AJ328" s="115" t="s">
        <v>17</v>
      </c>
      <c r="AK328" s="115" t="s">
        <v>1</v>
      </c>
      <c r="AT328" s="115" t="s">
        <v>100</v>
      </c>
      <c r="AU328" s="115" t="s">
        <v>17</v>
      </c>
      <c r="AV328" s="115" t="s">
        <v>1</v>
      </c>
      <c r="AX328" s="115" t="s">
        <v>100</v>
      </c>
      <c r="AY328" s="115" t="s">
        <v>14</v>
      </c>
      <c r="AZ328" s="115" t="s">
        <v>5</v>
      </c>
    </row>
    <row r="329" spans="15:54" s="115" customFormat="1">
      <c r="O329" s="91"/>
      <c r="X329" s="115">
        <f t="shared" si="98"/>
        <v>0</v>
      </c>
      <c r="Y329" s="115">
        <f t="shared" si="99"/>
        <v>0</v>
      </c>
      <c r="Z329" s="115" t="e">
        <f t="shared" si="100"/>
        <v>#VALUE!</v>
      </c>
      <c r="AA329" s="115">
        <f t="shared" si="101"/>
        <v>0</v>
      </c>
      <c r="AB329" s="246"/>
      <c r="AD329" s="115" t="s">
        <v>68</v>
      </c>
      <c r="AE329" s="115">
        <f>AE324</f>
        <v>0</v>
      </c>
      <c r="AF329" s="115">
        <f>COUNTIFS(D:D,"DA",E:E,"POS",G:G,"",F:F,"WINSTANTI")</f>
        <v>1</v>
      </c>
      <c r="AG329" s="115">
        <f>COUNTIFS(D:D,"AA",E:E,"POS",G:G,"",M:M,"",F:F,"WINSTANTI")</f>
        <v>0</v>
      </c>
      <c r="AH329" s="115" t="s">
        <v>39</v>
      </c>
      <c r="AI329" s="115">
        <f>AH324</f>
        <v>0</v>
      </c>
      <c r="AJ329" s="115">
        <f>COUNTIFS(D:D,"AD",E:E,"POS",G:G,"",F:F,"WINSTANTI")</f>
        <v>1</v>
      </c>
      <c r="AK329" s="115">
        <f>COUNTIFS(D:D,"DD",E:E,"POS",G:G,"",F:F,"WINSTANTI")</f>
        <v>0</v>
      </c>
      <c r="AS329" s="115" t="s">
        <v>39</v>
      </c>
      <c r="AT329" s="115">
        <f>AT324</f>
        <v>0</v>
      </c>
      <c r="AU329" s="115">
        <f>COUNTIFS(D:D,"AD",E:E,"NEG",G:G,"",F:F,"WINSTANTI")</f>
        <v>0</v>
      </c>
      <c r="AV329" s="115">
        <f>COUNTIFS(D:D,"DD",E:E,"NEG",G:G,"",M:M,"",F:F,"WINSTANTI")</f>
        <v>0</v>
      </c>
      <c r="AW329" s="115" t="s">
        <v>68</v>
      </c>
      <c r="AX329" s="115">
        <f>AW324</f>
        <v>0</v>
      </c>
      <c r="AY329" s="115">
        <f>COUNTIFS(D:D,"DA",E:E,"NEG",G:G,"",M:M,"",F:F,"WINSTANTI")</f>
        <v>0</v>
      </c>
      <c r="AZ329" s="115">
        <f>COUNTIFS(D:D,"AA",E:E,"NEG",G:G,"",M:M,"",F:F,"WINSTANTI")</f>
        <v>0</v>
      </c>
    </row>
    <row r="330" spans="15:54" s="115" customFormat="1">
      <c r="O330" s="91"/>
      <c r="X330" s="115">
        <f t="shared" si="98"/>
        <v>0</v>
      </c>
      <c r="Y330" s="115">
        <f t="shared" si="99"/>
        <v>0</v>
      </c>
      <c r="Z330" s="115" t="e">
        <f t="shared" si="100"/>
        <v>#VALUE!</v>
      </c>
      <c r="AA330" s="115">
        <f t="shared" si="101"/>
        <v>0</v>
      </c>
      <c r="AB330" s="246"/>
    </row>
    <row r="331" spans="15:54" s="115" customFormat="1">
      <c r="O331" s="91"/>
      <c r="X331" s="115">
        <f t="shared" si="98"/>
        <v>0</v>
      </c>
      <c r="Y331" s="115">
        <f t="shared" si="99"/>
        <v>0</v>
      </c>
      <c r="Z331" s="115" t="e">
        <f t="shared" si="100"/>
        <v>#VALUE!</v>
      </c>
      <c r="AA331" s="115">
        <f t="shared" si="101"/>
        <v>0</v>
      </c>
      <c r="AB331" s="246"/>
    </row>
    <row r="332" spans="15:54" s="115" customFormat="1">
      <c r="O332" s="91"/>
      <c r="X332" s="115">
        <f t="shared" si="98"/>
        <v>0</v>
      </c>
      <c r="Y332" s="115">
        <f t="shared" si="99"/>
        <v>0</v>
      </c>
      <c r="Z332" s="115" t="e">
        <f t="shared" si="100"/>
        <v>#VALUE!</v>
      </c>
      <c r="AA332" s="115">
        <f t="shared" si="101"/>
        <v>0</v>
      </c>
      <c r="AB332" s="246"/>
      <c r="AE332" s="374" t="s">
        <v>163</v>
      </c>
      <c r="AF332" s="374"/>
      <c r="AT332" s="374" t="s">
        <v>163</v>
      </c>
      <c r="AU332" s="374"/>
    </row>
    <row r="333" spans="15:54" s="115" customFormat="1">
      <c r="O333" s="91"/>
      <c r="X333" s="115">
        <f t="shared" si="98"/>
        <v>0</v>
      </c>
      <c r="Y333" s="115">
        <f t="shared" si="99"/>
        <v>0</v>
      </c>
      <c r="Z333" s="115" t="e">
        <f t="shared" si="100"/>
        <v>#VALUE!</v>
      </c>
      <c r="AA333" s="115">
        <f t="shared" si="101"/>
        <v>0</v>
      </c>
      <c r="AB333" s="246"/>
      <c r="AD333" s="374" t="s">
        <v>101</v>
      </c>
      <c r="AE333" s="374"/>
      <c r="AF333" s="374"/>
      <c r="AG333" s="374"/>
      <c r="AS333" s="374" t="s">
        <v>101</v>
      </c>
      <c r="AT333" s="374"/>
      <c r="AU333" s="374"/>
      <c r="AV333" s="374"/>
    </row>
    <row r="334" spans="15:54" s="115" customFormat="1">
      <c r="O334" s="91"/>
      <c r="X334" s="115">
        <f t="shared" si="98"/>
        <v>0</v>
      </c>
      <c r="Y334" s="115">
        <f t="shared" si="99"/>
        <v>0</v>
      </c>
      <c r="Z334" s="115" t="e">
        <f t="shared" si="100"/>
        <v>#VALUE!</v>
      </c>
      <c r="AA334" s="115">
        <f t="shared" si="101"/>
        <v>0</v>
      </c>
      <c r="AB334" s="246"/>
      <c r="AE334" s="115" t="s">
        <v>11</v>
      </c>
      <c r="AF334" s="115" t="s">
        <v>23</v>
      </c>
      <c r="AG334" s="115" t="s">
        <v>18</v>
      </c>
      <c r="AH334" s="188" t="s">
        <v>14</v>
      </c>
      <c r="AJ334" s="115" t="s">
        <v>11</v>
      </c>
      <c r="AK334" s="115" t="s">
        <v>23</v>
      </c>
      <c r="AL334" s="115" t="s">
        <v>18</v>
      </c>
      <c r="AM334" s="190" t="s">
        <v>17</v>
      </c>
      <c r="AT334" s="115" t="s">
        <v>11</v>
      </c>
      <c r="AU334" s="115" t="s">
        <v>23</v>
      </c>
      <c r="AV334" s="115" t="s">
        <v>18</v>
      </c>
      <c r="AW334" s="188" t="s">
        <v>17</v>
      </c>
      <c r="AY334" s="115" t="s">
        <v>11</v>
      </c>
      <c r="AZ334" s="115" t="s">
        <v>23</v>
      </c>
      <c r="BA334" s="115" t="s">
        <v>18</v>
      </c>
      <c r="BB334" s="190" t="s">
        <v>14</v>
      </c>
    </row>
    <row r="335" spans="15:54" s="115" customFormat="1">
      <c r="O335" s="91"/>
      <c r="X335" s="115">
        <f t="shared" si="98"/>
        <v>0</v>
      </c>
      <c r="Y335" s="115">
        <f t="shared" si="99"/>
        <v>0</v>
      </c>
      <c r="Z335" s="115" t="e">
        <f t="shared" si="100"/>
        <v>#VALUE!</v>
      </c>
      <c r="AA335" s="115">
        <f t="shared" si="101"/>
        <v>0</v>
      </c>
      <c r="AB335" s="246"/>
      <c r="AD335" s="115" t="s">
        <v>68</v>
      </c>
      <c r="AE335" s="115">
        <f>COUNTIFS(D:D,"AA",E:E,"POS",G:G,"",H:H,"SHORT",M:M,"",F:F,"WINSTANTI")</f>
        <v>0</v>
      </c>
      <c r="AF335" s="115">
        <f>COUNTIFS(D:D,"AA",E:E,"POS",G:G,"",H:H,"SHORTLONG",M:M,"",F:F,"WINSTANTI")</f>
        <v>0</v>
      </c>
      <c r="AG335" s="115">
        <f>COUNTIFS(D:D,"AA",E:E,"POS",G:G,"",H:H,"LONG",M:M,"",F:F,"WINSTANTI")</f>
        <v>0</v>
      </c>
      <c r="AH335" s="115">
        <f>COUNTIFS(D:D,"DA",E:E,"POS",G:G,"",F:F,"WINSTANTI")</f>
        <v>1</v>
      </c>
      <c r="AI335" s="115" t="s">
        <v>39</v>
      </c>
      <c r="AJ335" s="115">
        <f>COUNTIFS(D:D,"DD",E:E,"POS",G:G,"",H:H,"SHORT",M:M,"",F:F,"WINSTANTI")</f>
        <v>0</v>
      </c>
      <c r="AK335" s="115">
        <f>COUNTIFS(D:D,"DD",E:E,"POS",G:G,"",H:H,"SHORTLONG",M:M,"",F:F,"WINSTANTI")</f>
        <v>0</v>
      </c>
      <c r="AL335" s="115">
        <f>COUNTIFS(D:D,"DD",E:E,"POS",G:G,"",H:H,"LONG",M:M,"",F:F,"WINSTANTI")</f>
        <v>0</v>
      </c>
      <c r="AM335" s="115">
        <f>AJ329</f>
        <v>1</v>
      </c>
      <c r="AS335" s="115" t="s">
        <v>39</v>
      </c>
      <c r="AT335" s="115">
        <f>COUNTIFS(D:D,"DD",E:E,"NEG",G:G,"",H:H,"SHORT",M:M,"",F:F,"WINSTANTI")</f>
        <v>0</v>
      </c>
      <c r="AU335" s="115">
        <f>COUNTIFS(D:D,"DD",E:E,"NEG",G:G,"",H:H,"SHORTLONG",M:M,"",F:F,"WINSTANTI")</f>
        <v>0</v>
      </c>
      <c r="AV335" s="115">
        <f>COUNTIFS(D:D,"DD",E:E,"NEG",G:G,"",H:H,"LONG",M:M,"",F:F,"WINSTANTI")</f>
        <v>0</v>
      </c>
      <c r="AW335" s="115">
        <f>COUNTIFS(D:D,"AD",E:E,"NEG",G:G,"",F:F,"WINSTANTI")</f>
        <v>0</v>
      </c>
      <c r="AX335" s="115" t="s">
        <v>68</v>
      </c>
      <c r="AY335" s="115">
        <f>COUNTIFS(D:D,"AA",E:E,"NEG",G:G,"",H:H,"SHORT",M:M,"",F:F,"WINSTANTI")</f>
        <v>0</v>
      </c>
      <c r="AZ335" s="115">
        <f>COUNTIFS(D:D,"AA",E:E,"NEG",G:G,"",H:H,"SHORTLONG",M:M,"",F:F,"WINSTANTI")</f>
        <v>0</v>
      </c>
      <c r="BA335" s="115">
        <f>COUNTIFS(D:D,"AA",E:E,"NEG",G:G,"",H:H,"LONG",M:M,"",F:F,"WINSTANTI")</f>
        <v>0</v>
      </c>
      <c r="BB335" s="115">
        <f>COUNTIFS(D:D,"DA",E:E,"NEG",G:G,"",F:F,"WINSTANTI")</f>
        <v>0</v>
      </c>
    </row>
    <row r="336" spans="15:54" s="115" customFormat="1">
      <c r="O336" s="91"/>
      <c r="X336" s="115">
        <f t="shared" si="98"/>
        <v>0</v>
      </c>
      <c r="Y336" s="115">
        <f t="shared" si="99"/>
        <v>0</v>
      </c>
      <c r="Z336" s="115" t="e">
        <f t="shared" si="100"/>
        <v>#VALUE!</v>
      </c>
      <c r="AA336" s="115">
        <f t="shared" si="101"/>
        <v>0</v>
      </c>
      <c r="AB336" s="246"/>
    </row>
    <row r="337" spans="15:56" s="115" customFormat="1">
      <c r="O337" s="91"/>
      <c r="X337" s="115">
        <f t="shared" si="98"/>
        <v>0</v>
      </c>
      <c r="Y337" s="115">
        <f t="shared" si="99"/>
        <v>0</v>
      </c>
      <c r="Z337" s="115" t="e">
        <f t="shared" si="100"/>
        <v>#VALUE!</v>
      </c>
      <c r="AA337" s="115">
        <f t="shared" si="101"/>
        <v>0</v>
      </c>
      <c r="AB337" s="246"/>
    </row>
    <row r="338" spans="15:56" s="115" customFormat="1">
      <c r="O338" s="91"/>
      <c r="X338" s="115">
        <f t="shared" si="98"/>
        <v>0</v>
      </c>
      <c r="Y338" s="115">
        <f t="shared" si="99"/>
        <v>0</v>
      </c>
      <c r="Z338" s="115" t="e">
        <f t="shared" si="100"/>
        <v>#VALUE!</v>
      </c>
      <c r="AA338" s="115">
        <f t="shared" si="101"/>
        <v>0</v>
      </c>
      <c r="AB338" s="246"/>
      <c r="AE338" s="374" t="s">
        <v>163</v>
      </c>
      <c r="AF338" s="374"/>
      <c r="AT338" s="374" t="s">
        <v>163</v>
      </c>
      <c r="AU338" s="374"/>
    </row>
    <row r="339" spans="15:56" s="115" customFormat="1">
      <c r="O339" s="91"/>
      <c r="X339" s="115">
        <f t="shared" si="98"/>
        <v>0</v>
      </c>
      <c r="Y339" s="115">
        <f t="shared" si="99"/>
        <v>0</v>
      </c>
      <c r="Z339" s="115" t="e">
        <f t="shared" si="100"/>
        <v>#VALUE!</v>
      </c>
      <c r="AA339" s="115">
        <f t="shared" si="101"/>
        <v>0</v>
      </c>
      <c r="AB339" s="246"/>
      <c r="AD339" s="374" t="s">
        <v>103</v>
      </c>
      <c r="AE339" s="374"/>
      <c r="AF339" s="374"/>
      <c r="AG339" s="374"/>
      <c r="AS339" s="374" t="s">
        <v>103</v>
      </c>
      <c r="AT339" s="374"/>
      <c r="AU339" s="374"/>
      <c r="AV339" s="374"/>
    </row>
    <row r="340" spans="15:56" s="115" customFormat="1">
      <c r="O340" s="91"/>
      <c r="X340" s="115">
        <f t="shared" si="98"/>
        <v>0</v>
      </c>
      <c r="Y340" s="115">
        <f t="shared" si="99"/>
        <v>0</v>
      </c>
      <c r="Z340" s="115" t="e">
        <f t="shared" si="100"/>
        <v>#VALUE!</v>
      </c>
      <c r="AA340" s="115">
        <f t="shared" si="101"/>
        <v>0</v>
      </c>
      <c r="AB340" s="246"/>
      <c r="AE340" s="346" t="s">
        <v>563</v>
      </c>
      <c r="AF340" s="346" t="s">
        <v>561</v>
      </c>
      <c r="AG340" s="368" t="s">
        <v>565</v>
      </c>
      <c r="AJ340" s="346" t="s">
        <v>563</v>
      </c>
      <c r="AK340" s="346" t="s">
        <v>561</v>
      </c>
      <c r="AL340" s="368" t="s">
        <v>565</v>
      </c>
      <c r="AT340" s="346" t="s">
        <v>563</v>
      </c>
      <c r="AU340" s="346" t="s">
        <v>561</v>
      </c>
      <c r="AV340" s="368" t="s">
        <v>565</v>
      </c>
      <c r="AY340" s="346" t="s">
        <v>563</v>
      </c>
      <c r="AZ340" s="346" t="s">
        <v>561</v>
      </c>
      <c r="BA340" s="368" t="s">
        <v>565</v>
      </c>
    </row>
    <row r="341" spans="15:56" s="115" customFormat="1">
      <c r="O341" s="91"/>
      <c r="X341" s="115">
        <f t="shared" si="98"/>
        <v>0</v>
      </c>
      <c r="Y341" s="115">
        <f t="shared" si="99"/>
        <v>0</v>
      </c>
      <c r="Z341" s="115" t="e">
        <f t="shared" si="100"/>
        <v>#VALUE!</v>
      </c>
      <c r="AA341" s="115">
        <f t="shared" si="101"/>
        <v>0</v>
      </c>
      <c r="AB341" s="246"/>
      <c r="AD341" s="115" t="s">
        <v>5</v>
      </c>
      <c r="AE341" s="115">
        <f>COUNTIFS(D:D,"AA",E:E,"POS",G:G,"",I:I,"S1",M:M,"",F:F,"WINSTANTI")</f>
        <v>0</v>
      </c>
      <c r="AF341" s="115">
        <f>COUNTIFS(D:D,"AA",E:E,"POS",G:G,"",I:I,"S2",M:M,"",F:F,"WINSTANTI")</f>
        <v>0</v>
      </c>
      <c r="AG341" s="115">
        <f>COUNTIFS(D:D,"AA",E:E,"POS",G:G,"",I:I,"S3",M:M,"",F:F,"WINSTANTI")</f>
        <v>0</v>
      </c>
      <c r="AI341" s="115" t="s">
        <v>1</v>
      </c>
      <c r="AJ341" s="115">
        <f>COUNTIFS(D:D,"DD",E:E,"POS",G:G,"",I:I,"S1",M:M,"",F:F,"WINSTANTI")</f>
        <v>0</v>
      </c>
      <c r="AK341" s="115">
        <f>COUNTIFS(D:D,"DD",E:E,"POS",G:G,"",I:I,"S2",M:M,"",F:F,"WINSTANTI")</f>
        <v>0</v>
      </c>
      <c r="AL341" s="115">
        <f>COUNTIFS(D:D,"DD",E:E,"POS",G:G,"",I:I,"S3",M:M,"",F:F,"WINSTANTI")</f>
        <v>0</v>
      </c>
      <c r="AS341" s="115" t="s">
        <v>1</v>
      </c>
      <c r="AT341" s="115">
        <f>COUNTIFS(D:D,"DD",E:E,"NEG",G:G,"",I:I,"S1",M:M,"",F:F,"WINSTANTI")</f>
        <v>0</v>
      </c>
      <c r="AU341" s="115">
        <f>COUNTIFS(D:D,"DD",E:E,"NEG",G:G,"",I:I,"S2",F:F,"WINSTANTI")</f>
        <v>0</v>
      </c>
      <c r="AV341" s="115">
        <f>COUNTIFS(D:D,"DD",E:E,"NEG",G:G,"",I:I,"S3",F:F,"WINSTANTI")</f>
        <v>0</v>
      </c>
      <c r="AX341" s="115" t="s">
        <v>5</v>
      </c>
      <c r="AY341" s="115">
        <f>COUNTIFS(D:D,"AA",E:E,"NEG",G:G,"",I:I,"S1",M:M,"",F:F,"WINSTANTI")</f>
        <v>0</v>
      </c>
      <c r="AZ341" s="115">
        <f>COUNTIFS(D:D,"AA",E:E,"NEG",G:G,"",I:I,"S2",F:F,"WINSTANTI")</f>
        <v>0</v>
      </c>
      <c r="BA341" s="115">
        <f>COUNTIFS(D:D,"AA",E:E,"NEG",G:G,"",I:I,"S3",F:F,"WINSTANTI")</f>
        <v>0</v>
      </c>
    </row>
    <row r="342" spans="15:56" s="115" customFormat="1">
      <c r="O342" s="91"/>
      <c r="X342" s="115">
        <f t="shared" si="98"/>
        <v>0</v>
      </c>
      <c r="Y342" s="115">
        <f t="shared" si="99"/>
        <v>0</v>
      </c>
      <c r="Z342" s="115" t="e">
        <f t="shared" si="100"/>
        <v>#VALUE!</v>
      </c>
      <c r="AA342" s="115">
        <f t="shared" si="101"/>
        <v>0</v>
      </c>
      <c r="AB342" s="246"/>
    </row>
    <row r="343" spans="15:56" s="115" customFormat="1">
      <c r="O343" s="91"/>
      <c r="X343" s="115">
        <f t="shared" si="98"/>
        <v>0</v>
      </c>
      <c r="Y343" s="115">
        <f t="shared" si="99"/>
        <v>0</v>
      </c>
      <c r="Z343" s="115" t="e">
        <f t="shared" si="100"/>
        <v>#VALUE!</v>
      </c>
      <c r="AA343" s="115">
        <f t="shared" si="101"/>
        <v>0</v>
      </c>
      <c r="AB343" s="246"/>
    </row>
    <row r="344" spans="15:56" s="115" customFormat="1">
      <c r="O344" s="91"/>
      <c r="X344" s="115">
        <f t="shared" si="98"/>
        <v>0</v>
      </c>
      <c r="Y344" s="115">
        <f t="shared" si="99"/>
        <v>0</v>
      </c>
      <c r="Z344" s="115" t="e">
        <f t="shared" si="100"/>
        <v>#VALUE!</v>
      </c>
      <c r="AA344" s="115">
        <f t="shared" si="101"/>
        <v>0</v>
      </c>
      <c r="AB344" s="246"/>
      <c r="AE344" s="374" t="s">
        <v>163</v>
      </c>
      <c r="AF344" s="374"/>
      <c r="AT344" s="374" t="s">
        <v>163</v>
      </c>
      <c r="AU344" s="374"/>
    </row>
    <row r="345" spans="15:56" s="115" customFormat="1">
      <c r="O345" s="91"/>
      <c r="X345" s="115">
        <f t="shared" si="98"/>
        <v>0</v>
      </c>
      <c r="Y345" s="115">
        <f t="shared" si="99"/>
        <v>0</v>
      </c>
      <c r="Z345" s="115" t="e">
        <f t="shared" si="100"/>
        <v>#VALUE!</v>
      </c>
      <c r="AA345" s="115">
        <f t="shared" si="101"/>
        <v>0</v>
      </c>
      <c r="AB345" s="246"/>
      <c r="AD345" s="374" t="s">
        <v>103</v>
      </c>
      <c r="AE345" s="374"/>
      <c r="AF345" s="374"/>
      <c r="AG345" s="374"/>
      <c r="AS345" s="374" t="s">
        <v>103</v>
      </c>
      <c r="AT345" s="374"/>
      <c r="AU345" s="374"/>
      <c r="AV345" s="374"/>
    </row>
    <row r="346" spans="15:56" s="115" customFormat="1">
      <c r="O346" s="91"/>
      <c r="X346" s="115">
        <f t="shared" si="98"/>
        <v>0</v>
      </c>
      <c r="Y346" s="115">
        <f t="shared" si="99"/>
        <v>0</v>
      </c>
      <c r="Z346" s="115" t="e">
        <f t="shared" si="100"/>
        <v>#VALUE!</v>
      </c>
      <c r="AA346" s="115">
        <f t="shared" si="101"/>
        <v>0</v>
      </c>
      <c r="AB346" s="246"/>
      <c r="AE346" s="346" t="s">
        <v>563</v>
      </c>
      <c r="AF346" s="346" t="s">
        <v>561</v>
      </c>
      <c r="AG346" s="368" t="s">
        <v>565</v>
      </c>
      <c r="AJ346" s="346" t="s">
        <v>563</v>
      </c>
      <c r="AK346" s="346" t="s">
        <v>561</v>
      </c>
      <c r="AL346" s="368" t="s">
        <v>565</v>
      </c>
      <c r="AT346" s="346" t="s">
        <v>563</v>
      </c>
      <c r="AU346" s="346" t="s">
        <v>561</v>
      </c>
      <c r="AV346" s="368" t="s">
        <v>565</v>
      </c>
      <c r="AY346" s="346" t="s">
        <v>563</v>
      </c>
      <c r="AZ346" s="346" t="s">
        <v>561</v>
      </c>
      <c r="BA346" s="368" t="s">
        <v>565</v>
      </c>
    </row>
    <row r="347" spans="15:56" s="115" customFormat="1">
      <c r="O347" s="91"/>
      <c r="X347" s="115">
        <f t="shared" si="98"/>
        <v>0</v>
      </c>
      <c r="Y347" s="115">
        <f t="shared" si="99"/>
        <v>0</v>
      </c>
      <c r="Z347" s="115" t="e">
        <f t="shared" si="100"/>
        <v>#VALUE!</v>
      </c>
      <c r="AA347" s="115">
        <f t="shared" si="101"/>
        <v>0</v>
      </c>
      <c r="AB347" s="246"/>
      <c r="AD347" s="115" t="s">
        <v>14</v>
      </c>
      <c r="AE347" s="115">
        <f>COUNTIFS(D:D,"DA",E:E,"POS",G:G,"",I:I,"S1",F:F,"WINSTANTI")</f>
        <v>1</v>
      </c>
      <c r="AF347" s="115">
        <f>COUNTIFS(D:D,"DA",E:E,"POS",G:G,"",I:I,"S2",F:F,"WINSTANTI")</f>
        <v>0</v>
      </c>
      <c r="AG347" s="115">
        <f>COUNTIFS(D:D,"DA",E:E,"POS",G:G,"",I:I,"S3",F:F,"WINSTANTI")</f>
        <v>0</v>
      </c>
      <c r="AI347" s="115" t="s">
        <v>17</v>
      </c>
      <c r="AJ347" s="115">
        <f>COUNTIFS(D:D,"AD",E:E,"POS",G:G,"",I:I,"S1",F:F,"WINSTANTI")</f>
        <v>0</v>
      </c>
      <c r="AK347" s="115">
        <f>COUNTIFS(D:D,"AD",E:E,"POS",G:G,"",I:I,"S2",F:F,"WINSTANTI")</f>
        <v>1</v>
      </c>
      <c r="AL347" s="115">
        <f>COUNTIFS(D:D,"AD",E:E,"POS",G:G,"",I:I,"S3",F:F,"WINSTANTI")</f>
        <v>0</v>
      </c>
      <c r="AS347" s="115" t="s">
        <v>17</v>
      </c>
      <c r="AT347" s="115">
        <f>COUNTIFS(D:D,"AD",E:E,"NEG",G:G,"",I:I,"S1",F:F,"WINSTANTI")</f>
        <v>0</v>
      </c>
      <c r="AU347" s="115">
        <f>COUNTIFS(D:D,"AD",E:E,"NEG",G:G,"",I:I,"S2",F:F,"WINSTANTI")</f>
        <v>0</v>
      </c>
      <c r="AV347" s="115">
        <f>COUNTIFS(D:D,"AD",E:E,"NEG",G:G,"",I:I,"S3",F:F,"WINSTANTI")</f>
        <v>0</v>
      </c>
      <c r="AX347" s="115" t="s">
        <v>14</v>
      </c>
      <c r="AY347" s="115">
        <f>COUNTIFS(D:D,"DA",E:E,"NEG",G:G,"",I:I,"S1",F:F,"WINSTANTI")</f>
        <v>0</v>
      </c>
      <c r="AZ347" s="115">
        <f>COUNTIFS(D:D,"DA",E:E,"NEG",G:G,"",I:I,"S2",F:F,"WINSTANTI")</f>
        <v>0</v>
      </c>
      <c r="BA347" s="115">
        <f>COUNTIFS(D:D,"DA",E:E,"NEG",G:G,"",I:I,"S3",F:F,"WINSTANTI")</f>
        <v>0</v>
      </c>
    </row>
    <row r="348" spans="15:56" s="115" customFormat="1">
      <c r="O348" s="91"/>
      <c r="X348" s="115">
        <f t="shared" si="98"/>
        <v>0</v>
      </c>
      <c r="Y348" s="115">
        <f t="shared" si="99"/>
        <v>0</v>
      </c>
      <c r="Z348" s="115" t="e">
        <f t="shared" si="100"/>
        <v>#VALUE!</v>
      </c>
      <c r="AA348" s="115">
        <f t="shared" si="101"/>
        <v>0</v>
      </c>
      <c r="AB348" s="246"/>
    </row>
    <row r="349" spans="15:56" s="115" customFormat="1">
      <c r="O349" s="91"/>
      <c r="X349" s="115">
        <f t="shared" si="98"/>
        <v>0</v>
      </c>
      <c r="Y349" s="115">
        <f t="shared" si="99"/>
        <v>0</v>
      </c>
      <c r="Z349" s="115" t="e">
        <f t="shared" si="100"/>
        <v>#VALUE!</v>
      </c>
      <c r="AA349" s="115">
        <f t="shared" si="101"/>
        <v>0</v>
      </c>
      <c r="AB349" s="246"/>
    </row>
    <row r="350" spans="15:56" s="115" customFormat="1">
      <c r="O350" s="91"/>
      <c r="X350" s="115">
        <f t="shared" si="98"/>
        <v>0</v>
      </c>
      <c r="Y350" s="115">
        <f t="shared" si="99"/>
        <v>0</v>
      </c>
      <c r="Z350" s="115" t="e">
        <f t="shared" si="100"/>
        <v>#VALUE!</v>
      </c>
      <c r="AA350" s="115">
        <f t="shared" si="101"/>
        <v>0</v>
      </c>
      <c r="AB350" s="246"/>
      <c r="AE350" s="374" t="s">
        <v>163</v>
      </c>
      <c r="AF350" s="374"/>
      <c r="AT350" s="374" t="s">
        <v>163</v>
      </c>
      <c r="AU350" s="374"/>
    </row>
    <row r="351" spans="15:56" s="115" customFormat="1">
      <c r="O351" s="91"/>
      <c r="X351" s="115">
        <f t="shared" si="98"/>
        <v>0</v>
      </c>
      <c r="Y351" s="115">
        <f t="shared" si="99"/>
        <v>0</v>
      </c>
      <c r="Z351" s="115" t="e">
        <f t="shared" si="100"/>
        <v>#VALUE!</v>
      </c>
      <c r="AA351" s="115">
        <f t="shared" si="101"/>
        <v>0</v>
      </c>
      <c r="AB351" s="246"/>
      <c r="AD351" s="374" t="s">
        <v>305</v>
      </c>
      <c r="AE351" s="374"/>
      <c r="AF351" s="374"/>
      <c r="AG351" s="374"/>
      <c r="AS351" s="374" t="s">
        <v>104</v>
      </c>
      <c r="AT351" s="374"/>
      <c r="AU351" s="374"/>
      <c r="AV351" s="374"/>
    </row>
    <row r="352" spans="15:56" s="115" customFormat="1">
      <c r="O352" s="91"/>
      <c r="X352" s="115">
        <f t="shared" si="98"/>
        <v>0</v>
      </c>
      <c r="Y352" s="115">
        <f t="shared" si="99"/>
        <v>0</v>
      </c>
      <c r="Z352" s="115" t="e">
        <f t="shared" si="100"/>
        <v>#VALUE!</v>
      </c>
      <c r="AA352" s="115">
        <f t="shared" si="101"/>
        <v>0</v>
      </c>
      <c r="AB352" s="246"/>
      <c r="AE352" s="115" t="s">
        <v>4</v>
      </c>
      <c r="AF352" s="115" t="s">
        <v>29</v>
      </c>
      <c r="AG352" s="115" t="s">
        <v>10</v>
      </c>
      <c r="AH352" s="188" t="s">
        <v>127</v>
      </c>
      <c r="AI352" s="115" t="s">
        <v>164</v>
      </c>
      <c r="AK352" s="115" t="s">
        <v>4</v>
      </c>
      <c r="AL352" s="115" t="s">
        <v>29</v>
      </c>
      <c r="AM352" s="115" t="s">
        <v>10</v>
      </c>
      <c r="AN352" s="190" t="s">
        <v>127</v>
      </c>
      <c r="AO352" s="115" t="s">
        <v>164</v>
      </c>
      <c r="AT352" s="115" t="s">
        <v>4</v>
      </c>
      <c r="AU352" s="115" t="s">
        <v>29</v>
      </c>
      <c r="AV352" s="115" t="s">
        <v>10</v>
      </c>
      <c r="AW352" s="188" t="s">
        <v>127</v>
      </c>
      <c r="AX352" s="115" t="s">
        <v>164</v>
      </c>
      <c r="AZ352" s="115" t="s">
        <v>4</v>
      </c>
      <c r="BA352" s="115" t="s">
        <v>29</v>
      </c>
      <c r="BB352" s="115" t="s">
        <v>10</v>
      </c>
      <c r="BC352" s="190" t="s">
        <v>127</v>
      </c>
      <c r="BD352" s="115" t="s">
        <v>164</v>
      </c>
    </row>
    <row r="353" spans="15:57" s="115" customFormat="1" ht="18.75">
      <c r="O353" s="91"/>
      <c r="X353" s="115">
        <f t="shared" si="98"/>
        <v>0</v>
      </c>
      <c r="Y353" s="115">
        <f t="shared" si="99"/>
        <v>0</v>
      </c>
      <c r="Z353" s="115" t="e">
        <f t="shared" si="100"/>
        <v>#VALUE!</v>
      </c>
      <c r="AA353" s="115">
        <f t="shared" si="101"/>
        <v>0</v>
      </c>
      <c r="AB353" s="246"/>
      <c r="AD353" s="166" t="s">
        <v>5</v>
      </c>
      <c r="AE353" s="178">
        <f>COUNTIFS(D:D,"AA",E:E,"POS",M:M,"STANCO",F:F,"WINSTANTI")</f>
        <v>0</v>
      </c>
      <c r="AF353" s="178">
        <f>COUNTIFS(D:D,"AA",E:E,"POS",M:M,"STANTI",F:F,"WINSTANTI")</f>
        <v>0</v>
      </c>
      <c r="AG353" s="178">
        <f>COUNTIFS(D:D,"AA",E:E,"POS",M:M,"STANFK",F:F,"WINSTANTI")</f>
        <v>0</v>
      </c>
      <c r="AH353" s="178">
        <f>COUNTIFS(D:D,"AA",E:E,"POS",M:M,"STANPEN",F:F,"WINSTANTI")</f>
        <v>0</v>
      </c>
      <c r="AI353" s="178">
        <f>COUNTIFS(D:D,"AA",E:E,"POS",M:M,"STANFK DIRECT",F:F,"WINSTANTI")</f>
        <v>0</v>
      </c>
      <c r="AJ353" s="166" t="s">
        <v>1</v>
      </c>
      <c r="AK353" s="115">
        <f>COUNTIFS(D:D,"DD",E:E,"POS",M:M,"STANCO",F:F,"WINSTANTI")</f>
        <v>0</v>
      </c>
      <c r="AL353" s="115">
        <f>COUNTIFS(D:D,"DD",E:E,"POS",M:M,"STANTI",F:F,"WINSTANTI")</f>
        <v>0</v>
      </c>
      <c r="AM353" s="115">
        <f>COUNTIFS(D:D,"DD",E:E,"POS",M:M,"STANFK",F:F,"WINSTANTI")</f>
        <v>0</v>
      </c>
      <c r="AN353" s="115">
        <f>COUNTIFS(D:D,"DD",E:E,"POS",M:M,"STANFK",F:F,"WINSTANTI")</f>
        <v>0</v>
      </c>
      <c r="AO353" s="115">
        <f>COUNTIFS(D:D,"DD",E:E,"POS",M:M,"STANFK",F:F,"WINSTANTI")</f>
        <v>0</v>
      </c>
      <c r="AS353" s="166" t="s">
        <v>1</v>
      </c>
      <c r="AT353" s="115">
        <f>COUNTIFS(D:D,"DD",E:E,"NEG",M:M,"STANCO",F:F,"WINSTANTI")</f>
        <v>0</v>
      </c>
      <c r="AU353" s="115">
        <f>COUNTIFS(D:D,"DD",E:E,"NEG",M:M,"STANTI",F:F,"WINSTANTI")</f>
        <v>0</v>
      </c>
      <c r="AV353" s="115">
        <f>COUNTIFS(D:D,"DD",E:E,"NEG",M:M,"STANFK",F:F,"WINSTANTI")</f>
        <v>0</v>
      </c>
      <c r="AW353" s="115">
        <f>COUNTIFS(D:D,"DD",E:E,"NEG",M:M,"STANPEN",F:F,"WINSTANTI")</f>
        <v>0</v>
      </c>
      <c r="AX353" s="115">
        <f>COUNTIFS(D:D,"DD",E:E,"NEG",M:M,"STANFK DIRECT",F:F,"WINSTANTI")</f>
        <v>0</v>
      </c>
      <c r="AY353" s="166" t="s">
        <v>5</v>
      </c>
      <c r="AZ353" s="115">
        <f>COUNTIFS(D:D,"AA",E:E,"NEG",M:M,"STANCO",F:F,"WINSTANTI")</f>
        <v>0</v>
      </c>
      <c r="BA353" s="115">
        <f>COUNTIFS(D:D,"AA",E:E,"NEG",M:M,"STANTI",F:F,"WINSTANTI")</f>
        <v>0</v>
      </c>
      <c r="BB353" s="115">
        <f>COUNTIFS(D:D,"AA",E:E,"NEG",M:M,"STANFK",F:F,"WINSTANTI")</f>
        <v>0</v>
      </c>
      <c r="BC353" s="115">
        <f>COUNTIFS(D:D,"AA",E:E,"NEG",M:M,"STANPEN",F:F,"WINSTANTI")</f>
        <v>0</v>
      </c>
      <c r="BD353" s="115">
        <f>COUNTIFS(D:D,"AA",E:E,"NEG",M:M,"STANFK DIRECT",F:F,"WINSTANTI")</f>
        <v>0</v>
      </c>
    </row>
    <row r="354" spans="15:57" s="115" customFormat="1">
      <c r="O354" s="91"/>
      <c r="X354" s="115">
        <f t="shared" si="98"/>
        <v>0</v>
      </c>
      <c r="Y354" s="115">
        <f t="shared" si="99"/>
        <v>0</v>
      </c>
      <c r="Z354" s="115" t="e">
        <f t="shared" si="100"/>
        <v>#VALUE!</v>
      </c>
      <c r="AA354" s="115">
        <f t="shared" si="101"/>
        <v>0</v>
      </c>
      <c r="AB354" s="246"/>
    </row>
    <row r="355" spans="15:57" s="115" customFormat="1">
      <c r="O355" s="91"/>
      <c r="X355" s="115">
        <f t="shared" si="98"/>
        <v>0</v>
      </c>
      <c r="Y355" s="115">
        <f t="shared" si="99"/>
        <v>0</v>
      </c>
      <c r="Z355" s="115" t="e">
        <f t="shared" si="100"/>
        <v>#VALUE!</v>
      </c>
      <c r="AA355" s="115">
        <f t="shared" si="101"/>
        <v>0</v>
      </c>
      <c r="AB355" s="246"/>
      <c r="AE355" s="374" t="s">
        <v>163</v>
      </c>
      <c r="AF355" s="374"/>
      <c r="AT355" s="374" t="s">
        <v>163</v>
      </c>
      <c r="AU355" s="374"/>
    </row>
    <row r="356" spans="15:57" s="115" customFormat="1">
      <c r="O356" s="91"/>
      <c r="X356" s="115">
        <f t="shared" si="98"/>
        <v>0</v>
      </c>
      <c r="Y356" s="115">
        <f t="shared" si="99"/>
        <v>0</v>
      </c>
      <c r="Z356" s="115" t="e">
        <f t="shared" si="100"/>
        <v>#VALUE!</v>
      </c>
      <c r="AA356" s="115">
        <f t="shared" si="101"/>
        <v>0</v>
      </c>
      <c r="AB356" s="246"/>
      <c r="AD356" s="374" t="s">
        <v>306</v>
      </c>
      <c r="AE356" s="374"/>
      <c r="AF356" s="374"/>
      <c r="AG356" s="374"/>
      <c r="AH356" s="374"/>
      <c r="AS356" s="374" t="s">
        <v>104</v>
      </c>
      <c r="AT356" s="374"/>
      <c r="AU356" s="374"/>
      <c r="AV356" s="374"/>
    </row>
    <row r="357" spans="15:57" s="115" customFormat="1">
      <c r="O357" s="91"/>
      <c r="X357" s="115">
        <f t="shared" si="98"/>
        <v>0</v>
      </c>
      <c r="Y357" s="115">
        <f t="shared" si="99"/>
        <v>0</v>
      </c>
      <c r="Z357" s="115" t="e">
        <f t="shared" si="100"/>
        <v>#VALUE!</v>
      </c>
      <c r="AA357" s="115">
        <f t="shared" si="101"/>
        <v>0</v>
      </c>
      <c r="AB357" s="246"/>
      <c r="AE357" s="115" t="s">
        <v>29</v>
      </c>
      <c r="AF357" s="115" t="s">
        <v>10</v>
      </c>
      <c r="AG357" s="115" t="s">
        <v>25</v>
      </c>
      <c r="AH357" s="115" t="s">
        <v>27</v>
      </c>
      <c r="AJ357" s="115" t="s">
        <v>29</v>
      </c>
      <c r="AK357" s="115" t="s">
        <v>10</v>
      </c>
      <c r="AL357" s="115" t="s">
        <v>25</v>
      </c>
      <c r="AM357" s="115" t="s">
        <v>27</v>
      </c>
      <c r="AT357" s="115" t="s">
        <v>29</v>
      </c>
      <c r="AU357" s="115" t="s">
        <v>10</v>
      </c>
      <c r="AV357" s="115" t="s">
        <v>25</v>
      </c>
      <c r="AW357" s="115" t="s">
        <v>27</v>
      </c>
      <c r="AY357" s="115" t="s">
        <v>29</v>
      </c>
      <c r="AZ357" s="115" t="s">
        <v>10</v>
      </c>
      <c r="BA357" s="115" t="s">
        <v>25</v>
      </c>
      <c r="BB357" s="115" t="s">
        <v>27</v>
      </c>
    </row>
    <row r="358" spans="15:57" s="115" customFormat="1">
      <c r="O358" s="91"/>
      <c r="X358" s="115">
        <f t="shared" si="98"/>
        <v>0</v>
      </c>
      <c r="Y358" s="115">
        <f t="shared" si="99"/>
        <v>0</v>
      </c>
      <c r="Z358" s="115" t="e">
        <f t="shared" si="100"/>
        <v>#VALUE!</v>
      </c>
      <c r="AA358" s="115">
        <f t="shared" si="101"/>
        <v>0</v>
      </c>
      <c r="AB358" s="246"/>
      <c r="AD358" s="115" t="s">
        <v>5</v>
      </c>
      <c r="AE358" s="178">
        <f>COUNTIFS(D:D,"AA",E:E,"POS",G:G,"STANTI",F:F,"WINSTANTI")</f>
        <v>0</v>
      </c>
      <c r="AF358" s="178">
        <f>COUNTIFS(D:D,"AA",E:E,"POS",G:G,"STANFK",F:F,"WINSTANTI")</f>
        <v>0</v>
      </c>
      <c r="AG358" s="178">
        <f>COUNTIFS(D:D,"AA",E:E,"POS",G:G,"STANGK",F:F,"WINSTANTI")</f>
        <v>0</v>
      </c>
      <c r="AH358" s="178">
        <f>COUNTIFS(D:D,"AA",E:E,"POS",G:G,"STANGS",F:F,"WINSTANTI")</f>
        <v>0</v>
      </c>
      <c r="AI358" s="178" t="s">
        <v>1</v>
      </c>
      <c r="AJ358" s="115">
        <f>COUNTIFS(D:D,"DD",E:E,"POS",G:G,"STANTI",F:F,"WINSTANTI")</f>
        <v>0</v>
      </c>
      <c r="AK358" s="115">
        <f>COUNTIFS(D:D,"DD",E:E,"POS",G:G,"STANFK",F:F,"WINSTANTI")</f>
        <v>0</v>
      </c>
      <c r="AL358" s="115">
        <f>COUNTIFS(D:D,"DD",E:E,"POS",G:G,"STANGK",F:F,"WINSTANTI")</f>
        <v>0</v>
      </c>
      <c r="AM358" s="115">
        <f>COUNTIFS(D:D,"DD",E:E,"POS",G:G,"STANGS",F:F,"WINSTANTI")</f>
        <v>0</v>
      </c>
      <c r="AS358" s="115" t="s">
        <v>1</v>
      </c>
      <c r="AT358" s="115">
        <f>COUNTIFS(D:D,"DD",E:E,"NEG",G:G,"STANTI",F:F,"WINSTANTI")</f>
        <v>0</v>
      </c>
      <c r="AU358" s="115">
        <f>COUNTIFS(D:D,"DD",E:E,"NEG",G:G,"STANFK",F:F,"WINSTANTI")</f>
        <v>0</v>
      </c>
      <c r="AV358" s="115">
        <f>COUNTIFS(D:D,"DD",E:E,"NEG",G:G,"STANGK",F:F,"WINSTANTI")</f>
        <v>0</v>
      </c>
      <c r="AW358" s="115">
        <f>COUNTIFS(D:D,"DD",E:E,"NEG",G:G,"STANGS",F:F,"WINSTANTI")</f>
        <v>0</v>
      </c>
      <c r="AX358" s="115" t="s">
        <v>5</v>
      </c>
      <c r="AY358" s="115">
        <f>COUNTIFS(D:D,"AA",E:E,"NEG",G:G,"STANTI",F:F,"WINSTANTI")</f>
        <v>0</v>
      </c>
      <c r="AZ358" s="115">
        <f>COUNTIFS(D:D,"AA",E:E,"NEG",G:G,"STANFK",F:F,"WINSTANTI")</f>
        <v>0</v>
      </c>
      <c r="BA358" s="115">
        <f>COUNTIFS(D:D,"AA",E:E,"NEG",G:G,"STANGK",F:F,"WINSTANTI")</f>
        <v>0</v>
      </c>
      <c r="BB358" s="115">
        <f>COUNTIFS(D:D,"AA",E:E,"NEG",G:G,"STANGS",F:F,"WINSTANTI")</f>
        <v>0</v>
      </c>
    </row>
    <row r="359" spans="15:57" s="115" customFormat="1">
      <c r="O359" s="91"/>
      <c r="X359" s="115">
        <f t="shared" si="98"/>
        <v>0</v>
      </c>
      <c r="Y359" s="115">
        <f t="shared" si="99"/>
        <v>0</v>
      </c>
      <c r="Z359" s="115" t="e">
        <f t="shared" si="100"/>
        <v>#VALUE!</v>
      </c>
      <c r="AA359" s="115">
        <f t="shared" si="101"/>
        <v>0</v>
      </c>
      <c r="AB359" s="246"/>
    </row>
    <row r="360" spans="15:57" s="115" customFormat="1">
      <c r="O360" s="91"/>
      <c r="X360" s="115">
        <f t="shared" si="98"/>
        <v>0</v>
      </c>
      <c r="Y360" s="115">
        <f t="shared" si="99"/>
        <v>0</v>
      </c>
      <c r="Z360" s="115" t="e">
        <f t="shared" si="100"/>
        <v>#VALUE!</v>
      </c>
      <c r="AA360" s="115">
        <f t="shared" si="101"/>
        <v>0</v>
      </c>
      <c r="AB360" s="246"/>
      <c r="AD360" s="192"/>
      <c r="AE360" s="192"/>
      <c r="AF360" s="192"/>
      <c r="AG360" s="192"/>
      <c r="AH360" s="192"/>
      <c r="AI360" s="192"/>
      <c r="AJ360" s="192"/>
      <c r="AK360" s="192"/>
      <c r="AL360" s="192"/>
      <c r="AM360" s="192"/>
      <c r="AN360" s="192"/>
      <c r="AO360" s="192"/>
      <c r="AP360" s="192"/>
      <c r="AQ360" s="192"/>
      <c r="AR360" s="192"/>
      <c r="AS360" s="192"/>
      <c r="AT360" s="192"/>
      <c r="AU360" s="192"/>
      <c r="AV360" s="192"/>
      <c r="AW360" s="192"/>
      <c r="AX360" s="192"/>
      <c r="AY360" s="192"/>
      <c r="AZ360" s="192"/>
      <c r="BA360" s="192"/>
      <c r="BB360" s="192"/>
      <c r="BC360" s="192"/>
      <c r="BD360" s="192"/>
      <c r="BE360" s="192"/>
    </row>
    <row r="361" spans="15:57" s="115" customFormat="1">
      <c r="O361" s="91"/>
      <c r="X361" s="115">
        <f t="shared" si="98"/>
        <v>0</v>
      </c>
      <c r="Y361" s="115">
        <f t="shared" si="99"/>
        <v>0</v>
      </c>
      <c r="Z361" s="115" t="e">
        <f t="shared" si="100"/>
        <v>#VALUE!</v>
      </c>
      <c r="AA361" s="115">
        <f t="shared" si="101"/>
        <v>0</v>
      </c>
      <c r="AB361" s="246"/>
    </row>
    <row r="362" spans="15:57" s="115" customFormat="1">
      <c r="O362" s="91"/>
      <c r="X362" s="115">
        <f t="shared" si="98"/>
        <v>0</v>
      </c>
      <c r="Y362" s="115">
        <f t="shared" si="99"/>
        <v>0</v>
      </c>
      <c r="Z362" s="115" t="e">
        <f t="shared" si="100"/>
        <v>#VALUE!</v>
      </c>
      <c r="AA362" s="115">
        <f t="shared" si="101"/>
        <v>0</v>
      </c>
      <c r="AB362" s="246"/>
      <c r="AE362" s="374" t="s">
        <v>7</v>
      </c>
      <c r="AF362" s="374"/>
      <c r="AT362" s="374" t="s">
        <v>7</v>
      </c>
      <c r="AU362" s="374"/>
    </row>
    <row r="363" spans="15:57" s="115" customFormat="1">
      <c r="O363" s="91"/>
      <c r="X363" s="115">
        <f t="shared" si="98"/>
        <v>0</v>
      </c>
      <c r="Y363" s="115">
        <f t="shared" si="99"/>
        <v>0</v>
      </c>
      <c r="Z363" s="115" t="e">
        <f t="shared" si="100"/>
        <v>#VALUE!</v>
      </c>
      <c r="AA363" s="115">
        <f t="shared" si="101"/>
        <v>0</v>
      </c>
      <c r="AB363" s="246"/>
      <c r="AE363" s="115" t="s">
        <v>98</v>
      </c>
      <c r="AF363" s="115" t="s">
        <v>99</v>
      </c>
      <c r="AH363" s="115" t="s">
        <v>98</v>
      </c>
      <c r="AI363" s="115" t="s">
        <v>99</v>
      </c>
      <c r="AL363" s="115" t="s">
        <v>4</v>
      </c>
      <c r="AM363" s="115" t="s">
        <v>10</v>
      </c>
      <c r="AN363" s="115" t="s">
        <v>164</v>
      </c>
      <c r="AT363" s="115" t="s">
        <v>98</v>
      </c>
      <c r="AU363" s="115" t="s">
        <v>99</v>
      </c>
      <c r="AW363" s="115" t="s">
        <v>98</v>
      </c>
      <c r="AX363" s="115" t="s">
        <v>99</v>
      </c>
      <c r="BA363" s="115" t="s">
        <v>4</v>
      </c>
      <c r="BB363" s="115" t="s">
        <v>10</v>
      </c>
      <c r="BC363" s="115" t="s">
        <v>164</v>
      </c>
    </row>
    <row r="364" spans="15:57" s="115" customFormat="1">
      <c r="O364" s="91"/>
      <c r="X364" s="115">
        <f t="shared" si="98"/>
        <v>0</v>
      </c>
      <c r="Y364" s="115">
        <f t="shared" si="99"/>
        <v>0</v>
      </c>
      <c r="Z364" s="115" t="e">
        <f t="shared" si="100"/>
        <v>#VALUE!</v>
      </c>
      <c r="AA364" s="115">
        <f t="shared" si="101"/>
        <v>0</v>
      </c>
      <c r="AB364" s="246"/>
      <c r="AD364" s="115" t="s">
        <v>97</v>
      </c>
      <c r="AE364" s="115">
        <f>COUNTIFS(D:D,"AA",E:E,"POS",M:M,"STANCO",F:F,"WINSTAN")+COUNTIFS(D:D,"AA",E:E,"POS",M:M,"STANTI",F:F,"WINSTAN")+COUNTIFS(D:D,"AA",E:E,"POS",M:M,"STANFK",F:F,"WINSTAN")+COUNTIFS(D:D,"AA",E:E,"POS",G:G,"STANGK",F:F,"WINSTAN")+COUNTIFS(D:D,"AA",E:E,"POS",G:G,"STANGS",F:F,"WINSTAN")+COUNTIFS(D:D,"AA",E:E,"POS",M:M,"STANFK DIRECT",F:F,"WINSTAN")+COUNTIFS(D:D,"AA",E:E,"POS",M:M,"STANPEN",F:F,"WINSTAN")+COUNTIFS(D:D,"AA",E:E,"POS",G:G,"STANTI",F:F,"WINSTAN")+COUNTIFS(D:D,"AA",E:E,"POS",G:G,"STANFK",F:F,"WINSTAN")</f>
        <v>3</v>
      </c>
      <c r="AF364" s="115">
        <f>COUNTIFS(D:D,"AA",E:E,"POS",G:G,"",M:M,"",F:F,"WINSTAN")+COUNTIFS(D:D,"DA",E:E,"POS",G:G,"",M:M,"",F:F,"WINSTAN")</f>
        <v>3</v>
      </c>
      <c r="AG364" s="115" t="s">
        <v>39</v>
      </c>
      <c r="AH364" s="115">
        <f>COUNTIFS(D:D,"DD",E:E,"POS",M:M,"STANCO",F:F,"WINSTAN")+COUNTIFS(D:D,"DD",E:E,"POS",M:M,"STANTI",F:F,"WINSTAN")+COUNTIFS(D:D,"DD",E:E,"POS",M:M,"STANFK",F:F,"WINSTAN")+COUNTIFS(D:D,"DD",E:E,"POS",G:G,"STANGK",F:F,"WINSTAN")+COUNTIFS(D:D,"DD",E:E,"POS",G:G,"STANGS",F:F,"WINSTAN")+COUNTIFS(D:D,"DD",E:E,"POS",M:M,"STANPEN",F:F,"WINSTAN")+COUNTIFS(D:D,"DD",E:E,"POS",M:M,"STANFK DIRECT",F:F,"WINSTAN")+COUNTIFS(D:D,"DD",E:E,"POS",G:G,"STANTI",F:F,"WINSTAN")+COUNTIFS(D:D,"DD",E:E,"POS",G:G,"STANFK",F:F,"WINSTAN")</f>
        <v>0</v>
      </c>
      <c r="AI364" s="115">
        <f>COUNTIFS(D:D,"DD",E:E,"POS",G:G,"",M:M,"",F:F,"WINSTAN")+COUNTIFS(D:D,"AD",E:E,"POS",G:G,"",M:M,"",F:F,"WINSTAN")</f>
        <v>0</v>
      </c>
      <c r="AL364" s="115">
        <f>COUNTIFS(D:D,"AA",M:M,"STANCO")</f>
        <v>2</v>
      </c>
      <c r="AM364" s="115">
        <f>COUNTIFS(D:D,"AA",M:M,"STANFK")</f>
        <v>1</v>
      </c>
      <c r="AN364" s="115">
        <f>COUNTIFS(D:D,"AA",M:M,"STANFK DIRECT")</f>
        <v>1</v>
      </c>
      <c r="AS364" s="115" t="s">
        <v>39</v>
      </c>
      <c r="AT364" s="115">
        <f>COUNTIFS(D:D,"DD",E:E,"NEG",M:M,"STANCO",F:F,"WINSTAN")+COUNTIFS(D:D,"DD",E:E,"NEG",M:M,"STANTI",F:F,"WINSTAN")+COUNTIFS(D:D,"DD",E:E,"NEG",M:M,"STANFK",F:F,"WINSTAN")+COUNTIFS(D:D,"DD",E:E,"NEG",G:G,"STANGK",F:F,"WINSTAN")+COUNTIFS(D:D,"DD",E:E,"NEG",G:G,"STANGS",F:F,"WINSTAN")+COUNTIFS(D:D,"DD",E:E,"NEG",M:M,"STANPEN",F:F,"WINSTAN")+COUNTIFS(D:D,"DD",E:E,"NEG",M:M,"STANFK DIRECT",F:F,"WINSTAN")+COUNTIFS(D:D,"DD",E:E,"NEG",G:G,"STANTI",F:F,"WINSTAN")+COUNTIFS(D:D,"DD",E:E,"NEG",G:G,"STANFK",F:F,"WINSTAN")</f>
        <v>5</v>
      </c>
      <c r="AU364" s="115">
        <f>COUNTIFS(D:D,"DD",E:E,"NEG",G:G,"",M:M,"",F:F,"WINSTAN")+COUNTIFS(D:D,"AD",E:E,"NEG",G:G,"",M:M,"",F:F,"WINSTAN")</f>
        <v>4</v>
      </c>
      <c r="AV364" s="115" t="s">
        <v>68</v>
      </c>
      <c r="AW364" s="115">
        <f>COUNTIFS(D:D,"AA",E:E,"NEG",M:M,"STANCO",F:F,"WINSTAN")+COUNTIFS(D:D,"AA",E:E,"NEG",M:M,"STANTI",F:F,"WINSTAN")+COUNTIFS(D:D,"AA",E:E,"NEG",M:M,"STANFK",F:F,"WINSTAN")+COUNTIFS(D:D,"AA",E:E,"NEG",G:G,"STANGK",F:F,"WINSTAN")+COUNTIFS(D:D,"AA",E:E,"NEG",G:G,"STANGS",F:F,"WINSTAN")+COUNTIFS(D:D,"AA",E:E,"NEG",M:M,"STANPEN",F:F,"WINSTAN")+COUNTIFS(D:D,"AA",E:E,"NEG",M:M,"STANFK DIRECT",F:F,"WINSTAN")+COUNTIFS(D:D,"AA",E:E,"NEG",G:G,"STANTI",F:F,"WINSTAN")+COUNTIFS(D:D,"AA",E:E,"NEG",G:G,"STANFK",F:F,"WINSTAN")</f>
        <v>0</v>
      </c>
      <c r="AX364" s="115">
        <f>COUNTIFS(D:D,"AA",E:E,"NEG",G:G,"",M:M,"",F:F,"WINSTAN")+COUNTIFS(D:D,"DA",E:E,"NEG",G:G,"",M:M,"",F:F,"WINSTAN")</f>
        <v>0</v>
      </c>
      <c r="BA364" s="115">
        <f>COUNTIFS(D:D,"DD",M:M,"STANCO")</f>
        <v>5</v>
      </c>
      <c r="BB364" s="115">
        <f>COUNTIFS(D:D,"DD",M:M,"STANFK")</f>
        <v>4</v>
      </c>
      <c r="BC364" s="115">
        <f>COUNTIFS(D:D,"DD",M:M,"STANFK DIRECT")</f>
        <v>1</v>
      </c>
    </row>
    <row r="365" spans="15:57" s="115" customFormat="1">
      <c r="O365" s="91"/>
      <c r="X365" s="115">
        <f t="shared" si="98"/>
        <v>0</v>
      </c>
      <c r="Y365" s="115">
        <f t="shared" si="99"/>
        <v>0</v>
      </c>
      <c r="Z365" s="115" t="e">
        <f t="shared" si="100"/>
        <v>#VALUE!</v>
      </c>
      <c r="AA365" s="115">
        <f t="shared" si="101"/>
        <v>0</v>
      </c>
      <c r="AB365" s="246"/>
    </row>
    <row r="366" spans="15:57" s="115" customFormat="1">
      <c r="O366" s="91"/>
      <c r="X366" s="115">
        <f t="shared" si="98"/>
        <v>0</v>
      </c>
      <c r="Y366" s="115">
        <f t="shared" si="99"/>
        <v>0</v>
      </c>
      <c r="Z366" s="115" t="e">
        <f t="shared" si="100"/>
        <v>#VALUE!</v>
      </c>
      <c r="AA366" s="115">
        <f t="shared" si="101"/>
        <v>0</v>
      </c>
      <c r="AB366" s="246"/>
    </row>
    <row r="367" spans="15:57" s="115" customFormat="1">
      <c r="O367" s="91"/>
      <c r="X367" s="115">
        <f t="shared" si="98"/>
        <v>0</v>
      </c>
      <c r="Y367" s="115">
        <f t="shared" si="99"/>
        <v>0</v>
      </c>
      <c r="Z367" s="115" t="e">
        <f t="shared" si="100"/>
        <v>#VALUE!</v>
      </c>
      <c r="AA367" s="115">
        <f t="shared" si="101"/>
        <v>0</v>
      </c>
      <c r="AB367" s="246"/>
      <c r="AE367" s="374" t="s">
        <v>163</v>
      </c>
      <c r="AF367" s="374"/>
      <c r="AH367" s="190"/>
      <c r="AT367" s="374" t="s">
        <v>7</v>
      </c>
      <c r="AU367" s="374"/>
    </row>
    <row r="368" spans="15:57" s="115" customFormat="1">
      <c r="O368" s="91"/>
      <c r="X368" s="115">
        <f t="shared" si="98"/>
        <v>0</v>
      </c>
      <c r="Y368" s="115">
        <f t="shared" si="99"/>
        <v>0</v>
      </c>
      <c r="Z368" s="115" t="e">
        <f t="shared" si="100"/>
        <v>#VALUE!</v>
      </c>
      <c r="AA368" s="115">
        <f t="shared" si="101"/>
        <v>0</v>
      </c>
      <c r="AB368" s="246"/>
      <c r="AE368" s="115" t="s">
        <v>100</v>
      </c>
      <c r="AF368" s="115" t="s">
        <v>14</v>
      </c>
      <c r="AG368" s="115" t="s">
        <v>5</v>
      </c>
      <c r="AI368" s="115" t="s">
        <v>100</v>
      </c>
      <c r="AJ368" s="115" t="s">
        <v>17</v>
      </c>
      <c r="AK368" s="115" t="s">
        <v>1</v>
      </c>
      <c r="AT368" s="115" t="s">
        <v>100</v>
      </c>
      <c r="AU368" s="115" t="s">
        <v>17</v>
      </c>
      <c r="AV368" s="115" t="s">
        <v>1</v>
      </c>
      <c r="AX368" s="115" t="s">
        <v>100</v>
      </c>
      <c r="AY368" s="115" t="s">
        <v>14</v>
      </c>
      <c r="AZ368" s="115" t="s">
        <v>5</v>
      </c>
    </row>
    <row r="369" spans="15:54" s="115" customFormat="1">
      <c r="O369" s="91"/>
      <c r="X369" s="115">
        <f t="shared" si="98"/>
        <v>0</v>
      </c>
      <c r="Y369" s="115">
        <f t="shared" si="99"/>
        <v>0</v>
      </c>
      <c r="Z369" s="115" t="e">
        <f t="shared" si="100"/>
        <v>#VALUE!</v>
      </c>
      <c r="AA369" s="115">
        <f t="shared" si="101"/>
        <v>0</v>
      </c>
      <c r="AB369" s="246"/>
      <c r="AD369" s="115" t="s">
        <v>68</v>
      </c>
      <c r="AE369" s="115">
        <f>AE364</f>
        <v>3</v>
      </c>
      <c r="AF369" s="115">
        <f>COUNTIFS(D:D,"DA",E:E,"POS",G:G,"",F:F,"WINSTAN")</f>
        <v>3</v>
      </c>
      <c r="AG369" s="115">
        <f>COUNTIFS(D:D,"AA",E:E,"POS",G:G,"",M:M,"",F:F,"WINSTAN")</f>
        <v>0</v>
      </c>
      <c r="AH369" s="115" t="s">
        <v>39</v>
      </c>
      <c r="AI369" s="115">
        <f>AH364</f>
        <v>0</v>
      </c>
      <c r="AJ369" s="115">
        <f>COUNTIFS(D:D,"AD",E:E,"POS",G:G,"",F:F,"WINSTAN")</f>
        <v>0</v>
      </c>
      <c r="AK369" s="115">
        <f>COUNTIFS(D:D,"DD",E:E,"POS",G:G,"",F:F,"WINSTAN")</f>
        <v>0</v>
      </c>
      <c r="AS369" s="115" t="s">
        <v>39</v>
      </c>
      <c r="AT369" s="115">
        <f>AT364</f>
        <v>5</v>
      </c>
      <c r="AU369" s="115">
        <f>COUNTIFS(D:D,"AD",E:E,"NEG",G:G,"",F:F,"WINSTAN")</f>
        <v>3</v>
      </c>
      <c r="AV369" s="115">
        <f>COUNTIFS(D:D,"DD",E:E,"NEG",G:G,"",M:M,"",F:F,"WINSTAN")</f>
        <v>1</v>
      </c>
      <c r="AW369" s="115" t="s">
        <v>68</v>
      </c>
      <c r="AX369" s="115">
        <f>AW364</f>
        <v>0</v>
      </c>
      <c r="AY369" s="115">
        <f>COUNTIFS(D:D,"DA",E:E,"NEG",G:G,"",M:M,"",F:F,"WINSTAN")</f>
        <v>0</v>
      </c>
      <c r="AZ369" s="115">
        <f>COUNTIFS(D:D,"AA",E:E,"NEG",G:G,"",M:M,"",F:F,"WINSTAN")</f>
        <v>0</v>
      </c>
    </row>
    <row r="370" spans="15:54" s="115" customFormat="1">
      <c r="O370" s="91"/>
      <c r="X370" s="115">
        <f t="shared" si="98"/>
        <v>0</v>
      </c>
      <c r="Y370" s="115">
        <f t="shared" si="99"/>
        <v>0</v>
      </c>
      <c r="Z370" s="115" t="e">
        <f t="shared" si="100"/>
        <v>#VALUE!</v>
      </c>
      <c r="AA370" s="115">
        <f t="shared" si="101"/>
        <v>0</v>
      </c>
      <c r="AB370" s="246"/>
    </row>
    <row r="371" spans="15:54" s="115" customFormat="1">
      <c r="O371" s="91"/>
      <c r="X371" s="115">
        <f t="shared" si="98"/>
        <v>0</v>
      </c>
      <c r="Y371" s="115">
        <f t="shared" si="99"/>
        <v>0</v>
      </c>
      <c r="Z371" s="115" t="e">
        <f t="shared" si="100"/>
        <v>#VALUE!</v>
      </c>
      <c r="AA371" s="115">
        <f t="shared" si="101"/>
        <v>0</v>
      </c>
      <c r="AB371" s="246"/>
    </row>
    <row r="372" spans="15:54" s="115" customFormat="1">
      <c r="O372" s="91"/>
      <c r="X372" s="115">
        <f t="shared" si="98"/>
        <v>0</v>
      </c>
      <c r="Y372" s="115">
        <f t="shared" si="99"/>
        <v>0</v>
      </c>
      <c r="Z372" s="115" t="e">
        <f t="shared" si="100"/>
        <v>#VALUE!</v>
      </c>
      <c r="AA372" s="115">
        <f t="shared" si="101"/>
        <v>0</v>
      </c>
      <c r="AB372" s="246"/>
      <c r="AE372" s="374" t="s">
        <v>7</v>
      </c>
      <c r="AF372" s="374"/>
      <c r="AT372" s="374" t="s">
        <v>7</v>
      </c>
      <c r="AU372" s="374"/>
    </row>
    <row r="373" spans="15:54" s="115" customFormat="1">
      <c r="O373" s="91"/>
      <c r="X373" s="115">
        <f t="shared" si="98"/>
        <v>0</v>
      </c>
      <c r="Y373" s="115">
        <f t="shared" si="99"/>
        <v>0</v>
      </c>
      <c r="Z373" s="115" t="e">
        <f t="shared" si="100"/>
        <v>#VALUE!</v>
      </c>
      <c r="AA373" s="115">
        <f t="shared" si="101"/>
        <v>0</v>
      </c>
      <c r="AB373" s="246"/>
      <c r="AD373" s="374" t="s">
        <v>101</v>
      </c>
      <c r="AE373" s="374"/>
      <c r="AF373" s="374"/>
      <c r="AG373" s="374"/>
      <c r="AS373" s="374" t="s">
        <v>101</v>
      </c>
      <c r="AT373" s="374"/>
      <c r="AU373" s="374"/>
      <c r="AV373" s="374"/>
    </row>
    <row r="374" spans="15:54" s="115" customFormat="1">
      <c r="O374" s="91"/>
      <c r="X374" s="115">
        <f t="shared" si="98"/>
        <v>0</v>
      </c>
      <c r="Y374" s="115">
        <f t="shared" si="99"/>
        <v>0</v>
      </c>
      <c r="Z374" s="115" t="e">
        <f t="shared" si="100"/>
        <v>#VALUE!</v>
      </c>
      <c r="AA374" s="115">
        <f t="shared" si="101"/>
        <v>0</v>
      </c>
      <c r="AB374" s="246"/>
      <c r="AE374" s="115" t="s">
        <v>11</v>
      </c>
      <c r="AF374" s="115" t="s">
        <v>23</v>
      </c>
      <c r="AG374" s="115" t="s">
        <v>18</v>
      </c>
      <c r="AH374" s="190" t="s">
        <v>14</v>
      </c>
      <c r="AJ374" s="115" t="s">
        <v>11</v>
      </c>
      <c r="AK374" s="115" t="s">
        <v>23</v>
      </c>
      <c r="AL374" s="115" t="s">
        <v>18</v>
      </c>
      <c r="AM374" s="190" t="s">
        <v>17</v>
      </c>
      <c r="AT374" s="115" t="s">
        <v>11</v>
      </c>
      <c r="AU374" s="115" t="s">
        <v>23</v>
      </c>
      <c r="AV374" s="115" t="s">
        <v>18</v>
      </c>
      <c r="AW374" s="190" t="s">
        <v>17</v>
      </c>
      <c r="AY374" s="115" t="s">
        <v>11</v>
      </c>
      <c r="AZ374" s="115" t="s">
        <v>23</v>
      </c>
      <c r="BA374" s="115" t="s">
        <v>18</v>
      </c>
      <c r="BB374" s="190" t="s">
        <v>14</v>
      </c>
    </row>
    <row r="375" spans="15:54" s="115" customFormat="1">
      <c r="O375" s="91"/>
      <c r="X375" s="115">
        <f t="shared" si="98"/>
        <v>0</v>
      </c>
      <c r="Y375" s="115">
        <f t="shared" si="99"/>
        <v>0</v>
      </c>
      <c r="Z375" s="115" t="e">
        <f t="shared" si="100"/>
        <v>#VALUE!</v>
      </c>
      <c r="AA375" s="115">
        <f t="shared" si="101"/>
        <v>0</v>
      </c>
      <c r="AB375" s="246"/>
      <c r="AD375" s="115" t="s">
        <v>68</v>
      </c>
      <c r="AE375" s="115">
        <f>COUNTIFS(D:D,"AA",E:E,"POS",G:G,"",H:H,"SHORT",M:M,"",F:F,"WINSTAN")</f>
        <v>0</v>
      </c>
      <c r="AF375" s="115">
        <f>COUNTIFS(D:D,"AA",E:E,"POS",G:G,"",H:H,"SHORTLONG",M:M,"",F:F,"WINSTAN")</f>
        <v>0</v>
      </c>
      <c r="AG375" s="115">
        <f>COUNTIFS(D:D,"AA",E:E,"POS",G:G,"",H:H,"LONG",M:M,"",F:F,"WINSTAN")</f>
        <v>0</v>
      </c>
      <c r="AH375" s="115">
        <f>COUNTIFS(D:D,"DA",E:E,"POS",G:G,"",F:F,"WINSTAN")</f>
        <v>3</v>
      </c>
      <c r="AI375" s="115" t="s">
        <v>39</v>
      </c>
      <c r="AJ375" s="115">
        <f>COUNTIFS(D:D,"DD",E:E,"POS",G:G,"",H:H,"SHORT",M:M,"",F:F,"WINSTAN")</f>
        <v>0</v>
      </c>
      <c r="AK375" s="115">
        <f>COUNTIFS(D:D,"DD",E:E,"POS",G:G,"",H:H,"SHORTLONG",M:M,"",F:F,"WINSTAN")</f>
        <v>0</v>
      </c>
      <c r="AL375" s="115">
        <f>COUNTIFS(D:D,"DD",E:E,"POS",G:G,"",H:H,"LONG",M:M,"",F:F,"WINSTAN")</f>
        <v>0</v>
      </c>
      <c r="AM375" s="115">
        <f>AJ369</f>
        <v>0</v>
      </c>
      <c r="AS375" s="115" t="s">
        <v>39</v>
      </c>
      <c r="AT375" s="115">
        <f>COUNTIFS(D:D,"DD",E:E,"NEG",G:G,"",H:H,"SHORT",M:M,"",F:F,"WINSTAN")</f>
        <v>0</v>
      </c>
      <c r="AU375" s="115">
        <f>COUNTIFS(D:D,"DD",E:E,"NEG",G:G,"",H:H,"SHORTLONG",M:M,"",F:F,"WINSTAN")</f>
        <v>0</v>
      </c>
      <c r="AV375" s="115">
        <f>COUNTIFS(D:D,"DD",E:E,"NEG",G:G,"",H:H,"LONG",M:M,"",F:F,"WINSTAN")</f>
        <v>0</v>
      </c>
      <c r="AW375" s="115">
        <f>COUNTIFS(D:D,"AD",E:E,"NEG",G:G,"",F:F,"WINSTAN")</f>
        <v>3</v>
      </c>
      <c r="AX375" s="115" t="s">
        <v>68</v>
      </c>
      <c r="AY375" s="115">
        <f>COUNTIFS(D:D,"AA",E:E,"NEG",G:G,"",H:H,"SHORT",M:M,"",F:F,"WINSTAN")</f>
        <v>0</v>
      </c>
      <c r="AZ375" s="115">
        <f>COUNTIFS(D:D,"AA",E:E,"NEG",G:G,"",H:H,"SHORTLONG",M:M,"",F:F,"WINSTAN")</f>
        <v>0</v>
      </c>
      <c r="BA375" s="115">
        <f>COUNTIFS(D:D,"AA",E:E,"NEG",G:G,"",H:H,"LONG",M:M,"",F:F,"WINSTAN")</f>
        <v>0</v>
      </c>
      <c r="BB375" s="115">
        <f>COUNTIFS(D:D,"DA",E:E,"NEG",G:G,"",F:F,"WINSTAN")</f>
        <v>0</v>
      </c>
    </row>
    <row r="376" spans="15:54" s="115" customFormat="1">
      <c r="O376" s="91"/>
      <c r="X376" s="115">
        <f t="shared" si="98"/>
        <v>0</v>
      </c>
      <c r="Y376" s="115">
        <f t="shared" si="99"/>
        <v>0</v>
      </c>
      <c r="Z376" s="115" t="e">
        <f t="shared" si="100"/>
        <v>#VALUE!</v>
      </c>
      <c r="AA376" s="115">
        <f t="shared" si="101"/>
        <v>0</v>
      </c>
      <c r="AB376" s="246"/>
    </row>
    <row r="377" spans="15:54" s="115" customFormat="1">
      <c r="O377" s="91"/>
      <c r="X377" s="115">
        <f t="shared" si="98"/>
        <v>0</v>
      </c>
      <c r="Y377" s="115">
        <f t="shared" si="99"/>
        <v>0</v>
      </c>
      <c r="Z377" s="115" t="e">
        <f t="shared" si="100"/>
        <v>#VALUE!</v>
      </c>
      <c r="AA377" s="115">
        <f t="shared" si="101"/>
        <v>0</v>
      </c>
      <c r="AB377" s="246"/>
    </row>
    <row r="378" spans="15:54" s="115" customFormat="1">
      <c r="O378" s="91"/>
      <c r="X378" s="115">
        <f t="shared" si="98"/>
        <v>0</v>
      </c>
      <c r="Y378" s="115">
        <f t="shared" si="99"/>
        <v>0</v>
      </c>
      <c r="Z378" s="115" t="e">
        <f t="shared" si="100"/>
        <v>#VALUE!</v>
      </c>
      <c r="AA378" s="115">
        <f t="shared" si="101"/>
        <v>0</v>
      </c>
      <c r="AB378" s="246"/>
      <c r="AE378" s="374" t="s">
        <v>7</v>
      </c>
      <c r="AF378" s="374"/>
      <c r="AT378" s="374" t="s">
        <v>7</v>
      </c>
      <c r="AU378" s="374"/>
    </row>
    <row r="379" spans="15:54" s="115" customFormat="1">
      <c r="O379" s="91"/>
      <c r="X379" s="115">
        <f t="shared" si="98"/>
        <v>0</v>
      </c>
      <c r="Y379" s="115">
        <f t="shared" si="99"/>
        <v>0</v>
      </c>
      <c r="Z379" s="115" t="e">
        <f t="shared" si="100"/>
        <v>#VALUE!</v>
      </c>
      <c r="AA379" s="115">
        <f t="shared" si="101"/>
        <v>0</v>
      </c>
      <c r="AB379" s="246"/>
      <c r="AD379" s="374" t="s">
        <v>103</v>
      </c>
      <c r="AE379" s="374"/>
      <c r="AF379" s="374"/>
      <c r="AG379" s="374"/>
      <c r="AS379" s="374" t="s">
        <v>103</v>
      </c>
      <c r="AT379" s="374"/>
      <c r="AU379" s="374"/>
      <c r="AV379" s="374"/>
    </row>
    <row r="380" spans="15:54" s="115" customFormat="1">
      <c r="O380" s="91"/>
      <c r="X380" s="115">
        <f t="shared" si="98"/>
        <v>0</v>
      </c>
      <c r="Y380" s="115">
        <f t="shared" si="99"/>
        <v>0</v>
      </c>
      <c r="Z380" s="115" t="e">
        <f t="shared" si="100"/>
        <v>#VALUE!</v>
      </c>
      <c r="AA380" s="115">
        <f t="shared" si="101"/>
        <v>0</v>
      </c>
      <c r="AB380" s="246"/>
      <c r="AE380" s="346" t="s">
        <v>563</v>
      </c>
      <c r="AF380" s="115" t="s">
        <v>15</v>
      </c>
      <c r="AG380" s="346" t="s">
        <v>561</v>
      </c>
      <c r="AH380" s="368" t="s">
        <v>565</v>
      </c>
      <c r="AJ380" s="346" t="s">
        <v>563</v>
      </c>
      <c r="AK380" s="346" t="s">
        <v>561</v>
      </c>
      <c r="AL380" s="368" t="s">
        <v>565</v>
      </c>
      <c r="AT380" s="346" t="s">
        <v>563</v>
      </c>
      <c r="AU380" s="115" t="s">
        <v>15</v>
      </c>
      <c r="AV380" s="346" t="s">
        <v>561</v>
      </c>
      <c r="AW380" s="368" t="s">
        <v>565</v>
      </c>
      <c r="AY380" s="346" t="s">
        <v>563</v>
      </c>
      <c r="AZ380" s="346" t="s">
        <v>561</v>
      </c>
      <c r="BA380" s="368" t="s">
        <v>565</v>
      </c>
    </row>
    <row r="381" spans="15:54" s="115" customFormat="1">
      <c r="O381" s="91"/>
      <c r="X381" s="115">
        <f t="shared" si="98"/>
        <v>0</v>
      </c>
      <c r="Y381" s="115">
        <f t="shared" si="99"/>
        <v>0</v>
      </c>
      <c r="Z381" s="115" t="e">
        <f t="shared" si="100"/>
        <v>#VALUE!</v>
      </c>
      <c r="AA381" s="115">
        <f t="shared" si="101"/>
        <v>0</v>
      </c>
      <c r="AB381" s="246"/>
      <c r="AD381" s="115" t="s">
        <v>5</v>
      </c>
      <c r="AE381" s="115">
        <f>COUNTIFS(D:D,"AA",E:E,"POS",G:G,"",I:I,"S1",M:M,"",F:F,"WINSTAN")</f>
        <v>0</v>
      </c>
      <c r="AF381" s="115">
        <f>COUNTIFS(D:D,"AA",E:E,"POS",G:G,"",I:I,"LOPRESS",M:M,"",F:F,"WINSTAN")</f>
        <v>0</v>
      </c>
      <c r="AG381" s="115">
        <f>COUNTIFS(D:D,"AA",E:E,"POS",G:G,"",I:I,"S2",M:M,"",F:F,"WINSTAN")</f>
        <v>0</v>
      </c>
      <c r="AH381" s="115">
        <f>COUNTIFS(D:D,"AA",E:E,"POS",G:G,"",I:I,"S3",M:M,"",F:F,"WINSTAN")</f>
        <v>0</v>
      </c>
      <c r="AI381" s="115" t="s">
        <v>1</v>
      </c>
      <c r="AJ381" s="115">
        <f>COUNTIFS(D:D,"DD",E:E,"POS",G:G,"",I:I,"S1",M:M,"",F:F,"WINSTAN")</f>
        <v>0</v>
      </c>
      <c r="AK381" s="115">
        <f>COUNTIFS(D:D,"DD",E:E,"POS",G:G,"",I:I,"S2",M:M,"",F:F,"WINSTAN")</f>
        <v>0</v>
      </c>
      <c r="AL381" s="115">
        <f>COUNTIFS(D:D,"DD",E:E,"POS",G:G,"",I:I,"S3",M:M,"",F:F,"WINSTAN")</f>
        <v>0</v>
      </c>
      <c r="AS381" s="115" t="s">
        <v>1</v>
      </c>
      <c r="AT381" s="115">
        <f>COUNTIFS(D:D,"DD",E:E,"NEG",G:G,"",I:I,"S1",M:M,"",F:F,"WINSTAN")</f>
        <v>0</v>
      </c>
      <c r="AU381" s="115">
        <f>COUNTIFS(D:D,"DD",E:E,"NEG",G:G,"",I:I,"LOPRESS",M:M,"",F:F,"WINSTAN")</f>
        <v>0</v>
      </c>
      <c r="AV381" s="115">
        <f>COUNTIFS(D:D,"DD",E:E,"NEG",G:G,"",I:I,"S2",F:F,"WINSTAN")</f>
        <v>0</v>
      </c>
      <c r="AW381" s="115">
        <f>COUNTIFS(D:D,"DD",E:E,"NEG",G:G,"",I:I,"S3",F:F,"WINSTAN")</f>
        <v>0</v>
      </c>
      <c r="AX381" s="115" t="s">
        <v>5</v>
      </c>
      <c r="AY381" s="115">
        <f>COUNTIFS(D:D,"AA",E:E,"NEG",G:G,"",I:I,"S1",M:M,"",F:F,"WINSTAN")</f>
        <v>0</v>
      </c>
      <c r="AZ381" s="115">
        <f>COUNTIFS(D:D,"AA",E:E,"NEG",G:G,"",I:I,"S2",F:F,"WINSTAN")</f>
        <v>0</v>
      </c>
      <c r="BA381" s="115">
        <f>COUNTIFS(D:D,"AA",E:E,"NEG",G:G,"",I:I,"S3",F:F,"WINSTAN")</f>
        <v>0</v>
      </c>
    </row>
    <row r="382" spans="15:54" s="115" customFormat="1">
      <c r="O382" s="91"/>
      <c r="X382" s="115">
        <f t="shared" si="98"/>
        <v>0</v>
      </c>
      <c r="Y382" s="115">
        <f t="shared" si="99"/>
        <v>0</v>
      </c>
      <c r="Z382" s="115" t="e">
        <f t="shared" si="100"/>
        <v>#VALUE!</v>
      </c>
      <c r="AA382" s="115">
        <f t="shared" si="101"/>
        <v>0</v>
      </c>
      <c r="AB382" s="246"/>
    </row>
    <row r="383" spans="15:54" s="115" customFormat="1">
      <c r="O383" s="91"/>
      <c r="X383" s="115">
        <f t="shared" si="98"/>
        <v>0</v>
      </c>
      <c r="Y383" s="115">
        <f t="shared" si="99"/>
        <v>0</v>
      </c>
      <c r="Z383" s="115" t="e">
        <f t="shared" si="100"/>
        <v>#VALUE!</v>
      </c>
      <c r="AA383" s="115">
        <f t="shared" si="101"/>
        <v>0</v>
      </c>
      <c r="AB383" s="246"/>
    </row>
    <row r="384" spans="15:54" s="115" customFormat="1">
      <c r="O384" s="91"/>
      <c r="X384" s="115">
        <f t="shared" si="98"/>
        <v>0</v>
      </c>
      <c r="Y384" s="115">
        <f t="shared" si="99"/>
        <v>0</v>
      </c>
      <c r="Z384" s="115" t="e">
        <f t="shared" si="100"/>
        <v>#VALUE!</v>
      </c>
      <c r="AA384" s="115">
        <f t="shared" si="101"/>
        <v>0</v>
      </c>
      <c r="AB384" s="246"/>
      <c r="AE384" s="374" t="s">
        <v>7</v>
      </c>
      <c r="AF384" s="374"/>
      <c r="AT384" s="374" t="s">
        <v>7</v>
      </c>
      <c r="AU384" s="374"/>
    </row>
    <row r="385" spans="15:56" s="115" customFormat="1">
      <c r="O385" s="91"/>
      <c r="X385" s="115">
        <f t="shared" si="98"/>
        <v>0</v>
      </c>
      <c r="Y385" s="115">
        <f t="shared" si="99"/>
        <v>0</v>
      </c>
      <c r="Z385" s="115" t="e">
        <f t="shared" si="100"/>
        <v>#VALUE!</v>
      </c>
      <c r="AA385" s="115">
        <f t="shared" si="101"/>
        <v>0</v>
      </c>
      <c r="AB385" s="246"/>
      <c r="AD385" s="374" t="s">
        <v>103</v>
      </c>
      <c r="AE385" s="374"/>
      <c r="AF385" s="374"/>
      <c r="AG385" s="374"/>
      <c r="AS385" s="374" t="s">
        <v>103</v>
      </c>
      <c r="AT385" s="374"/>
      <c r="AU385" s="374"/>
      <c r="AV385" s="374"/>
    </row>
    <row r="386" spans="15:56" s="115" customFormat="1">
      <c r="O386" s="91"/>
      <c r="X386" s="115">
        <f t="shared" si="98"/>
        <v>0</v>
      </c>
      <c r="Y386" s="115">
        <f t="shared" si="99"/>
        <v>0</v>
      </c>
      <c r="Z386" s="115" t="e">
        <f t="shared" si="100"/>
        <v>#VALUE!</v>
      </c>
      <c r="AA386" s="115">
        <f t="shared" si="101"/>
        <v>0</v>
      </c>
      <c r="AB386" s="246"/>
      <c r="AE386" s="346" t="s">
        <v>563</v>
      </c>
      <c r="AF386" s="115" t="s">
        <v>15</v>
      </c>
      <c r="AG386" s="346" t="s">
        <v>561</v>
      </c>
      <c r="AH386" s="368" t="s">
        <v>565</v>
      </c>
      <c r="AJ386" s="346" t="s">
        <v>563</v>
      </c>
      <c r="AK386" s="346" t="s">
        <v>561</v>
      </c>
      <c r="AL386" s="368" t="s">
        <v>565</v>
      </c>
      <c r="AT386" s="346" t="s">
        <v>563</v>
      </c>
      <c r="AU386" s="115" t="s">
        <v>15</v>
      </c>
      <c r="AV386" s="346" t="s">
        <v>561</v>
      </c>
      <c r="AW386" s="368" t="s">
        <v>565</v>
      </c>
      <c r="AY386" s="346" t="s">
        <v>563</v>
      </c>
      <c r="AZ386" s="346" t="s">
        <v>561</v>
      </c>
      <c r="BA386" s="368" t="s">
        <v>565</v>
      </c>
    </row>
    <row r="387" spans="15:56" s="115" customFormat="1">
      <c r="O387" s="91"/>
      <c r="X387" s="115">
        <f t="shared" ref="X387:X450" si="102">mapValues(E387,F387,"P265")</f>
        <v>0</v>
      </c>
      <c r="Y387" s="115">
        <f t="shared" ref="Y387:Y450" si="103">X386+X387</f>
        <v>0</v>
      </c>
      <c r="Z387" s="115" t="e">
        <f t="shared" ref="Z387:Z450" si="104">VALUE(MID(B387,FIND(" ",B387)+1,FIND(" ",B387,FIND(" ",B387)+1)-FIND(" ",B387)))</f>
        <v>#VALUE!</v>
      </c>
      <c r="AA387" s="115">
        <f t="shared" ref="AA387:AA450" si="105">T387/1000</f>
        <v>0</v>
      </c>
      <c r="AB387" s="246"/>
      <c r="AD387" s="115" t="s">
        <v>14</v>
      </c>
      <c r="AE387" s="115">
        <f>COUNTIFS(D:D,"DA",E:E,"POS",G:G,"",I:I,"S1",F:F,"WINSTAN")</f>
        <v>3</v>
      </c>
      <c r="AF387" s="115">
        <f>COUNTIFS(D:D,"DA",E:E,"POS",G:G,"",I:I,"LOPRESS",F:F,"WINSTAN")</f>
        <v>0</v>
      </c>
      <c r="AG387" s="115">
        <f>COUNTIFS(D:D,"DA",E:E,"POS",G:G,"",I:I,"S2",F:F,"WINSTAN")</f>
        <v>0</v>
      </c>
      <c r="AH387" s="115">
        <f>COUNTIFS(D:D,"DA",E:E,"POS",G:G,"",I:I,"S3",F:F,"WINSTAN")</f>
        <v>0</v>
      </c>
      <c r="AI387" s="115" t="s">
        <v>17</v>
      </c>
      <c r="AJ387" s="115">
        <f>COUNTIFS(D:D,"AD",E:E,"POS",G:G,"",I:I,"S1",F:F,"WINSTAN")</f>
        <v>0</v>
      </c>
      <c r="AK387" s="115">
        <f>COUNTIFS(D:D,"AD",E:E,"POS",G:G,"",I:I,"S2",F:F,"WINSTAN")</f>
        <v>0</v>
      </c>
      <c r="AL387" s="115">
        <f>COUNTIFS(D:D,"AD",E:E,"POS",G:G,"",I:I,"S3",F:F,"WINSTAN")</f>
        <v>0</v>
      </c>
      <c r="AS387" s="115" t="s">
        <v>17</v>
      </c>
      <c r="AT387" s="115">
        <f>COUNTIFS(D:D,"AD",E:E,"NEG",G:G,"",I:I,"S1",F:F,"WINSTAN")</f>
        <v>0</v>
      </c>
      <c r="AU387" s="115">
        <f>COUNTIFS(D:D,"AD",E:E,"NEG",G:G,"",I:I,"LOPRESS",F:F,"WINSTAN")</f>
        <v>0</v>
      </c>
      <c r="AV387" s="115">
        <f>COUNTIFS(D:D,"AD",E:E,"NEG",G:G,"",I:I,"S2",F:F,"WINSTAN")</f>
        <v>1</v>
      </c>
      <c r="AW387" s="115">
        <f>COUNTIFS(D:D,"AD",E:E,"NEG",G:G,"",I:I,"S3",F:F,"WINSTAN")</f>
        <v>2</v>
      </c>
      <c r="AX387" s="115" t="s">
        <v>14</v>
      </c>
      <c r="AY387" s="115">
        <f>COUNTIFS(D:D,"DA",E:E,"NEG",G:G,"",I:I,"S1",F:F,"WINSTAN")</f>
        <v>0</v>
      </c>
      <c r="AZ387" s="115">
        <f>COUNTIFS(D:D,"DA",E:E,"NEG",G:G,"",I:I,"S2",F:F,"WINSTAN")</f>
        <v>0</v>
      </c>
      <c r="BA387" s="115">
        <f>COUNTIFS(D:D,"DA",E:E,"NEG",G:G,"",I:I,"S3",F:F,"WINSTAN")</f>
        <v>0</v>
      </c>
    </row>
    <row r="388" spans="15:56" s="115" customFormat="1">
      <c r="O388" s="91"/>
      <c r="X388" s="115">
        <f t="shared" si="102"/>
        <v>0</v>
      </c>
      <c r="Y388" s="115">
        <f t="shared" si="103"/>
        <v>0</v>
      </c>
      <c r="Z388" s="115" t="e">
        <f t="shared" si="104"/>
        <v>#VALUE!</v>
      </c>
      <c r="AA388" s="115">
        <f t="shared" si="105"/>
        <v>0</v>
      </c>
      <c r="AB388" s="246"/>
    </row>
    <row r="389" spans="15:56" s="115" customFormat="1">
      <c r="O389" s="91"/>
      <c r="X389" s="115">
        <f t="shared" si="102"/>
        <v>0</v>
      </c>
      <c r="Y389" s="115">
        <f t="shared" si="103"/>
        <v>0</v>
      </c>
      <c r="Z389" s="115" t="e">
        <f t="shared" si="104"/>
        <v>#VALUE!</v>
      </c>
      <c r="AA389" s="115">
        <f t="shared" si="105"/>
        <v>0</v>
      </c>
      <c r="AB389" s="246"/>
    </row>
    <row r="390" spans="15:56" s="115" customFormat="1">
      <c r="O390" s="91"/>
      <c r="X390" s="115">
        <f t="shared" si="102"/>
        <v>0</v>
      </c>
      <c r="Y390" s="115">
        <f t="shared" si="103"/>
        <v>0</v>
      </c>
      <c r="Z390" s="115" t="e">
        <f t="shared" si="104"/>
        <v>#VALUE!</v>
      </c>
      <c r="AA390" s="115">
        <f t="shared" si="105"/>
        <v>0</v>
      </c>
      <c r="AB390" s="246"/>
      <c r="AE390" s="374" t="s">
        <v>7</v>
      </c>
      <c r="AF390" s="374"/>
      <c r="AT390" s="374" t="s">
        <v>7</v>
      </c>
      <c r="AU390" s="374"/>
    </row>
    <row r="391" spans="15:56" s="115" customFormat="1">
      <c r="O391" s="91"/>
      <c r="X391" s="115">
        <f t="shared" si="102"/>
        <v>0</v>
      </c>
      <c r="Y391" s="115">
        <f t="shared" si="103"/>
        <v>0</v>
      </c>
      <c r="Z391" s="115" t="e">
        <f t="shared" si="104"/>
        <v>#VALUE!</v>
      </c>
      <c r="AA391" s="115">
        <f t="shared" si="105"/>
        <v>0</v>
      </c>
      <c r="AB391" s="246"/>
      <c r="AD391" s="374" t="s">
        <v>305</v>
      </c>
      <c r="AE391" s="374"/>
      <c r="AF391" s="374"/>
      <c r="AG391" s="374"/>
      <c r="AS391" s="374" t="s">
        <v>104</v>
      </c>
      <c r="AT391" s="374"/>
      <c r="AU391" s="374"/>
      <c r="AV391" s="374"/>
    </row>
    <row r="392" spans="15:56" s="115" customFormat="1">
      <c r="O392" s="91"/>
      <c r="X392" s="115">
        <f t="shared" si="102"/>
        <v>0</v>
      </c>
      <c r="Y392" s="115">
        <f t="shared" si="103"/>
        <v>0</v>
      </c>
      <c r="Z392" s="115" t="e">
        <f t="shared" si="104"/>
        <v>#VALUE!</v>
      </c>
      <c r="AA392" s="115">
        <f t="shared" si="105"/>
        <v>0</v>
      </c>
      <c r="AB392" s="246"/>
      <c r="AE392" s="115" t="s">
        <v>4</v>
      </c>
      <c r="AF392" s="115" t="s">
        <v>29</v>
      </c>
      <c r="AG392" s="115" t="s">
        <v>10</v>
      </c>
      <c r="AH392" s="190" t="s">
        <v>127</v>
      </c>
      <c r="AI392" s="115" t="s">
        <v>164</v>
      </c>
      <c r="AK392" s="115" t="s">
        <v>4</v>
      </c>
      <c r="AL392" s="115" t="s">
        <v>29</v>
      </c>
      <c r="AM392" s="115" t="s">
        <v>10</v>
      </c>
      <c r="AN392" s="190" t="s">
        <v>127</v>
      </c>
      <c r="AO392" s="115" t="s">
        <v>164</v>
      </c>
      <c r="AT392" s="115" t="s">
        <v>4</v>
      </c>
      <c r="AU392" s="115" t="s">
        <v>29</v>
      </c>
      <c r="AV392" s="115" t="s">
        <v>10</v>
      </c>
      <c r="AW392" s="190" t="s">
        <v>127</v>
      </c>
      <c r="AX392" s="115" t="s">
        <v>164</v>
      </c>
      <c r="AZ392" s="115" t="s">
        <v>4</v>
      </c>
      <c r="BA392" s="115" t="s">
        <v>29</v>
      </c>
      <c r="BB392" s="115" t="s">
        <v>10</v>
      </c>
      <c r="BC392" s="190" t="s">
        <v>127</v>
      </c>
      <c r="BD392" s="115" t="s">
        <v>164</v>
      </c>
    </row>
    <row r="393" spans="15:56" s="115" customFormat="1" ht="18.75">
      <c r="O393" s="91"/>
      <c r="X393" s="115">
        <f t="shared" si="102"/>
        <v>0</v>
      </c>
      <c r="Y393" s="115">
        <f t="shared" si="103"/>
        <v>0</v>
      </c>
      <c r="Z393" s="115" t="e">
        <f t="shared" si="104"/>
        <v>#VALUE!</v>
      </c>
      <c r="AA393" s="115">
        <f t="shared" si="105"/>
        <v>0</v>
      </c>
      <c r="AB393" s="246"/>
      <c r="AD393" s="166" t="s">
        <v>5</v>
      </c>
      <c r="AE393" s="178">
        <f>COUNTIFS(D:D,"AA",E:E,"POS",M:M,"STANCO",F:F,"WINSTAN")</f>
        <v>0</v>
      </c>
      <c r="AF393" s="178">
        <f>COUNTIFS(D:D,"AA",E:E,"POS",M:M,"STANTI",F:F,"WINSTAN")</f>
        <v>0</v>
      </c>
      <c r="AG393" s="178">
        <f>COUNTIFS(D:D,"AA",E:E,"POS",M:M,"STANFK",F:F,"WINSTAN")</f>
        <v>0</v>
      </c>
      <c r="AH393" s="178">
        <f>COUNTIFS(D:D,"AA",E:E,"POS",M:M,"STANPEN",F:F,"WINSTAN")</f>
        <v>0</v>
      </c>
      <c r="AI393" s="178">
        <f>COUNTIFS(D:D,"AA",E:E,"POS",M:M,"STANFK DIRECT",F:F,"WINSTAN")</f>
        <v>0</v>
      </c>
      <c r="AJ393" s="166" t="s">
        <v>1</v>
      </c>
      <c r="AK393" s="115">
        <f>COUNTIFS(D:D,"DD",E:E,"POS",M:M,"STANCO",F:F,"WINSTAN")</f>
        <v>0</v>
      </c>
      <c r="AL393" s="115">
        <f>COUNTIFS(D:D,"DD",E:E,"POS",M:M,"STANTI",F:F,"WINSTAN")</f>
        <v>0</v>
      </c>
      <c r="AM393" s="115">
        <f>COUNTIFS(D:D,"DD",E:E,"POS",M:M,"STANFK",F:F,"WINSTAN")</f>
        <v>0</v>
      </c>
      <c r="AN393" s="115">
        <f>COUNTIFS(D:D,"DD",E:E,"POS",M:M,"STANFK",F:F,"WINSTAN")</f>
        <v>0</v>
      </c>
      <c r="AO393" s="115">
        <f>COUNTIFS(D:D,"DD",E:E,"POS",M:M,"STANFK",F:F,"WINSTAN")</f>
        <v>0</v>
      </c>
      <c r="AS393" s="166" t="s">
        <v>1</v>
      </c>
      <c r="AT393" s="115">
        <f>COUNTIFS(D:D,"DD",E:E,"NEG",M:M,"STANCO",F:F,"WINSTAN")</f>
        <v>0</v>
      </c>
      <c r="AU393" s="115">
        <f>COUNTIFS(D:D,"DD",E:E,"NEG",M:M,"STANTI",F:F,"WINSTAN")</f>
        <v>0</v>
      </c>
      <c r="AV393" s="115">
        <f>COUNTIFS(D:D,"DD",E:E,"NEG",M:M,"STANFK",F:F,"WINSTAN")</f>
        <v>0</v>
      </c>
      <c r="AW393" s="115">
        <f>COUNTIFS(D:D,"DD",E:E,"NEG",M:M,"STANPEN",F:F,"WINSTAN")</f>
        <v>0</v>
      </c>
      <c r="AX393" s="115">
        <f>COUNTIFS(D:D,"DD",E:E,"NEG",M:M,"STANFK DIRECT",F:F,"WINSTAN")</f>
        <v>0</v>
      </c>
      <c r="AY393" s="166" t="s">
        <v>5</v>
      </c>
      <c r="AZ393" s="115">
        <f>COUNTIFS(D:D,"AA",E:E,"NEG",M:M,"STANCO",F:F,"WINSTAN")</f>
        <v>0</v>
      </c>
      <c r="BA393" s="115">
        <f>COUNTIFS(D:D,"AA",E:E,"NEG",M:M,"STANTI",F:F,"WINSTAN")</f>
        <v>0</v>
      </c>
      <c r="BB393" s="115">
        <f>COUNTIFS(D:D,"AA",E:E,"NEG",M:M,"STANFK",F:F,"WINSTAN")</f>
        <v>0</v>
      </c>
      <c r="BC393" s="115">
        <f>COUNTIFS(D:D,"AA",E:E,"NEG",M:M,"STANPEN",F:F,"WINSTAN")</f>
        <v>0</v>
      </c>
      <c r="BD393" s="115">
        <f>COUNTIFS(D:D,"AA",E:E,"NEG",M:M,"STANFK DIRECT",F:F,"WINSTAN")</f>
        <v>0</v>
      </c>
    </row>
    <row r="394" spans="15:56" s="115" customFormat="1">
      <c r="O394" s="91"/>
      <c r="X394" s="115">
        <f t="shared" si="102"/>
        <v>0</v>
      </c>
      <c r="Y394" s="115">
        <f t="shared" si="103"/>
        <v>0</v>
      </c>
      <c r="Z394" s="115" t="e">
        <f t="shared" si="104"/>
        <v>#VALUE!</v>
      </c>
      <c r="AA394" s="115">
        <f t="shared" si="105"/>
        <v>0</v>
      </c>
      <c r="AB394" s="246"/>
    </row>
    <row r="395" spans="15:56" s="115" customFormat="1">
      <c r="O395" s="91"/>
      <c r="X395" s="115">
        <f t="shared" si="102"/>
        <v>0</v>
      </c>
      <c r="Y395" s="115">
        <f t="shared" si="103"/>
        <v>0</v>
      </c>
      <c r="Z395" s="115" t="e">
        <f t="shared" si="104"/>
        <v>#VALUE!</v>
      </c>
      <c r="AA395" s="115">
        <f t="shared" si="105"/>
        <v>0</v>
      </c>
      <c r="AB395" s="246"/>
      <c r="AE395" s="374" t="s">
        <v>7</v>
      </c>
      <c r="AF395" s="374"/>
      <c r="AT395" s="374" t="s">
        <v>7</v>
      </c>
      <c r="AU395" s="374"/>
    </row>
    <row r="396" spans="15:56" s="115" customFormat="1">
      <c r="O396" s="91"/>
      <c r="X396" s="115">
        <f t="shared" si="102"/>
        <v>0</v>
      </c>
      <c r="Y396" s="115">
        <f t="shared" si="103"/>
        <v>0</v>
      </c>
      <c r="Z396" s="115" t="e">
        <f t="shared" si="104"/>
        <v>#VALUE!</v>
      </c>
      <c r="AA396" s="115">
        <f t="shared" si="105"/>
        <v>0</v>
      </c>
      <c r="AB396" s="246"/>
      <c r="AD396" s="374" t="s">
        <v>306</v>
      </c>
      <c r="AE396" s="374"/>
      <c r="AF396" s="374"/>
      <c r="AG396" s="374"/>
      <c r="AH396" s="374"/>
      <c r="AS396" s="374" t="s">
        <v>104</v>
      </c>
      <c r="AT396" s="374"/>
      <c r="AU396" s="374"/>
      <c r="AV396" s="374"/>
    </row>
    <row r="397" spans="15:56" s="115" customFormat="1">
      <c r="O397" s="91"/>
      <c r="X397" s="115">
        <f t="shared" si="102"/>
        <v>0</v>
      </c>
      <c r="Y397" s="115">
        <f t="shared" si="103"/>
        <v>0</v>
      </c>
      <c r="Z397" s="115" t="e">
        <f t="shared" si="104"/>
        <v>#VALUE!</v>
      </c>
      <c r="AA397" s="115">
        <f t="shared" si="105"/>
        <v>0</v>
      </c>
      <c r="AB397" s="246"/>
      <c r="AE397" s="115" t="s">
        <v>29</v>
      </c>
      <c r="AF397" s="115" t="s">
        <v>10</v>
      </c>
      <c r="AG397" s="115" t="s">
        <v>25</v>
      </c>
      <c r="AH397" s="115" t="s">
        <v>27</v>
      </c>
      <c r="AJ397" s="115" t="s">
        <v>29</v>
      </c>
      <c r="AK397" s="115" t="s">
        <v>10</v>
      </c>
      <c r="AL397" s="115" t="s">
        <v>25</v>
      </c>
      <c r="AM397" s="115" t="s">
        <v>27</v>
      </c>
      <c r="AT397" s="115" t="s">
        <v>29</v>
      </c>
      <c r="AU397" s="115" t="s">
        <v>10</v>
      </c>
      <c r="AV397" s="115" t="s">
        <v>25</v>
      </c>
      <c r="AW397" s="115" t="s">
        <v>27</v>
      </c>
      <c r="AY397" s="115" t="s">
        <v>29</v>
      </c>
      <c r="AZ397" s="115" t="s">
        <v>10</v>
      </c>
      <c r="BA397" s="115" t="s">
        <v>25</v>
      </c>
      <c r="BB397" s="115" t="s">
        <v>27</v>
      </c>
    </row>
    <row r="398" spans="15:56" s="115" customFormat="1">
      <c r="O398" s="91"/>
      <c r="X398" s="115">
        <f t="shared" si="102"/>
        <v>0</v>
      </c>
      <c r="Y398" s="115">
        <f t="shared" si="103"/>
        <v>0</v>
      </c>
      <c r="Z398" s="115" t="e">
        <f t="shared" si="104"/>
        <v>#VALUE!</v>
      </c>
      <c r="AA398" s="115">
        <f t="shared" si="105"/>
        <v>0</v>
      </c>
      <c r="AB398" s="246"/>
      <c r="AD398" s="115" t="s">
        <v>5</v>
      </c>
      <c r="AE398" s="178">
        <f>COUNTIFS(D:D,"AA",E:E,"POS",G:G,"STANTI",F:F,"WINSTAN")</f>
        <v>1</v>
      </c>
      <c r="AF398" s="178">
        <f>COUNTIFS(D:D,"AA",E:E,"POS",G:G,"STANFK",F:F,"WINSTAN")</f>
        <v>1</v>
      </c>
      <c r="AG398" s="178">
        <f>COUNTIFS(D:D,"AA",E:E,"POS",G:G,"STANGK",F:F,"WINSTAN")</f>
        <v>0</v>
      </c>
      <c r="AH398" s="178">
        <f>COUNTIFS(D:D,"AA",E:E,"POS",G:G,"STANGS",F:F,"WINSTAN")</f>
        <v>1</v>
      </c>
      <c r="AI398" s="178" t="s">
        <v>1</v>
      </c>
      <c r="AJ398" s="115">
        <f>COUNTIFS(D:D,"DD",E:E,"POS",G:G,"STANTI",F:F,"WINSTAN")</f>
        <v>0</v>
      </c>
      <c r="AK398" s="115">
        <f>COUNTIFS(D:D,"DD",E:E,"POS",G:G,"STANFK",F:F,"WINSTAN")</f>
        <v>0</v>
      </c>
      <c r="AL398" s="115">
        <f>COUNTIFS(D:D,"DD",E:E,"POS",G:G,"STANGK",F:F,"WINSTAN")</f>
        <v>0</v>
      </c>
      <c r="AM398" s="115">
        <f>COUNTIFS(D:D,"DD",E:E,"POS",G:G,"STANGS",F:F,"WINSTAN")</f>
        <v>0</v>
      </c>
      <c r="AS398" s="115" t="s">
        <v>1</v>
      </c>
      <c r="AT398" s="115">
        <f>COUNTIFS(D:D,"DD",E:E,"NEG",G:G,"STANTI",F:F,"WINSTAN")</f>
        <v>4</v>
      </c>
      <c r="AU398" s="115">
        <f>COUNTIFS(D:D,"DD",E:E,"NEG",G:G,"STANFK",F:F,"WINSTAN")</f>
        <v>0</v>
      </c>
      <c r="AV398" s="115">
        <f>COUNTIFS(D:D,"DD",E:E,"NEG",G:G,"STANGK",F:F,"WINSTAN")</f>
        <v>1</v>
      </c>
      <c r="AW398" s="115">
        <f>COUNTIFS(D:D,"DD",E:E,"NEG",G:G,"STANGS",F:F,"WINSTAN")</f>
        <v>0</v>
      </c>
      <c r="AX398" s="115" t="s">
        <v>5</v>
      </c>
      <c r="AY398" s="115">
        <f>COUNTIFS(D:D,"AA",E:E,"NEG",G:G,"STANTI",F:F,"WINSTAN")</f>
        <v>0</v>
      </c>
      <c r="AZ398" s="115">
        <f>COUNTIFS(D:D,"AA",E:E,"NEG",G:G,"STANFK",F:F,"WINSTAN")</f>
        <v>0</v>
      </c>
      <c r="BA398" s="115">
        <f>COUNTIFS(D:D,"AA",E:E,"NEG",G:G,"STANGK",F:F,"WINSTAN")</f>
        <v>0</v>
      </c>
      <c r="BB398" s="115">
        <f>COUNTIFS(D:D,"AA",E:E,"NEG",G:G,"STANGS",F:F,"WINSTAN")</f>
        <v>0</v>
      </c>
    </row>
    <row r="399" spans="15:56" s="115" customFormat="1">
      <c r="O399" s="91"/>
      <c r="X399" s="115">
        <f t="shared" si="102"/>
        <v>0</v>
      </c>
      <c r="Y399" s="115">
        <f t="shared" si="103"/>
        <v>0</v>
      </c>
      <c r="Z399" s="115" t="e">
        <f t="shared" si="104"/>
        <v>#VALUE!</v>
      </c>
      <c r="AA399" s="115">
        <f t="shared" si="105"/>
        <v>0</v>
      </c>
      <c r="AB399" s="246"/>
    </row>
    <row r="400" spans="15:56" s="115" customFormat="1">
      <c r="O400" s="91"/>
      <c r="X400" s="115">
        <f t="shared" si="102"/>
        <v>0</v>
      </c>
      <c r="Y400" s="115">
        <f t="shared" si="103"/>
        <v>0</v>
      </c>
      <c r="Z400" s="115" t="e">
        <f t="shared" si="104"/>
        <v>#VALUE!</v>
      </c>
      <c r="AA400" s="115">
        <f t="shared" si="105"/>
        <v>0</v>
      </c>
      <c r="AB400" s="246"/>
    </row>
    <row r="401" spans="15:57" s="115" customFormat="1">
      <c r="O401" s="91"/>
      <c r="X401" s="115">
        <f t="shared" si="102"/>
        <v>0</v>
      </c>
      <c r="Y401" s="115">
        <f t="shared" si="103"/>
        <v>0</v>
      </c>
      <c r="Z401" s="115" t="e">
        <f t="shared" si="104"/>
        <v>#VALUE!</v>
      </c>
      <c r="AA401" s="115">
        <f t="shared" si="105"/>
        <v>0</v>
      </c>
      <c r="AB401" s="246"/>
      <c r="AG401" s="197"/>
      <c r="AH401" s="379" t="s">
        <v>312</v>
      </c>
      <c r="AI401" s="379"/>
      <c r="AJ401" s="379"/>
    </row>
    <row r="402" spans="15:57">
      <c r="O402" s="91"/>
      <c r="X402" s="115">
        <f t="shared" si="102"/>
        <v>0</v>
      </c>
      <c r="Y402" s="115">
        <f t="shared" si="103"/>
        <v>0</v>
      </c>
      <c r="Z402" s="115" t="e">
        <f t="shared" si="104"/>
        <v>#VALUE!</v>
      </c>
      <c r="AA402" s="115">
        <f t="shared" si="105"/>
        <v>0</v>
      </c>
      <c r="AD402" s="115"/>
      <c r="AE402" s="115"/>
      <c r="AF402" s="115"/>
      <c r="AH402" s="378" t="s">
        <v>220</v>
      </c>
      <c r="AI402" s="378"/>
      <c r="AJ402" s="378"/>
      <c r="AK402" s="115"/>
      <c r="AL402" s="115"/>
    </row>
    <row r="403" spans="15:57">
      <c r="O403" s="91"/>
      <c r="X403" s="115">
        <f t="shared" si="102"/>
        <v>0</v>
      </c>
      <c r="Y403" s="115">
        <f t="shared" si="103"/>
        <v>0</v>
      </c>
      <c r="Z403" s="115" t="e">
        <f t="shared" si="104"/>
        <v>#VALUE!</v>
      </c>
      <c r="AA403" s="115">
        <f t="shared" si="105"/>
        <v>0</v>
      </c>
      <c r="AD403" s="115"/>
      <c r="AE403" s="115"/>
      <c r="AF403" s="115"/>
      <c r="AH403" s="378"/>
      <c r="AI403" s="378"/>
      <c r="AJ403" s="378"/>
      <c r="AK403" s="115"/>
      <c r="AL403" s="115"/>
    </row>
    <row r="404" spans="15:57" ht="15.75" thickBot="1">
      <c r="O404" s="91"/>
      <c r="X404" s="115">
        <f t="shared" si="102"/>
        <v>0</v>
      </c>
      <c r="Y404" s="115">
        <f t="shared" si="103"/>
        <v>0</v>
      </c>
      <c r="Z404" s="115" t="e">
        <f t="shared" si="104"/>
        <v>#VALUE!</v>
      </c>
      <c r="AA404" s="115">
        <f t="shared" si="105"/>
        <v>0</v>
      </c>
      <c r="AE404" s="115" t="s">
        <v>312</v>
      </c>
      <c r="AF404" s="115" t="s">
        <v>311</v>
      </c>
      <c r="AG404" t="s">
        <v>9</v>
      </c>
      <c r="AH404" s="115" t="s">
        <v>8</v>
      </c>
      <c r="AI404" s="115" t="s">
        <v>19</v>
      </c>
      <c r="AJ404" s="115" t="s">
        <v>310</v>
      </c>
      <c r="AK404" s="115" t="s">
        <v>7</v>
      </c>
      <c r="AL404" s="115" t="s">
        <v>163</v>
      </c>
      <c r="AM404" s="115" t="s">
        <v>156</v>
      </c>
      <c r="AN404" s="115" t="s">
        <v>312</v>
      </c>
      <c r="AO404" s="115" t="s">
        <v>311</v>
      </c>
      <c r="AP404" s="115" t="s">
        <v>9</v>
      </c>
      <c r="AQ404" s="115" t="s">
        <v>8</v>
      </c>
      <c r="AR404" s="115" t="s">
        <v>19</v>
      </c>
      <c r="AS404" s="115" t="s">
        <v>310</v>
      </c>
      <c r="AT404" s="115" t="s">
        <v>7</v>
      </c>
      <c r="AU404" s="115" t="s">
        <v>163</v>
      </c>
      <c r="AV404" s="115" t="s">
        <v>156</v>
      </c>
      <c r="AW404" s="115" t="s">
        <v>312</v>
      </c>
      <c r="AX404" s="115" t="s">
        <v>311</v>
      </c>
      <c r="AY404" s="115" t="s">
        <v>9</v>
      </c>
      <c r="AZ404" s="115" t="s">
        <v>8</v>
      </c>
      <c r="BA404" s="115" t="s">
        <v>19</v>
      </c>
      <c r="BB404" s="115" t="s">
        <v>310</v>
      </c>
      <c r="BC404" s="115" t="s">
        <v>7</v>
      </c>
      <c r="BD404" s="115" t="s">
        <v>163</v>
      </c>
      <c r="BE404" s="115" t="s">
        <v>156</v>
      </c>
    </row>
    <row r="405" spans="15:57" ht="15.75">
      <c r="O405" s="91"/>
      <c r="X405" s="115">
        <f t="shared" si="102"/>
        <v>0</v>
      </c>
      <c r="Y405" s="115">
        <f t="shared" si="103"/>
        <v>0</v>
      </c>
      <c r="Z405" s="115" t="e">
        <f t="shared" si="104"/>
        <v>#VALUE!</v>
      </c>
      <c r="AA405" s="115">
        <f t="shared" si="105"/>
        <v>0</v>
      </c>
      <c r="AE405" s="194">
        <f>COUNTIFS(D:D,"AA",L:L,"-2;1",G:G,"",M:M,"")+COUNTIFS(D:D,"DA",L:L,"-2;1")+AE407</f>
        <v>0</v>
      </c>
      <c r="AF405" s="148">
        <f>COUNTIFS(D:D,"AA",L:L,"-2;1",F:F,"ATONGOAL",G:G,"",M:M,"")+COUNTIFS(D:D,"DA",L:L,"-2;1",F:F,"ATONGOAL")+AF407</f>
        <v>0</v>
      </c>
      <c r="AG405" s="148">
        <f>COUNTIFS(D:D,"AA",L:L,"-2;1",F:F,"ATON",G:G,"",M:M,"")+COUNTIFS(D:D,"DA",L:L,"-2;1",F:F,"ATON")+AG407</f>
        <v>0</v>
      </c>
      <c r="AH405" s="148">
        <f>COUNTIFS(D:D,"AA",L:L,"-2;1",F:F,"ATOF",G:G,"",M:M,"")+COUNTIFS(D:D,"DA",L:L,"-2;1",F:F,"ATOF")+AH407</f>
        <v>0</v>
      </c>
      <c r="AI405" s="148">
        <f>COUNTIFS(D:D,"AA",L:L,"-2;1",F:F,"ATBK",G:G,"",M:M,"")+COUNTIFS(D:D,"DA",L:L,"-2;1",F:F,"ATBK")+AI407</f>
        <v>0</v>
      </c>
      <c r="AJ405" s="148">
        <f>COUNTIFS(D:D,"AA",L:L,"-2;1",F:F,"ENTRY",G:G,"",M:M,"")+COUNTIFS(D:D,"DA",L:L,"-2;1",F:F,"ENTRY")+AJ407</f>
        <v>0</v>
      </c>
      <c r="AK405" s="148">
        <f>COUNTIFS(D:D,"AA",L:L,"-2;1",F:F,"WINSTAN",G:G,"",M:M,"")+COUNTIFS(D:D,"DA",L:L,"-2;1",F:F,"WINSTAN")+AK407</f>
        <v>0</v>
      </c>
      <c r="AL405" s="148">
        <f>COUNTIFS(D:D,"AA",L:L,"-2;1",F:F,"WINSTANTI",G:G,"",M:M,"")+COUNTIFS(D:D,"DA",L:L,"-2;1",F:F,"WINSTANTI")+AL407</f>
        <v>0</v>
      </c>
      <c r="AM405" s="148">
        <f>COUNTIFS(D:D,"AA",L:L,"-2;1",F:F,"KEEPOS",G:G,"",M:M,"")+COUNTIFS(D:D,"DA",L:L,"-2;1",F:F,"KEEPOS")+AM407</f>
        <v>0</v>
      </c>
      <c r="AN405" s="144">
        <f>COUNTIFS(D:D,"AA",L:L,"-2;0",G:G,"",M:M,"")+COUNTIFS(D:D,"DA",L:L,"-2;0")</f>
        <v>0</v>
      </c>
      <c r="AO405" s="148">
        <f>COUNTIFS(D:D,"AA",L:L,"-2;0",F:F,"ATONGOAL",G:G,"",M:M,"")+COUNTIFS(D:D,"DA",L:L,"-2;0",F:F,"ATONGOAL")</f>
        <v>0</v>
      </c>
      <c r="AP405" s="148">
        <f>COUNTIFS(D:D,"AA",L:L,"-2;0",F:F,"ATON",G:G,"",M:M,"")+COUNTIFS(D:D,"DA",L:L,"-2;0",F:F,"ATON")</f>
        <v>0</v>
      </c>
      <c r="AQ405" s="148">
        <f>COUNTIFS(D:D,"AA",L:L,"-2;0",F:F,"ATOF",G:G,"",M:M,"")+COUNTIFS(D:D,"DA",L:L,"-2;0",F:F,"ATOF")</f>
        <v>0</v>
      </c>
      <c r="AR405" s="148">
        <f>COUNTIFS(D:D,"AA",L:L,"-2;0",F:F,"ATBK",G:G,"",M:M,"")+COUNTIFS(D:D,"DA",L:L,"-2;0",F:F,"ATBK")</f>
        <v>0</v>
      </c>
      <c r="AS405" s="148">
        <f>COUNTIFS(D:D,"AA",L:L,"-2;0",F:F,"ENTRY",G:G,"",M:M,"")+COUNTIFS(D:D,"DA",L:L,"-2;0",F:F,"ENTRY")</f>
        <v>0</v>
      </c>
      <c r="AT405" s="148">
        <f>COUNTIFS(D:D,"AA",L:L,"-2;0",F:F,"WINSTAN",G:G,"",M:M,"")+COUNTIFS(D:D,"DA",L:L,"-2;0",F:F,"WINSTAN")</f>
        <v>0</v>
      </c>
      <c r="AU405" s="148">
        <f>COUNTIFS(D:D,"AA",L:L,"-2;0",F:F,"WINSTANTI",G:G,"",M:M,"")+COUNTIFS(D:D,"DA",L:L,"-2;0",F:F,"WINSTANTI")</f>
        <v>0</v>
      </c>
      <c r="AV405" s="148">
        <f>COUNTIFS(D:D,"AA",L:L,"-2;0",F:F,"KEEPOS",G:G,"",M:M,"")+COUNTIFS(D:D,"DA",L:L,"-2;0",F:F,"KEEPOS")</f>
        <v>0</v>
      </c>
      <c r="AW405" s="144">
        <f>COUNTIFS(D:D,"AA",L:L,"-2;-1",G:G,"",M:M,"")+COUNTIFS(D:D,"DA",L:L,"-2;-1")+AW407</f>
        <v>0</v>
      </c>
      <c r="AX405" s="148">
        <f>COUNTIFS(D:D,"AA",L:L,"-2;-1",F:F,"ATONGOAL",G:G,"",M:M,"")+COUNTIFS(D:D,"DA",L:L,"-2;-1",F:F,"ATONGOAL")+AX407</f>
        <v>0</v>
      </c>
      <c r="AY405" s="148">
        <f>COUNTIFS(D:D,"AA",L:L,"-2;-1",F:F,"ATON",G:G,"",M:M,"")+COUNTIFS(D:D,"DA",L:L,"-2;-1",F:F,"ATON")+AY407</f>
        <v>0</v>
      </c>
      <c r="AZ405" s="148">
        <f>COUNTIFS(D:D,"AA",L:L,"-2;-1",F:F,"ATOF",G:G,"",M:M,"")+COUNTIFS(D:D,"DA",L:L,"-2;-1",F:F,"ATOF")+AZ407</f>
        <v>0</v>
      </c>
      <c r="BA405" s="148">
        <f>COUNTIFS(D:D,"AA",L:L,"-2;-1",F:F,"ATBK",G:G,"",M:M,"")+COUNTIFS(D:D,"DA",L:L,"-2;-1",F:F,"ATBK")+BA407</f>
        <v>0</v>
      </c>
      <c r="BB405" s="148">
        <f>COUNTIFS(D:D,"AA",L:L,"-2;-1",F:F,"ENTRY",G:G,"",M:M,"")+COUNTIFS(D:D,"DA",L:L,"-2;-1",F:F,"ENTRY")+BB407</f>
        <v>0</v>
      </c>
      <c r="BC405" s="148">
        <f>COUNTIFS(D:D,"AA",L:L,"-2;-1",F:F,"WINSTAN",G:G,"",M:M,"")+COUNTIFS(D:D,"DA",L:L,"-2;-1",F:F,"WINSTAN")+BC407</f>
        <v>0</v>
      </c>
      <c r="BD405" s="148">
        <f>COUNTIFS(D:D,"AA",L:L,"-2;-1",F:F,"WINSTANTI",G:G,"",M:M,"")+COUNTIFS(D:D,"DA",L:L,"-2;-1",F:F,"WINSTANTI")+BD407</f>
        <v>0</v>
      </c>
      <c r="BE405" s="148">
        <f>COUNTIFS(D:D,"AA",L:L,"-2;-1",F:F,"KEEPOS",G:G,"",M:M,"")+COUNTIFS(D:D,"DA",L:L,"-2;-1",F:F,"KEEPOS")+BE407</f>
        <v>0</v>
      </c>
    </row>
    <row r="406" spans="15:57" ht="15.75">
      <c r="O406" s="91"/>
      <c r="X406" s="115">
        <f t="shared" si="102"/>
        <v>0</v>
      </c>
      <c r="Y406" s="115">
        <f t="shared" si="103"/>
        <v>0</v>
      </c>
      <c r="Z406" s="115" t="e">
        <f t="shared" si="104"/>
        <v>#VALUE!</v>
      </c>
      <c r="AA406" s="115">
        <f t="shared" si="105"/>
        <v>0</v>
      </c>
      <c r="AE406" s="143">
        <f>COUNTIFS(D:D,"DD",L:L,"-2;1",G:G,"",M:M,"")+COUNTIFS(D:D,"AD",L:L,"-2;1")+AE408</f>
        <v>0</v>
      </c>
      <c r="AF406" s="145">
        <f>COUNTIFS(D:D,"DD",L:L,"-2;1",F:F,"ATONGOAL",G:G,"",M:M,"")+COUNTIFS(D:D,"AD",L:L,"-2;1",F:F,"ATONGOAL")+AF408</f>
        <v>0</v>
      </c>
      <c r="AG406" s="149">
        <f>COUNTIFS(D:D,"DD",L:L,"-2;1",F:F,"ATON",G:G,"",M:M,"")+COUNTIFS(D:D,"AD",L:L,"-2;1",F:F,"ATON")+AG408</f>
        <v>0</v>
      </c>
      <c r="AH406" s="149">
        <f>COUNTIFS(D:D,"DD",L:L,"-2;1",F:F,"ATOF",G:G,"",M:M,"")+COUNTIFS(D:D,"AD",L:L,"-2;1",F:F,"ATOF")+AH408</f>
        <v>0</v>
      </c>
      <c r="AI406" s="149">
        <f>COUNTIFS(D:D,"DD",L:L,"-2;1",F:F,"ATBK",G:G,"",M:M,"")+COUNTIFS(D:D,"AD",L:L,"-2;1",F:F,"ATBK")+AI408</f>
        <v>0</v>
      </c>
      <c r="AJ406" s="149">
        <f>COUNTIFS(D:D,"DD",L:L,"-2;1",F:F,"ENTRY",G:G,"",M:M,"")+COUNTIFS(D:D,"AD",L:L,"-2;1",F:F,"ENTRY")+AJ408</f>
        <v>0</v>
      </c>
      <c r="AK406" s="149">
        <f>COUNTIFS(D:D,"DD",L:L,"-2;1",F:F,"WINSTAN",G:G,"",M:M,"")+COUNTIFS(D:D,"AD",L:L,"-2;1",F:F,"WINSTAN")+AK408</f>
        <v>0</v>
      </c>
      <c r="AL406" s="149">
        <f>COUNTIFS(D:D,"DD",L:L,"-2;1",F:F,"WINSTANTI",G:G,"",M:M,"")+COUNTIFS(D:D,"AD",L:L,"-2;1",F:F,"WINSTANTI")+AL408</f>
        <v>0</v>
      </c>
      <c r="AM406" s="149">
        <f>COUNTIFS(D:D,"DD",L:L,"-2;1",F:F,"KEEPOS",G:G,"",M:M,"")+COUNTIFS(D:D,"AD",L:L,"-2;1",F:F,"KEEPOS")+AM408</f>
        <v>0</v>
      </c>
      <c r="AN406" s="169">
        <f>COUNTIFS(D:D,"DD",L:L,"-2;0",G:G,"",M:M,"")+COUNTIFS(D:D,"AD",L:L,"-2;0")</f>
        <v>0</v>
      </c>
      <c r="AO406" s="145">
        <f>COUNTIFS(D:D,"DD",L:L,"-2;0",F:F,"ATONGOAL",G:G,"",M:M,"")+COUNTIFS(D:D,"AD",L:L,"-2;0",F:F,"ATONGOAL")</f>
        <v>0</v>
      </c>
      <c r="AP406" s="149">
        <f>COUNTIFS(D:D,"DD",L:L,"-2;0",F:F,"ATON",G:G,"",M:M,"")+COUNTIFS(D:D,"AD",L:L,"-2;0",F:F,"ATON")</f>
        <v>0</v>
      </c>
      <c r="AQ406" s="149">
        <f>COUNTIFS(D:D,"DD",L:L,"-2;0",F:F,"ATOF",G:G,"",M:M,"")+COUNTIFS(D:D,"AD",L:L,"-2;0",F:F,"ATOF")</f>
        <v>0</v>
      </c>
      <c r="AR406" s="149">
        <f>COUNTIFS(D:D,"DD",L:L,"-2;0",F:F,"ATBK",G:G,"",M:M,"")+COUNTIFS(D:D,"AD",L:L,"-2;0",F:F,"ATBK")</f>
        <v>0</v>
      </c>
      <c r="AS406" s="149">
        <f>COUNTIFS(D:D,"DD",L:L,"-2;0",F:F,"ENTRY",G:G,"",M:M,"")+COUNTIFS(D:D,"AD",L:L,"-2;0",F:F,"ENTRY")</f>
        <v>0</v>
      </c>
      <c r="AT406" s="149">
        <f>COUNTIFS(D:D,"DD",L:L,"-2;0",F:F,"WINSTAN",G:G,"",M:M,"")+COUNTIFS(D:D,"AD",L:L,"-2;0",F:F,"WINSTAN")</f>
        <v>0</v>
      </c>
      <c r="AU406" s="149">
        <f>COUNTIFS(D:D,"DD",L:L,"-2;0",F:F,"WINSTANTI",G:G,"",M:M,"")+COUNTIFS(D:D,"AD",L:L,"-2;0",F:F,"WINSTANTI")</f>
        <v>0</v>
      </c>
      <c r="AV406" s="149">
        <f>COUNTIFS(D:D,"DD",L:L,"-2;0",F:F,"KEEPOS",G:G,"",M:M,"")+COUNTIFS(D:D,"AD",L:L,"-2;0",F:F,"KEEPOS")</f>
        <v>0</v>
      </c>
      <c r="AW406" s="169">
        <f>COUNTIFS(D:D,"DD",L:L,"-2;-1",G:G,"",M:M,"")+COUNTIFS(D:D,"AD",L:L,"-2;-1")+AW408</f>
        <v>0</v>
      </c>
      <c r="AX406" s="145">
        <f>COUNTIFS(D:D,"DD",L:L,"-2;-1",F:F,"ATONGOAL",G:G,"",M:M,"")+COUNTIFS(D:D,"AD",L:L,"-2;-1",F:F,"ATONGOAL")+AX408</f>
        <v>0</v>
      </c>
      <c r="AY406" s="149">
        <f>COUNTIFS(D:D,"DD",L:L,"-2;-1",F:F,"ATON",G:G,"",M:M,"")+COUNTIFS(D:D,"AD",L:L,"-2;-1",F:F,"ATON")+AY408</f>
        <v>0</v>
      </c>
      <c r="AZ406" s="149">
        <f>COUNTIFS(D:D,"DD",L:L,"-2;-1",F:F,"ATOF",G:G,"",M:M,"")+COUNTIFS(D:D,"AD",L:L,"-2;-1",F:F,"ATOF")+AZ408</f>
        <v>0</v>
      </c>
      <c r="BA406" s="149">
        <f>COUNTIFS(D:D,"DD",L:L,"-2;-1",F:F,"ATBK",G:G,"",M:M,"")+COUNTIFS(D:D,"AD",L:L,"-2;-1",F:F,"ATBK")+BA408</f>
        <v>0</v>
      </c>
      <c r="BB406" s="149">
        <f>COUNTIFS(D:D,"DD",L:L,"-2;-1",F:F,"ENTRY",G:G,"",M:M,"")+COUNTIFS(D:D,"AD",L:L,"-2;-1",F:F,"ENTRY")+BB408</f>
        <v>0</v>
      </c>
      <c r="BC406" s="149">
        <f>COUNTIFS(D:D,"DD",L:L,"-2;-1",F:F,"WINSTAN",G:G,"",M:M,"")+COUNTIFS(D:D,"AD",L:L,"-2;-1",F:F,"WINSTAN")+BC408</f>
        <v>0</v>
      </c>
      <c r="BD406" s="149">
        <f>COUNTIFS(D:D,"DD",L:L,"-2;-1",F:F,"WINSTANTI",G:G,"",M:M,"")+COUNTIFS(D:D,"AD",L:L,"-2;-1",F:F,"WINSTANTI")+BD408</f>
        <v>0</v>
      </c>
      <c r="BE406" s="149">
        <f>COUNTIFS(D:D,"DD",L:L,"-2;-1",F:F,"KEEPOS",G:G,"",M:M,"")+COUNTIFS(D:D,"AD",L:L,"-2;-1",F:F,"KEEPOS")+BE408</f>
        <v>0</v>
      </c>
    </row>
    <row r="407" spans="15:57" ht="15.75">
      <c r="O407" s="91"/>
      <c r="X407" s="115">
        <f t="shared" si="102"/>
        <v>0</v>
      </c>
      <c r="Y407" s="115">
        <f t="shared" si="103"/>
        <v>0</v>
      </c>
      <c r="Z407" s="115" t="e">
        <f t="shared" si="104"/>
        <v>#VALUE!</v>
      </c>
      <c r="AA407" s="115">
        <f t="shared" si="105"/>
        <v>0</v>
      </c>
      <c r="AE407" s="194">
        <f>COUNTIFS(D:D,"AA",L:L,"-1;1",G:G,"",M:M,"")+COUNTIFS(D:D,"DA",L:L,"-1;1")</f>
        <v>0</v>
      </c>
      <c r="AF407" s="147">
        <f>COUNTIFS(D:D,"AA",L:L,"-1;1",F:F,"ATONGOAL",G:G,"",M:M,"")+COUNTIFS(D:D,"DA",L:L,"-1;1",F:F,"ATONGOAL")</f>
        <v>0</v>
      </c>
      <c r="AG407" s="147">
        <f>COUNTIFS(D:D,"AA",L:L,"-1;1",F:F,"ATON",G:G,"",M:M,"")+COUNTIFS(D:D,"DA",L:L,"-1;1",F:F,"ATON")</f>
        <v>0</v>
      </c>
      <c r="AH407" s="147">
        <f>COUNTIFS(D:D,"AA",L:L,"-1;1",F:F,"ATOF",G:G,"",M:M,"")+COUNTIFS(D:D,"DA",L:L,"-1;1",F:F,"ATOF")</f>
        <v>0</v>
      </c>
      <c r="AI407" s="147">
        <f>COUNTIFS(D:D,"AA",L:L,"-1;1",F:F,"ATBK",G:G,"",M:M,"")+COUNTIFS(D:D,"DA",L:L,"-1;1",F:F,"ATBK")+AI408</f>
        <v>0</v>
      </c>
      <c r="AJ407" s="147">
        <f>COUNTIFS(D:D,"AA",L:L,"-1;1",F:F,"ENTRY",G:G,"",M:M,"")+COUNTIFS(D:D,"DA",L:L,"-1;1",F:F,"ENTRY")</f>
        <v>0</v>
      </c>
      <c r="AK407" s="147">
        <f>COUNTIFS(D:D,"AA",L:L,"-1;1",F:F,"WINSTAN",G:G,"",M:M,"")+COUNTIFS(D:D,"DA",L:L,"-1;1",F:F,"WINSTAN")</f>
        <v>0</v>
      </c>
      <c r="AL407" s="147">
        <f>COUNTIFS(D:D,"AA",L:L,"-1;1",F:F,"WINSTANTI",G:G,"",M:M,"")+COUNTIFS(D:D,"DA",L:L,"-1;1",F:F,"WINSTANTI")</f>
        <v>0</v>
      </c>
      <c r="AM407" s="147">
        <f>COUNTIFS(D:D,"AA",L:L,"-1;1",F:F,"KEEPOS",G:G,"",M:M,"")+COUNTIFS(D:D,"DA",L:L,"-1;1",F:F,"KEEPOS")</f>
        <v>0</v>
      </c>
      <c r="AN407" s="144">
        <f>COUNTIFS(D:D,"AA",L:L,"-1;0",G:G,"",M:M,"")+COUNTIFS(D:D,"DA",L:L,"-1;0")</f>
        <v>0</v>
      </c>
      <c r="AO407" s="147">
        <f>COUNTIFS(D:D,"AA",L:L,"-1;0",F:F,"ATONGOAL",G:G,"",M:M,"")+COUNTIFS(D:D,"DA",L:L,"-1;0",F:F,"ATONGOAL")</f>
        <v>0</v>
      </c>
      <c r="AP407" s="147">
        <f>COUNTIFS(D:D,"AA",L:L,"-1;0",F:F,"ATON",G:G,"",M:M,"")+COUNTIFS(D:D,"DA",L:L,"-1;0",F:F,"ATON")</f>
        <v>0</v>
      </c>
      <c r="AQ407" s="147">
        <f>COUNTIFS(D:D,"AA",L:L,"-1;0",F:F,"ATOF",G:G,"",M:M,"")+COUNTIFS(D:D,"DA",L:L,"-1;0",F:F,"ATOF")</f>
        <v>0</v>
      </c>
      <c r="AR407" s="147">
        <f>COUNTIFS(D:D,"AA",L:L,"-1;0",F:F,"ATBK",G:G,"",M:M,"")+COUNTIFS(D:D,"DA",L:L,"-1;0",F:F,"ATBK")</f>
        <v>0</v>
      </c>
      <c r="AS407" s="147">
        <f>COUNTIFS(D:D,"AA",L:L,"-1;0",F:F,"ENTRY",G:G,"",M:M,"")+COUNTIFS(D:D,"DA",L:L,"-1;0",F:F,"ENTRY")</f>
        <v>0</v>
      </c>
      <c r="AT407" s="147">
        <f>COUNTIFS(D:D,"AA",L:L,"-1;0",F:F,"WINSTAN",G:G,"",M:M,"")+COUNTIFS(D:D,"DA",L:L,"-1;0",F:F,"WINSTAN")</f>
        <v>0</v>
      </c>
      <c r="AU407" s="147">
        <f>COUNTIFS(D:D,"AA",L:L,"-1;0",F:F,"WINSTANTI",G:G,"",M:M,"")+COUNTIFS(D:D,"DA",L:L,"-1;0",F:F,"WINSTANTI")</f>
        <v>0</v>
      </c>
      <c r="AV407" s="147">
        <f>COUNTIFS(D:D,"AA",L:L,"-1;0",F:F,"KEEPOS",G:G,"",M:M,"")+COUNTIFS(D:D,"DA",L:L,"-1;0",F:F,"KEEPOS")</f>
        <v>0</v>
      </c>
      <c r="AW407" s="144">
        <f>COUNTIFS(D:D,"AA",L:L,"-1;-1",G:G,"",M:M,"")+COUNTIFS(D:D,"DA",L:L,"-1;-1")</f>
        <v>0</v>
      </c>
      <c r="AX407" s="147">
        <f>COUNTIFS(D:D,"AA",L:L,"-1;-1",F:F,"ATONGOAL",G:G,"",M:M,"")+COUNTIFS(D:D,"DA",L:L,"-1;-1",F:F,"ATONGOAL")</f>
        <v>0</v>
      </c>
      <c r="AY407" s="147">
        <f>COUNTIFS(D:D,"AA",L:L,"-1;-1",F:F,"ATON",G:G,"",M:M,"")+COUNTIFS(D:D,"DA",L:L,"-1;-1",F:F,"ATON")</f>
        <v>0</v>
      </c>
      <c r="AZ407" s="147">
        <f>COUNTIFS(D:D,"AA",L:L,"-1;-1",F:F,"ATOF",G:G,"",M:M,"")+COUNTIFS(D:D,"DA",L:L,"-1;-1",F:F,"ATOF")</f>
        <v>0</v>
      </c>
      <c r="BA407" s="147">
        <f>COUNTIFS(D:D,"AA",L:L,"-1;-1",F:F,"ATBK",G:G,"",M:M,"")+COUNTIFS(D:D,"DA",L:L,"-1;-1",F:F,"ATBK")</f>
        <v>0</v>
      </c>
      <c r="BB407" s="147">
        <f>COUNTIFS(D:D,"AA",L:L,"-1;-1",F:F,"ENTRY",G:G,"",M:M,"")+COUNTIFS(D:D,"DA",L:L,"-1;-1",F:F,"ENTRY")</f>
        <v>0</v>
      </c>
      <c r="BC407" s="147">
        <f>COUNTIFS(D:D,"AA",L:L,"-1;-1",F:F,"WINSTAN",G:G,"",M:M,"")+COUNTIFS(D:D,"DA",L:L,"-1;-1",F:F,"WINSTAN")</f>
        <v>0</v>
      </c>
      <c r="BD407" s="147">
        <f>COUNTIFS(D:D,"AA",L:L,"-1;-1",F:F,"WINSTANTI",G:G,"",M:M,"")+COUNTIFS(D:D,"DA",L:L,"-1;-1",F:F,"WINSTANTI")</f>
        <v>0</v>
      </c>
      <c r="BE407" s="147">
        <f>COUNTIFS(D:D,"AA",L:L,"-1;-1",F:F,"KEEPOS",G:G,"",M:M,"")+COUNTIFS(D:D,"DA",L:L,"-1;-1",F:F,"KEEPOS")</f>
        <v>0</v>
      </c>
    </row>
    <row r="408" spans="15:57" ht="15.75">
      <c r="O408" s="91"/>
      <c r="X408" s="115">
        <f t="shared" si="102"/>
        <v>0</v>
      </c>
      <c r="Y408" s="115">
        <f t="shared" si="103"/>
        <v>0</v>
      </c>
      <c r="Z408" s="115" t="e">
        <f t="shared" si="104"/>
        <v>#VALUE!</v>
      </c>
      <c r="AA408" s="115">
        <f t="shared" si="105"/>
        <v>0</v>
      </c>
      <c r="AE408" s="143">
        <f>COUNTIFS(D:D,"DD",L:L,"-1;1",G:G,"",M:M,"")+COUNTIFS(D:D,"AD",L:L,"-1;1")</f>
        <v>0</v>
      </c>
      <c r="AF408" s="145">
        <f>COUNTIFS(D:D,"DD",L:L,"-1;1",F:F,"ATONGOAL",G:G,"",M:M,"")+COUNTIFS(D:D,"AD",L:L,"-1;1",F:F,"ATONGOAL")</f>
        <v>0</v>
      </c>
      <c r="AG408" s="149">
        <f>COUNTIFS(D:D,"DD",L:L,"-1;1",F:F,"ATON",G:G,"",M:M,"")+COUNTIFS(D:D,"AD",L:L,"-1;1",F:F,"ATON")</f>
        <v>0</v>
      </c>
      <c r="AH408" s="149">
        <f>COUNTIFS(D:D,"DD",L:L,"-1;1",F:F,"ATOF",G:G,"",M:M,"")+COUNTIFS(D:D,"AD",L:L,"-1;1",F:F,"ATOF")</f>
        <v>0</v>
      </c>
      <c r="AI408" s="149">
        <f>COUNTIFS(D:D,"DD",L:L,"-1;1",F:F,"ATBK",G:G,"",M:M,"")+COUNTIFS(D:D,"AD",L:L,"-1;1",F:F,"ATBK")</f>
        <v>0</v>
      </c>
      <c r="AJ408" s="149">
        <f>COUNTIFS(D:D,"DD",L:L,"-1;1",F:F,"ENTRY",G:G,"",M:M,"")+COUNTIFS(D:D,"AD",L:L,"-1;1",F:F,"ENTRY")</f>
        <v>0</v>
      </c>
      <c r="AK408" s="149">
        <f>COUNTIFS(D:D,"DD",L:L,"-1;1",F:F,"WINSTAN",G:G,"",M:M,"")+COUNTIFS(D:D,"AD",L:L,"-1;1",F:F,"WINSTAN")</f>
        <v>0</v>
      </c>
      <c r="AL408" s="149">
        <f>COUNTIFS(D:D,"DD",L:L,"-1;1",F:F,"WINSTANTI",G:G,"",M:M,"")+COUNTIFS(D:D,"AD",L:L,"-1;1",F:F,"WINSTANTI")</f>
        <v>0</v>
      </c>
      <c r="AM408" s="149">
        <f>COUNTIFS(D:D,"DD",L:L,"-1;1",F:F,"KEEPOS",G:G,"",M:M,"")+COUNTIFS(D:D,"AD",L:L,"-1;1",F:F,"KEEPOS")</f>
        <v>0</v>
      </c>
      <c r="AN408" s="169">
        <f>COUNTIFS(D:D,"DD",L:L,"-1;0",G:G,"",M:M,"")+COUNTIFS(D:D,"AD",L:L,"-1;0")</f>
        <v>0</v>
      </c>
      <c r="AO408" s="145">
        <f>COUNTIFS(D:D,"DD",L:L,"-1;0",F:F,"ATONGOAL",G:G,"",M:M,"")+COUNTIFS(D:D,"AD",L:L,"-1;0",F:F,"ATONGOAL")</f>
        <v>0</v>
      </c>
      <c r="AP408" s="149">
        <f>COUNTIFS(D:D,"DD",L:L,"-1;0",F:F,"ATON",G:G,"",M:M,"")+COUNTIFS(D:D,"AD",L:L,"-1;0",F:F,"ATON")</f>
        <v>0</v>
      </c>
      <c r="AQ408" s="149">
        <f>COUNTIFS(D:D,"DD",L:L,"-1;0",F:F,"ATOF",G:G,"",M:M,"")+COUNTIFS(D:D,"AD",L:L,"-1;0",F:F,"ATOF")</f>
        <v>0</v>
      </c>
      <c r="AR408" s="149">
        <f>COUNTIFS(D:D,"DD",L:L,"-1;0",F:F,"ATBK",G:G,"",M:M,"")+COUNTIFS(D:D,"AD",L:L,"-1;0",F:F,"ATBK")</f>
        <v>0</v>
      </c>
      <c r="AS408" s="149">
        <f>COUNTIFS(D:D,"DD",L:L,"-1;0",F:F,"ENTRY",G:G,"",M:M,"")+COUNTIFS(D:D,"AD",L:L,"-1;0",F:F,"ENTRY")</f>
        <v>0</v>
      </c>
      <c r="AT408" s="149">
        <f>COUNTIFS(D:D,"DD",L:L,"-1;0",F:F,"WINSTAN",G:G,"",M:M,"")+COUNTIFS(D:D,"AD",L:L,"-1;0",F:F,"WINSTAN")</f>
        <v>0</v>
      </c>
      <c r="AU408" s="149">
        <f>COUNTIFS(D:D,"DD",L:L,"-1;0",F:F,"WINSTANTI",G:G,"",M:M,"")+COUNTIFS(D:D,"AD",L:L,"-1;0",F:F,"WINSTANTI")</f>
        <v>0</v>
      </c>
      <c r="AV408" s="149">
        <f>COUNTIFS(D:D,"DD",L:L,"-1;0",F:F,"KEEPOS",G:G,"",M:M,"")+COUNTIFS(D:D,"AD",L:L,"-1;0",F:F,"KEEPOS")</f>
        <v>0</v>
      </c>
      <c r="AW408" s="169">
        <f>COUNTIFS(D:D,"DD",L:L,"-1;-1",G:G,"",M:M,"")+COUNTIFS(D:D,"AD",L:L,"-1;-1")</f>
        <v>0</v>
      </c>
      <c r="AX408" s="145">
        <f>COUNTIFS(D:D,"DD",L:L,"-1;-1",F:F,"ATONGOAL",G:G,"",M:M,"")+COUNTIFS(D:D,"AD",L:L,"-1;-1",F:F,"ATONGOAL")</f>
        <v>0</v>
      </c>
      <c r="AY408" s="149">
        <f>COUNTIFS(D:D,"DD",L:L,"-1;-1",F:F,"ATON",G:G,"",M:M,"")+COUNTIFS(D:D,"AD",L:L,"-1;-1",F:F,"ATON")</f>
        <v>0</v>
      </c>
      <c r="AZ408" s="149">
        <f>COUNTIFS(D:D,"DD",L:L,"-1;-1",F:F,"ATOF",G:G,"",M:M,"")+COUNTIFS(D:D,"AD",L:L,"-1;-1",F:F,"ATOF")</f>
        <v>0</v>
      </c>
      <c r="BA408" s="149">
        <f>COUNTIFS(D:D,"DD",L:L,"-1;-1",F:F,"ATBK",G:G,"",M:M,"")+COUNTIFS(D:D,"AD",L:L,"-1;-1",F:F,"ATBK")</f>
        <v>0</v>
      </c>
      <c r="BB408" s="149">
        <f>COUNTIFS(D:D,"DD",L:L,"-1;-1",F:F,"ENTRY",G:G,"",M:M,"")+COUNTIFS(D:D,"AD",L:L,"-1;-1",F:F,"ENTRY")</f>
        <v>0</v>
      </c>
      <c r="BC408" s="149">
        <f>COUNTIFS(D:D,"DD",L:L,"-1;-1",F:F,"WINSTAN",G:G,"",M:M,"")+COUNTIFS(D:D,"AD",L:L,"-1;-1",F:F,"WINSTAN")</f>
        <v>0</v>
      </c>
      <c r="BD408" s="149">
        <f>COUNTIFS(D:D,"DD",L:L,"-1;-1",F:F,"WINSTANTI",G:G,"",M:M,"")+COUNTIFS(D:D,"AD",L:L,"-1;-1",F:F,"WINSTANTI")</f>
        <v>0</v>
      </c>
      <c r="BE408" s="149">
        <f>COUNTIFS(D:D,"DD",L:L,"-1;-1",F:F,"KEEPOS",G:G,"",M:M,"")+COUNTIFS(D:D,"AD",L:L,"-1;-1",F:F,"KEEPOS")</f>
        <v>0</v>
      </c>
    </row>
    <row r="409" spans="15:57" ht="15.75">
      <c r="O409" s="91"/>
      <c r="X409" s="115">
        <f t="shared" si="102"/>
        <v>0</v>
      </c>
      <c r="Y409" s="115">
        <f t="shared" si="103"/>
        <v>0</v>
      </c>
      <c r="Z409" s="115" t="e">
        <f t="shared" si="104"/>
        <v>#VALUE!</v>
      </c>
      <c r="AA409" s="115">
        <f t="shared" si="105"/>
        <v>0</v>
      </c>
      <c r="AE409" s="194">
        <f>COUNTIFS(D:D,"AA",L:L,"0;1",G:G,"",M:M,"")+COUNTIFS(D:D,"DA",L:L,"0;1")</f>
        <v>0</v>
      </c>
      <c r="AF409" s="147">
        <f>COUNTIFS(D:D,"AA",L:L,"0;1",F:F,"ATONGOAL",G:G,"",M:M,"")+COUNTIFS(D:D,"DA",L:L,"0;1",F:F,"ATONGOAL")</f>
        <v>0</v>
      </c>
      <c r="AG409" s="147">
        <f>COUNTIFS(D:D,"AA",L:L,"0;1",F:F,"ATON",G:G,"",M:M,"")+COUNTIFS(D:D,"DA",L:L,"0;1",F:F,"ATON")</f>
        <v>0</v>
      </c>
      <c r="AH409" s="147">
        <f>COUNTIFS(D:D,"AA",L:L,"0;1",F:F,"ATOF",G:G,"",M:M,"")+COUNTIFS(D:D,"DA",L:L,"0;1",F:F,"ATOF")</f>
        <v>0</v>
      </c>
      <c r="AI409" s="147">
        <f>COUNTIFS(D:D,"AA",L:L,"0;1",F:F,"ATBK",G:G,"",M:M,"")+COUNTIFS(D:D,"DA",L:L,"0;1",F:F,"ATBK")</f>
        <v>0</v>
      </c>
      <c r="AJ409" s="147">
        <f>COUNTIFS(D:D,"AA",L:L,"0;1",F:F,"ENTRY",G:G,"",M:M,"")+COUNTIFS(D:D,"DA",L:L,"0;1",F:F,"ENTRY")</f>
        <v>0</v>
      </c>
      <c r="AK409" s="147">
        <f>COUNTIFS(D:D,"AA",L:L,"0;1",F:F,"WINSTAN",G:G,"",M:M,"")+COUNTIFS(D:D,"DA",L:L,"0;1",F:F,"WINSTAN")</f>
        <v>0</v>
      </c>
      <c r="AL409" s="147">
        <f>COUNTIFS(D:D,"AA",L:L,"0;1",F:F,"WINSTANTI",G:G,"",M:M,"")+COUNTIFS(D:D,"DA",L:L,"0;1",F:F,"WINSTANTI")</f>
        <v>0</v>
      </c>
      <c r="AM409" s="147">
        <f>COUNTIFS(D:D,"AA",L:L,"0;1",F:F,"KEEPOS",G:G,"",M:M,"")+COUNTIFS(D:D,"DA",L:L,"0;1",F:F,"KEEPOS")</f>
        <v>0</v>
      </c>
      <c r="AN409" s="144">
        <f>COUNTIFS(D:D,"AA",L:L,"0;0",G:G,"",M:M,"")+COUNTIFS(D:D,"DA",L:L,"0;0")</f>
        <v>0</v>
      </c>
      <c r="AO409" s="147">
        <f>COUNTIFS(D:D,"AA",L:L,"0;0",F:F,"ATONGOAL",G:G,"",M:M,"")+COUNTIFS(D:D,"DA",L:L,"0;0",F:F,"ATONGOAL")</f>
        <v>0</v>
      </c>
      <c r="AP409" s="147">
        <f>COUNTIFS(D:D,"AA",L:L,"0;0",F:F,"ATON",G:G,"",M:M,"")+COUNTIFS(D:D,"DA",L:L,"0;0",F:F,"ATON")</f>
        <v>0</v>
      </c>
      <c r="AQ409" s="147">
        <f>COUNTIFS(D:D,"AA",L:L,"0;0",F:F,"ATOF",G:G,"",M:M,"")+COUNTIFS(D:D,"DA",L:L,"0;0",F:F,"ATOF")</f>
        <v>0</v>
      </c>
      <c r="AR409" s="147">
        <f>COUNTIFS(D:D,"AA",L:L,"0;0",F:F,"ATBK",G:G,"",M:M,"")+COUNTIFS(D:D,"DA",L:L,"0;0",F:F,"ATBK")</f>
        <v>0</v>
      </c>
      <c r="AS409" s="147">
        <f>COUNTIFS(D:D,"AA",L:L,"0;0",F:F,"ENTRY",G:G,"",M:M,"")+COUNTIFS(D:D,"DA",L:L,"0;0",F:F,"ENTRY")</f>
        <v>0</v>
      </c>
      <c r="AT409" s="147">
        <f>COUNTIFS(D:D,"AA",L:L,"0;0",F:F,"WINSTAN",G:G,"",M:M,"")+COUNTIFS(D:D,"DA",L:L,"0;0",F:F,"WINSTAN")</f>
        <v>0</v>
      </c>
      <c r="AU409" s="147">
        <f>COUNTIFS(D:D,"AA",L:L,"0;0",F:F,"WINSTANTI",G:G,"",M:M,"")+COUNTIFS(D:D,"DA",L:L,"0;0",F:F,"WINSTANTI")</f>
        <v>0</v>
      </c>
      <c r="AV409" s="147">
        <f>COUNTIFS(D:D,"AA",L:L,"0;0",F:F,"KEEPOS",G:G,"",M:M,"")+COUNTIFS(D:D,"DA",L:L,"0;0",F:F,"KEEPOS")</f>
        <v>0</v>
      </c>
      <c r="AW409" s="144">
        <f>COUNTIFS(D:D,"AA",L:L,"0;-1",G:G,"",M:M,"")+COUNTIFS(D:D,"DA",L:L,"0;-1")</f>
        <v>0</v>
      </c>
      <c r="AX409" s="147">
        <f>COUNTIFS(D:D,"AA",L:L,"0;-1",F:F,"ATONGOAL",G:G,"",M:M,"")+COUNTIFS(D:D,"DA",L:L,"0;-1",F:F,"ATONGOAL")</f>
        <v>0</v>
      </c>
      <c r="AY409" s="147">
        <f>COUNTIFS(D:D,"AA",L:L,"0;-1",F:F,"ATON",G:G,"",M:M,"")+COUNTIFS(D:D,"DA",L:L,"0;-1",F:F,"ATON")</f>
        <v>0</v>
      </c>
      <c r="AZ409" s="147">
        <f>COUNTIFS(D:D,"AA",L:L,"0;-1",F:F,"ATOF",G:G,"",M:M,"")+COUNTIFS(D:D,"DA",L:L,"0;-1",F:F,"ATOF")</f>
        <v>0</v>
      </c>
      <c r="BA409" s="147">
        <f>COUNTIFS(D:D,"AA",L:L,"0;-1",F:F,"ATBK",G:G,"",M:M,"")+COUNTIFS(D:D,"DA",L:L,"0;-1",F:F,"ATBK")</f>
        <v>0</v>
      </c>
      <c r="BB409" s="147">
        <f>COUNTIFS(D:D,"AA",L:L,"0;-1",F:F,"ENTRY",G:G,"",M:M,"")+COUNTIFS(D:D,"DA",L:L,"0;-1",F:F,"ENTRY")</f>
        <v>0</v>
      </c>
      <c r="BC409" s="147">
        <f>COUNTIFS(D:D,"AA",L:L,"0;-1",F:F,"WINSTAN",G:G,"",M:M,"")+COUNTIFS(D:D,"DA",L:L,"0;-1",F:F,"WINSTAN")</f>
        <v>0</v>
      </c>
      <c r="BD409" s="147">
        <f>COUNTIFS(D:D,"AA",L:L,"0;-1",F:F,"WINSTANTI",G:G,"",M:M,"")+COUNTIFS(D:D,"DA",L:L,"0;-1",F:F,"WINSTANTI")</f>
        <v>0</v>
      </c>
      <c r="BE409" s="147">
        <f>COUNTIFS(D:D,"AA",L:L,"0;-1",F:F,"KEEPOS",G:G,"",M:M,"")+COUNTIFS(D:D,"DA",L:L,"0;-1",F:F,"KEEPOS")</f>
        <v>0</v>
      </c>
    </row>
    <row r="410" spans="15:57" ht="15.75">
      <c r="O410" s="91"/>
      <c r="X410" s="115">
        <f t="shared" si="102"/>
        <v>0</v>
      </c>
      <c r="Y410" s="115">
        <f t="shared" si="103"/>
        <v>0</v>
      </c>
      <c r="Z410" s="115" t="e">
        <f t="shared" si="104"/>
        <v>#VALUE!</v>
      </c>
      <c r="AA410" s="115">
        <f t="shared" si="105"/>
        <v>0</v>
      </c>
      <c r="AE410" s="143">
        <f>COUNTIFS(D:D,"DD",L:L,"0;1",G:G,"",M:M,"")+COUNTIFS(D:D,"AD",L:L,"0;1")</f>
        <v>0</v>
      </c>
      <c r="AF410" s="145">
        <f>COUNTIFS(D:D,"DD",L:L,"0;1",F:F,"ATONGOAL",G:G,"",M:M,"")+COUNTIFS(D:D,"AD",L:L,"0;1",F:F,"ATONGOAL")</f>
        <v>0</v>
      </c>
      <c r="AG410" s="149">
        <f>COUNTIFS(D:D,"DD",L:L,"0;1",F:F,"ATON",G:G,"",M:M,"")+COUNTIFS(D:D,"AD",L:L,"0;1",F:F,"ATON")</f>
        <v>0</v>
      </c>
      <c r="AH410" s="149">
        <f>COUNTIFS(D:D,"DD",L:L,"0;1",F:F,"ATOF",G:G,"",M:M,"")+COUNTIFS(D:D,"AD",L:L,"0;1",F:F,"ATOF")</f>
        <v>0</v>
      </c>
      <c r="AI410" s="149">
        <f>COUNTIFS(D:D,"DD",L:L,"0;1",F:F,"ATBK",G:G,"",M:M,"")+COUNTIFS(D:D,"AD",L:L,"0;1",F:F,"ATBK")</f>
        <v>0</v>
      </c>
      <c r="AJ410" s="149">
        <f>COUNTIFS(D:D,"DD",L:L,"0;1",F:F,"ENTRY",G:G,"",M:M,"")+COUNTIFS(D:D,"AD",L:L,"0;1",F:F,"ENTRY")</f>
        <v>0</v>
      </c>
      <c r="AK410" s="149">
        <f>COUNTIFS(D:D,"DD",L:L,"0;1",F:F,"WINSTAN",G:G,"",M:M,"")+COUNTIFS(D:D,"AD",L:L,"0;1",F:F,"WINSTAN")</f>
        <v>0</v>
      </c>
      <c r="AL410" s="149">
        <f>COUNTIFS(D:D,"DD",L:L,"0;1",F:F,"WINSTANTI",G:G,"",M:M,"")+COUNTIFS(D:D,"AD",L:L,"0;1",F:F,"WINSTANTI")</f>
        <v>0</v>
      </c>
      <c r="AM410" s="149">
        <f>COUNTIFS(D:D,"DD",L:L,"0;1",F:F,"KEEPOS",G:G,"",M:M,"")+COUNTIFS(D:D,"AD",L:L,"0;1",F:F,"KEEPOS")</f>
        <v>0</v>
      </c>
      <c r="AN410" s="169">
        <f>COUNTIFS(D:D,"DD",L:L,"0;0",G:G,"",M:M,"")+COUNTIFS(D:D,"AD",L:L,"0;0")</f>
        <v>0</v>
      </c>
      <c r="AO410" s="145">
        <f>COUNTIFS(D:D,"DD",L:L,"0;0",F:F,"ATONGOAL",G:G,"",M:M,"")+COUNTIFS(D:D,"AD",L:L,"0;0",F:F,"ATONGOAL")</f>
        <v>0</v>
      </c>
      <c r="AP410" s="149">
        <f>COUNTIFS(D:D,"DD",L:L,"0;0",F:F,"ATON",G:G,"",M:M,"")+COUNTIFS(D:D,"AD",L:L,"0;0",F:F,"ATON")</f>
        <v>0</v>
      </c>
      <c r="AQ410" s="149">
        <f>COUNTIFS(D:D,"DD",L:L,"0;0",F:F,"ATOF",G:G,"",M:M,"")+COUNTIFS(D:D,"AD",L:L,"0;0",F:F,"ATOF")</f>
        <v>0</v>
      </c>
      <c r="AR410" s="149">
        <f>COUNTIFS(D:D,"DD",L:L,"0;0",F:F,"ATBK",G:G,"",M:M,"")+COUNTIFS(D:D,"AD",L:L,"0;0",F:F,"ATBK")</f>
        <v>0</v>
      </c>
      <c r="AS410" s="149">
        <f>COUNTIFS(D:D,"DD",L:L,"0;0",F:F,"ENTRY",G:G,"",M:M,"")+COUNTIFS(D:D,"AD",L:L,"0;0",F:F,"ENTRY")</f>
        <v>0</v>
      </c>
      <c r="AT410" s="149">
        <f>COUNTIFS(D:D,"DD",L:L,"0;0",F:F,"WINSTAN",G:G,"",M:M,"")+COUNTIFS(D:D,"AD",L:L,"0;0",F:F,"WINSTAN")</f>
        <v>0</v>
      </c>
      <c r="AU410" s="149">
        <f>COUNTIFS(D:D,"DD",L:L,"0;0",F:F,"WINSTANTI",G:G,"",M:M,"")+COUNTIFS(D:D,"AD",L:L,"0;0",F:F,"WINSTANTI")</f>
        <v>0</v>
      </c>
      <c r="AV410" s="149">
        <f>COUNTIFS(D:D,"DD",L:L,"0;0",F:F,"KEEPOS",G:G,"",M:M,"")+COUNTIFS(D:D,"AD",L:L,"0;0",F:F,"KEEPOS")</f>
        <v>0</v>
      </c>
      <c r="AW410" s="169">
        <f>COUNTIFS(D:D,"DD",L:L,"0;-1",G:G,"",M:M,"")+COUNTIFS(D:D,"AD",L:L,"0;-1")</f>
        <v>0</v>
      </c>
      <c r="AX410" s="145">
        <f>COUNTIFS(D:D,"DD",L:L,"0;-1",F:F,"ATONGOAL",G:G,"",M:M,"")+COUNTIFS(D:D,"AD",L:L,"0;-1",F:F,"ATONGOAL")</f>
        <v>0</v>
      </c>
      <c r="AY410" s="149">
        <f>COUNTIFS(D:D,"DD",L:L,"0;-1",F:F,"ATON",G:G,"",M:M,"")+COUNTIFS(D:D,"AD",L:L,"0;-1",F:F,"ATON")</f>
        <v>0</v>
      </c>
      <c r="AZ410" s="149">
        <f>COUNTIFS(D:D,"DD",L:L,"0;-1",F:F,"ATOF",G:G,"",M:M,"")+COUNTIFS(D:D,"AD",L:L,"0;-1",F:F,"ATOF")</f>
        <v>0</v>
      </c>
      <c r="BA410" s="149">
        <f>COUNTIFS(D:D,"DD",L:L,"0;-1",F:F,"ATBK",G:G,"",M:M,"")+COUNTIFS(D:D,"AD",L:L,"0;-1",F:F,"ATBK")</f>
        <v>0</v>
      </c>
      <c r="BB410" s="149">
        <f>COUNTIFS(D:D,"DD",L:L,"0;-1",F:F,"ENTRY",G:G,"",M:M,"")+COUNTIFS(D:D,"AD",L:L,"0;-1",F:F,"ENTRY")</f>
        <v>0</v>
      </c>
      <c r="BC410" s="149">
        <f>COUNTIFS(D:D,"DD",L:L,"0;-1",F:F,"WINSTAN",G:G,"",M:M,"")+COUNTIFS(D:D,"AD",L:L,"0;-1",F:F,"WINSTAN")</f>
        <v>0</v>
      </c>
      <c r="BD410" s="149">
        <f>COUNTIFS(D:D,"DD",L:L,"0;-1",F:F,"WINSTANTI",G:G,"",M:M,"")+COUNTIFS(D:D,"AD",L:L,"0;-1",F:F,"WINSTANTI")</f>
        <v>0</v>
      </c>
      <c r="BE410" s="149">
        <f>COUNTIFS(D:D,"DD",L:L,"0;-1",F:F,"KEEPOS",G:G,"",M:M,"")+COUNTIFS(D:D,"AD",L:L,"0;-1",F:F,"KEEPOS")</f>
        <v>0</v>
      </c>
    </row>
    <row r="411" spans="15:57" ht="15.75">
      <c r="O411" s="91"/>
      <c r="X411" s="115">
        <f t="shared" si="102"/>
        <v>0</v>
      </c>
      <c r="Y411" s="115">
        <f t="shared" si="103"/>
        <v>0</v>
      </c>
      <c r="Z411" s="115" t="e">
        <f t="shared" si="104"/>
        <v>#VALUE!</v>
      </c>
      <c r="AA411" s="115">
        <f t="shared" si="105"/>
        <v>0</v>
      </c>
      <c r="AE411" s="194">
        <f>COUNTIFS(D:D,"AA",L:L,"1;1",G:G,"",M:M,"")+COUNTIFS(D:D,"DA",L:L,"1;1")</f>
        <v>0</v>
      </c>
      <c r="AF411" s="147">
        <f>COUNTIFS(D:D,"AA",L:L,"1;1",F:F,"ATONGOAL",G:G,"",M:M,"")+COUNTIFS(D:D,"DA",L:L,"1;1",F:F,"ATONGOAL")</f>
        <v>0</v>
      </c>
      <c r="AG411" s="147">
        <f>COUNTIFS(D:D,"AA",L:L,"1;1",F:F,"ATON",G:G,"",M:M,"")+COUNTIFS(D:D,"DA",L:L,"1;1",F:F,"ATON")</f>
        <v>0</v>
      </c>
      <c r="AH411" s="147">
        <f>COUNTIFS(D:D,"AA",L:L,"1;1",F:F,"ATOF",G:G,"",M:M,"")+COUNTIFS(D:D,"DA",L:L,"1;1",F:F,"ATOF")</f>
        <v>0</v>
      </c>
      <c r="AI411" s="147">
        <f>COUNTIFS(D:D,"AA",L:L,"1;1",F:F,"ATBK",G:G,"",M:M,"")+COUNTIFS(D:D,"DA",L:L,"1;1",F:F,"ATBK")</f>
        <v>0</v>
      </c>
      <c r="AJ411" s="147">
        <f>COUNTIFS(D:D,"AA",L:L,"1;1",F:F,"ENTRY",G:G,"",M:M,"")+COUNTIFS(D:D,"DA",L:L,"1;1",F:F,"ENTRY")</f>
        <v>0</v>
      </c>
      <c r="AK411" s="147">
        <f>COUNTIFS(D:D,"AA",L:L,"1;1",F:F,"WINSTAN",G:G,"",M:M,"")+COUNTIFS(D:D,"DA",L:L,"1;1",F:F,"WINSTAN")</f>
        <v>0</v>
      </c>
      <c r="AL411" s="147">
        <f>COUNTIFS(D:D,"AA",L:L,"1;1",F:F,"WINSTANTI",G:G,"",M:M,"")+COUNTIFS(D:D,"DA",L:L,"1;1",F:F,"WINSTANTI")</f>
        <v>0</v>
      </c>
      <c r="AM411" s="147">
        <f>COUNTIFS(D:D,"AA",L:L,"1;1",F:F,"KEEPOS",G:G,"",M:M,"")+COUNTIFS(D:D,"DA",L:L,"1;1",F:F,"KEEPOS")</f>
        <v>0</v>
      </c>
      <c r="AN411" s="144">
        <f>COUNTIFS(D:D,"AA",L:L,"1;0",G:G,"",M:M,"")+COUNTIFS(D:D,"DA",L:L,"1;0")</f>
        <v>0</v>
      </c>
      <c r="AO411" s="147">
        <f>COUNTIFS(D:D,"AA",L:L,"1;0",F:F,"ATONGOAL",G:G,"",M:M,"")+COUNTIFS(D:D,"DA",L:L,"1;0",F:F,"ATONGOAL")</f>
        <v>0</v>
      </c>
      <c r="AP411" s="147">
        <f>COUNTIFS(D:D,"AA",L:L,"1;0",F:F,"ATON",G:G,"",M:M,"")+COUNTIFS(D:D,"DA",L:L,"1;0",F:F,"ATON")</f>
        <v>0</v>
      </c>
      <c r="AQ411" s="147">
        <f>COUNTIFS(D:D,"AA",L:L,"1;0",F:F,"ATOF",G:G,"",M:M,"")+COUNTIFS(D:D,"DA",L:L,"1;0",F:F,"ATOF")</f>
        <v>0</v>
      </c>
      <c r="AR411" s="147">
        <f>COUNTIFS(D:D,"AA",L:L,"1;0",F:F,"ATBK",G:G,"",M:M,"")+COUNTIFS(D:D,"DA",L:L,"1;0",F:F,"ATBK")</f>
        <v>0</v>
      </c>
      <c r="AS411" s="147">
        <f>COUNTIFS(D:D,"AA",L:L,"1;0",F:F,"ENTRY",G:G,"",M:M,"")+COUNTIFS(D:D,"DA",L:L,"1;0",F:F,"ENTRY")</f>
        <v>0</v>
      </c>
      <c r="AT411" s="147">
        <f>COUNTIFS(D:D,"AA",L:L,"1;0",F:F,"WINSTAN",G:G,"",M:M,"")+COUNTIFS(D:D,"DA",L:L,"1;0",F:F,"WINSTAN")</f>
        <v>0</v>
      </c>
      <c r="AU411" s="147">
        <f>COUNTIFS(D:D,"AA",L:L,"1;0",F:F,"WINSTANTI",G:G,"",M:M,"")+COUNTIFS(D:D,"DA",L:L,"1;0",F:F,"WINSTANTI")</f>
        <v>0</v>
      </c>
      <c r="AV411" s="147">
        <f>COUNTIFS(D:D,"AA",L:L,"1;0",F:F,"KEEPOS",G:G,"",M:M,"")+COUNTIFS(D:D,"DA",L:L,"1;0",F:F,"KEEPOS")</f>
        <v>0</v>
      </c>
      <c r="AW411" s="144">
        <f>COUNTIFS(D:D,"AA",L:L,"1;-1",G:G,"",M:M,"")+COUNTIFS(D:D,"DA",L:L,"1;-1")</f>
        <v>0</v>
      </c>
      <c r="AX411" s="147">
        <f>COUNTIFS(D:D,"AA",L:L,"1;-1",F:F,"ATONGOAL",G:G,"",M:M,"")+COUNTIFS(D:D,"DA",L:L,"1;-1",F:F,"ATONGOAL")</f>
        <v>0</v>
      </c>
      <c r="AY411" s="147">
        <f>COUNTIFS(D:D,"AA",L:L,"1;-1",F:F,"ATON",G:G,"",M:M,"")+COUNTIFS(D:D,"DA",L:L,"1;-1",F:F,"ATON")</f>
        <v>0</v>
      </c>
      <c r="AZ411" s="147">
        <f>COUNTIFS(D:D,"AA",L:L,"1;-1",F:F,"ATOF",G:G,"",M:M,"")+COUNTIFS(D:D,"DA",L:L,"1;-1",F:F,"ATOF")</f>
        <v>0</v>
      </c>
      <c r="BA411" s="147">
        <f>COUNTIFS(D:D,"AA",L:L,"1;-1",F:F,"ATBK",G:G,"",M:M,"")+COUNTIFS(D:D,"DA",L:L,"1;-1",F:F,"ATBK")</f>
        <v>0</v>
      </c>
      <c r="BB411" s="147">
        <f>COUNTIFS(D:D,"AA",L:L,"1;-1",F:F,"ENTRY",G:G,"",M:M,"")+COUNTIFS(D:D,"DA",L:L,"1;-1",F:F,"ENTRY")</f>
        <v>0</v>
      </c>
      <c r="BC411" s="147">
        <f>COUNTIFS(D:D,"AA",L:L,"1;-1",F:F,"WINSTAN",G:G,"",M:M,"")+COUNTIFS(D:D,"DA",L:L,"1;-1",F:F,"WINSTAN")</f>
        <v>0</v>
      </c>
      <c r="BD411" s="147">
        <f>COUNTIFS(D:D,"AA",L:L,"1;-1",F:F,"WINSTANTI",G:G,"",M:M,"")+COUNTIFS(D:D,"DA",L:L,"1;-1",F:F,"WINSTANTI")</f>
        <v>0</v>
      </c>
      <c r="BE411" s="147">
        <f>COUNTIFS(D:D,"AA",L:L,"1;-1",F:F,"KEEPOS",G:G,"",M:M,"")+COUNTIFS(D:D,"DA",L:L,"1;-1",F:F,"KEEPOS")</f>
        <v>0</v>
      </c>
    </row>
    <row r="412" spans="15:57" ht="15.75">
      <c r="O412" s="91"/>
      <c r="X412" s="115">
        <f t="shared" si="102"/>
        <v>0</v>
      </c>
      <c r="Y412" s="115">
        <f t="shared" si="103"/>
        <v>0</v>
      </c>
      <c r="Z412" s="115" t="e">
        <f t="shared" si="104"/>
        <v>#VALUE!</v>
      </c>
      <c r="AA412" s="115">
        <f t="shared" si="105"/>
        <v>0</v>
      </c>
      <c r="AE412" s="143">
        <f>COUNTIFS(D:D,"DD",L:L,"1;1",G:G,"",M:M,"")+COUNTIFS(D:D,"AD",L:L,"1;1")</f>
        <v>0</v>
      </c>
      <c r="AF412" s="145">
        <f>COUNTIFS(D:D,"DD",L:L,"1;1",F:F,"ATONGOAL",G:G,"",M:M,"")+COUNTIFS(D:D,"AD",L:L,"1;1",F:F,"ATONGOAL")</f>
        <v>0</v>
      </c>
      <c r="AG412" s="149">
        <f>COUNTIFS(D:D,"DD",L:L,"1;1",F:F,"ATON",G:G,"",M:M,"")+COUNTIFS(D:D,"AD",L:L,"1;1",F:F,"ATON")</f>
        <v>0</v>
      </c>
      <c r="AH412" s="149">
        <f>COUNTIFS(D:D,"DD",L:L,"1;1",F:F,"ATOF",G:G,"",M:M,"")+COUNTIFS(D:D,"AD",L:L,"1;1",F:F,"ATOF")</f>
        <v>0</v>
      </c>
      <c r="AI412" s="149">
        <f>COUNTIFS(D:D,"DD",L:L,"1;1",F:F,"ATBK",G:G,"",M:M,"")+COUNTIFS(D:D,"AD",L:L,"1;1",F:F,"ATBK")</f>
        <v>0</v>
      </c>
      <c r="AJ412" s="149">
        <f>COUNTIFS(D:D,"DD",L:L,"1;1",F:F,"ENTRY",G:G,"",M:M,"")+COUNTIFS(D:D,"AD",L:L,"1;1",F:F,"ENTRY")</f>
        <v>0</v>
      </c>
      <c r="AK412" s="149">
        <f>COUNTIFS(D:D,"DD",L:L,"1;1",F:F,"WINSTAN",G:G,"",M:M,"")+COUNTIFS(D:D,"AD",L:L,"1;1",F:F,"WINSTAN")</f>
        <v>0</v>
      </c>
      <c r="AL412" s="149">
        <f>COUNTIFS(D:D,"DD",L:L,"1;1",F:F,"WINSTANTI",G:G,"",M:M,"")+COUNTIFS(D:D,"AD",L:L,"1;1",F:F,"WINSTANTI")</f>
        <v>0</v>
      </c>
      <c r="AM412" s="149">
        <f>COUNTIFS(D:D,"DD",L:L,"1;1",F:F,"KEEPOS",G:G,"",M:M,"")+COUNTIFS(D:D,"AD",L:L,"1;1",F:F,"KEEPOS")</f>
        <v>0</v>
      </c>
      <c r="AN412" s="169">
        <f>COUNTIFS(D:D,"DD",L:L,"1;0",G:G,"",M:M,"")+COUNTIFS(D:D,"AD",L:L,"1;0")</f>
        <v>0</v>
      </c>
      <c r="AO412" s="145">
        <f>COUNTIFS(D:D,"DD",L:L,"1;0",F:F,"ATONGOAL",G:G,"",M:M,"")+COUNTIFS(D:D,"AD",L:L,"1;0",F:F,"ATONGOAL")</f>
        <v>0</v>
      </c>
      <c r="AP412" s="149">
        <f>COUNTIFS(D:D,"DD",L:L,"1;0",F:F,"ATON",G:G,"",M:M,"")+COUNTIFS(D:D,"AD",L:L,"1;0",F:F,"ATON")</f>
        <v>0</v>
      </c>
      <c r="AQ412" s="149">
        <f>COUNTIFS(D:D,"DD",L:L,"1;0",F:F,"ATOF",G:G,"",M:M,"")+COUNTIFS(D:D,"AD",L:L,"1;0",F:F,"ATOF")</f>
        <v>0</v>
      </c>
      <c r="AR412" s="149">
        <f>COUNTIFS(D:D,"DD",L:L,"1;0",F:F,"ATBK",G:G,"",M:M,"")+COUNTIFS(D:D,"AD",L:L,"1;0",F:F,"ATBK")</f>
        <v>0</v>
      </c>
      <c r="AS412" s="149">
        <f>COUNTIFS(D:D,"DD",L:L,"1;0",F:F,"ENTRY",G:G,"",M:M,"")+COUNTIFS(D:D,"AD",L:L,"1;0",F:F,"ENTRY")</f>
        <v>0</v>
      </c>
      <c r="AT412" s="149">
        <f>COUNTIFS(D:D,"DD",L:L,"1;0",F:F,"WINSTAN",G:G,"",M:M,"")+COUNTIFS(D:D,"AD",L:L,"1;0",F:F,"WINSTAN")</f>
        <v>0</v>
      </c>
      <c r="AU412" s="149">
        <f>COUNTIFS(D:D,"DD",L:L,"1;0",F:F,"WINSTANTI",G:G,"",M:M,"")+COUNTIFS(D:D,"AD",L:L,"1;0",F:F,"WINSTANTI")</f>
        <v>0</v>
      </c>
      <c r="AV412" s="149">
        <f>COUNTIFS(D:D,"DD",L:L,"1;0",F:F,"KEEPOS",G:G,"",M:M,"")+COUNTIFS(D:D,"AD",L:L,"1;0",F:F,"KEEPOS")</f>
        <v>0</v>
      </c>
      <c r="AW412" s="169">
        <f>COUNTIFS(D:D,"DD",L:L,"1;-1",G:G,"",M:M,"")+COUNTIFS(D:D,"AD",L:L,"1;-1")</f>
        <v>0</v>
      </c>
      <c r="AX412" s="145">
        <f>COUNTIFS(D:D,"DD",L:L,"1;-1",F:F,"ATONGOAL",G:G,"",M:M,"")+COUNTIFS(D:D,"AD",L:L,"1;-1",F:F,"ATONGOAL")</f>
        <v>0</v>
      </c>
      <c r="AY412" s="149">
        <f>COUNTIFS(D:D,"DD",L:L,"1;-1",F:F,"ATON",G:G,"",M:M,"")+COUNTIFS(D:D,"AD",L:L,"1;-1",F:F,"ATON")</f>
        <v>0</v>
      </c>
      <c r="AZ412" s="149">
        <f>COUNTIFS(D:D,"DD",L:L,"1;-1",F:F,"ATOF",G:G,"",M:M,"")+COUNTIFS(D:D,"AD",L:L,"1;-1",F:F,"ATOF")</f>
        <v>0</v>
      </c>
      <c r="BA412" s="149">
        <f>COUNTIFS(D:D,"DD",L:L,"1;-1",F:F,"ATBK",G:G,"",M:M,"")+COUNTIFS(D:D,"AD",L:L,"1;-1",F:F,"ATBK")</f>
        <v>0</v>
      </c>
      <c r="BB412" s="149">
        <f>COUNTIFS(D:D,"DD",L:L,"1;-1",F:F,"ENTRY",G:G,"",M:M,"")+COUNTIFS(D:D,"AD",L:L,"1;-1",F:F,"ENTRY")</f>
        <v>0</v>
      </c>
      <c r="BC412" s="149">
        <f>COUNTIFS(D:D,"DD",L:L,"1;-1",F:F,"WINSTAN",G:G,"",M:M,"")+COUNTIFS(D:D,"AD",L:L,"1;-1",F:F,"WINSTAN")</f>
        <v>0</v>
      </c>
      <c r="BD412" s="149">
        <f>COUNTIFS(D:D,"DD",L:L,"1;-1",F:F,"WINSTANTI",G:G,"",M:M,"")+COUNTIFS(D:D,"AD",L:L,"1;-1",F:F,"WINSTANTI")</f>
        <v>0</v>
      </c>
      <c r="BE412" s="149">
        <f>COUNTIFS(D:D,"DD",L:L,"1;-1",F:F,"KEEPOS",G:G,"",M:M,"")+COUNTIFS(D:D,"AD",L:L,"1;-1",F:F,"KEEPOS")</f>
        <v>0</v>
      </c>
    </row>
    <row r="413" spans="15:57" ht="15.75">
      <c r="O413" s="91"/>
      <c r="X413" s="115">
        <f t="shared" si="102"/>
        <v>0</v>
      </c>
      <c r="Y413" s="115">
        <f t="shared" si="103"/>
        <v>0</v>
      </c>
      <c r="Z413" s="115" t="e">
        <f t="shared" si="104"/>
        <v>#VALUE!</v>
      </c>
      <c r="AA413" s="115">
        <f t="shared" si="105"/>
        <v>0</v>
      </c>
      <c r="AE413" s="194">
        <f>COUNTIFS(D:D,"AA",L:L,"2;1",G:G,"",M:M,"")+COUNTIFS(D:D,"DA",L:L,"2;1")</f>
        <v>0</v>
      </c>
      <c r="AF413" s="147">
        <f>COUNTIFS(D:D,"AA",L:L,"2;1",F:F,"ATONGOAL",G:G,"",M:M,"")+COUNTIFS(D:D,"DA",L:L,"2;1",F:F,"ATONGOAL")</f>
        <v>0</v>
      </c>
      <c r="AG413" s="147">
        <f>COUNTIFS(D:D,"AA",L:L,"2;1",F:F,"ATON",G:G,"",M:M,"")+COUNTIFS(D:D,"DA",L:L,"2;1",F:F,"ATON")</f>
        <v>0</v>
      </c>
      <c r="AH413" s="147">
        <f>COUNTIFS(D:D,"AA",L:L,"2;1",F:F,"ATOF",G:G,"",M:M,"")+COUNTIFS(D:D,"DA",L:L,"2;1",F:F,"ATOF")</f>
        <v>0</v>
      </c>
      <c r="AI413" s="147">
        <f>COUNTIFS(D:D,"AA",L:L,"2;1",F:F,"ATBK",G:G,"",M:M,"")+COUNTIFS(D:D,"DA",L:L,"2;1",F:F,"ATBK")</f>
        <v>0</v>
      </c>
      <c r="AJ413" s="147">
        <f>COUNTIFS(D:D,"AA",L:L,"2;1",F:F,"ENTRY",G:G,"",M:M,"")+COUNTIFS(D:D,"DA",L:L,"2;1",F:F,"ENTRY")</f>
        <v>0</v>
      </c>
      <c r="AK413" s="147">
        <f>COUNTIFS(D:D,"AA",L:L,"2;1",F:F,"WINSTAN",G:G,"",M:M,"")+COUNTIFS(D:D,"DA",L:L,"2;1",F:F,"WINSTAN")</f>
        <v>0</v>
      </c>
      <c r="AL413" s="147">
        <f>COUNTIFS(D:D,"AA",L:L,"2;1",F:F,"WINSTANTI",G:G,"",M:M,"")+COUNTIFS(D:D,"DA",L:L,"2;1",F:F,"WINSTANTI")</f>
        <v>0</v>
      </c>
      <c r="AM413" s="147">
        <f>COUNTIFS(D:D,"AA",L:L,"2;1",F:F,"KEEPOS",G:G,"",M:M,"")+COUNTIFS(D:D,"DA",L:L,"2;1",F:F,"KEEPOS")</f>
        <v>0</v>
      </c>
      <c r="AN413" s="144">
        <f>COUNTIFS(D:D,"AA",L:L,"2;0",G:G,"",M:M,"")+COUNTIFS(D:D,"DA",L:L,"2;0")</f>
        <v>0</v>
      </c>
      <c r="AO413" s="147">
        <f>COUNTIFS(D:D,"AA",L:L,"2;0",F:F,"ATONGOAL",G:G,"",M:M,"")+COUNTIFS(D:D,"DA",L:L,"2;0",F:F,"ATONGOAL")</f>
        <v>0</v>
      </c>
      <c r="AP413" s="147">
        <f>COUNTIFS(D:D,"AA",L:L,"2;0",F:F,"ATON",G:G,"",M:M,"")+COUNTIFS(D:D,"DA",L:L,"2;0",F:F,"ATON")</f>
        <v>0</v>
      </c>
      <c r="AQ413" s="147">
        <f>COUNTIFS(D:D,"AA",L:L,"2;0",F:F,"ATOF",G:G,"",M:M,"")+COUNTIFS(D:D,"DA",L:L,"2;0",F:F,"ATOF")</f>
        <v>0</v>
      </c>
      <c r="AR413" s="147">
        <f>COUNTIFS(D:D,"AA",L:L,"2;0",F:F,"ATBK",G:G,"",M:M,"")+COUNTIFS(D:D,"DA",L:L,"2;0",F:F,"ATBK")</f>
        <v>0</v>
      </c>
      <c r="AS413" s="147">
        <f>COUNTIFS(D:D,"AA",L:L,"2;0",F:F,"ENTRY",G:G,"",M:M,"")+COUNTIFS(D:D,"DA",L:L,"2;0",F:F,"ENTRY")</f>
        <v>0</v>
      </c>
      <c r="AT413" s="147">
        <f>COUNTIFS(D:D,"AA",L:L,"2;0",F:F,"WINSTAN",G:G,"",M:M,"")+COUNTIFS(D:D,"DA",L:L,"2;0",F:F,"WINSTAN")</f>
        <v>0</v>
      </c>
      <c r="AU413" s="147">
        <f>COUNTIFS(D:D,"AA",L:L,"2;0",F:F,"WINSTANTI",G:G,"",M:M,"")+COUNTIFS(D:D,"DA",L:L,"2;0",F:F,"WINSTANTI")</f>
        <v>0</v>
      </c>
      <c r="AV413" s="147">
        <f>COUNTIFS(D:D,"AA",L:L,"2;0",F:F,"KEEPOS",G:G,"",M:M,"")+COUNTIFS(D:D,"DA",L:L,"2;0",F:F,"KEEPOS")</f>
        <v>0</v>
      </c>
      <c r="AW413" s="144">
        <f>COUNTIFS(D:D,"AA",L:L,"2;-1",G:G,"",M:M,"")+COUNTIFS(D:D,"DA",L:L,"2;-1")</f>
        <v>0</v>
      </c>
      <c r="AX413" s="147">
        <f>COUNTIFS(D:D,"AA",L:L,"2;-1",F:F,"ATONGOAL",G:G,"",M:M,"")+COUNTIFS(D:D,"DA",L:L,"2;-1",F:F,"ATONGOAL")</f>
        <v>0</v>
      </c>
      <c r="AY413" s="147">
        <f>COUNTIFS(D:D,"AA",L:L,"2;-1",F:F,"ATON",G:G,"",M:M,"")+COUNTIFS(D:D,"DA",L:L,"2;-1",F:F,"ATON")</f>
        <v>0</v>
      </c>
      <c r="AZ413" s="147">
        <f>COUNTIFS(D:D,"AA",L:L,"2;-1",F:F,"ATOF",G:G,"",M:M,"")+COUNTIFS(D:D,"DA",L:L,"2;-1",F:F,"ATOF")</f>
        <v>0</v>
      </c>
      <c r="BA413" s="147">
        <f>COUNTIFS(D:D,"AA",L:L,"2;-1",F:F,"ATBK",G:G,"",M:M,"")+COUNTIFS(D:D,"DA",L:L,"2;-1",F:F,"ATBK")</f>
        <v>0</v>
      </c>
      <c r="BB413" s="147">
        <f>COUNTIFS(D:D,"AA",L:L,"2;-1",F:F,"ENTRY",G:G,"",M:M,"")+COUNTIFS(D:D,"DA",L:L,"2;-1",F:F,"ENTRY")</f>
        <v>0</v>
      </c>
      <c r="BC413" s="147">
        <f>COUNTIFS(D:D,"AA",L:L,"2;-1",F:F,"WINSTAN",G:G,"",M:M,"")+COUNTIFS(D:D,"DA",L:L,"2;-1",F:F,"WINSTAN")</f>
        <v>0</v>
      </c>
      <c r="BD413" s="147">
        <f>COUNTIFS(D:D,"AA",L:L,"2;-1",F:F,"WINSTANTI",G:G,"",M:M,"")+COUNTIFS(D:D,"DA",L:L,"2;-1",F:F,"WINSTANTI")</f>
        <v>0</v>
      </c>
      <c r="BE413" s="147">
        <f>COUNTIFS(D:D,"AA",L:L,"2;-1",F:F,"KEEPOS",G:G,"",M:M,"")+COUNTIFS(D:D,"DA",L:L,"2;-1",F:F,"KEEPOS")</f>
        <v>0</v>
      </c>
    </row>
    <row r="414" spans="15:57" ht="15.75">
      <c r="O414" s="91"/>
      <c r="X414" s="115">
        <f t="shared" si="102"/>
        <v>0</v>
      </c>
      <c r="Y414" s="115">
        <f t="shared" si="103"/>
        <v>0</v>
      </c>
      <c r="Z414" s="115" t="e">
        <f t="shared" si="104"/>
        <v>#VALUE!</v>
      </c>
      <c r="AA414" s="115">
        <f t="shared" si="105"/>
        <v>0</v>
      </c>
      <c r="AE414" s="143">
        <f>COUNTIFS(D:D,"DD",L:L,"2;1",G:G,"",M:M,"")+COUNTIFS(D:D,"AD",L:L,"2;1")</f>
        <v>0</v>
      </c>
      <c r="AF414" s="145">
        <f>COUNTIFS(D:D,"DD",L:L,"2;1",F:F,"ATONGOAL",G:G,"",M:M,"")+COUNTIFS(D:D,"AD",L:L,"2;1",F:F,"ATONGOAL")</f>
        <v>0</v>
      </c>
      <c r="AG414" s="149">
        <f>COUNTIFS(D:D,"DD",L:L,"2;1",F:F,"ATON",G:G,"",M:M,"")+COUNTIFS(D:D,"AD",L:L,"2;1",F:F,"ATON")</f>
        <v>0</v>
      </c>
      <c r="AH414" s="149">
        <f>COUNTIFS(D:D,"DD",L:L,"2;1",F:F,"ATOF",G:G,"",M:M,"")+COUNTIFS(D:D,"AD",L:L,"2;1",F:F,"ATOF")</f>
        <v>0</v>
      </c>
      <c r="AI414" s="149">
        <f>COUNTIFS(D:D,"DD",L:L,"2;1",F:F,"ATBK",G:G,"",M:M,"")+COUNTIFS(D:D,"AD",L:L,"2;1",F:F,"ATBK")</f>
        <v>0</v>
      </c>
      <c r="AJ414" s="149">
        <f>COUNTIFS(D:D,"DD",L:L,"2;1",F:F,"ENTRY",G:G,"",M:M,"")+COUNTIFS(D:D,"AD",L:L,"2;1",F:F,"ENTRY")</f>
        <v>0</v>
      </c>
      <c r="AK414" s="149">
        <f>COUNTIFS(D:D,"DD",L:L,"2;1",F:F,"WINSTAN",G:G,"",M:M,"")+COUNTIFS(D:D,"AD",L:L,"2;1",F:F,"WINSTAN")</f>
        <v>0</v>
      </c>
      <c r="AL414" s="149">
        <f>COUNTIFS(D:D,"DD",L:L,"2;1",F:F,"WINSTANTI",G:G,"",M:M,"")+COUNTIFS(D:D,"AD",L:L,"2;1",F:F,"WINSTANTI")</f>
        <v>0</v>
      </c>
      <c r="AM414" s="149">
        <f>COUNTIFS(D:D,"DD",L:L,"2;1",F:F,"KEEPOS",G:G,"",M:M,"")+COUNTIFS(D:D,"AD",L:L,"2;1",F:F,"KEEPOS")</f>
        <v>0</v>
      </c>
      <c r="AN414" s="169">
        <f>COUNTIFS(D:D,"DD",L:L,"2;0",G:G,"",M:M,"")+COUNTIFS(D:D,"AD",L:L,"2;0")</f>
        <v>0</v>
      </c>
      <c r="AO414" s="145">
        <f>COUNTIFS(D:D,"DD",L:L,"2;0",F:F,"ATONGOAL",G:G,"",M:M,"")+COUNTIFS(D:D,"AD",L:L,"2;0",F:F,"ATONGOAL")</f>
        <v>0</v>
      </c>
      <c r="AP414" s="149">
        <f>COUNTIFS(D:D,"DD",L:L,"2;0",F:F,"ATON",G:G,"",M:M,"")+COUNTIFS(D:D,"AD",L:L,"2;0",F:F,"ATON")</f>
        <v>0</v>
      </c>
      <c r="AQ414" s="149">
        <f>COUNTIFS(D:D,"DD",L:L,"2;0",F:F,"ATOF",G:G,"",M:M,"")+COUNTIFS(D:D,"AD",L:L,"2;0",F:F,"ATOF")</f>
        <v>0</v>
      </c>
      <c r="AR414" s="149">
        <f>COUNTIFS(D:D,"DD",L:L,"2;0",F:F,"ATBK",G:G,"",M:M,"")+COUNTIFS(D:D,"AD",L:L,"2;0",F:F,"ATBK")</f>
        <v>0</v>
      </c>
      <c r="AS414" s="149">
        <f>COUNTIFS(D:D,"DD",L:L,"2;0",F:F,"ENTRY",G:G,"",M:M,"")+COUNTIFS(D:D,"AD",L:L,"2;0",F:F,"ENTRY")</f>
        <v>0</v>
      </c>
      <c r="AT414" s="149">
        <f>COUNTIFS(D:D,"DD",L:L,"2;0",F:F,"WINSTAN",G:G,"",M:M,"")+COUNTIFS(D:D,"AD",L:L,"2;0",F:F,"WINSTAN")</f>
        <v>0</v>
      </c>
      <c r="AU414" s="149">
        <f>COUNTIFS(D:D,"DD",L:L,"2;0",F:F,"WINSTANTI",G:G,"",M:M,"")+COUNTIFS(D:D,"AD",L:L,"2;0",F:F,"WINSTANTI")</f>
        <v>0</v>
      </c>
      <c r="AV414" s="149">
        <f>COUNTIFS(D:D,"DD",L:L,"2;0",F:F,"KEEPOS",G:G,"",M:M,"")+COUNTIFS(D:D,"AD",L:L,"2;0",F:F,"KEEPOS")</f>
        <v>0</v>
      </c>
      <c r="AW414" s="169">
        <f>COUNTIFS(D:D,"DD",L:L,"2;-1",G:G,"",M:M,"")+COUNTIFS(D:D,"AD",L:L,"2;-1")</f>
        <v>0</v>
      </c>
      <c r="AX414" s="145">
        <f>COUNTIFS(D:D,"DD",L:L,"2;-1",F:F,"ATONGOAL",G:G,"",M:M,"")+COUNTIFS(D:D,"AD",L:L,"2;-1",F:F,"ATONGOAL")</f>
        <v>0</v>
      </c>
      <c r="AY414" s="149">
        <f>COUNTIFS(D:D,"DD",L:L,"2;-1",F:F,"ATON",G:G,"",M:M,"")+COUNTIFS(D:D,"AD",L:L,"2;-1",F:F,"ATON")</f>
        <v>0</v>
      </c>
      <c r="AZ414" s="149">
        <f>COUNTIFS(D:D,"DD",L:L,"2;-1",F:F,"ATOF",G:G,"",M:M,"")+COUNTIFS(D:D,"AD",L:L,"2;-1",F:F,"ATOF")</f>
        <v>0</v>
      </c>
      <c r="BA414" s="149">
        <f>COUNTIFS(D:D,"DD",L:L,"2;-1",F:F,"ATBK",G:G,"",M:M,"")+COUNTIFS(D:D,"AD",L:L,"2;-1",F:F,"ATBK")</f>
        <v>0</v>
      </c>
      <c r="BB414" s="149">
        <f>COUNTIFS(D:D,"DD",L:L,"2;-1",F:F,"ENTRY",G:G,"",M:M,"")+COUNTIFS(D:D,"AD",L:L,"2;-1",F:F,"ENTRY")</f>
        <v>0</v>
      </c>
      <c r="BC414" s="149">
        <f>COUNTIFS(D:D,"DD",L:L,"2;-1",F:F,"WINSTAN",G:G,"",M:M,"")+COUNTIFS(D:D,"AD",L:L,"2;-1",F:F,"WINSTAN")</f>
        <v>0</v>
      </c>
      <c r="BD414" s="149">
        <f>COUNTIFS(D:D,"DD",L:L,"2;-1",F:F,"WINSTANTI",G:G,"",M:M,"")+COUNTIFS(D:D,"AD",L:L,"2;-1",F:F,"WINSTANTI")</f>
        <v>0</v>
      </c>
      <c r="BE414" s="149">
        <f>COUNTIFS(D:D,"DD",L:L,"2;-1",F:F,"KEEPOS",G:G,"",M:M,"")+COUNTIFS(D:D,"AD",L:L,"2;-1",F:F,"KEEPOS")</f>
        <v>0</v>
      </c>
    </row>
    <row r="415" spans="15:57" ht="15.75">
      <c r="O415" s="91"/>
      <c r="X415" s="115">
        <f t="shared" si="102"/>
        <v>0</v>
      </c>
      <c r="Y415" s="115">
        <f t="shared" si="103"/>
        <v>0</v>
      </c>
      <c r="Z415" s="115" t="e">
        <f t="shared" si="104"/>
        <v>#VALUE!</v>
      </c>
      <c r="AA415" s="115">
        <f t="shared" si="105"/>
        <v>0</v>
      </c>
      <c r="AE415" s="194">
        <f>COUNTIFS(D:D,"AA",L:L,"3;1",G:G,"",M:M,"")+COUNTIFS(D:D,"DA",L:L,"3;1")</f>
        <v>0</v>
      </c>
      <c r="AF415" s="147">
        <f>COUNTIFS(D:D,"AA",L:L,"3;1",F:F,"ATONGOAL",G:G,"",M:M,"")+COUNTIFS(D:D,"DA",L:L,"3;1",F:F,"ATONGOAL")</f>
        <v>0</v>
      </c>
      <c r="AG415" s="147">
        <f>COUNTIFS(D:D,"AA",L:L,"3;1",F:F,"ATON",G:G,"",M:M,"")+COUNTIFS(D:D,"DA",L:L,"3;1",F:F,"ATON")</f>
        <v>0</v>
      </c>
      <c r="AH415" s="147">
        <f>COUNTIFS(D:D,"AA",L:L,"3;1",F:F,"ATOF",G:G,"",M:M,"")+COUNTIFS(D:D,"DA",L:L,"3;1",F:F,"ATOF")</f>
        <v>0</v>
      </c>
      <c r="AI415" s="147">
        <f>COUNTIFS(D:D,"AA",L:L,"3;1",F:F,"ATBK",G:G,"",M:M,"")+COUNTIFS(D:D,"DA",L:L,"3;1",F:F,"ATBK")</f>
        <v>0</v>
      </c>
      <c r="AJ415" s="147">
        <f>COUNTIFS(D:D,"AA",L:L,"3;1",F:F,"ENTRY",G:G,"",M:M,"")+COUNTIFS(D:D,"DA",L:L,"3;1",F:F,"ENTRY")</f>
        <v>0</v>
      </c>
      <c r="AK415" s="147">
        <f>COUNTIFS(D:D,"AA",L:L,"3;1",F:F,"WINSTAN",G:G,"",M:M,"")+COUNTIFS(D:D,"DA",L:L,"3;1",F:F,"WINSTAN")</f>
        <v>0</v>
      </c>
      <c r="AL415" s="147">
        <f>COUNTIFS(D:D,"AA",L:L,"3;1",F:F,"WINSTANTI",G:G,"",M:M,"")+COUNTIFS(D:D,"DA",L:L,"3;1",F:F,"WINSTANTI")</f>
        <v>0</v>
      </c>
      <c r="AM415" s="147">
        <f>COUNTIFS(D:D,"AA",L:L,"3;1",F:F,"KEEPOS",G:G,"",M:M,"")+COUNTIFS(D:D,"DA",L:L,"3;1",F:F,"KEEPOS")</f>
        <v>0</v>
      </c>
      <c r="AN415" s="144">
        <f>COUNTIFS(D:D,"AA",L:L,"3;0",G:G,"",M:M,"")+COUNTIFS(D:D,"DA",L:L,"3;0")</f>
        <v>0</v>
      </c>
      <c r="AO415" s="147">
        <f>COUNTIFS(D:D,"AA",L:L,"3;0",F:F,"ATONGOAL",G:G,"",M:M,"")+COUNTIFS(D:D,"DA",L:L,"3;0",F:F,"ATONGOAL")</f>
        <v>0</v>
      </c>
      <c r="AP415" s="147">
        <f>COUNTIFS(D:D,"AA",L:L,"3;0",F:F,"ATON",G:G,"",M:M,"")+COUNTIFS(D:D,"DA",L:L,"3;0",F:F,"ATON")</f>
        <v>0</v>
      </c>
      <c r="AQ415" s="147">
        <f>COUNTIFS(D:D,"AA",L:L,"3;0",F:F,"ATOF",G:G,"",M:M,"")+COUNTIFS(D:D,"DA",L:L,"3;0",F:F,"ATOF")</f>
        <v>0</v>
      </c>
      <c r="AR415" s="147">
        <f>COUNTIFS(D:D,"AA",L:L,"3;0",F:F,"ATBK",G:G,"",M:M,"")+COUNTIFS(D:D,"DA",L:L,"3;0",F:F,"ATBK")</f>
        <v>0</v>
      </c>
      <c r="AS415" s="147">
        <f>COUNTIFS(D:D,"AA",L:L,"3;0",F:F,"ENTRY",G:G,"",M:M,"")+COUNTIFS(D:D,"DA",L:L,"3;0",F:F,"ENTRY")</f>
        <v>0</v>
      </c>
      <c r="AT415" s="147">
        <f>COUNTIFS(D:D,"AA",L:L,"3;0",F:F,"WINSTAN",G:G,"",M:M,"")+COUNTIFS(D:D,"DA",L:L,"3;0",F:F,"WINSTAN")</f>
        <v>0</v>
      </c>
      <c r="AU415" s="147">
        <f>COUNTIFS(D:D,"AA",L:L,"3;0",F:F,"WINSTANTI",G:G,"",M:M,"")+COUNTIFS(D:D,"DA",L:L,"3;0",F:F,"WINSTANTI")</f>
        <v>0</v>
      </c>
      <c r="AV415" s="147">
        <f>COUNTIFS(D:D,"AA",L:L,"3;0",F:F,"KEEPOS",G:G,"",M:M,"")+COUNTIFS(D:D,"DA",L:L,"3;0",F:F,"KEEPOS")</f>
        <v>0</v>
      </c>
      <c r="AW415" s="144">
        <f>COUNTIFS(D:D,"AA",L:L,"3;-1",G:G,"",M:M,"")+COUNTIFS(D:D,"DA",L:L,"3;-1")</f>
        <v>0</v>
      </c>
      <c r="AX415" s="147">
        <f>COUNTIFS(D:D,"AA",L:L,"3;-1",F:F,"ATONGOAL",G:G,"",M:M,"")+COUNTIFS(D:D,"DA",L:L,"3;-1",F:F,"ATONGOAL")</f>
        <v>0</v>
      </c>
      <c r="AY415" s="147">
        <f>COUNTIFS(D:D,"AA",L:L,"3;-1",F:F,"ATON",G:G,"",M:M,"")+COUNTIFS(D:D,"DA",L:L,"3;-1",F:F,"ATON")</f>
        <v>0</v>
      </c>
      <c r="AZ415" s="147">
        <f>COUNTIFS(D:D,"AA",L:L,"3;-1",F:F,"ATOF",G:G,"",M:M,"")+COUNTIFS(D:D,"DA",L:L,"3;-1",F:F,"ATOF")</f>
        <v>0</v>
      </c>
      <c r="BA415" s="147">
        <f>COUNTIFS(D:D,"AA",L:L,"3;-1",F:F,"ATBK",G:G,"",M:M,"")+COUNTIFS(D:D,"DA",L:L,"3;-1",F:F,"ATBK")</f>
        <v>0</v>
      </c>
      <c r="BB415" s="147">
        <f>COUNTIFS(D:D,"AA",L:L,"3;-1",F:F,"ENTRY",G:G,"",M:M,"")+COUNTIFS(D:D,"DA",L:L,"3;-1",F:F,"ENTRY")</f>
        <v>0</v>
      </c>
      <c r="BC415" s="147">
        <f>COUNTIFS(D:D,"AA",L:L,"3;-1",F:F,"WINSTAN",G:G,"",M:M,"")+COUNTIFS(D:D,"DA",L:L,"3;-1",F:F,"WINSTAN")</f>
        <v>0</v>
      </c>
      <c r="BD415" s="147">
        <f>COUNTIFS(D:D,"AA",L:L,"3;-1",F:F,"WINSTANTI",G:G,"",M:M,"")+COUNTIFS(D:D,"DA",L:L,"3;-1",F:F,"WINSTANTI")</f>
        <v>0</v>
      </c>
      <c r="BE415" s="147">
        <f>COUNTIFS(D:D,"AA",L:L,"3;-1",F:F,"KEEPOS",G:G,"",M:M,"")+COUNTIFS(D:D,"DA",L:L,"3;-1",F:F,"KEEPOS")</f>
        <v>0</v>
      </c>
    </row>
    <row r="416" spans="15:57" ht="16.5" thickBot="1">
      <c r="O416" s="91"/>
      <c r="X416" s="115">
        <f t="shared" si="102"/>
        <v>0</v>
      </c>
      <c r="Y416" s="115">
        <f t="shared" si="103"/>
        <v>0</v>
      </c>
      <c r="Z416" s="115" t="e">
        <f t="shared" si="104"/>
        <v>#VALUE!</v>
      </c>
      <c r="AA416" s="115">
        <f t="shared" si="105"/>
        <v>0</v>
      </c>
      <c r="AE416" s="143">
        <f>COUNTIFS(D:D,"DD",L:L,"3;1",G:G,"",M:M,"")+COUNTIFS(D:D,"AD",L:L,"3;1")</f>
        <v>0</v>
      </c>
      <c r="AF416" s="146">
        <f>COUNTIFS(D:D,"DD",L:L,"3;1",F:F,"ATONGOAL",G:G,"",M:M,"")+COUNTIFS(D:D,"AD",L:L,"3;1",F:F,"ATONGOAL")</f>
        <v>0</v>
      </c>
      <c r="AG416" s="150">
        <f>COUNTIFS(D:D,"DD",L:L,"3;1",F:F,"ATON",G:G,"",M:M,"")+COUNTIFS(D:D,"AD",L:L,"3;1",F:F,"ATON")</f>
        <v>0</v>
      </c>
      <c r="AH416" s="150">
        <f>COUNTIFS(D:D,"DD",L:L,"3;1",F:F,"ATOF",G:G,"",M:M,"")+COUNTIFS(D:D,"AD",L:L,"3;1",F:F,"ATOF")</f>
        <v>0</v>
      </c>
      <c r="AI416" s="150">
        <f>COUNTIFS(D:D,"DD",L:L,"3;1",F:F,"ATBK",G:G,"",M:M,"")+COUNTIFS(D:D,"AD",L:L,"3;1",F:F,"ATBK")</f>
        <v>0</v>
      </c>
      <c r="AJ416" s="150">
        <f>COUNTIFS(D:D,"DD",L:L,"3;1",F:F,"ENTRY",G:G,"",M:M,"")+COUNTIFS(D:D,"AD",L:L,"3;1",F:F,"ENTRY")</f>
        <v>0</v>
      </c>
      <c r="AK416" s="150">
        <f>COUNTIFS(D:D,"DD",L:L,"3;1",F:F,"WINSTAN",G:G,"",M:M,"")+COUNTIFS(D:D,"AD",L:L,"3;1",F:F,"WINSTAN")</f>
        <v>0</v>
      </c>
      <c r="AL416" s="150">
        <f>COUNTIFS(D:D,"DD",L:L,"3;1",F:F,"WINSTANTI",G:G,"",M:M,"")+COUNTIFS(D:D,"AD",L:L,"3;1",F:F,"WINSTANTI")</f>
        <v>0</v>
      </c>
      <c r="AM416" s="150">
        <f>COUNTIFS(D:D,"DD",L:L,"3;1",F:F,"KEEPOS",G:G,"",M:M,"")+COUNTIFS(D:D,"AD",L:L,"3;1",F:F,"KEEPOS")</f>
        <v>0</v>
      </c>
      <c r="AN416" s="169">
        <f>COUNTIFS(D:D,"DD",L:L,"3;0",G:G,"",M:M,"")+COUNTIFS(D:D,"AD",L:L,"3;0")</f>
        <v>0</v>
      </c>
      <c r="AO416" s="146">
        <f>COUNTIFS(D:D,"DD",L:L,"3;0",F:F,"ATONGOAL",G:G,"",M:M,"")+COUNTIFS(D:D,"AD",L:L,"3;0",F:F,"ATONGOAL")</f>
        <v>0</v>
      </c>
      <c r="AP416" s="150">
        <f>COUNTIFS(D:D,"DD",L:L,"3;0",F:F,"ATON",G:G,"",M:M,"")+COUNTIFS(D:D,"AD",L:L,"3;0",F:F,"ATON")</f>
        <v>0</v>
      </c>
      <c r="AQ416" s="150">
        <f>COUNTIFS(D:D,"DD",L:L,"3;0",F:F,"ATOF",G:G,"",M:M,"")+COUNTIFS(D:D,"AD",L:L,"3;0",F:F,"ATOF")</f>
        <v>0</v>
      </c>
      <c r="AR416" s="150">
        <f>COUNTIFS(D:D,"DD",L:L,"3;0",F:F,"ATBK",G:G,"",M:M,"")+COUNTIFS(D:D,"AD",L:L,"3;0",F:F,"ATBK")</f>
        <v>0</v>
      </c>
      <c r="AS416" s="150">
        <f>COUNTIFS(D:D,"DD",L:L,"3;0",F:F,"ENTRY",G:G,"",M:M,"")+COUNTIFS(D:D,"AD",L:L,"3;0",F:F,"ENTRY")</f>
        <v>0</v>
      </c>
      <c r="AT416" s="150">
        <f>COUNTIFS(D:D,"DD",L:L,"3;0",F:F,"WINSTAN",G:G,"",M:M,"")+COUNTIFS(D:D,"AD",L:L,"3;0",F:F,"WINSTAN")</f>
        <v>0</v>
      </c>
      <c r="AU416" s="150">
        <f>COUNTIFS(D:D,"DD",L:L,"3;0",F:F,"WINSTANTI",G:G,"",M:M,"")+COUNTIFS(D:D,"AD",L:L,"3;0",F:F,"WINSTANTI")</f>
        <v>0</v>
      </c>
      <c r="AV416" s="150">
        <f>COUNTIFS(D:D,"DD",L:L,"3;0",F:F,"KEEPOS",G:G,"",M:M,"")+COUNTIFS(D:D,"AD",L:L,"3;0",F:F,"KEEPOS")</f>
        <v>0</v>
      </c>
      <c r="AW416" s="169">
        <f>COUNTIFS(D:D,"DD",L:L,"3;-1",G:G,"",M:M,"")+COUNTIFS(D:D,"AD",L:L,"3;-1")</f>
        <v>0</v>
      </c>
      <c r="AX416" s="146">
        <f>COUNTIFS(D:D,"DD",L:L,"3;-1",F:F,"ATONGOAL",G:G,"",M:M,"")+COUNTIFS(D:D,"AD",L:L,"3;-1",F:F,"ATONGOAL")</f>
        <v>0</v>
      </c>
      <c r="AY416" s="150">
        <f>COUNTIFS(D:D,"DD",L:L,"3;-1",F:F,"ATON",G:G,"",M:M,"")+COUNTIFS(D:D,"AD",L:L,"3;-1",F:F,"ATON")</f>
        <v>0</v>
      </c>
      <c r="AZ416" s="150">
        <f>COUNTIFS(D:D,"DD",L:L,"3;-1",F:F,"ATOF",G:G,"",M:M,"")+COUNTIFS(D:D,"AD",L:L,"3;-1",F:F,"ATOF")</f>
        <v>0</v>
      </c>
      <c r="BA416" s="150">
        <f>COUNTIFS(D:D,"DD",L:L,"3;-1",F:F,"ATBK",G:G,"",M:M,"")+COUNTIFS(D:D,"AD",L:L,"3;-1",F:F,"ATBK")</f>
        <v>0</v>
      </c>
      <c r="BB416" s="150">
        <f>COUNTIFS(D:D,"DD",L:L,"3;-1",F:F,"ENTRY",G:G,"",M:M,"")+COUNTIFS(D:D,"AD",L:L,"3;-1",F:F,"ENTRY")</f>
        <v>0</v>
      </c>
      <c r="BC416" s="150">
        <f>COUNTIFS(D:D,"DD",L:L,"3;-1",F:F,"WINSTAN",G:G,"",M:M,"")+COUNTIFS(D:D,"AD",L:L,"3;-1",F:F,"WINSTAN")</f>
        <v>0</v>
      </c>
      <c r="BD416" s="150">
        <f>COUNTIFS(D:D,"DD",L:L,"3;-1",F:F,"WINSTANTI",G:G,"",M:M,"")+COUNTIFS(D:D,"AD",L:L,"3;-1",F:F,"WINSTANTI")</f>
        <v>0</v>
      </c>
      <c r="BE416" s="150">
        <f>COUNTIFS(D:D,"DD",L:L,"3;-1",F:F,"KEEPOS",G:G,"",M:M,"")+COUNTIFS(D:D,"AD",L:L,"3;-1",F:F,"KEEPOS")</f>
        <v>0</v>
      </c>
    </row>
    <row r="417" spans="15:57" s="115" customFormat="1" ht="15.75">
      <c r="O417" s="91"/>
      <c r="X417" s="115">
        <f t="shared" si="102"/>
        <v>0</v>
      </c>
      <c r="Y417" s="115">
        <f t="shared" si="103"/>
        <v>0</v>
      </c>
      <c r="Z417" s="115" t="e">
        <f t="shared" si="104"/>
        <v>#VALUE!</v>
      </c>
      <c r="AA417" s="115">
        <f t="shared" si="105"/>
        <v>0</v>
      </c>
      <c r="AB417" s="246"/>
      <c r="AD417"/>
      <c r="AE417" s="194">
        <f>COUNTIFS(D:D,"AA",L:L,"4;1",G:G,"",M:M,"")+COUNTIFS(D:D,"DA",L:L,"4;1")</f>
        <v>0</v>
      </c>
      <c r="AF417" s="147">
        <f>COUNTIFS(D:D,"AA",L:L,"4;1",F:F,"ATONGOAL",G:G,"",M:M,"")+COUNTIFS(D:D,"DA",L:L,"4;1",F:F,"ATONGOAL")</f>
        <v>0</v>
      </c>
      <c r="AG417" s="147">
        <f>COUNTIFS(D:D,"AA",L:L,"4;1",F:F,"ATON",G:G,"",M:M,"")+COUNTIFS(D:D,"DA",L:L,"4;1",F:F,"ATON")</f>
        <v>0</v>
      </c>
      <c r="AH417" s="147">
        <f>COUNTIFS(D:D,"AA",L:L,"4;1",F:F,"ATOF",G:G,"",M:M,"")+COUNTIFS(D:D,"DA",L:L,"4;1",F:F,"ATOF")</f>
        <v>0</v>
      </c>
      <c r="AI417" s="147">
        <f>COUNTIFS(D:D,"AA",L:L,"4;1",F:F,"ATBK",G:G,"",M:M,"")+COUNTIFS(D:D,"DA",L:L,"4;1",F:F,"ATBK")</f>
        <v>0</v>
      </c>
      <c r="AJ417" s="147">
        <f>COUNTIFS(D:D,"AA",L:L,"4;1",F:F,"ENTRY",G:G,"",M:M,"")+COUNTIFS(D:D,"DA",L:L,"4;1",F:F,"ENTRY")</f>
        <v>0</v>
      </c>
      <c r="AK417" s="147">
        <f>COUNTIFS(D:D,"AA",L:L,"4;1",F:F,"WINSTAN",G:G,"",M:M,"")+COUNTIFS(D:D,"DA",L:L,"4;1",F:F,"WINSTAN")</f>
        <v>0</v>
      </c>
      <c r="AL417" s="147">
        <f>COUNTIFS(D:D,"AA",L:L,"4;1",F:F,"WINSTANTI",G:G,"",M:M,"")+COUNTIFS(D:D,"DA",L:L,"4;1",F:F,"WINSTANTI")</f>
        <v>0</v>
      </c>
      <c r="AM417" s="147">
        <f>COUNTIFS(D:D,"AA",L:L,"4;1",F:F,"KEEPOS",G:G,"",M:M,"")+COUNTIFS(D:D,"DA",L:L,"4;1",F:F,"KEEPOS")</f>
        <v>0</v>
      </c>
      <c r="AN417" s="144">
        <f>COUNTIFS(D:D,"AA",L:L,"4;0",G:G,"",M:M,"")+COUNTIFS(D:D,"DA",L:L,"4;0")</f>
        <v>0</v>
      </c>
      <c r="AO417" s="147">
        <f>COUNTIFS(D:D,"AA",L:L,"4;0",F:F,"ATONGOAL",G:G,"",M:M,"")+COUNTIFS(D:D,"DA",L:L,"4;0",F:F,"ATONGOAL")</f>
        <v>0</v>
      </c>
      <c r="AP417" s="147">
        <f>COUNTIFS(D:D,"AA",L:L,"4;0",F:F,"ATON",G:G,"",M:M,"")+COUNTIFS(D:D,"DA",L:L,"4;0",F:F,"ATON",G:G,"",M:M,"")</f>
        <v>0</v>
      </c>
      <c r="AQ417" s="147">
        <f>COUNTIFS(D:D,"AA",L:L,"4;0",F:F,"ATOF",G:G,"",M:M,"")+COUNTIFS(D:D,"DA",L:L,"4;0",F:F,"ATOF",G:G,"",M:M,"")</f>
        <v>0</v>
      </c>
      <c r="AR417" s="147">
        <f>COUNTIFS(D:D,"AA",L:L,"4;0",F:F,"ATBK",G:G,"",M:M,"")+COUNTIFS(D:D,"DA",L:L,"4;0",F:F,"ATBK",G:G,"",M:M,"")</f>
        <v>0</v>
      </c>
      <c r="AS417" s="147">
        <f>COUNTIFS(D:D,"AA",L:L,"4;0",F:F,"ENTRY",G:G,"",M:M,"")+COUNTIFS(D:D,"DA",L:L,"4;0",F:F,"ENTRY",G:G,"",M:M,"")</f>
        <v>0</v>
      </c>
      <c r="AT417" s="147">
        <f>COUNTIFS(D:D,"AA",L:L,"4;0",F:F,"WINSTAN",G:G,"",M:M,"")+COUNTIFS(D:D,"DA",L:L,"4;0",F:F,"WINSTAN",G:G,"",M:M,"")</f>
        <v>0</v>
      </c>
      <c r="AU417" s="147">
        <f>COUNTIFS(D:D,"AA",L:L,"4;0",F:F,"WINSTANTI",G:G,"",M:M,"")+COUNTIFS(D:D,"DA",L:L,"4;0",F:F,"WINSTANTI",G:G,"",M:M,"")</f>
        <v>0</v>
      </c>
      <c r="AV417" s="147">
        <f>COUNTIFS(D:D,"AA",L:L,"4;0",F:F,"KEEPOS",G:G,"",M:M,"")+COUNTIFS(D:D,"DA",L:L,"4;0",F:F,"KEEPOS",G:G,"",M:M,"")</f>
        <v>0</v>
      </c>
      <c r="AW417" s="144">
        <f>COUNTIFS(D:D,"AA",L:L,"4;-1",G:G,"",M:M,"")+COUNTIFS(D:D,"DA",L:L,"4;-1")</f>
        <v>0</v>
      </c>
      <c r="AX417" s="147">
        <f>COUNTIFS(D:D,"AA",L:L,"4;-1",F:F,"ATONGOAL",G:G,"",M:M,"")+COUNTIFS(D:D,"DA",L:L,"4;-1",F:F,"ATONGOAL")</f>
        <v>0</v>
      </c>
      <c r="AY417" s="147">
        <f>COUNTIFS(D:D,"AA",L:L,"4;-1",F:F,"ATON",G:G,"",M:M,"")+COUNTIFS(D:D,"DA",L:L,"4;-1",F:F,"ATON")</f>
        <v>0</v>
      </c>
      <c r="AZ417" s="147">
        <f>COUNTIFS(D:D,"AA",L:L,"4;-1",F:F,"ATOF",G:G,"",M:M,"")+COUNTIFS(D:D,"DA",L:L,"4;-1",F:F,"ATOF")</f>
        <v>0</v>
      </c>
      <c r="BA417" s="147">
        <f>COUNTIFS(D:D,"AA",L:L,"4;-1",F:F,"ATBK",G:G,"",M:M,"")+COUNTIFS(D:D,"DA",L:L,"4;-1",F:F,"ATBK")</f>
        <v>0</v>
      </c>
      <c r="BB417" s="147">
        <f>COUNTIFS(D:D,"AA",L:L,"4;-1",F:F,"ENTRY",G:G,"",M:M,"")+COUNTIFS(D:D,"DA",L:L,"4;-1",F:F,"ENTRY")</f>
        <v>0</v>
      </c>
      <c r="BC417" s="147">
        <f>COUNTIFS(D:D,"AA",L:L,"4;-1",F:F,"WINSTAN",G:G,"",M:M,"")+COUNTIFS(D:D,"DA",L:L,"4;-1",F:F,"WINSTAN")</f>
        <v>0</v>
      </c>
      <c r="BD417" s="147">
        <f>COUNTIFS(D:D,"AA",L:L,"4;-1",F:F,"WINSTANTI",G:G,"",M:M,"")+COUNTIFS(D:D,"DA",L:L,"4;-1",F:F,"WINSTANTI")</f>
        <v>0</v>
      </c>
      <c r="BE417" s="147">
        <f>COUNTIFS(D:D,"AA",L:L,"4;-1",F:F,"KEEPOS",G:G,"",M:M,"")+COUNTIFS(D:D,"DA",L:L,"4;-1",F:F,"KEEPOS")</f>
        <v>0</v>
      </c>
    </row>
    <row r="418" spans="15:57" s="115" customFormat="1" ht="15.75">
      <c r="O418" s="91"/>
      <c r="X418" s="115">
        <f t="shared" si="102"/>
        <v>0</v>
      </c>
      <c r="Y418" s="115">
        <f t="shared" si="103"/>
        <v>0</v>
      </c>
      <c r="Z418" s="115" t="e">
        <f t="shared" si="104"/>
        <v>#VALUE!</v>
      </c>
      <c r="AA418" s="115">
        <f t="shared" si="105"/>
        <v>0</v>
      </c>
      <c r="AB418" s="246"/>
      <c r="AD418"/>
      <c r="AE418" s="143">
        <f>COUNTIFS(D:D,"DD",L:L,"4;1",G:G,"",M:M,"")+COUNTIFS(D:D,"AD",L:L,"4;1")</f>
        <v>0</v>
      </c>
      <c r="AF418" s="145">
        <f>COUNTIFS(D:D,"DD",L:L,"4;1",F:F,"ATONGOAL",G:G,"",M:M,"")+COUNTIFS(D:D,"AD",L:L,"4;1",F:F,"ATONGOAL")</f>
        <v>0</v>
      </c>
      <c r="AG418" s="149">
        <f>COUNTIFS(D:D,"DD",L:L,"4;1",F:F,"ATON",G:G,"",M:M,"")+COUNTIFS(D:D,"AD",L:L,"4;1",F:F,"ATON")</f>
        <v>0</v>
      </c>
      <c r="AH418" s="149">
        <f>COUNTIFS(D:D,"DD",L:L,"4;1",F:F,"ATOF",G:G,"",M:M,"")+COUNTIFS(D:D,"AD",L:L,"4;1",F:F,"ATOF")</f>
        <v>0</v>
      </c>
      <c r="AI418" s="149">
        <f>COUNTIFS(D:D,"DD",L:L,"4;1",F:F,"ATBK",G:G,"",M:M,"")+COUNTIFS(D:D,"AD",L:L,"4;1",F:F,"ATBK")</f>
        <v>0</v>
      </c>
      <c r="AJ418" s="149">
        <f>COUNTIFS(D:D,"DD",L:L,"4;1",F:F,"ENTRY",G:G,"",M:M,"")+COUNTIFS(D:D,"AD",L:L,"4;1",F:F,"ENTRY")</f>
        <v>0</v>
      </c>
      <c r="AK418" s="149">
        <f>COUNTIFS(D:D,"DD",L:L,"4;1",F:F,"WINSTAN",G:G,"",M:M,"")+COUNTIFS(D:D,"AD",L:L,"4;1",F:F,"WINSTAN")</f>
        <v>0</v>
      </c>
      <c r="AL418" s="149">
        <f>COUNTIFS(D:D,"DD",L:L,"4;1",F:F,"WINSTANTI",G:G,"",M:M,"")+COUNTIFS(D:D,"AD",L:L,"4;1",F:F,"WINSTANTI")</f>
        <v>0</v>
      </c>
      <c r="AM418" s="149">
        <f>COUNTIFS(D:D,"DD",L:L,"4;1",F:F,"KEEPOS",G:G,"",M:M,"")+COUNTIFS(D:D,"AD",L:L,"4;1",F:F,"KEEPOS")</f>
        <v>0</v>
      </c>
      <c r="AN418" s="169">
        <f>COUNTIFS(D:D,"DD",L:L,"4;0",G:G,"",M:M,"")+COUNTIFS(D:D,"AD",L:L,"4;0")</f>
        <v>0</v>
      </c>
      <c r="AO418" s="145">
        <f>COUNTIFS(D:D,"DD",L:L,"4;0",F:F,"ATONGOAL",G:G,"",M:M,"")+COUNTIFS(D:D,"AD",L:L,"4;0",F:F,"ATONGOAL")</f>
        <v>0</v>
      </c>
      <c r="AP418" s="149">
        <f>COUNTIFS(D:D,"DD",L:L,"4;0",F:F,"ATON",G:G,"",M:M,"")+COUNTIFS(D:D,"AD",L:L,"4;0",F:F,"ATON")</f>
        <v>0</v>
      </c>
      <c r="AQ418" s="149">
        <f>COUNTIFS(D:D,"DD",L:L,"4;0",F:F,"ATOF",G:G,"",M:M,"")+COUNTIFS(D:D,"AD",L:L,"4;0",F:F,"ATOF")</f>
        <v>0</v>
      </c>
      <c r="AR418" s="149">
        <f>COUNTIFS(D:D,"DD",L:L,"4;0",F:F,"ATBK",G:G,"",M:M,"")+COUNTIFS(D:D,"AD",L:L,"4;0",F:F,"ATBK")</f>
        <v>0</v>
      </c>
      <c r="AS418" s="149">
        <f>COUNTIFS(D:D,"DD",L:L,"4;0",F:F,"ENTRY",G:G,"",M:M,"")+COUNTIFS(D:D,"AD",L:L,"4;0",F:F,"ENTRY")</f>
        <v>0</v>
      </c>
      <c r="AT418" s="149">
        <f>COUNTIFS(D:D,"DD",L:L,"4;0",F:F,"WINSTAN",G:G,"",M:M,"")+COUNTIFS(D:D,"AD",L:L,"4;0",F:F,"WINSTAN")</f>
        <v>0</v>
      </c>
      <c r="AU418" s="149">
        <f>COUNTIFS(D:D,"DD",L:L,"4;0",F:F,"WINSTANTI",G:G,"",M:M,"")+COUNTIFS(D:D,"AD",L:L,"4;0",F:F,"WINSTANTI")</f>
        <v>0</v>
      </c>
      <c r="AV418" s="149">
        <f>COUNTIFS(D:D,"DD",L:L,"4;0",F:F,"KEEPOS",G:G,"",M:M,"")+COUNTIFS(D:D,"AD",L:L,"4;0",F:F,"KEEPOS")</f>
        <v>0</v>
      </c>
      <c r="AW418" s="169">
        <f>COUNTIFS(D:D,"DD",L:L,"4;-1",G:G,"",M:M,"")+COUNTIFS(D:D,"AD",L:L,"4;-1")</f>
        <v>0</v>
      </c>
      <c r="AX418" s="145">
        <f>COUNTIFS(D:D,"DD",L:L,"4;-1",F:F,"ATONGOAL",G:G,"",M:M,"")+COUNTIFS(D:D,"AD",L:L,"4;-1",F:F,"ATONGOAL")</f>
        <v>0</v>
      </c>
      <c r="AY418" s="149">
        <f>COUNTIFS(D:D,"DD",L:L,"4;-1",F:F,"ATON",G:G,"",M:M,"")+COUNTIFS(D:D,"AD",L:L,"4;-1",F:F,"ATON")</f>
        <v>0</v>
      </c>
      <c r="AZ418" s="149">
        <f>COUNTIFS(D:D,"DD",L:L,"4;-1",F:F,"ATOF",G:G,"",M:M,"")+COUNTIFS(D:D,"AD",L:L,"4;-1",F:F,"ATOF")</f>
        <v>0</v>
      </c>
      <c r="BA418" s="149">
        <f>COUNTIFS(D:D,"DD",L:L,"4;-1",F:F,"ATBK",G:G,"",M:M,"")+COUNTIFS(D:D,"AD",L:L,"4;-1",F:F,"ATBK")</f>
        <v>0</v>
      </c>
      <c r="BB418" s="149">
        <f>COUNTIFS(D:D,"DD",L:L,"4;-1",F:F,"ENTRY",G:G,"",M:M,"")+COUNTIFS(D:D,"AD",L:L,"4;-1",F:F,"ENTRY")</f>
        <v>0</v>
      </c>
      <c r="BC418" s="149">
        <f>COUNTIFS(D:D,"DD",L:L,"4;-1",F:F,"WINSTAN",G:G,"",M:M,"")+COUNTIFS(D:D,"AD",L:L,"4;-1",F:F,"WINSTAN")</f>
        <v>0</v>
      </c>
      <c r="BD418" s="149">
        <f>COUNTIFS(D:D,"DD",L:L,"4;-1",F:F,"WINSTANTI",G:G,"",M:M,"")+COUNTIFS(D:D,"AD",L:L,"4;-1",F:F,"WINSTANTI")</f>
        <v>0</v>
      </c>
      <c r="BE418" s="149">
        <f>COUNTIFS(D:D,"DD",L:L,"4;-1",F:F,"KEEPOS",G:G,"",M:M,"")+COUNTIFS(D:D,"AD",L:L,"4;-1",F:F,"KEEPOS")</f>
        <v>0</v>
      </c>
    </row>
    <row r="419" spans="15:57" s="115" customFormat="1" ht="15.75">
      <c r="O419" s="91"/>
      <c r="X419" s="115">
        <f t="shared" si="102"/>
        <v>0</v>
      </c>
      <c r="Y419" s="115">
        <f t="shared" si="103"/>
        <v>0</v>
      </c>
      <c r="Z419" s="115" t="e">
        <f t="shared" si="104"/>
        <v>#VALUE!</v>
      </c>
      <c r="AA419" s="115">
        <f t="shared" si="105"/>
        <v>0</v>
      </c>
      <c r="AB419" s="246"/>
      <c r="AD419"/>
      <c r="AE419" s="194">
        <f>COUNTIFS(D:D,"AA",L:L,"5;1",G:G,"",M:M,"")+COUNTIFS(D:D,"DA",L:L,"5;1")+AE417</f>
        <v>0</v>
      </c>
      <c r="AF419" s="147">
        <f>COUNTIFS(D:D,"AA",L:L,"5;1",F:F,"ATONGOAL",G:G,"",M:M,"")+COUNTIFS(D:D,"DA",L:L,"5;1",F:F,"ATONGOAL")+AF417</f>
        <v>0</v>
      </c>
      <c r="AG419" s="147">
        <f>COUNTIFS(D:D,"AA",L:L,"5;1",F:F,"ATON",G:G,"",M:M,"")+COUNTIFS(D:D,"DA",L:L,"5;1",F:F,"ATON")+AG417</f>
        <v>0</v>
      </c>
      <c r="AH419" s="147">
        <f>COUNTIFS(D:D,"AA",L:L,"5;1",F:F,"ATOF",G:G,"",M:M,"")+COUNTIFS(D:D,"DA",L:L,"5;1",F:F,"ATOF")+AH417</f>
        <v>0</v>
      </c>
      <c r="AI419" s="147">
        <f>COUNTIFS(D:D,"AA",L:L,"5;1",F:F,"ATBK",G:G,"",M:M,"")+COUNTIFS(D:D,"DA",L:L,"5;1",F:F,"ATBK")+AI417</f>
        <v>0</v>
      </c>
      <c r="AJ419" s="147">
        <f>COUNTIFS(D:D,"AA",L:L,"5;1",F:F,"ENTRY",G:G,"",M:M,"")+COUNTIFS(D:D,"DA",L:L,"5;1",F:F,"ENTRY")+AJ417</f>
        <v>0</v>
      </c>
      <c r="AK419" s="147">
        <f>COUNTIFS(D:D,"AA",L:L,"5;1",F:F,"WINSTAN",G:G,"",M:M,"")+COUNTIFS(D:D,"DA",L:L,"5;1",F:F,"WINSTAN")+AK417</f>
        <v>0</v>
      </c>
      <c r="AL419" s="147">
        <f>COUNTIFS(D:D,"AA",L:L,"5;1",F:F,"WINSTANTI",G:G,"",M:M,"")+COUNTIFS(D:D,"DA",L:L,"5;1",F:F,"WINSTANTI")+AL417</f>
        <v>0</v>
      </c>
      <c r="AM419" s="147">
        <f>COUNTIFS(D:D,"AA",L:L,"5;1",F:F,"KEEPOS",G:G,"",M:M,"")+COUNTIFS(D:D,"DA",L:L,"5;1",F:F,"KEEPOS")+AM417</f>
        <v>0</v>
      </c>
      <c r="AN419" s="144">
        <f>COUNTIFS(D:D,"AA",L:L,"5;0",G:G,"",M:M,"")+COUNTIFS(D:D,"DA",L:L,"5;0")</f>
        <v>0</v>
      </c>
      <c r="AO419" s="147">
        <f>COUNTIFS(D:D,"AA",L:L,"5;0",F:F,"ATONGOAL",G:G,"",M:M,"")+COUNTIFS(D:D,"DA",L:L,"5;0",F:F,"ATONGOAL")</f>
        <v>0</v>
      </c>
      <c r="AP419" s="147">
        <f>COUNTIFS(D:D,"AA",L:L,"5;0",F:F,"ATON",G:G,"",M:M,"")+COUNTIFS(D:D,"DA",L:L,"5;0",F:F,"ATON")</f>
        <v>0</v>
      </c>
      <c r="AQ419" s="147">
        <f>COUNTIFS(D:D,"AA",L:L,"5;0",F:F,"ATOF",G:G,"",M:M,"")+COUNTIFS(D:D,"DA",L:L,"5;0",F:F,"ATOF")</f>
        <v>0</v>
      </c>
      <c r="AR419" s="147">
        <f>COUNTIFS(D:D,"AA",L:L,"5;0",F:F,"ATBK",G:G,"",M:M,"")+COUNTIFS(D:D,"DA",L:L,"5;0",F:F,"ATBK")</f>
        <v>0</v>
      </c>
      <c r="AS419" s="147">
        <f>COUNTIFS(D:D,"AA",L:L,"5;0",F:F,"ENTRY",G:G,"",M:M,"")+COUNTIFS(D:D,"DA",L:L,"5;0",F:F,"ENTRY")</f>
        <v>0</v>
      </c>
      <c r="AT419" s="147">
        <f>COUNTIFS(D:D,"AA",L:L,"5;0",F:F,"WINSTAN",G:G,"",M:M,"")+COUNTIFS(D:D,"DA",L:L,"5;0",F:F,"WINSTAN")</f>
        <v>0</v>
      </c>
      <c r="AU419" s="147">
        <f>COUNTIFS(D:D,"AA",L:L,"5;0",F:F,"WINSTANTI",G:G,"",M:M,"")+COUNTIFS(D:D,"DA",L:L,"5;0",F:F,"WINSTANTI")</f>
        <v>0</v>
      </c>
      <c r="AV419" s="147">
        <f>COUNTIFS(D:D,"AA",L:L,"5;0",F:F,"KEEPOS",G:G,"",M:M,"")+COUNTIFS(D:D,"DA",L:L,"5;0",F:F,"KEEPOS")</f>
        <v>0</v>
      </c>
      <c r="AW419" s="144">
        <f>COUNTIFS(D:D,"AA",L:L,"5;-1",G:G,"",M:M,"")+COUNTIFS(D:D,"DA",L:L,"5;-1")+AW417</f>
        <v>0</v>
      </c>
      <c r="AX419" s="147">
        <f>COUNTIFS(D:D,"AA",L:L,"5;-1",F:F,"ATONGOAL",G:G,"",M:M,"")+COUNTIFS(D:D,"DA",L:L,"5;-1",F:F,"ATONGOAL")+AX417</f>
        <v>0</v>
      </c>
      <c r="AY419" s="147">
        <f>COUNTIFS(D:D,"AA",L:L,"5;-1",F:F,"ATON",G:G,"",M:M,"")+COUNTIFS(D:D,"DA",L:L,"5;-1",F:F,"ATON")+AY417</f>
        <v>0</v>
      </c>
      <c r="AZ419" s="147">
        <f>COUNTIFS(D:D,"AA",L:L,"5;-1",F:F,"ATOF",G:G,"",M:M,"")+COUNTIFS(D:D,"DA",L:L,"5;-1",F:F,"ATOF")+AZ417</f>
        <v>0</v>
      </c>
      <c r="BA419" s="147">
        <f>COUNTIFS(D:D,"AA",L:L,"5;-1",F:F,"ATBK",G:G,"",M:M,"")+COUNTIFS(D:D,"DA",L:L,"5;-1",F:F,"ATBK")+BA417</f>
        <v>0</v>
      </c>
      <c r="BB419" s="147">
        <f>COUNTIFS(D:D,"AA",L:L,"5;-1",F:F,"ENTRY",G:G,"",M:M,"")+COUNTIFS(D:D,"DA",L:L,"5;-1",F:F,"ENTRY")+BB417</f>
        <v>0</v>
      </c>
      <c r="BC419" s="147">
        <f>COUNTIFS(D:D,"AA",L:L,"5;-1",F:F,"WINSTAN",G:G,"",M:M,"")+COUNTIFS(D:D,"DA",L:L,"5;-1",F:F,"WINSTAN")+BC417</f>
        <v>0</v>
      </c>
      <c r="BD419" s="147">
        <f>COUNTIFS(D:D,"AA",L:L,"5;-1",F:F,"WINSTANTI",G:G,"",M:M,"")+COUNTIFS(D:D,"DA",L:L,"5;-1",F:F,"WINSTANTI")+BD417</f>
        <v>0</v>
      </c>
      <c r="BE419" s="147">
        <f>COUNTIFS(D:D,"AA",L:L,"5;-1",F:F,"KEEPOS",G:G,"",M:M,"")+COUNTIFS(D:D,"DA",L:L,"5;-1",F:F,"KEEPOS")+BE417</f>
        <v>0</v>
      </c>
    </row>
    <row r="420" spans="15:57" s="115" customFormat="1" ht="16.5" thickBot="1">
      <c r="O420" s="91"/>
      <c r="X420" s="115">
        <f t="shared" si="102"/>
        <v>0</v>
      </c>
      <c r="Y420" s="115">
        <f t="shared" si="103"/>
        <v>0</v>
      </c>
      <c r="Z420" s="115" t="e">
        <f t="shared" si="104"/>
        <v>#VALUE!</v>
      </c>
      <c r="AA420" s="115">
        <f t="shared" si="105"/>
        <v>0</v>
      </c>
      <c r="AB420" s="246"/>
      <c r="AD420"/>
      <c r="AE420" s="143">
        <f>COUNTIFS(D:D,"DD",L:L,"5;1",G:G,"",M:M,"")+COUNTIFS(D:D,"AD",L:L,"5;1")+AE418</f>
        <v>0</v>
      </c>
      <c r="AF420" s="146">
        <f>COUNTIFS(D:D,"DD",L:L,"5;1",F:F,"ATONGOAL",G:G,"",M:M,"")+COUNTIFS(D:D,"AD",L:L,"5;1",F:F,"ATONGOAL")+AF418</f>
        <v>0</v>
      </c>
      <c r="AG420" s="150">
        <f>COUNTIFS(D:D,"DD",L:L,"5;1",F:F,"ATON",G:G,"",M:M,"")+COUNTIFS(D:D,"AD",L:L,"5;1",F:F,"ATON")+AG418</f>
        <v>0</v>
      </c>
      <c r="AH420" s="150">
        <f>COUNTIFS(D:D,"DD",L:L,"5;1",F:F,"ATOF",G:G,"",M:M,"")+COUNTIFS(D:D,"AD",L:L,"5;1",F:F,"ATOF")+AH418</f>
        <v>0</v>
      </c>
      <c r="AI420" s="150">
        <f>COUNTIFS(D:D,"DD",L:L,"5;1",F:F,"ATBK",G:G,"",M:M,"")+COUNTIFS(D:D,"AD",L:L,"5;1",F:F,"ATBK")+AI418</f>
        <v>0</v>
      </c>
      <c r="AJ420" s="150">
        <f>COUNTIFS(D:D,"DD",L:L,"5;1",F:F,"ENTRY",G:G,"",M:M,"")+COUNTIFS(D:D,"AD",L:L,"5;1",F:F,"ENTRY")+AJ418</f>
        <v>0</v>
      </c>
      <c r="AK420" s="150">
        <f>COUNTIFS(D:D,"DD",L:L,"5;1",F:F,"WINSTAN",G:G,"",M:M,"")+COUNTIFS(D:D,"AD",L:L,"5;1",F:F,"WINSTAN")+AK418</f>
        <v>0</v>
      </c>
      <c r="AL420" s="150">
        <f>COUNTIFS(D:D,"DD",L:L,"5;1",F:F,"WINSTANTI",G:G,"",M:M,"")+COUNTIFS(D:D,"AD",L:L,"5;1",F:F,"WINSTANTI")+AL418</f>
        <v>0</v>
      </c>
      <c r="AM420" s="150">
        <f>COUNTIFS(D:D,"DD",L:L,"5;1",F:F,"KEEPOS",G:G,"",M:M,"")+COUNTIFS(D:D,"AD",L:L,"5;1",F:F,"KEEPOS")+AM418</f>
        <v>0</v>
      </c>
      <c r="AN420" s="169">
        <f>COUNTIFS(D:D,"DD",L:L,"5;0",G:G,"",M:M,"")+COUNTIFS(D:D,"AD",L:L,"5;0")</f>
        <v>0</v>
      </c>
      <c r="AO420" s="146">
        <f>COUNTIFS(D:D,"DD",L:L,"5;0",F:F,"ATONGOAL",G:G,"",M:M,"")+COUNTIFS(D:D,"AD",L:L,"5;0",F:F,"ATONGOAL")</f>
        <v>0</v>
      </c>
      <c r="AP420" s="150">
        <f>COUNTIFS(D:D,"DD",L:L,"5;0",F:F,"ATON",G:G,"",M:M,"")+COUNTIFS(D:D,"AD",L:L,"5;0",F:F,"ATON")</f>
        <v>0</v>
      </c>
      <c r="AQ420" s="150">
        <f>COUNTIFS(D:D,"DD",L:L,"5;0",F:F,"ATOF",G:G,"",M:M,"")+COUNTIFS(D:D,"AD",L:L,"5;0",F:F,"ATOF")</f>
        <v>0</v>
      </c>
      <c r="AR420" s="150">
        <f>COUNTIFS(D:D,"DD",L:L,"5;0",F:F,"ATBK",G:G,"",M:M,"")+COUNTIFS(D:D,"AD",L:L,"5;0",F:F,"ATBK")</f>
        <v>0</v>
      </c>
      <c r="AS420" s="150">
        <f>COUNTIFS(D:D,"DD",L:L,"5;0",F:F,"ENTRY",G:G,"",M:M,"")+COUNTIFS(D:D,"AD",L:L,"5;0",F:F,"ENTRY")</f>
        <v>0</v>
      </c>
      <c r="AT420" s="150">
        <f>COUNTIFS(D:D,"DD",L:L,"5;0",F:F,"WINSTAN",G:G,"",M:M,"")+COUNTIFS(D:D,"AD",L:L,"5;0",F:F,"WINSTAN")</f>
        <v>0</v>
      </c>
      <c r="AU420" s="150">
        <f>COUNTIFS(D:D,"DD",L:L,"5;0",F:F,"WINSTANTI",G:G,"",M:M,"")+COUNTIFS(D:D,"AD",L:L,"5;0",F:F,"WINSTANTI")</f>
        <v>0</v>
      </c>
      <c r="AV420" s="150">
        <f>COUNTIFS(D:D,"DD",L:L,"5;0",F:F,"KEEPOS",G:G,"",M:M,"")+COUNTIFS(D:D,"AD",L:L,"5;0",F:F,"KEEPOS")</f>
        <v>0</v>
      </c>
      <c r="AW420" s="169">
        <f>COUNTIFS(D:D,"DD",L:L,"5;-1",G:G,"",M:M,"")+COUNTIFS(D:D,"AD",L:L,"5;-1")+AW418</f>
        <v>0</v>
      </c>
      <c r="AX420" s="146">
        <f>COUNTIFS(D:D,"DD",L:L,"5;-1",F:F,"ATONGOAL",G:G,"",M:M,"")+COUNTIFS(D:D,"AD",L:L,"5;-1",F:F,"ATONGOAL")+AX418</f>
        <v>0</v>
      </c>
      <c r="AY420" s="150">
        <f>COUNTIFS(D:D,"DD",L:L,"5;-1",F:F,"ATON",G:G,"",M:M,"")+COUNTIFS(D:D,"AD",L:L,"5;-1",F:F,"ATON")+AY418</f>
        <v>0</v>
      </c>
      <c r="AZ420" s="150">
        <f>COUNTIFS(D:D,"DD",L:L,"5;-1",F:F,"ATOF",G:G,"",M:M,"")+COUNTIFS(D:D,"AD",L:L,"5;-1",F:F,"ATOF")+AZ418</f>
        <v>0</v>
      </c>
      <c r="BA420" s="150">
        <f>COUNTIFS(D:D,"DD",L:L,"5;-1",F:F,"ATBK",G:G,"",M:M,"")+COUNTIFS(D:D,"AD",L:L,"5;-1",F:F,"ATBK")+BA418</f>
        <v>0</v>
      </c>
      <c r="BB420" s="150">
        <f>COUNTIFS(D:D,"DD",L:L,"5;-1",F:F,"ENTRY",G:G,"",M:M,"")+COUNTIFS(D:D,"AD",L:L,"5;-1",F:F,"ENTRY")+BB418</f>
        <v>0</v>
      </c>
      <c r="BC420" s="150">
        <f>COUNTIFS(D:D,"DD",L:L,"5;-1",F:F,"WINSTAN",G:G,"",M:M,"")+COUNTIFS(D:D,"AD",L:L,"5;-1",F:F,"WINSTAN")+BC418</f>
        <v>0</v>
      </c>
      <c r="BD420" s="150">
        <f>COUNTIFS(D:D,"DD",L:L,"5;-1",F:F,"WINSTANTI",G:G,"",M:M,"")+COUNTIFS(D:D,"AD",L:L,"5;-1",F:F,"WINSTANTI")+BD418</f>
        <v>0</v>
      </c>
      <c r="BE420" s="150">
        <f>COUNTIFS(D:D,"DD",L:L,"5;-1",F:F,"KEEPOS",G:G,"",M:M,"")+COUNTIFS(D:D,"AD",L:L,"5;-1",F:F,"KEEPOS")+BE418</f>
        <v>0</v>
      </c>
    </row>
    <row r="421" spans="15:57">
      <c r="O421" s="91"/>
      <c r="X421" s="115">
        <f t="shared" si="102"/>
        <v>0</v>
      </c>
      <c r="Y421" s="115">
        <f t="shared" si="103"/>
        <v>0</v>
      </c>
      <c r="Z421" s="115" t="e">
        <f t="shared" si="104"/>
        <v>#VALUE!</v>
      </c>
      <c r="AA421" s="115">
        <f t="shared" si="105"/>
        <v>0</v>
      </c>
      <c r="AD421" s="115"/>
      <c r="AE421" s="115"/>
      <c r="AF421" s="115"/>
      <c r="AH421" s="378" t="s">
        <v>221</v>
      </c>
      <c r="AI421" s="378"/>
      <c r="AJ421" s="378"/>
      <c r="AK421" s="115"/>
      <c r="AL421" s="115"/>
    </row>
    <row r="422" spans="15:57">
      <c r="O422" s="91"/>
      <c r="X422" s="115">
        <f t="shared" si="102"/>
        <v>0</v>
      </c>
      <c r="Y422" s="115">
        <f t="shared" si="103"/>
        <v>0</v>
      </c>
      <c r="Z422" s="115" t="e">
        <f t="shared" si="104"/>
        <v>#VALUE!</v>
      </c>
      <c r="AA422" s="115">
        <f t="shared" si="105"/>
        <v>0</v>
      </c>
      <c r="AD422" s="115"/>
      <c r="AE422" s="115"/>
      <c r="AF422" s="115"/>
      <c r="AH422" s="378"/>
      <c r="AI422" s="378"/>
      <c r="AJ422" s="378"/>
      <c r="AK422" s="115"/>
      <c r="AL422" s="115"/>
    </row>
    <row r="423" spans="15:57" s="115" customFormat="1">
      <c r="O423" s="91"/>
      <c r="X423" s="115">
        <f t="shared" si="102"/>
        <v>0</v>
      </c>
      <c r="Y423" s="115">
        <f t="shared" si="103"/>
        <v>0</v>
      </c>
      <c r="Z423" s="115" t="e">
        <f t="shared" si="104"/>
        <v>#VALUE!</v>
      </c>
      <c r="AA423" s="115">
        <f t="shared" si="105"/>
        <v>0</v>
      </c>
      <c r="AB423" s="246"/>
      <c r="AH423" s="202"/>
      <c r="AI423" s="202"/>
      <c r="AJ423" s="202"/>
    </row>
    <row r="424" spans="15:57" s="115" customFormat="1">
      <c r="O424" s="91"/>
      <c r="X424" s="115">
        <f t="shared" si="102"/>
        <v>0</v>
      </c>
      <c r="Y424" s="115">
        <f t="shared" si="103"/>
        <v>0</v>
      </c>
      <c r="Z424" s="115" t="e">
        <f t="shared" si="104"/>
        <v>#VALUE!</v>
      </c>
      <c r="AA424" s="115">
        <f t="shared" si="105"/>
        <v>0</v>
      </c>
      <c r="AB424" s="246"/>
      <c r="AD424"/>
      <c r="AE424"/>
      <c r="AF424"/>
      <c r="AG424"/>
      <c r="AH424"/>
      <c r="AI424"/>
      <c r="AJ424"/>
    </row>
    <row r="425" spans="15:57" s="115" customFormat="1">
      <c r="O425" s="91"/>
      <c r="X425" s="115">
        <f t="shared" si="102"/>
        <v>0</v>
      </c>
      <c r="Y425" s="115">
        <f t="shared" si="103"/>
        <v>0</v>
      </c>
      <c r="Z425" s="115" t="e">
        <f t="shared" si="104"/>
        <v>#VALUE!</v>
      </c>
      <c r="AA425" s="115">
        <f t="shared" si="105"/>
        <v>0</v>
      </c>
      <c r="AB425" s="246"/>
      <c r="AD425"/>
      <c r="AH425" s="379" t="s">
        <v>282</v>
      </c>
      <c r="AI425" s="379"/>
    </row>
    <row r="426" spans="15:57" s="115" customFormat="1">
      <c r="O426" s="91"/>
      <c r="X426" s="115">
        <f t="shared" si="102"/>
        <v>0</v>
      </c>
      <c r="Y426" s="115">
        <f t="shared" si="103"/>
        <v>0</v>
      </c>
      <c r="Z426" s="115" t="e">
        <f t="shared" si="104"/>
        <v>#VALUE!</v>
      </c>
      <c r="AA426" s="115">
        <f t="shared" si="105"/>
        <v>0</v>
      </c>
      <c r="AB426" s="246"/>
      <c r="AD426"/>
      <c r="AH426" s="199" t="s">
        <v>220</v>
      </c>
      <c r="AI426" s="199"/>
    </row>
    <row r="427" spans="15:57" s="115" customFormat="1" ht="15.75">
      <c r="O427" s="91"/>
      <c r="X427" s="115">
        <f t="shared" si="102"/>
        <v>0</v>
      </c>
      <c r="Y427" s="115">
        <f t="shared" si="103"/>
        <v>0</v>
      </c>
      <c r="Z427" s="115" t="e">
        <f t="shared" si="104"/>
        <v>#VALUE!</v>
      </c>
      <c r="AA427" s="115">
        <f t="shared" si="105"/>
        <v>0</v>
      </c>
      <c r="AB427" s="246"/>
      <c r="AD427"/>
      <c r="AE427" s="179">
        <f>COUNTIFS(F:F,"ATONGOAL",D:D,"AA",U:U,"-2;1")+COUNTIFS(F:F,"ATONGOAL",D:D,"DA",U:U,"-2;1")+AE429</f>
        <v>0</v>
      </c>
      <c r="AF427" s="179">
        <f>COUNTIFS(F:F,"ATONGOAL",D:D,"AA",U:U,"-2;1")+COUNTIFS(F:F,"ATONGOAL",D:D,"DA",U:U,"-2;1")+COUNTIFS(F:F,"ATON",D:D,"AA",U:U,"-2;1")+COUNTIFS(F:F,"ATON",D:D,"DA",U:U,"-2;1")+COUNTIFS(F:F,"ATOF",D:D,"AA",U:U,"-2;1")+COUNTIFS(F:F,"ATOF",D:D,"DA",U:U,"-2;1")+COUNTIFS(F:F,"ATBK",D:D,"AA",U:U,"-2;1")+COUNTIFS(F:F,"ATBK",D:D,"DA",U:U,"-2;1")+AF429</f>
        <v>0</v>
      </c>
      <c r="AG427" s="180"/>
      <c r="AH427" s="179">
        <f>COUNTIFS(F:F,"ATONGOAL",D:D,"AA",U:U,"-2;0")+COUNTIFS(F:F,"ATONGOAL",D:D,"DA",U:U,"-2;0")</f>
        <v>0</v>
      </c>
      <c r="AI427" s="180">
        <f>COUNTIFS(F:F,"ATONGOAL",D:D,"AA",U:U,"-2;0")+COUNTIFS(F:F,"ATONGOAL",D:D,"DA",U:U,"-2;0")+COUNTIFS(F:F,"ATON",D:D,"AA",U:U,"-2;0")+COUNTIFS(F:F,"ATON",D:D,"DA",U:U,"-2;0")+COUNTIFS(F:F,"ATOF",D:D,"AA",U:U,"-2;0")+COUNTIFS(F:F,"ATOF",D:D,"DA",U:U,"-2;0")+COUNTIFS(F:F,"ATBK",D:D,"AA",U:U,"-2;0")+COUNTIFS(F:F,"ATBK",D:D,"DA",U:U,"-2;0")</f>
        <v>0</v>
      </c>
      <c r="AJ427" s="180"/>
      <c r="AK427" s="179">
        <f>COUNTIFS(F:F,"ATONGOAL",D:D,"AA",U:U,"-2;-1")+COUNTIFS(F:F,"ATONGOAL",D:D,"DA",U:U,"-2;-1")+AK429</f>
        <v>0</v>
      </c>
      <c r="AL427" s="180">
        <f>COUNTIFS(F:F,"ATONGOAL",D:D,"AA",U:U,"-2;-1")+COUNTIFS(F:F,"ATONGOAL",D:D,"DA",U:U,"-2;-1")+COUNTIFS(F:F,"ATON",D:D,"AA",U:U,"-2;-1")+COUNTIFS(F:F,"ATON",D:D,"DA",U:U,"-2;-1")+COUNTIFS(F:F,"ATOF",D:D,"AA",U:U,"-2;-1")+COUNTIFS(F:F,"ATOF",D:D,"DA",U:U,"-2;-1")+COUNTIFS(F:F,"ATBK",D:D,"AA",U:U,"-2;-1")+COUNTIFS(F:F,"ATBK",D:D,"DA",U:U,"-2;-1")+AL429</f>
        <v>0</v>
      </c>
      <c r="AM427" s="180"/>
    </row>
    <row r="428" spans="15:57" s="115" customFormat="1">
      <c r="O428" s="91"/>
      <c r="X428" s="115">
        <f t="shared" si="102"/>
        <v>0</v>
      </c>
      <c r="Y428" s="115">
        <f t="shared" si="103"/>
        <v>0</v>
      </c>
      <c r="Z428" s="115" t="e">
        <f t="shared" si="104"/>
        <v>#VALUE!</v>
      </c>
      <c r="AA428" s="115">
        <f t="shared" si="105"/>
        <v>0</v>
      </c>
      <c r="AB428" s="246"/>
      <c r="AD428"/>
      <c r="AE428" s="181">
        <f>COUNTIFS(F:F,"ATONGOAL",D:D,"DD",U:U,"-2;1")+COUNTIFS(F:F,"ATONGOAL",D:D,"AD",U:U,"-2;1")+AE430</f>
        <v>0</v>
      </c>
      <c r="AF428" s="181">
        <f>COUNTIFS(F:F,"ATONGOAL",D:D,"DD",U:U,"-2;1")+COUNTIFS(F:F,"ATONGOAL",D:D,"AD",U:U,"-2;1")+COUNTIFS(F:F,"ATON",D:D,"DD",U:U,"-2;1")+COUNTIFS(F:F,"ATON",D:D,"AD",U:U,"-2;1")+COUNTIFS(F:F,"ATOF",D:D,"DD",U:U,"-2;1")+COUNTIFS(F:F,"ATOF",D:D,"AD",U:U,"-2;1")+COUNTIFS(F:F,"ATBK",D:D,"DD",U:U,"-2;1")+COUNTIFS(F:F,"ATBK",D:D,"AD",U:U,"-2;1")+AF430</f>
        <v>0</v>
      </c>
      <c r="AG428" s="182"/>
      <c r="AH428" s="181">
        <f>COUNTIFS(F:F,"ATONGOAL",D:D,"DD",U:U,"-2;0")+COUNTIFS(F:F,"ATONGOAL",D:D,"AD",U:U,"-2;0")</f>
        <v>0</v>
      </c>
      <c r="AI428" s="182">
        <f>COUNTIFS(F:F,"ATONGOAL",D:D,"DD",U:U,"-2;0")+COUNTIFS(F:F,"ATONGOAL",D:D,"AD",U:U,"-2;0")+COUNTIFS(F:F,"ATON",D:D,"DD",U:U,"-2;0")+COUNTIFS(F:F,"ATON",D:D,"AD",U:U,"-2;0")+COUNTIFS(F:F,"ATOF",D:D,"DD",U:U,"-2;0")+COUNTIFS(F:F,"ATOF",D:D,"AD",U:U,"-2;0")+COUNTIFS(F:F,"ATBK",D:D,"DD",U:U,"-2;0")+COUNTIFS(F:F,"ATBK",D:D,"AD",U:U,"-2;0")</f>
        <v>0</v>
      </c>
      <c r="AJ428" s="182"/>
      <c r="AK428" s="181">
        <f>COUNTIFS(F:F,"ATONGOAL",D:D,"DD",U:U,"-2;-1")+COUNTIFS(F:F,"ATONGOAL",D:D,"AD",U:U,"-2;-1")+AK430</f>
        <v>0</v>
      </c>
      <c r="AL428" s="182">
        <f>COUNTIFS(F:F,"ATONGOAL",D:D,"DD",U:U,"-2;-1")+COUNTIFS(F:F,"ATONGOAL",D:D,"AD",U:U,"-2;-1")+COUNTIFS(F:F,"ATON",D:D,"DD",U:U,"-2;-1")+COUNTIFS(F:F,"ATON",D:D,"AD",U:U,"-2;-1")+COUNTIFS(F:F,"ATOF",D:D,"DD",U:U,"-2;-1")+COUNTIFS(F:F,"ATOF",D:D,"AD",U:U,"-2;-1")+COUNTIFS(F:F,"ATBK",D:D,"DD",U:U,"-2;-1")+COUNTIFS(F:F,"ATBK",D:D,"AD",U:U,"-2;-1")+AL430</f>
        <v>0</v>
      </c>
      <c r="AM428" s="182"/>
    </row>
    <row r="429" spans="15:57" s="115" customFormat="1" ht="15.75">
      <c r="O429" s="91"/>
      <c r="X429" s="115">
        <f t="shared" si="102"/>
        <v>0</v>
      </c>
      <c r="Y429" s="115">
        <f t="shared" si="103"/>
        <v>0</v>
      </c>
      <c r="Z429" s="115" t="e">
        <f t="shared" si="104"/>
        <v>#VALUE!</v>
      </c>
      <c r="AA429" s="115">
        <f t="shared" si="105"/>
        <v>0</v>
      </c>
      <c r="AB429" s="246"/>
      <c r="AD429"/>
      <c r="AE429" s="179">
        <f>COUNTIFS(F:F,"ATONGOAL",D:D,"AA",U:U,"-1;1")+COUNTIFS(F:F,"ATONGOAL",D:D,"DA",U:U,"-1;1")</f>
        <v>0</v>
      </c>
      <c r="AF429" s="179">
        <f>COUNTIFS(F:F,"ATONGOAL",D:D,"AA",U:U,"-1;1")+COUNTIFS(F:F,"ATONGOAL",D:D,"DA",U:U,"-1;1")+COUNTIFS(F:F,"ATON",D:D,"AA",U:U,"-1;1")+COUNTIFS(F:F,"ATON",D:D,"DA",U:U,"-1;1")+COUNTIFS(F:F,"ATOF",D:D,"AA",U:U,"-2;1")+COUNTIFS(F:F,"ATOF",D:D,"DA",U:U,"-1;1")+COUNTIFS(F:F,"ATBK",D:D,"AA",U:U,"-1;1")+COUNTIFS(F:F,"ATBK",D:D,"DA",U:U,"-1;1")</f>
        <v>0</v>
      </c>
      <c r="AG429" s="180"/>
      <c r="AH429" s="179">
        <f>COUNTIFS(F:F,"ATONGOAL",D:D,"AA",U:U,"-1;0")+COUNTIFS(F:F,"ATONGOAL",D:D,"DA",U:U,"-1;0")</f>
        <v>0</v>
      </c>
      <c r="AI429" s="180">
        <f>COUNTIFS(F:F,"ATONGOAL",D:D,"AA",U:U,"-1;0")+COUNTIFS(F:F,"ATONGOAL",D:D,"DA",U:U,"-1;0")+COUNTIFS(F:F,"ATON",D:D,"AA",U:U,"-1;0")+COUNTIFS(F:F,"ATON",D:D,"DA",U:U,"-1;0")+COUNTIFS(F:F,"ATOF",D:D,"AA",U:U,"-2;0")+COUNTIFS(F:F,"ATOF",D:D,"DA",U:U,"-1;0")+COUNTIFS(F:F,"ATBK",D:D,"AA",U:U,"-1;0")+COUNTIFS(F:F,"ATBK",D:D,"DA",U:U,"-1;0")</f>
        <v>0</v>
      </c>
      <c r="AJ429" s="180"/>
      <c r="AK429" s="179">
        <f>COUNTIFS(F:F,"ATONGOAL",D:D,"AA",U:U,"-1;-1")+COUNTIFS(F:F,"ATONGOAL",D:D,"DA",U:U,"-1;-1")</f>
        <v>0</v>
      </c>
      <c r="AL429" s="180">
        <f>COUNTIFS(F:F,"ATONGOAL",D:D,"AA",U:U,"-1;-1")+COUNTIFS(F:F,"ATONGOAL",D:D,"DA",U:U,"-1;-1")+COUNTIFS(F:F,"ATON",D:D,"AA",U:U,"-1;-1")+COUNTIFS(F:F,"ATON",D:D,"DA",U:U,"-1;-1")+COUNTIFS(F:F,"ATOF",D:D,"AA",U:U,"-2;-1")+COUNTIFS(F:F,"ATOF",D:D,"DA",U:U,"-1;-1")+COUNTIFS(F:F,"ATBK",D:D,"AA",U:U,"-1;-1")+COUNTIFS(F:F,"ATBK",D:D,"DA",U:U,"-1;-1")</f>
        <v>0</v>
      </c>
      <c r="AM429" s="180"/>
    </row>
    <row r="430" spans="15:57" s="115" customFormat="1">
      <c r="O430" s="91"/>
      <c r="X430" s="115">
        <f t="shared" si="102"/>
        <v>0</v>
      </c>
      <c r="Y430" s="115">
        <f t="shared" si="103"/>
        <v>0</v>
      </c>
      <c r="Z430" s="115" t="e">
        <f t="shared" si="104"/>
        <v>#VALUE!</v>
      </c>
      <c r="AA430" s="115">
        <f t="shared" si="105"/>
        <v>0</v>
      </c>
      <c r="AB430" s="246"/>
      <c r="AD430"/>
      <c r="AE430" s="181">
        <f>COUNTIFS(F:F,"ATONGOAL",D:D,"DD",U:U,"-1;1")+COUNTIFS(F:F,"ATONGOAL",D:D,"AD",U:U,"-1;1")</f>
        <v>0</v>
      </c>
      <c r="AF430" s="181">
        <f>COUNTIFS(F:F,"ATONGOAL",D:D,"DD",U:U,"-1;1")+COUNTIFS(F:F,"ATONGOAL",D:D,"AD",U:U,"-1;1")+COUNTIFS(F:F,"ATON",D:D,"DD",U:U,"-1;1")+COUNTIFS(F:F,"ATON",D:D,"AD",U:U,"-1;1")+COUNTIFS(F:F,"ATOF",D:D,"DD",U:U,"-1;1")+COUNTIFS(F:F,"ATOF",D:D,"AD",U:U,"-1;1")+COUNTIFS(F:F,"ATBK",D:D,"DD",U:U,"-1;1")+COUNTIFS(F:F,"ATBK",D:D,"AD",U:U,"-1;1")</f>
        <v>0</v>
      </c>
      <c r="AG430" s="182"/>
      <c r="AH430" s="181">
        <f>COUNTIFS(F:F,"ATONGOAL",D:D,"DD",U:U,"-1;0")+COUNTIFS(F:F,"ATONGOAL",D:D,"AD",U:U,"-1;0")</f>
        <v>0</v>
      </c>
      <c r="AI430" s="182">
        <f>COUNTIFS(F:F,"ATONGOAL",D:D,"DD",U:U,"-1;0")+COUNTIFS(F:F,"ATONGOAL",D:D,"AD",U:U,"-1;0")+COUNTIFS(F:F,"ATON",D:D,"DD",U:U,"-1;0")+COUNTIFS(F:F,"ATON",D:D,"AD",U:U,"-1;0")+COUNTIFS(F:F,"ATOF",D:D,"DD",U:U,"-1;0")+COUNTIFS(F:F,"ATOF",D:D,"AD",U:U,"-1;0")+COUNTIFS(F:F,"ATBK",D:D,"DD",U:U,"-1;0")+COUNTIFS(F:F,"ATBK",D:D,"AD",U:U,"-1;0")</f>
        <v>0</v>
      </c>
      <c r="AJ430" s="182"/>
      <c r="AK430" s="181">
        <f>COUNTIFS(F:F,"ATONGOAL",D:D,"DD",U:U,"-1;-1")+COUNTIFS(F:F,"ATONGOAL",D:D,"AD",U:U,"-1;-1")</f>
        <v>0</v>
      </c>
      <c r="AL430" s="182">
        <f>COUNTIFS(F:F,"ATONGOAL",D:D,"DD",U:U,"-1;-1")+COUNTIFS(F:F,"ATONGOAL",D:D,"AD",U:U,"-1;-1")+COUNTIFS(F:F,"ATON",D:D,"DD",U:U,"-1;-1")+COUNTIFS(F:F,"ATON",D:D,"AD",U:U,"-1;-1")+COUNTIFS(F:F,"ATOF",D:D,"DD",U:U,"-1;-1")+COUNTIFS(F:F,"ATOF",D:D,"AD",U:U,"-1;-1")+COUNTIFS(F:F,"ATBK",D:D,"DD",U:U,"-1;-1")+COUNTIFS(F:F,"ATBK",D:D,"AD",U:U,"-1;-1")</f>
        <v>0</v>
      </c>
      <c r="AM430" s="182"/>
    </row>
    <row r="431" spans="15:57" s="115" customFormat="1" ht="15.75">
      <c r="O431" s="91"/>
      <c r="X431" s="115">
        <f t="shared" si="102"/>
        <v>0</v>
      </c>
      <c r="Y431" s="115">
        <f t="shared" si="103"/>
        <v>0</v>
      </c>
      <c r="Z431" s="115" t="e">
        <f t="shared" si="104"/>
        <v>#VALUE!</v>
      </c>
      <c r="AA431" s="115">
        <f t="shared" si="105"/>
        <v>0</v>
      </c>
      <c r="AB431" s="246"/>
      <c r="AD431"/>
      <c r="AE431" s="179">
        <f>COUNTIFS(F:F,"ATONGOAL",D:D,"AA",U:U,"0;1")+COUNTIFS(F:F,"ATONGOAL",D:D,"DA",U:U,"0;1")</f>
        <v>0</v>
      </c>
      <c r="AF431" s="179">
        <f>COUNTIFS(F:F,"ATONGOAL",D:D,"AA",U:U,"0;1")+COUNTIFS(F:F,"ATONGOAL",D:D,"DA",U:U,"0;1")+COUNTIFS(F:F,"ATON",D:D,"AA",U:U,"0;1")+COUNTIFS(F:F,"ATON",D:D,"DA",U:U,"0;1")+COUNTIFS(F:F,"ATOF",D:D,"AA",U:U,"0;1")+COUNTIFS(F:F,"ATOF",D:D,"DA",U:U,"0;1")+COUNTIFS(F:F,"ATBK",D:D,"AA",U:U,"0;1")+COUNTIFS(F:F,"ATBK",D:D,"DA",U:U,"0;1")</f>
        <v>0</v>
      </c>
      <c r="AG431" s="180"/>
      <c r="AH431" s="179">
        <f>COUNTIFS(F:F,"ATONGOAL",D:D,"AA",U:U,"0;0")+COUNTIFS(F:F,"ATONGOAL",D:D,"DA",U:U,"0;0")</f>
        <v>0</v>
      </c>
      <c r="AI431" s="180">
        <f>COUNTIFS(F:F,"ATONGOAL",D:D,"AA",U:U,"0;0")+COUNTIFS(F:F,"ATONGOAL",D:D,"DA",U:U,"0;0")+COUNTIFS(F:F,"ATON",D:D,"AA",U:U,"0;0")+COUNTIFS(F:F,"ATON",D:D,"DA",U:U,"0;0")+COUNTIFS(F:F,"ATOF",D:D,"AA",U:U,"0;0")+COUNTIFS(F:F,"ATOF",D:D,"DA",U:U,"0;0")+COUNTIFS(F:F,"ATBK",D:D,"AA",U:U,"0;0")+COUNTIFS(F:F,"ATBK",D:D,"DA",W:W,"0;0")</f>
        <v>0</v>
      </c>
      <c r="AJ431" s="180"/>
      <c r="AK431" s="179">
        <f>COUNTIFS(F:F,"ATONGOAL",D:D,"AA",U:U,"0;-1")+COUNTIFS(F:F,"ATONGOAL",D:D,"DA",U:U,"0;-1")</f>
        <v>0</v>
      </c>
      <c r="AL431" s="180">
        <f>COUNTIFS(F:F,"ATONGOAL",D:D,"AA",U:U,"0;-1")+COUNTIFS(F:F,"ATONGOAL",D:D,"DA",U:U,"0;-1")+COUNTIFS(F:F,"ATON",D:D,"AA",U:U,"0;-1")+COUNTIFS(F:F,"ATON",D:D,"DA",U:U,"0;-1")+COUNTIFS(F:F,"ATOF",D:D,"AA",U:U,"0;-1")+COUNTIFS(F:F,"ATOF",D:D,"DA",U:U,"0;-1")+COUNTIFS(F:F,"ATBK",D:D,"AA",U:U,"0;-1")+COUNTIFS(F:F,"ATBK",D:D,"DA",U:U,"0;-1")</f>
        <v>0</v>
      </c>
      <c r="AM431" s="180"/>
    </row>
    <row r="432" spans="15:57" s="115" customFormat="1">
      <c r="O432" s="91"/>
      <c r="X432" s="115">
        <f t="shared" si="102"/>
        <v>0</v>
      </c>
      <c r="Y432" s="115">
        <f t="shared" si="103"/>
        <v>0</v>
      </c>
      <c r="Z432" s="115" t="e">
        <f t="shared" si="104"/>
        <v>#VALUE!</v>
      </c>
      <c r="AA432" s="115">
        <f t="shared" si="105"/>
        <v>0</v>
      </c>
      <c r="AB432" s="246"/>
      <c r="AD432"/>
      <c r="AE432" s="181">
        <f>COUNTIFS(F:F,"ATONGOAL",D:D,"DD",U:U,"0;1")+COUNTIFS(F:F,"ATONGOAL",D:D,"AD",U:U,"0;1")</f>
        <v>0</v>
      </c>
      <c r="AF432" s="181">
        <f>COUNTIFS(F:F,"ATONGOAL",D:D,"DD",U:U,"0;1")+COUNTIFS(F:F,"ATONGOAL",D:D,"AD",U:U,"0;1")+COUNTIFS(F:F,"ATON",D:D,"DD",U:U,"0;1")+COUNTIFS(F:F,"ATON",D:D,"AD",U:U,"0;1")+COUNTIFS(F:F,"ATOF",D:D,"DD",U:U,"0;1")+COUNTIFS(F:F,"ATOF",D:D,"AD",U:U,"0;1")+COUNTIFS(F:F,"ATBK",D:D,"DD",U:U,"0;1")+COUNTIFS(F:F,"ATBK",D:D,"AD",U:U,"0;1")</f>
        <v>0</v>
      </c>
      <c r="AG432" s="182"/>
      <c r="AH432" s="181">
        <f>COUNTIFS(F:F,"ATONGOAL",D:D,"DD",U:U,"0;0")+COUNTIFS(F:F,"ATONGOAL",D:D,"AD",U:U,"0;0")</f>
        <v>0</v>
      </c>
      <c r="AI432" s="182">
        <f>COUNTIFS(F:F,"ATONGOAL",D:D,"DD",U:U,"0;0")+COUNTIFS(F:F,"ATONGOAL",D:D,"AD",U:U,"0;0")+COUNTIFS(F:F,"ATON",D:D,"DD",U:U,"0;0")+COUNTIFS(F:F,"ATON",D:D,"AD",U:U,"0;0")+COUNTIFS(F:F,"ATOF",D:D,"DD",U:U,"0;0")+COUNTIFS(F:F,"ATOF",D:D,"AD",U:U,"0;0")+COUNTIFS(F:F,"ATBK",D:D,"DD",U:U,"0;0")+COUNTIFS(F:F,"ATBK",D:D,"AD",U:U,"0;0")</f>
        <v>0</v>
      </c>
      <c r="AJ432" s="182"/>
      <c r="AK432" s="181">
        <f>COUNTIFS(F:F,"ATONGOAL",D:D,"DD",U:U,"0;-1")+COUNTIFS(F:F,"ATONGOAL",D:D,"AD",U:U,"0;-1")</f>
        <v>0</v>
      </c>
      <c r="AL432" s="182">
        <f>COUNTIFS(F:F,"ATONGOAL",D:D,"DD",U:U,"0;-1")+COUNTIFS(F:F,"ATONGOAL",D:D,"AD",U:U,"0;-1")+COUNTIFS(F:F,"ATON",D:D,"DD",U:U,"0;-1")+COUNTIFS(F:F,"ATON",D:D,"AD",U:U,"0;-1")+COUNTIFS(F:F,"ATOF",D:D,"DD",U:U,"0;-1")+COUNTIFS(F:F,"ATOF",D:D,"AD",U:U,"0;-1")+COUNTIFS(F:F,"ATBK",D:D,"DD",U:U,"0;-1")+COUNTIFS(F:F,"ATBK",D:D,"AD",U:U,"0;-1")</f>
        <v>0</v>
      </c>
      <c r="AM432" s="182"/>
    </row>
    <row r="433" spans="15:50" s="115" customFormat="1" ht="15.75">
      <c r="O433" s="91"/>
      <c r="X433" s="115">
        <f t="shared" si="102"/>
        <v>0</v>
      </c>
      <c r="Y433" s="115">
        <f t="shared" si="103"/>
        <v>0</v>
      </c>
      <c r="Z433" s="115" t="e">
        <f t="shared" si="104"/>
        <v>#VALUE!</v>
      </c>
      <c r="AA433" s="115">
        <f t="shared" si="105"/>
        <v>0</v>
      </c>
      <c r="AB433" s="246"/>
      <c r="AD433"/>
      <c r="AE433" s="179">
        <f>COUNTIFS(F:F,"ATONGOAL",D:D,"AA",U:U,"1;1")+COUNTIFS(F:F,"ATONGOAL",D:D,"DA",U:U,"1;1")</f>
        <v>0</v>
      </c>
      <c r="AF433" s="179">
        <f>COUNTIFS(F:F,"ATONGOAL",D:D,"AA",U:U,"1;1")+COUNTIFS(F:F,"ATONGOAL",D:D,"DA",U:U,"1;1")+COUNTIFS(F:F,"ATON",D:D,"AA",U:U,"1;1")+COUNTIFS(F:F,"ATON",D:D,"DA",U:U,"1;1")+COUNTIFS(F:F,"ATOF",D:D,"AA",U:U,"1;1")+COUNTIFS(F:F,"ATOF",D:D,"DA",U:U,"1;1")+COUNTIFS(F:F,"ATBK",D:D,"AA",U:U,"1;1")+COUNTIFS(F:F,"ATBK",D:D,"DA",U:U,"1;1")</f>
        <v>0</v>
      </c>
      <c r="AG433" s="180"/>
      <c r="AH433" s="179">
        <f>COUNTIFS(F:F,"ATONGOAL",D:D,"AA",U:U,"1;0")+COUNTIFS(F:F,"ATONGOAL",D:D,"DA",U:U,"1;0")</f>
        <v>0</v>
      </c>
      <c r="AI433" s="180">
        <f>COUNTIFS(F:F,"ATONGOAL",D:D,"AA",U:U,"1;0")+COUNTIFS(F:F,"ATONGOAL",D:D,"DA",U:U,"1;0")+COUNTIFS(F:F,"ATON",D:D,"AA",U:U,"1;0")+COUNTIFS(F:F,"ATON",D:D,"DA",U:U,"1;0")+COUNTIFS(F:F,"ATOF",D:D,"AA",U:U,"1;0")+COUNTIFS(F:F,"ATOF",D:D,"DA",U:U,"1;0")+COUNTIFS(F:F,"ATBK",D:D,"AA",U:U,"1;0")+COUNTIFS(F:F,"ATBK",D:D,"DA",U:U,"1;0")</f>
        <v>0</v>
      </c>
      <c r="AJ433" s="180"/>
      <c r="AK433" s="179">
        <f>COUNTIFS(F:F,"ATONGOAL",D:D,"AA",U:U,"1;-1")+COUNTIFS(F:F,"ATONGOAL",D:D,"DA",U:U,"1;-1")</f>
        <v>0</v>
      </c>
      <c r="AL433" s="180">
        <f>COUNTIFS(F:F,"ATONGOAL",D:D,"AA",U:U,"1;-1")+COUNTIFS(F:F,"ATONGOAL",D:D,"DA",U:U,"1;-1")+COUNTIFS(F:F,"ATON",D:D,"AA",U:U,"1;-1")+COUNTIFS(F:F,"ATON",D:D,"DA",U:U,"1;-1")+COUNTIFS(F:F,"ATOF",D:D,"AA",U:U,"1;-1")+COUNTIFS(F:F,"ATOF",D:D,"DA",U:U,"1;-1")+COUNTIFS(F:F,"ATBK",D:D,"AA",U:U,"1;-1")+COUNTIFS(F:F,"ATBK",D:D,"DA",U:U,"1;-1")</f>
        <v>0</v>
      </c>
      <c r="AM433" s="180"/>
    </row>
    <row r="434" spans="15:50" s="115" customFormat="1">
      <c r="O434" s="91"/>
      <c r="X434" s="115">
        <f t="shared" si="102"/>
        <v>0</v>
      </c>
      <c r="Y434" s="115">
        <f t="shared" si="103"/>
        <v>0</v>
      </c>
      <c r="Z434" s="115" t="e">
        <f t="shared" si="104"/>
        <v>#VALUE!</v>
      </c>
      <c r="AA434" s="115">
        <f t="shared" si="105"/>
        <v>0</v>
      </c>
      <c r="AB434" s="246"/>
      <c r="AD434"/>
      <c r="AE434" s="181">
        <f>COUNTIFS(F:F,"ATONGOAL",D:D,"DD",U:U,"1;1")+COUNTIFS(F:F,"ATONGOAL",D:D,"AD",U:U,"1;1")</f>
        <v>0</v>
      </c>
      <c r="AF434" s="181">
        <f>COUNTIFS(F:F,"ATONGOAL",D:D,"DD",U:U,"1;1")+COUNTIFS(F:F,"ATONGOAL",D:D,"AD",U:U,"1;1")+COUNTIFS(F:F,"ATON",D:D,"DD",U:U,"1;1")+COUNTIFS(F:F,"ATON",D:D,"AD",U:U,"1;1")+COUNTIFS(F:F,"ATOF",D:D,"DD",U:U,"1;1")+COUNTIFS(F:F,"ATOF",D:D,"AD",U:U,"1;1")+COUNTIFS(F:F,"ATBK",D:D,"DD",U:U,"1;1")+COUNTIFS(F:F,"ATBK",D:D,"AD",U:U,"1;1")</f>
        <v>0</v>
      </c>
      <c r="AG434" s="182"/>
      <c r="AH434" s="181">
        <f>COUNTIFS(F:F,"ATONGOAL",D:D,"DD",U:U,"1;0")+COUNTIFS(F:F,"ATONGOAL",D:D,"AD",U:U,"1;0")</f>
        <v>0</v>
      </c>
      <c r="AI434" s="182">
        <f>COUNTIFS(F:F,"ATONGOAL",D:D,"DD",U:U,"1;0")+COUNTIFS(F:F,"ATONGOAL",D:D,"AD",U:U,"1;0")+COUNTIFS(F:F,"ATON",D:D,"DD",U:U,"1;0")+COUNTIFS(F:F,"ATON",D:D,"AD",U:U,"1;0")+COUNTIFS(F:F,"ATOF",D:D,"DD",U:U,"1;0")+COUNTIFS(F:F,"ATOF",D:D,"AD",U:U,"1;0")+COUNTIFS(F:F,"ATBK",D:D,"DD",U:U,"1;0")+COUNTIFS(F:F,"ATBK",D:D,"AD",U:U,"1;0")</f>
        <v>0</v>
      </c>
      <c r="AJ434" s="182"/>
      <c r="AK434" s="181">
        <f>COUNTIFS(F:F,"ATONGOAL",D:D,"DD",U:U,"1;-1")+COUNTIFS(F:F,"ATONGOAL",D:D,"AD",U:U,"1;-1")</f>
        <v>0</v>
      </c>
      <c r="AL434" s="182">
        <f>COUNTIFS(F:F,"ATONGOAL",D:D,"DD",U:U,"1;-1")+COUNTIFS(F:F,"ATONGOAL",D:D,"AD",U:U,"1;-1")+COUNTIFS(F:F,"ATON",D:D,"DD",U:U,"1;-1")+COUNTIFS(F:F,"ATON",D:D,"AD",U:U,"1;-1")+COUNTIFS(F:F,"ATOF",D:D,"DD",U:U,"1;-1")+COUNTIFS(F:F,"ATOF",D:D,"AD",U:U,"1;-1")+COUNTIFS(F:F,"ATBK",D:D,"DD",U:U,"1;-1")+COUNTIFS(F:F,"ATBK",D:D,"AD",U:U,"1;-1")</f>
        <v>0</v>
      </c>
      <c r="AM434" s="182"/>
    </row>
    <row r="435" spans="15:50" s="115" customFormat="1" ht="15.75">
      <c r="O435" s="91"/>
      <c r="X435" s="115">
        <f t="shared" si="102"/>
        <v>0</v>
      </c>
      <c r="Y435" s="115">
        <f t="shared" si="103"/>
        <v>0</v>
      </c>
      <c r="Z435" s="115" t="e">
        <f t="shared" si="104"/>
        <v>#VALUE!</v>
      </c>
      <c r="AA435" s="115">
        <f t="shared" si="105"/>
        <v>0</v>
      </c>
      <c r="AB435" s="246"/>
      <c r="AD435"/>
      <c r="AE435" s="179">
        <f>COUNTIFS(F:F,"ATONGOAL",D:D,"AA",U:U,"2;1")+COUNTIFS(F:F,"ATONGOAL",D:D,"DA",U:U,"2;1")</f>
        <v>0</v>
      </c>
      <c r="AF435" s="179">
        <f>COUNTIFS(F:F,"ATONGOAL",D:D,"AA",U:U,"2;1")+COUNTIFS(F:F,"ATONGOAL",D:D,"DA",U:U,"2;1")+COUNTIFS(F:F,"ATON",D:D,"AA",U:U,"2;1")+COUNTIFS(F:F,"ATON",D:D,"DA",U:U,"2;1")+COUNTIFS(F:F,"ATOF",D:D,"AA",U:U,"2;1")+COUNTIFS(F:F,"ATOF",D:D,"DA",U:U,"2;1")+COUNTIFS(F:F,"ATBK",D:D,"AA",U:U,"2;1")+COUNTIFS(F:F,"ATBK",D:D,"DA",U:U,"2;1")</f>
        <v>0</v>
      </c>
      <c r="AG435" s="180"/>
      <c r="AH435" s="179">
        <f>COUNTIFS(F:F,"ATONGOAL",D:D,"AA",U:U,"2;0")+COUNTIFS(F:F,"ATONGOAL",D:D,"DA",U:U,"2;0")</f>
        <v>0</v>
      </c>
      <c r="AI435" s="180">
        <f>COUNTIFS(F:F,"ATONGOAL",D:D,"AA",U:U,"2;0")+COUNTIFS(F:F,"ATONGOAL",D:D,"DA",U:U,"2;0")+COUNTIFS(F:F,"ATON",D:D,"AA",U:U,"2;0")+COUNTIFS(F:F,"ATON",D:D,"DA",U:U,"2;0")+COUNTIFS(F:F,"ATOF",D:D,"AA",U:U,"2;0")+COUNTIFS(F:F,"ATOF",D:D,"DA",U:U,"2;0")+COUNTIFS(F:F,"ATBK",D:D,"AA",U:U,"2;0")+COUNTIFS(F:F,"ATBK",D:D,"DA",U:U,"2;0")</f>
        <v>0</v>
      </c>
      <c r="AJ435" s="180"/>
      <c r="AK435" s="179">
        <f>COUNTIFS(F:F,"ATONGOAL",D:D,"AA",U:U,"2;-1")+COUNTIFS(F:F,"ATONGOAL",D:D,"DA",U:U,"2;-1")</f>
        <v>0</v>
      </c>
      <c r="AL435" s="180">
        <f>COUNTIFS(F:F,"ATONGOAL",D:D,"AA",U:U,"2;-1")+COUNTIFS(F:F,"ATONGOAL",D:D,"DA",U:U,"2;-1")+COUNTIFS(F:F,"ATON",D:D,"AA",U:U,"2;-1")+COUNTIFS(F:F,"ATON",D:D,"DA",U:U,"2;-1")+COUNTIFS(F:F,"ATOF",D:D,"AA",U:U,"2;-1")+COUNTIFS(F:F,"ATOF",D:D,"DA",U:U,"2;-1")+COUNTIFS(F:F,"ATBK",D:D,"AA",U:U,"2;-1")+COUNTIFS(F:F,"ATBK",D:D,"DA",U:U,"2;-1")</f>
        <v>0</v>
      </c>
      <c r="AM435" s="180"/>
    </row>
    <row r="436" spans="15:50" s="115" customFormat="1">
      <c r="O436" s="91"/>
      <c r="X436" s="115">
        <f t="shared" si="102"/>
        <v>0</v>
      </c>
      <c r="Y436" s="115">
        <f t="shared" si="103"/>
        <v>0</v>
      </c>
      <c r="Z436" s="115" t="e">
        <f t="shared" si="104"/>
        <v>#VALUE!</v>
      </c>
      <c r="AA436" s="115">
        <f t="shared" si="105"/>
        <v>0</v>
      </c>
      <c r="AB436" s="246"/>
      <c r="AD436"/>
      <c r="AE436" s="181">
        <f>COUNTIFS(F:F,"ATONGOAL",D:D,"DD",U:U,"2;1")+COUNTIFS(F:F,"ATONGOAL",D:D,"AD",U:U,"2;1")</f>
        <v>0</v>
      </c>
      <c r="AF436" s="181">
        <f>COUNTIFS(F:F,"ATONGOAL",D:D,"DD",U:U,"2;1")+COUNTIFS(F:F,"ATONGOAL",D:D,"AD",U:U,"2;1")+COUNTIFS(F:F,"ATON",D:D,"DD",U:U,"2;1")+COUNTIFS(F:F,"ATON",D:D,"AD",U:U,"2;1")+COUNTIFS(F:F,"ATOF",D:D,"DD",U:U,"2;1")+COUNTIFS(F:F,"ATOF",D:D,"AD",U:U,"2;1")+COUNTIFS(F:F,"ATBK",D:D,"DD",U:U,"2;1")+COUNTIFS(F:F,"ATBK",D:D,"AD",U:U,"2;1")</f>
        <v>0</v>
      </c>
      <c r="AG436" s="182"/>
      <c r="AH436" s="181">
        <f>COUNTIFS(F:F,"ATONGOAL",D:D,"DD",U:U,"2;0")+COUNTIFS(F:F,"ATONGOAL",D:D,"AD",U:U,"2;0")</f>
        <v>0</v>
      </c>
      <c r="AI436" s="182">
        <f>COUNTIFS(F:F,"ATONGOAL",D:D,"DD",U:U,"2;0")+COUNTIFS(F:F,"ATONGOAL",D:D,"AD",U:U,"2;0")+COUNTIFS(F:F,"ATON",D:D,"DD",U:U,"2;0")+COUNTIFS(F:F,"ATON",D:D,"AD",U:U,"2;0")+COUNTIFS(F:F,"ATOF",D:D,"DD",U:U,"2;0")+COUNTIFS(F:F,"ATOF",D:D,"AD",U:U,"2;0")+COUNTIFS(F:F,"ATBK",D:D,"DD",U:U,"2;0")+COUNTIFS(F:F,"ATBK",D:D,"AD",U:U,"2;0")</f>
        <v>0</v>
      </c>
      <c r="AJ436" s="182"/>
      <c r="AK436" s="181">
        <f>COUNTIFS(F:F,"ATONGOAL",D:D,"DD",U:U,"2;-1")+COUNTIFS(F:F,"ATONGOAL",D:D,"AD",U:U,"2;-1")</f>
        <v>0</v>
      </c>
      <c r="AL436" s="182">
        <f>COUNTIFS(F:F,"ATONGOAL",D:D,"DD",U:U,"2;-1")+COUNTIFS(F:F,"ATONGOAL",D:D,"AD",U:U,"2;-1")+COUNTIFS(F:F,"ATON",D:D,"DD",U:U,"2;-1")+COUNTIFS(F:F,"ATON",D:D,"AD",U:U,"2;-1")+COUNTIFS(F:F,"ATOF",D:D,"DD",U:U,"2;-1")+COUNTIFS(F:F,"ATOF",D:D,"AD",U:U,"2;-1")+COUNTIFS(F:F,"ATBK",D:D,"DD",U:U,"2;-1")+COUNTIFS(F:F,"ATBK",D:D,"AD",U:U,"2;-1")</f>
        <v>0</v>
      </c>
      <c r="AM436" s="182"/>
    </row>
    <row r="437" spans="15:50" s="115" customFormat="1" ht="15.75">
      <c r="O437" s="91"/>
      <c r="X437" s="115">
        <f t="shared" si="102"/>
        <v>0</v>
      </c>
      <c r="Y437" s="115">
        <f t="shared" si="103"/>
        <v>0</v>
      </c>
      <c r="Z437" s="115" t="e">
        <f t="shared" si="104"/>
        <v>#VALUE!</v>
      </c>
      <c r="AA437" s="115">
        <f t="shared" si="105"/>
        <v>0</v>
      </c>
      <c r="AB437" s="246"/>
      <c r="AD437"/>
      <c r="AE437" s="179">
        <f>COUNTIFS(F:F,"ATONGOAL",D:D,"AA",U:U,"3;1")+COUNTIFS(F:F,"ATONGOAL",D:D,"DA",U:U,"3;1")</f>
        <v>0</v>
      </c>
      <c r="AF437" s="179">
        <f>COUNTIFS(F:F,"ATONGOAL",D:D,"AA",U:U,"3;1")+COUNTIFS(F:F,"ATONGOAL",D:D,"DA",U:U,"3;1")+COUNTIFS(F:F,"ATON",D:D,"AA",U:U,"3;1")+COUNTIFS(F:F,"ATON",D:D,"DA",U:U,"3;1")+COUNTIFS(F:F,"ATOF",D:D,"AA",U:U,"3;1")+COUNTIFS(F:F,"ATOF",D:D,"DA",U:U,"3;1")+COUNTIFS(F:F,"ATBK",D:D,"AA",U:U,"3;1")+COUNTIFS(F:F,"ATBK",D:D,"DA",U:U,"3;1")</f>
        <v>0</v>
      </c>
      <c r="AG437" s="180"/>
      <c r="AH437" s="179">
        <f>COUNTIFS(F:F,"ATONGOAL",D:D,"AA",U:U,"3;0")+COUNTIFS(F:F,"ATONGOAL",D:D,"DA",U:U,"3;0")</f>
        <v>0</v>
      </c>
      <c r="AI437" s="180">
        <f>COUNTIFS(F:F,"ATONGOAL",D:D,"AA",U:U,"3;0")+COUNTIFS(F:F,"ATONGOAL",D:D,"DA",U:U,"3;0")+COUNTIFS(F:F,"ATON",D:D,"AA",U:U,"3;0")+COUNTIFS(F:F,"ATON",D:D,"DA",U:U,"3;0")+COUNTIFS(F:F,"ATOF",D:D,"AA",U:U,"3;0")+COUNTIFS(F:F,"ATOF",D:D,"DA",U:U,"3;0")+COUNTIFS(F:F,"ATBK",D:D,"AA",U:U,"3;0")+COUNTIFS(F:F,"ATBK",D:D,"DA",U:U,"3;0")</f>
        <v>0</v>
      </c>
      <c r="AJ437" s="180"/>
      <c r="AK437" s="179">
        <f>COUNTIFS(F:F,"ATONGOAL",D:D,"AA",U:U,"3;-1")+COUNTIFS(F:F,"ATONGOAL",D:D,"DA",U:U,"3;-1")</f>
        <v>0</v>
      </c>
      <c r="AL437" s="180">
        <f>COUNTIFS(F:F,"ATONGOAL",D:D,"AA",U:U,"3;-1")+COUNTIFS(F:F,"ATONGOAL",D:D,"DA",U:U,"3;-1")+COUNTIFS(F:F,"ATON",D:D,"AA",U:U,"3;-1")+COUNTIFS(F:F,"ATON",D:D,"DA",U:U,"3;-1")+COUNTIFS(F:F,"ATOF",D:D,"AA",U:U,"3;-1")+COUNTIFS(F:F,"ATOF",D:D,"DA",U:U,"3;-1")+COUNTIFS(F:F,"ATBK",D:D,"AA",U:U,"3;-1")+COUNTIFS(F:F,"ATBK",D:D,"DA",U:U,"3;-1")</f>
        <v>0</v>
      </c>
      <c r="AM437" s="180"/>
    </row>
    <row r="438" spans="15:50" s="115" customFormat="1">
      <c r="O438" s="91"/>
      <c r="X438" s="115">
        <f t="shared" si="102"/>
        <v>0</v>
      </c>
      <c r="Y438" s="115">
        <f t="shared" si="103"/>
        <v>0</v>
      </c>
      <c r="Z438" s="115" t="e">
        <f t="shared" si="104"/>
        <v>#VALUE!</v>
      </c>
      <c r="AA438" s="115">
        <f t="shared" si="105"/>
        <v>0</v>
      </c>
      <c r="AB438" s="246"/>
      <c r="AD438"/>
      <c r="AE438" s="181">
        <f>COUNTIFS(F:F,"ATONGOAL",D:D,"DD",U:U,"3;1")+COUNTIFS(F:F,"ATONGOAL",D:D,"AD",U:U,"3;1")</f>
        <v>0</v>
      </c>
      <c r="AF438" s="181">
        <f>COUNTIFS(F:F,"ATONGOAL",D:D,"DD",U:U,"3;1")+COUNTIFS(F:F,"ATONGOAL",D:D,"AD",U:U,"3;1")+COUNTIFS(F:F,"ATON",D:D,"DD",U:U,"3;1")+COUNTIFS(F:F,"ATON",D:D,"AD",U:U,"3;1")+COUNTIFS(F:F,"ATOF",D:D,"DD",U:U,"3;1")+COUNTIFS(F:F,"ATOF",D:D,"AD",U:U,"3;1")+COUNTIFS(F:F,"ATBK",D:D,"DD",U:U,"3;1")+COUNTIFS(F:F,"ATBK",D:D,"AD",U:U,"3;1")</f>
        <v>0</v>
      </c>
      <c r="AG438" s="182"/>
      <c r="AH438" s="181">
        <f>COUNTIFS(F:F,"ATONGOAL",D:D,"DD",U:U,"3;0")+COUNTIFS(F:F,"ATONGOAL",D:D,"AD",U:U,"3;0")</f>
        <v>0</v>
      </c>
      <c r="AI438" s="182">
        <f>COUNTIFS(F:F,"ATONGOAL",D:D,"DD",U:U,"3;0")+COUNTIFS(F:F,"ATONGOAL",D:D,"AD",U:U,"3;0")+COUNTIFS(F:F,"ATON",D:D,"DD",U:U,"3;0")+COUNTIFS(F:F,"ATON",D:D,"AD",U:U,"3;0")+COUNTIFS(F:F,"ATOF",D:D,"DD",U:U,"3;0")+COUNTIFS(F:F,"ATOF",D:D,"AD",U:U,"3;0")+COUNTIFS(F:F,"ATBK",D:D,"DD",U:U,"3;0")+COUNTIFS(F:F,"ATBK",D:D,"AD",U:U,"3;0")</f>
        <v>0</v>
      </c>
      <c r="AJ438" s="182"/>
      <c r="AK438" s="181">
        <f>COUNTIFS(F:F,"ATONGOAL",D:D,"DD",U:U,"3;-1")+COUNTIFS(F:F,"ATONGOAL",D:D,"AD",U:U,"3;-1")</f>
        <v>0</v>
      </c>
      <c r="AL438" s="182">
        <f>COUNTIFS(F:F,"ATONGOAL",D:D,"DD",U:U,"3;-1")+COUNTIFS(F:F,"ATONGOAL",D:D,"AD",U:U,"3;-1")+COUNTIFS(F:F,"ATON",D:D,"DD",U:U,"3;-1")+COUNTIFS(F:F,"ATON",D:D,"AD",U:U,"3;-1")+COUNTIFS(F:F,"ATOF",D:D,"DD",U:U,"3;-1")+COUNTIFS(F:F,"ATOF",D:D,"AD",U:U,"3;-1")+COUNTIFS(F:F,"ATBK",D:D,"DD",U:U,"3;-1")+COUNTIFS(F:F,"ATBK",D:D,"AD",U:U,"3;-1")</f>
        <v>0</v>
      </c>
      <c r="AM438" s="182"/>
    </row>
    <row r="439" spans="15:50" s="115" customFormat="1" ht="15.75">
      <c r="O439" s="91"/>
      <c r="X439" s="115">
        <f t="shared" si="102"/>
        <v>0</v>
      </c>
      <c r="Y439" s="115">
        <f t="shared" si="103"/>
        <v>0</v>
      </c>
      <c r="Z439" s="115" t="e">
        <f t="shared" si="104"/>
        <v>#VALUE!</v>
      </c>
      <c r="AA439" s="115">
        <f t="shared" si="105"/>
        <v>0</v>
      </c>
      <c r="AB439" s="246"/>
      <c r="AE439" s="179">
        <f>COUNTIFS(F:F,"ATONGOAL",D:D,"AA",U:U,"4;1")+COUNTIFS(F:F,"ATONGOAL",D:D,"DA",U:U,"4;1")</f>
        <v>0</v>
      </c>
      <c r="AF439" s="179">
        <f>COUNTIFS(F:F,"ATONGOAL",D:D,"AA",U:U,"4;1")+COUNTIFS(F:F,"ATONGOAL",D:D,"DA",U:U,"4;1")+COUNTIFS(F:F,"ATON",D:D,"AA",U:U,"4;1")+COUNTIFS(F:F,"ATON",D:D,"DA",U:U,"4;1")+COUNTIFS(F:F,"ATOF",D:D,"AA",U:U,"4;1")+COUNTIFS(F:F,"ATOF",D:D,"DA",U:U,"4;1")+COUNTIFS(F:F,"ATBK",D:D,"AA",U:U,"4;1")+COUNTIFS(F:F,"ATBK",D:D,"DA",U:U,"4;1")</f>
        <v>0</v>
      </c>
      <c r="AG439" s="180"/>
      <c r="AH439" s="179">
        <f>COUNTIFS(F:F,"ATONGOAL",D:D,"AA",U:U,"4;0")+COUNTIFS(F:F,"ATONGOAL",D:D,"DA",U:U,"4;0")</f>
        <v>0</v>
      </c>
      <c r="AI439" s="180">
        <f>COUNTIFS(F:F,"ATONGOAL",D:D,"AA",U:U,"4;0")+COUNTIFS(F:F,"ATONGOAL",D:D,"DA",U:U,"4;0")+COUNTIFS(F:F,"ATON",D:D,"AA",U:U,"4;0")+COUNTIFS(F:F,"ATON",D:D,"DA",U:U,"4;0")+COUNTIFS(F:F,"ATOF",D:D,"AA",U:U,"4;0")+COUNTIFS(F:F,"ATOF",D:D,"DA",U:U,"4;0")+COUNTIFS(F:F,"ATBK",D:D,"AA",U:U,"4;0")+COUNTIFS(F:F,"ATBK",D:D,"DA",U:U,"4;0")</f>
        <v>0</v>
      </c>
      <c r="AJ439" s="180"/>
      <c r="AK439" s="179">
        <f>COUNTIFS(F:F,"ATONGOAL",D:D,"AA",U:U,"4;-1")+COUNTIFS(F:F,"ATONGOAL",D:D,"DA",U:U,"4;-1")</f>
        <v>0</v>
      </c>
      <c r="AL439" s="180">
        <f>COUNTIFS(F:F,"ATONGOAL",D:D,"AA",U:U,"4;-1")+COUNTIFS(F:F,"ATONGOAL",D:D,"DA",U:U,"4;-1")+COUNTIFS(F:F,"ATON",D:D,"AA",U:U,"4;-1")+COUNTIFS(F:F,"ATON",D:D,"DA",U:U,"4;-1")+COUNTIFS(F:F,"ATOF",D:D,"AA",U:U,"4;-1")+COUNTIFS(F:F,"ATOF",D:D,"DA",U:U,"4;-1")+COUNTIFS(F:F,"ATBK",D:D,"AA",U:U,"4;-1")+COUNTIFS(F:F,"ATBK",D:D,"DA",U:U,"4;-1")</f>
        <v>0</v>
      </c>
      <c r="AM439" s="180"/>
    </row>
    <row r="440" spans="15:50" s="115" customFormat="1">
      <c r="O440" s="91"/>
      <c r="X440" s="115">
        <f t="shared" si="102"/>
        <v>0</v>
      </c>
      <c r="Y440" s="115">
        <f t="shared" si="103"/>
        <v>0</v>
      </c>
      <c r="Z440" s="115" t="e">
        <f t="shared" si="104"/>
        <v>#VALUE!</v>
      </c>
      <c r="AA440" s="115">
        <f t="shared" si="105"/>
        <v>0</v>
      </c>
      <c r="AB440" s="246"/>
      <c r="AE440" s="181">
        <f>COUNTIFS(F:F,"ATONGOAL",D:D,"DD",U:U,"4;1")+COUNTIFS(F:F,"ATONGOAL",D:D,"AD",U:U,"4;1")</f>
        <v>0</v>
      </c>
      <c r="AF440" s="181">
        <f>COUNTIFS(F:F,"ATONGOAL",D:D,"DD",U:U,"4;1")+COUNTIFS(F:F,"ATONGOAL",D:D,"AD",U:U,"4;1")+COUNTIFS(F:F,"ATON",D:D,"DD",U:U,"4;1")+COUNTIFS(F:F,"ATON",D:D,"AD",U:U,"4;1")+COUNTIFS(F:F,"ATOF",D:D,"DD",U:U,"4;1")+COUNTIFS(F:F,"ATOF",D:D,"AD",U:U,"4;1")+COUNTIFS(F:F,"ATBK",D:D,"DD",U:U,"4;1")+COUNTIFS(F:F,"ATBK",D:D,"AD",U:U,"4;1")</f>
        <v>0</v>
      </c>
      <c r="AG440" s="182"/>
      <c r="AH440" s="181">
        <f>COUNTIFS(F:F,"ATONGOAL",D:D,"DD",U:U,"4;0")+COUNTIFS(F:F,"ATONGOAL",D:D,"AD",U:U,"4;0")</f>
        <v>0</v>
      </c>
      <c r="AI440" s="182">
        <f>COUNTIFS(F:F,"ATONGOAL",D:D,"DD",U:U,"4;0")+COUNTIFS(F:F,"ATONGOAL",D:D,"AD",U:U,"4;0")+COUNTIFS(F:F,"ATON",D:D,"DD",U:U,"4;0")+COUNTIFS(F:F,"ATON",D:D,"AD",U:U,"4;0")+COUNTIFS(F:F,"ATOF",D:D,"DD",U:U,"4;0")+COUNTIFS(F:F,"ATOF",D:D,"AD",U:U,"4;0")+COUNTIFS(F:F,"ATBK",D:D,"DD",U:U,"4;0")+COUNTIFS(F:F,"ATBK",D:D,"AD",U:U,"4;0")</f>
        <v>0</v>
      </c>
      <c r="AJ440" s="182"/>
      <c r="AK440" s="181">
        <f>COUNTIFS(F:F,"ATONGOAL",D:D,"DD",U:U,"4;-1")+COUNTIFS(F:F,"ATONGOAL",D:D,"AD",U:U,"4;-1")</f>
        <v>0</v>
      </c>
      <c r="AL440" s="182">
        <f>COUNTIFS(F:F,"ATONGOAL",D:D,"DD",U:U,"4;-1")+COUNTIFS(F:F,"ATONGOAL",D:D,"AD",U:U,"4;-1")+COUNTIFS(F:F,"ATON",D:D,"DD",U:U,"4;-1")+COUNTIFS(F:F,"ATON",D:D,"AD",U:U,"4;-1")+COUNTIFS(F:F,"ATOF",D:D,"DD",U:U,"4;-1")+COUNTIFS(F:F,"ATOF",D:D,"AD",U:U,"4;-1")+COUNTIFS(F:F,"ATBK",D:D,"DD",U:U,"4;-1")+COUNTIFS(F:F,"ATBK",D:D,"AD",U:U,"4;-1")</f>
        <v>0</v>
      </c>
      <c r="AM440" s="182"/>
    </row>
    <row r="441" spans="15:50" s="115" customFormat="1" ht="15.75">
      <c r="O441" s="91"/>
      <c r="X441" s="115">
        <f t="shared" si="102"/>
        <v>0</v>
      </c>
      <c r="Y441" s="115">
        <f t="shared" si="103"/>
        <v>0</v>
      </c>
      <c r="Z441" s="115" t="e">
        <f t="shared" si="104"/>
        <v>#VALUE!</v>
      </c>
      <c r="AA441" s="115">
        <f t="shared" si="105"/>
        <v>0</v>
      </c>
      <c r="AB441" s="246"/>
      <c r="AE441" s="179">
        <f>COUNTIFS(F:F,"ATONGOAL",D:D,"AA",U:U,"5;1")+COUNTIFS(F:F,"ATONGOAL",D:D,"DA",U:U,"5;1")+AE439</f>
        <v>0</v>
      </c>
      <c r="AF441" s="179">
        <f>COUNTIFS(F:F,"ATONGOAL",D:D,"AA",U:U,"5;1")+COUNTIFS(F:F,"ATONGOAL",D:D,"DA",U:U,"5;1")+COUNTIFS(F:F,"ATON",D:D,"AA",U:U,"5;1")+COUNTIFS(F:F,"ATON",D:D,"DA",U:U,"5;1")+COUNTIFS(F:F,"ATOF",D:D,"AA",U:U,"5;1")+COUNTIFS(F:F,"ATOF",D:D,"DA",U:U,"5;1")+COUNTIFS(F:F,"ATBK",D:D,"AA",U:U,"5;1")+COUNTIFS(F:F,"ATBK",D:D,"DA",U:U,"5;1")+AF439</f>
        <v>0</v>
      </c>
      <c r="AG441" s="180"/>
      <c r="AH441" s="179">
        <f>COUNTIFS(F:F,"ATONGOAL",D:D,"AA",U:U,"5;0")+COUNTIFS(F:F,"ATONGOAL",D:D,"DA",U:U,"5;0")</f>
        <v>0</v>
      </c>
      <c r="AI441" s="180">
        <f>COUNTIFS(F:F,"ATONGOAL",D:D,"AA",U:U,"5;0")+COUNTIFS(F:F,"ATONGOAL",D:D,"DA",U:U,"5;0")+COUNTIFS(F:F,"ATON",D:D,"AA",U:U,"5;0")+COUNTIFS(F:F,"ATON",D:D,"DA",U:U,"5;0")+COUNTIFS(F:F,"ATOF",D:D,"AA",U:U,"5;0")+COUNTIFS(F:F,"ATOF",D:D,"DA",U:U,"5;0")+COUNTIFS(F:F,"ATBK",D:D,"AA",U:U,"5;0")+COUNTIFS(F:F,"ATBK",D:D,"DA",U:U,"5;0")</f>
        <v>0</v>
      </c>
      <c r="AJ441" s="180"/>
      <c r="AK441" s="179">
        <f>COUNTIFS(F:F,"ATONGOAL",D:D,"AA",U:U,"5;-1")+COUNTIFS(F:F,"ATONGOAL",D:D,"DA",U:U,"5;-1")+AK439</f>
        <v>0</v>
      </c>
      <c r="AL441" s="180">
        <f>COUNTIFS(F:F,"ATONGOAL",D:D,"AA",U:U,"5;-1")+COUNTIFS(F:F,"ATONGOAL",D:D,"DA",U:U,"5;-1")+COUNTIFS(F:F,"ATON",D:D,"AA",U:U,"5;-1")+COUNTIFS(F:F,"ATON",D:D,"DA",U:U,"5;-1")+COUNTIFS(F:F,"ATOF",D:D,"AA",U:U,"5;-1")+COUNTIFS(F:F,"ATOF",D:D,"DA",U:U,"5;-1")+COUNTIFS(F:F,"ATBK",D:D,"AA",U:U,"5;-1")+COUNTIFS(F:F,"ATBK",D:D,"DA",U:U,"5;-1")+AL439</f>
        <v>0</v>
      </c>
      <c r="AM441" s="180"/>
    </row>
    <row r="442" spans="15:50" s="115" customFormat="1">
      <c r="O442" s="91"/>
      <c r="X442" s="115">
        <f t="shared" si="102"/>
        <v>0</v>
      </c>
      <c r="Y442" s="115">
        <f t="shared" si="103"/>
        <v>0</v>
      </c>
      <c r="Z442" s="115" t="e">
        <f t="shared" si="104"/>
        <v>#VALUE!</v>
      </c>
      <c r="AA442" s="115">
        <f t="shared" si="105"/>
        <v>0</v>
      </c>
      <c r="AB442" s="246"/>
      <c r="AE442" s="181">
        <f>COUNTIFS(F:F,"ATONGOAL",D:D,"DD",U:U,"5;1")+COUNTIFS(F:F,"ATONGOAL",D:D,"AD",U:U,"5;1")+AE440</f>
        <v>0</v>
      </c>
      <c r="AF442" s="181">
        <f>COUNTIFS(F:F,"ATONGOAL",D:D,"DD",U:U,"5;1")+COUNTIFS(F:F,"ATONGOAL",D:D,"AD",U:U,"5;1")+COUNTIFS(F:F,"ATON",D:D,"DD",U:U,"5;1")+COUNTIFS(F:F,"ATON",D:D,"AD",U:U,"5;1")+COUNTIFS(F:F,"ATOF",D:D,"DD",U:U,"5;1")+COUNTIFS(F:F,"ATOF",D:D,"AD",U:U,"5;1")+COUNTIFS(F:F,"ATBK",D:D,"DD",U:U,"5;1")+COUNTIFS(F:F,"ATBK",D:D,"AD",U:U,"5;1")+AF440</f>
        <v>0</v>
      </c>
      <c r="AG442" s="182"/>
      <c r="AH442" s="181">
        <f>COUNTIFS(F:F,"ATONGOAL",D:D,"DD",U:U,"5;0")+COUNTIFS(F:F,"ATONGOAL",D:D,"AD",U:U,"5;0")</f>
        <v>0</v>
      </c>
      <c r="AI442" s="182">
        <f>COUNTIFS(F:F,"ATONGOAL",D:D,"DD",U:U,"5;0")+COUNTIFS(F:F,"ATONGOAL",D:D,"AD",U:U,"5;0")+COUNTIFS(F:F,"ATON",D:D,"DD",U:U,"5;0")+COUNTIFS(F:F,"ATON",D:D,"AD",U:U,"5;0")+COUNTIFS(F:F,"ATOF",D:D,"DD",U:U,"5;0")+COUNTIFS(F:F,"ATOF",D:D,"AD",U:U,"5;0")+COUNTIFS(F:F,"ATBK",D:D,"DD",U:U,"5;0")+COUNTIFS(F:F,"ATBK",D:D,"AD",U:U,"5;0")</f>
        <v>0</v>
      </c>
      <c r="AJ442" s="182"/>
      <c r="AK442" s="181">
        <f>COUNTIFS(F:F,"ATONGOAL",D:D,"DD",U:U,"5;-1")+COUNTIFS(F:F,"ATONGOAL",D:D,"AD",U:U,"5;-1")+AK440</f>
        <v>0</v>
      </c>
      <c r="AL442" s="182">
        <f>COUNTIFS(F:F,"ATONGOAL",D:D,"DD",U:U,"5;-1")+COUNTIFS(F:F,"ATONGOAL",D:D,"AD",U:U,"5;-1")+COUNTIFS(F:F,"ATON",D:D,"DD",U:U,"5;-1")+COUNTIFS(F:F,"ATON",D:D,"AD",U:U,"5;-1")+COUNTIFS(F:F,"ATOF",D:D,"DD",U:U,"5;-1")+COUNTIFS(F:F,"ATOF",D:D,"AD",U:U,"5;-1")+COUNTIFS(F:F,"ATBK",D:D,"DD",U:U,"5;-1")+COUNTIFS(F:F,"ATBK",D:D,"AD",U:U,"5;-1")+AL440</f>
        <v>0</v>
      </c>
      <c r="AM442" s="182"/>
    </row>
    <row r="443" spans="15:50" s="115" customFormat="1">
      <c r="O443" s="91"/>
      <c r="X443" s="115">
        <f t="shared" si="102"/>
        <v>0</v>
      </c>
      <c r="Y443" s="115">
        <f t="shared" si="103"/>
        <v>0</v>
      </c>
      <c r="Z443" s="115" t="e">
        <f t="shared" si="104"/>
        <v>#VALUE!</v>
      </c>
      <c r="AA443" s="115">
        <f t="shared" si="105"/>
        <v>0</v>
      </c>
      <c r="AB443" s="246"/>
      <c r="AD443"/>
      <c r="AH443" s="198" t="s">
        <v>221</v>
      </c>
      <c r="AI443" s="198"/>
      <c r="AP443"/>
      <c r="AQ443"/>
      <c r="AS443"/>
      <c r="AT443"/>
    </row>
    <row r="444" spans="15:50" s="115" customFormat="1">
      <c r="O444" s="91"/>
      <c r="X444" s="115">
        <f t="shared" si="102"/>
        <v>0</v>
      </c>
      <c r="Y444" s="115">
        <f t="shared" si="103"/>
        <v>0</v>
      </c>
      <c r="Z444" s="115" t="e">
        <f t="shared" si="104"/>
        <v>#VALUE!</v>
      </c>
      <c r="AA444" s="115">
        <f t="shared" si="105"/>
        <v>0</v>
      </c>
      <c r="AB444" s="246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S444"/>
      <c r="AT444"/>
    </row>
    <row r="445" spans="15:50" s="115" customFormat="1">
      <c r="O445" s="91"/>
      <c r="X445" s="115">
        <f t="shared" si="102"/>
        <v>0</v>
      </c>
      <c r="Y445" s="115">
        <f t="shared" si="103"/>
        <v>0</v>
      </c>
      <c r="Z445" s="115" t="e">
        <f t="shared" si="104"/>
        <v>#VALUE!</v>
      </c>
      <c r="AA445" s="115">
        <f t="shared" si="105"/>
        <v>0</v>
      </c>
      <c r="AB445" s="246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S445"/>
      <c r="AT445"/>
    </row>
    <row r="446" spans="15:50" s="115" customFormat="1">
      <c r="O446" s="91"/>
      <c r="X446" s="115">
        <f t="shared" si="102"/>
        <v>0</v>
      </c>
      <c r="Y446" s="115">
        <f t="shared" si="103"/>
        <v>0</v>
      </c>
      <c r="Z446" s="115" t="e">
        <f t="shared" si="104"/>
        <v>#VALUE!</v>
      </c>
      <c r="AA446" s="115">
        <f t="shared" si="105"/>
        <v>0</v>
      </c>
      <c r="AB446" s="246"/>
      <c r="AD446"/>
      <c r="AH446" s="24" t="s">
        <v>266</v>
      </c>
    </row>
    <row r="447" spans="15:50" s="115" customFormat="1">
      <c r="O447" s="91"/>
      <c r="X447" s="115">
        <f t="shared" si="102"/>
        <v>0</v>
      </c>
      <c r="Y447" s="115">
        <f t="shared" si="103"/>
        <v>0</v>
      </c>
      <c r="Z447" s="115" t="e">
        <f t="shared" si="104"/>
        <v>#VALUE!</v>
      </c>
      <c r="AA447" s="115">
        <f t="shared" si="105"/>
        <v>0</v>
      </c>
      <c r="AB447" s="246"/>
      <c r="AD447"/>
      <c r="AE447" s="115" t="s">
        <v>311</v>
      </c>
      <c r="AF447" s="115" t="s">
        <v>9</v>
      </c>
      <c r="AG447" s="115" t="s">
        <v>8</v>
      </c>
      <c r="AH447" s="115" t="s">
        <v>19</v>
      </c>
      <c r="AI447" s="115" t="s">
        <v>310</v>
      </c>
      <c r="AJ447" s="115" t="s">
        <v>7</v>
      </c>
      <c r="AK447" s="115" t="s">
        <v>163</v>
      </c>
      <c r="AL447" s="115" t="s">
        <v>156</v>
      </c>
      <c r="AM447" s="115" t="s">
        <v>45</v>
      </c>
      <c r="AP447" s="115" t="s">
        <v>311</v>
      </c>
      <c r="AQ447" s="115" t="s">
        <v>9</v>
      </c>
      <c r="AR447" s="115" t="s">
        <v>8</v>
      </c>
      <c r="AS447" s="115" t="s">
        <v>19</v>
      </c>
      <c r="AT447" s="115" t="s">
        <v>310</v>
      </c>
      <c r="AU447" s="115" t="s">
        <v>7</v>
      </c>
      <c r="AV447" s="115" t="s">
        <v>163</v>
      </c>
      <c r="AW447" s="115" t="s">
        <v>156</v>
      </c>
      <c r="AX447" s="115" t="s">
        <v>45</v>
      </c>
    </row>
    <row r="448" spans="15:50" s="115" customFormat="1" ht="15.75">
      <c r="O448" s="91"/>
      <c r="X448" s="115">
        <f t="shared" si="102"/>
        <v>0</v>
      </c>
      <c r="Y448" s="115">
        <f t="shared" si="103"/>
        <v>0</v>
      </c>
      <c r="Z448" s="115" t="e">
        <f t="shared" si="104"/>
        <v>#VALUE!</v>
      </c>
      <c r="AA448" s="115">
        <f t="shared" si="105"/>
        <v>0</v>
      </c>
      <c r="AB448" s="246"/>
      <c r="AD448"/>
      <c r="AE448" s="179">
        <f>COUNTIFS(D:D,"AA",L:L,"-2;1",G:G,"STANTI",F:F,"ATONGOAL")+COUNTIFS(D:D,"AA",L:L,"-2;1",M:M,"STANTI",F:F,"ATONGOAL")+AE450</f>
        <v>0</v>
      </c>
      <c r="AF448" s="179">
        <f>COUNTIFS(D:D,"AA",L:L,"-2;1",G:G,"STANTI",F:F,"ATON")+COUNTIFS(D:D,"AA",L:L,"-2;1",M:M,"STANTI",F:F,"ATON")+AF450</f>
        <v>0</v>
      </c>
      <c r="AG448" s="179">
        <f>COUNTIFS(D:D,"AA",L:L,"-2;1",G:G,"STANTI",F:F,"ATOF")+COUNTIFS(D:D,"AA",L:L,"-2;1",M:M,"STANTI",F:F,"ATOF")+AG450</f>
        <v>0</v>
      </c>
      <c r="AH448" s="179">
        <f>COUNTIFS(D:D,"AA",L:L,"-2;1",G:G,"STANTI",F:F,"ATBK")+COUNTIFS(D:D,"AA",L:L,"-2;1",M:M,"STANTI",F:F,"ATBK")+AH450</f>
        <v>0</v>
      </c>
      <c r="AI448" s="179">
        <f>COUNTIFS(D:D,"AA",L:L,"-2;1",G:G,"STANTI",F:F,"ENTRY")+COUNTIFS(D:D,"AA",L:L,"-2;1",M:M,"STANTI",F:F,"ENTRY")+AI450</f>
        <v>0</v>
      </c>
      <c r="AJ448" s="179">
        <f>COUNTIFS(D:D,"AA",L:L,"-2;1",G:G,"STANTI",E:E,"POS",F:F,"WINSTAN")+COUNTIFS(D:D,"AA",L:L,"-2;1",G:G,"STANTI",E:E,"POS",F:F,"WINSTAN")+AJ450</f>
        <v>0</v>
      </c>
      <c r="AK448" s="179">
        <f>COUNTIFS(D:D,"AA",L:L,"-2;1",M:M,"STANTI",E:E,"POS",F:F,"WINSTANTI")+COUNTIFS(D:D,"AA",L:L,"-2;1",M:M,"STANTI",E:E,"POS",F:F,"WINSTANTI")+AK450</f>
        <v>0</v>
      </c>
      <c r="AL448" s="179">
        <f>COUNTIFS(D:D,"AA",L:L,"-2;1",G:G,"STANTI",F:F,"KEEPOS")+COUNTIFS(D:D,"AA",L:L,"-2;1",M:M,"STANTI",F:F,"KEEPOS")+AL450</f>
        <v>0</v>
      </c>
      <c r="AM448" s="179">
        <f>COUNTIFS(D:D,"AA",L:L,"-2;1",G:G,"STANTI")+COUNTIFS(D:D,"AA",L:L,"-2;1",M:M,"STANTI")+AM450</f>
        <v>0</v>
      </c>
      <c r="AN448" s="180"/>
      <c r="AO448" s="180"/>
      <c r="AP448" s="179">
        <f>COUNTIFS(D:D,"AA",L:L,"-2;-1",G:G,"STANTI",F:F,"ATONGOAL")+COUNTIFS(D:D,"AA",L:L,"-2;-1",M:M,"STANTI",F:F,"ATONGOAL")+AP450</f>
        <v>0</v>
      </c>
      <c r="AQ448" s="180">
        <f>COUNTIFS(D:D,"AA",L:L,"-2;-1",G:G,"STANTI",F:F,"ATON")+COUNTIFS(D:D,"AA",L:L,"-2;-1",M:M,"STANTI",F:F,"ATON")+AQ450</f>
        <v>0</v>
      </c>
      <c r="AR448" s="180">
        <f>COUNTIFS(D:D,"AA",L:L,"-2;-1",G:G,"STANTI",F:F,"ATOF")+COUNTIFS(D:D,"AA",L:L,"-2;-1",M:M,"STANTI",F:F,"ATOF")+AR450</f>
        <v>0</v>
      </c>
      <c r="AS448" s="180">
        <f>COUNTIFS(D:D,"AA",L:L,"-2;-1",G:G,"STANTI",F:F,"ATBK")+COUNTIFS(D:D,"AA",L:L,"-2;-1",M:M,"STANTI",F:F,"ATBK")+AS450</f>
        <v>0</v>
      </c>
      <c r="AT448" s="179">
        <f>COUNTIFS(D:D,"AA",L:L,"-2;-1",G:G,"STANTI",F:F,"ENTRY")+COUNTIFS(D:D,"AA",L:L,"-2;-1",M:M,"STANTI",F:F,"ENTRY")+AT450</f>
        <v>0</v>
      </c>
      <c r="AU448" s="179">
        <f>COUNTIFS(D:D,"AA",L:L,"-2;-1",G:G,"STANTI",E:E,"POS",F:F,"WINSTAN")+COUNTIFS(D:D,"AA",L:L,"-2;-1",G:G,"STANTI",E:E,"POS",F:F,"WINSTAN")+AU450</f>
        <v>0</v>
      </c>
      <c r="AV448" s="179">
        <f>COUNTIFS(D:D,"AA",L:L,"-2;-1",M:M,"STANTI",E:E,"POS",F:F,"WINSTANTI")+COUNTIFS(D:D,"AA",L:L,"-2;-1",M:M,"STANTI",E:E,"POS",F:F,"WINSTANTI")+AV450</f>
        <v>0</v>
      </c>
      <c r="AW448" s="179">
        <f>COUNTIFS(D:D,"AA",L:L,"-2;-1",G:G,"STANTI",F:F,"KEEPOS")+COUNTIFS(D:D,"AA",L:L,"-2;-1",M:M,"STANTI",F:F,"KEEPOS")+AW450</f>
        <v>0</v>
      </c>
      <c r="AX448" s="180">
        <f>COUNTIFS(D:D,"AA",L:L,"-2;-1",G:G,"STANTI")+COUNTIFS(D:D,"AA",L:L,"-2;-1",M:M,"STANTI")+AX450</f>
        <v>0</v>
      </c>
    </row>
    <row r="449" spans="15:50" s="115" customFormat="1">
      <c r="O449" s="91"/>
      <c r="X449" s="115">
        <f t="shared" si="102"/>
        <v>0</v>
      </c>
      <c r="Y449" s="115">
        <f t="shared" si="103"/>
        <v>0</v>
      </c>
      <c r="Z449" s="115" t="e">
        <f t="shared" si="104"/>
        <v>#VALUE!</v>
      </c>
      <c r="AA449" s="115">
        <f t="shared" si="105"/>
        <v>0</v>
      </c>
      <c r="AB449" s="246"/>
      <c r="AD449"/>
      <c r="AE449" s="181">
        <f>COUNTIFS(D:D,"DD",L:L,"-2;1",G:G,"STANTI",F:F,"ATONGOAL")+COUNTIFS(D:D,"DD",L:L,"-2;1",M:M,"STANTI",F:F,"ATONGOAL")+AE451</f>
        <v>0</v>
      </c>
      <c r="AF449" s="181">
        <f>COUNTIFS(D:D,"DD",L:L,"-2;1",G:G,"STANTI",F:F,"ATON")+COUNTIFS(D:D,"DD",L:L,"-2;1",M:M,"STANTI",F:F,"ATON")+AF451</f>
        <v>0</v>
      </c>
      <c r="AG449" s="181">
        <f>COUNTIFS(D:D,"DD",L:L,"-2;1",G:G,"STANTI",F:F,"ATOF")+COUNTIFS(D:D,"DD",L:L,"-2;1",M:M,"STANTI",F:F,"ATOF")+AG451</f>
        <v>0</v>
      </c>
      <c r="AH449" s="181">
        <f>COUNTIFS(D:D,"DD",L:L,"-2;1",G:G,"STANTI",F:F,"ATBK")+COUNTIFS(D:D,"DD",L:L,"-2;1",M:M,"STANTI",F:F,"ATBK")+AH451</f>
        <v>0</v>
      </c>
      <c r="AI449" s="181">
        <f>COUNTIFS(D:D,"DD",L:L,"-2;1",G:G,"STANTI",F:F,"ENTRY")+COUNTIFS(D:D,"DD",L:L,"-2;1",M:M,"STANTI",F:F,"ENTRY")+AI451</f>
        <v>0</v>
      </c>
      <c r="AJ449" s="181">
        <f>COUNTIFS(D:D,"DD",L:L,"-2;1",G:G,"STANTI",E:E,"NEG",F:F,"WINSTAN")+COUNTIFS(D:D,"DD",L:L,"-2;1",G:G,"STANTI",E:E,"NEG",F:F,"WINSTAN")+AJ451</f>
        <v>0</v>
      </c>
      <c r="AK449" s="181">
        <f>COUNTIFS(D:D,"DD",L:L,"-2;1",M:M,"STANTI",E:E,"NEG",F:F,"WINSTANTI")+COUNTIFS(D:D,"DD",L:L,"-2;1",M:M,"STANTI",E:E,"NEG",F:F,"WINSTANTI")+AK451</f>
        <v>0</v>
      </c>
      <c r="AL449" s="181">
        <f>COUNTIFS(D:D,"DD",L:L,"-2;1",G:G,"STANTI",F:F,"KEEPOS")+COUNTIFS(D:D,"DD",L:L,"-2;1",M:M,"STANTI",F:F,"KEEPOS")+AL451</f>
        <v>0</v>
      </c>
      <c r="AM449" s="181">
        <f>COUNTIFS(D:D,"DD",L:L,"-2;1",G:G,"STANTI")+COUNTIFS(D:D,"DD",L:L,"-2;1",M:M,"STANTI")+AM451</f>
        <v>0</v>
      </c>
      <c r="AN449" s="182"/>
      <c r="AO449" s="182"/>
      <c r="AP449" s="181">
        <f>COUNTIFS(D:D,"DD",L:L,"-2;-1",G:G,"STANTI",F:F,"ATONGOAL")+COUNTIFS(D:D,"DD",L:L,"-2;-1",M:M,"STANTI",F:F,"ATONGOAL")+AP451</f>
        <v>0</v>
      </c>
      <c r="AQ449" s="182">
        <f>COUNTIFS(D:D,"DD",L:L,"-2;-1",G:G,"STANTI",F:F,"ATON")+COUNTIFS(D:D,"DD",L:L,"-2;-1",M:M,"STANTI",F:F,"ATON")+AQ451</f>
        <v>0</v>
      </c>
      <c r="AR449" s="182">
        <f>COUNTIFS(D:D,"DD",L:L,"-2;-1",G:G,"STANTI",F:F,"ATOF")+COUNTIFS(D:D,"DD",L:L,"-2;-1",M:M,"STANTI",F:F,"ATOF")+AR451</f>
        <v>0</v>
      </c>
      <c r="AS449" s="182">
        <f>COUNTIFS(D:D,"DD",L:L,"-2;-1",G:G,"STANTI",F:F,"ATBK")+COUNTIFS(D:D,"DD",L:L,"-2;-1",M:M,"STANTI",F:F,"ATBK")+AS451</f>
        <v>0</v>
      </c>
      <c r="AT449" s="181">
        <f>COUNTIFS(D:D,"DD",L:L,"-2;-1",G:G,"STANTI",F:F,"ENTRY")+COUNTIFS(D:D,"DD",L:L,"-2;-1",M:M,"STANTI",F:F,"ENTRY")+AT451</f>
        <v>0</v>
      </c>
      <c r="AU449" s="181">
        <f>COUNTIFS(D:D,"DD",L:L,"-2;-1",G:G,"STANTI",E:E,"NEG",F:F,"WINSTAN")+COUNTIFS(D:D,"DD",L:L,"-2;-1",G:G,"STANTI",E:E,"NEG",F:F,"WINSTAN")+AU451</f>
        <v>0</v>
      </c>
      <c r="AV449" s="181">
        <f>COUNTIFS(D:D,"DD",L:L,"-2;-1",M:M,"STANTI",E:E,"NEG",F:F,"WINSTANTI")+COUNTIFS(D:D,"DD",L:L,"-2;-1",M:M,"STANTI",E:E,"NEG",F:F,"WINSTANTI")+AV451</f>
        <v>0</v>
      </c>
      <c r="AW449" s="181">
        <f>COUNTIFS(D:D,"DD",L:L,"-2;-1",G:G,"STANTI",F:F,"KEEPOS")+COUNTIFS(D:D,"DD",L:L,"-2;-1",M:M,"STANTI",F:F,"KEEPOS")+AW451</f>
        <v>0</v>
      </c>
      <c r="AX449" s="182">
        <f>COUNTIFS(D:D,"DD",L:L,"-2;-1",G:G,"STANTI")+COUNTIFS(D:D,"DD",L:L,"-2;-1",M:M,"STANTI")+AX451</f>
        <v>0</v>
      </c>
    </row>
    <row r="450" spans="15:50" s="115" customFormat="1" ht="15.75">
      <c r="O450" s="91"/>
      <c r="X450" s="115">
        <f t="shared" si="102"/>
        <v>0</v>
      </c>
      <c r="Y450" s="115">
        <f t="shared" si="103"/>
        <v>0</v>
      </c>
      <c r="Z450" s="115" t="e">
        <f t="shared" si="104"/>
        <v>#VALUE!</v>
      </c>
      <c r="AA450" s="115">
        <f t="shared" si="105"/>
        <v>0</v>
      </c>
      <c r="AB450" s="246"/>
      <c r="AD450"/>
      <c r="AE450" s="179">
        <f>COUNTIFS(D:D,"AA",L:L,"-1;1",G:G,"STANTI",F:F,"ATONGOAL")+COUNTIFS(D:D,"AA",L:L,"-1;1",M:M,"STANTI",F:F,"ATONGOAL")</f>
        <v>0</v>
      </c>
      <c r="AF450" s="179">
        <f>COUNTIFS(D:D,"AA",L:L,"-1;1",G:G,"STANTI",F:F,"ATON")+COUNTIFS(D:D,"AA",L:L,"-1;1",M:M,"STANTI",F:F,"ATON")</f>
        <v>0</v>
      </c>
      <c r="AG450" s="179">
        <f>COUNTIFS(D:D,"AA",L:L,"-1;1",G:G,"STANTI",F:F,"ATOF")+COUNTIFS(D:D,"AA",L:L,"-1;1",M:M,"STANTI",F:F,"ATOF")</f>
        <v>0</v>
      </c>
      <c r="AH450" s="179">
        <f>COUNTIFS(D:D,"AA",L:L,"-1;1",G:G,"STANTI",F:F,"ATBK")+COUNTIFS(D:D,"AA",L:L,"-1;1",M:M,"STANTI",F:F,"ATBK")</f>
        <v>0</v>
      </c>
      <c r="AI450" s="179">
        <f>COUNTIFS(D:D,"AA",L:L,"-1;1",G:G,"STANTI",F:F,"ENTRY")+COUNTIFS(D:D,"AA",L:L,"-1;1",M:M,"STANTI",F:F,"ENTRY")</f>
        <v>0</v>
      </c>
      <c r="AJ450" s="179">
        <f>COUNTIFS(D:D,"AA",L:L,"-1;1",G:G,"STANTI",E:E,"POS",F:F,"WINSTAN")+COUNTIFS(D:D,"AA",L:L,"-1;1",G:G,"STANTI",E:E,"POS",F:F,"WINSTAN")</f>
        <v>0</v>
      </c>
      <c r="AK450" s="179">
        <f>COUNTIFS(D:D,"AA",L:L,"-1;1",M:M,"STANTI",E:E,"POS",F:F,"WINSTANTI")+COUNTIFS(D:D,"AA",L:L,"-1;1",M:M,"STANTI",E:E,"POS",F:F,"WINSTANTI")</f>
        <v>0</v>
      </c>
      <c r="AL450" s="179">
        <f>COUNTIFS(D:D,"AA",L:L,"-1;1",G:G,"STANTI",F:F,"KEEPOS")+COUNTIFS(D:D,"AA",L:L,"-1;1",M:M,"STANTI",F:F,"KEEPOS")</f>
        <v>0</v>
      </c>
      <c r="AM450" s="179">
        <f>COUNTIFS(D:D,"AA",L:L,"-1;1",G:G,"STANTI")+COUNTIFS(D:D,"AA",L:L,"-1;1",M:M,"STANTI")</f>
        <v>0</v>
      </c>
      <c r="AN450" s="180"/>
      <c r="AO450" s="180"/>
      <c r="AP450" s="179">
        <f>COUNTIFS(D:D,"AA",L:L,"-1;-1",G:G,"STANTI",F:F,"ATONGOAL")+COUNTIFS(D:D,"AA",L:L,"-1;-1",M:M,"STANTI",F:F,"ATONGOAL")</f>
        <v>0</v>
      </c>
      <c r="AQ450" s="180">
        <f>COUNTIFS(D:D,"AA",L:L,"-1;-1",G:G,"STANTI",F:F,"ATON")+COUNTIFS(D:D,"AA",L:L,"-1;-1",M:M,"STANTI",F:F,"ATON")</f>
        <v>0</v>
      </c>
      <c r="AR450" s="180">
        <f>COUNTIFS(D:D,"AA",L:L,"-1;-1",G:G,"STANTI",F:F,"ATOF")+COUNTIFS(D:D,"AA",L:L,"-1;-1",M:M,"STANTI",F:F,"ATOF")</f>
        <v>0</v>
      </c>
      <c r="AS450" s="180">
        <f>COUNTIFS(D:D,"AA",L:L,"-1;-1",G:G,"STANTI",F:F,"ATBK")+COUNTIFS(D:D,"AA",L:L,"-1;-1",M:M,"STANTI",F:F,"ATBK")</f>
        <v>0</v>
      </c>
      <c r="AT450" s="179">
        <f>COUNTIFS(D:D,"AA",L:L,"-1;-1",G:G,"STANTI",F:F,"ENTRY")+COUNTIFS(D:D,"AA",L:L,"-1;-1",M:M,"STANTI",F:F,"ENTRY")</f>
        <v>0</v>
      </c>
      <c r="AU450" s="179">
        <f>COUNTIFS(D:D,"AA",L:L,"-1;-1",G:G,"STANTI",E:E,"POS",F:F,"WINSTAN")+COUNTIFS(D:D,"AA",L:L,"-1;-1",G:G,"STANTI",E:E,"POS",F:F,"WINSTAN")</f>
        <v>0</v>
      </c>
      <c r="AV450" s="179">
        <f>COUNTIFS(D:D,"AA",L:L,"-1;-1",M:M,"STANTI",E:E,"POS",F:F,"WINSTANTI")+COUNTIFS(D:D,"AA",L:L,"-1;-1",M:M,"STANTI",E:E,"POS",F:F,"WINSTANTI")</f>
        <v>0</v>
      </c>
      <c r="AW450" s="179">
        <f>COUNTIFS(D:D,"AA",L:L,"-1;-1",G:G,"STANTI",F:F,"KEEPOS")+COUNTIFS(D:D,"AA",L:L,"-1;-1",M:M,"STANTI",F:F,"KEEPOS")</f>
        <v>0</v>
      </c>
      <c r="AX450" s="180">
        <f>COUNTIFS(D:D,"AA",L:L,"-1;-1",G:G,"STANTI")+COUNTIFS(D:D,"AA",L:L,"-1;-1",M:M,"STANTI")</f>
        <v>0</v>
      </c>
    </row>
    <row r="451" spans="15:50" s="115" customFormat="1">
      <c r="O451" s="91"/>
      <c r="X451" s="115">
        <f t="shared" ref="X451:X514" si="106">mapValues(E451,F451,"P265")</f>
        <v>0</v>
      </c>
      <c r="Y451" s="115">
        <f t="shared" ref="Y451:Y514" si="107">X450+X451</f>
        <v>0</v>
      </c>
      <c r="Z451" s="115" t="e">
        <f t="shared" ref="Z451:Z514" si="108">VALUE(MID(B451,FIND(" ",B451)+1,FIND(" ",B451,FIND(" ",B451)+1)-FIND(" ",B451)))</f>
        <v>#VALUE!</v>
      </c>
      <c r="AA451" s="115">
        <f t="shared" ref="AA451:AA514" si="109">T451/1000</f>
        <v>0</v>
      </c>
      <c r="AB451" s="246"/>
      <c r="AD451"/>
      <c r="AE451" s="181">
        <f>COUNTIFS(D:D,"DD",L:L,"-1;1",G:G,"STANTI",F:F,"ATONGOAL")+COUNTIFS(D:D,"DD",L:L,"-1;1",M:M,"STANTI",F:F,"ATONGOAL")</f>
        <v>0</v>
      </c>
      <c r="AF451" s="181">
        <f>COUNTIFS(D:D,"DD",L:L,"-1;1",G:G,"STANTI",F:F,"ATON")+COUNTIFS(D:D,"DD",L:L,"-1;1",M:M,"STANTI",F:F,"ATON")</f>
        <v>0</v>
      </c>
      <c r="AG451" s="181">
        <f>COUNTIFS(D:D,"DD",L:L,"-1;1",G:G,"STANTI",F:F,"ATOF")+COUNTIFS(D:D,"DD",L:L,"-1;1",M:M,"STANTI",F:F,"ATOF")</f>
        <v>0</v>
      </c>
      <c r="AH451" s="181">
        <f>COUNTIFS(D:D,"DD",L:L,"-1;1",G:G,"STANTI",F:F,"ATBK")+COUNTIFS(D:D,"DD",L:L,"-1;1",M:M,"STANTI",F:F,"ATBK")</f>
        <v>0</v>
      </c>
      <c r="AI451" s="181">
        <f>COUNTIFS(D:D,"DD",L:L,"-1;1",G:G,"STANTI",F:F,"ENTRY")+COUNTIFS(D:D,"DD",L:L,"-1;1",M:M,"STANTI",F:F,"ENTRY")</f>
        <v>0</v>
      </c>
      <c r="AJ451" s="181">
        <f>COUNTIFS(D:D,"DD",L:L,"-1;1",G:G,"STANTI",E:E,"NEG",F:F,"WINSTAN")+COUNTIFS(D:D,"DD",L:L,"-1;1",G:G,"STANTI",E:E,"NEG",F:F,"WINSTAN")</f>
        <v>0</v>
      </c>
      <c r="AK451" s="181">
        <f>COUNTIFS(D:D,"DD",L:L,"-1;1",M:M,"STANTI",E:E,"NEG",F:F,"WINSTANTI")+COUNTIFS(D:D,"DD",L:L,"-1;1",M:M,"STANTI",E:E,"NEG",F:F,"WINSTANTI")</f>
        <v>0</v>
      </c>
      <c r="AL451" s="181">
        <f>COUNTIFS(D:D,"DD",L:L,"-1;1",G:G,"STANTI",F:F,"KEEPOS")+COUNTIFS(D:D,"DD",L:L,"-1;1",M:M,"STANTI",F:F,"KEEPOS")</f>
        <v>0</v>
      </c>
      <c r="AM451" s="181">
        <f>COUNTIFS(D:D,"DD",L:L,"-1;1",G:G,"STANTI")+COUNTIFS(D:D,"DD",L:L,"-1;1",M:M,"STANTI")</f>
        <v>0</v>
      </c>
      <c r="AN451" s="182"/>
      <c r="AO451" s="182"/>
      <c r="AP451" s="181">
        <f>COUNTIFS(D:D,"DD",L:L,"-1;-1",G:G,"STANTI",F:F,"ATONGOAL")+COUNTIFS(D:D,"DD",L:L,"-1;-1",M:M,"STANTI",F:F,"ATONGOAL")</f>
        <v>0</v>
      </c>
      <c r="AQ451" s="182">
        <f>COUNTIFS(D:D,"DD",L:L,"-1;-1",G:G,"STANTI",F:F,"ATON")+COUNTIFS(D:D,"DD",L:L,"-1;-1",M:M,"STANTI",F:F,"ATON")</f>
        <v>0</v>
      </c>
      <c r="AR451" s="182">
        <f>COUNTIFS(D:D,"DD",L:L,"-1;-1",G:G,"STANTI",F:F,"ATOF")+COUNTIFS(D:D,"DD",L:L,"-1;-1",M:M,"STANTI",F:F,"ATOF")</f>
        <v>0</v>
      </c>
      <c r="AS451" s="182">
        <f>COUNTIFS(D:D,"DD",L:L,"-1;-1",G:G,"STANTI",F:F,"ATBK")+COUNTIFS(D:D,"DD",L:L,"-1;-1",M:M,"STANTI",F:F,"ATBK")</f>
        <v>0</v>
      </c>
      <c r="AT451" s="181">
        <f>COUNTIFS(D:D,"DD",L:L,"-1;-1",G:G,"STANTI",F:F,"ENTRY")+COUNTIFS(D:D,"DD",L:L,"-1;-1",M:M,"STANTI",F:F,"ENTRY")</f>
        <v>0</v>
      </c>
      <c r="AU451" s="181">
        <f>COUNTIFS(D:D,"DD",L:L,"-1;-1",G:G,"STANTI",E:E,"NEG",F:F,"WINSTAN")+COUNTIFS(D:D,"DD",L:L,"-1;-1",G:G,"STANTI",E:E,"NEG",F:F,"WINSTAN")</f>
        <v>0</v>
      </c>
      <c r="AV451" s="181">
        <f>COUNTIFS(D:D,"DD",L:L,"-1;-1",M:M,"STANTI",E:E,"NEG",F:F,"WINSTANTI")+COUNTIFS(D:D,"DD",L:L,"-1;-1",M:M,"STANTI",E:E,"NEG",F:F,"WINSTANTI")</f>
        <v>0</v>
      </c>
      <c r="AW451" s="181">
        <f>COUNTIFS(D:D,"DD",L:L,"-1;-1",G:G,"STANTI",F:F,"KEEPOS")+COUNTIFS(D:D,"DD",L:L,"-1;-1",M:M,"STANTI",F:F,"KEEPOS")</f>
        <v>0</v>
      </c>
      <c r="AX451" s="182">
        <f>COUNTIFS(D:D,"DD",L:L,"-1;-1",G:G,"STANTI")+COUNTIFS(D:D,"DD",L:L,"-1;-1",M:M,"STANTI")</f>
        <v>0</v>
      </c>
    </row>
    <row r="452" spans="15:50" s="115" customFormat="1" ht="15.75">
      <c r="O452" s="91"/>
      <c r="X452" s="115">
        <f t="shared" si="106"/>
        <v>0</v>
      </c>
      <c r="Y452" s="115">
        <f t="shared" si="107"/>
        <v>0</v>
      </c>
      <c r="Z452" s="115" t="e">
        <f t="shared" si="108"/>
        <v>#VALUE!</v>
      </c>
      <c r="AA452" s="115">
        <f t="shared" si="109"/>
        <v>0</v>
      </c>
      <c r="AB452" s="246"/>
      <c r="AD452"/>
      <c r="AE452" s="179">
        <f>COUNTIFS(D:D,"AA",L:L,"0;1",G:G,"STANTI",F:F,"ATONGOAL")+COUNTIFS(D:D,"AA",L:L,"0;1",M:M,"STANTI",F:F,"ATONGOAL")</f>
        <v>0</v>
      </c>
      <c r="AF452" s="179">
        <f>COUNTIFS(D:D,"AA",L:L,"0;1",G:G,"STANTI",F:F,"ATON")+COUNTIFS(D:D,"AA",L:L,"0;1",M:M,"STANTI",F:F,"ATON")</f>
        <v>0</v>
      </c>
      <c r="AG452" s="179">
        <f>COUNTIFS(D:D,"AA",L:L,"0;1",G:G,"STANTI",F:F,"ATOF")+COUNTIFS(D:D,"AA",L:L,"0;1",M:M,"STANTI",F:F,"ATOF")</f>
        <v>0</v>
      </c>
      <c r="AH452" s="179">
        <f>COUNTIFS(D:D,"AA",L:L,"0;1",G:G,"STANTI",F:F,"ATBK")+COUNTIFS(D:D,"AA",L:L,"0;1",M:M,"STANTI",F:F,"ATBK")</f>
        <v>0</v>
      </c>
      <c r="AI452" s="179">
        <f>COUNTIFS(D:D,"AA",L:L,"0;1",G:G,"STANTI",F:F,"ENTRY")+COUNTIFS(D:D,"AA",L:L,"0;1",M:M,"STANTI",F:F,"ENTRY")</f>
        <v>0</v>
      </c>
      <c r="AJ452" s="179">
        <f>COUNTIFS(D:D,"AA",L:L,"0;1",G:G,"STANTI",E:E,"POS",F:F,"WINSTAN")+COUNTIFS(D:D,"AA",L:L,"0;1",G:G,"STANTI",E:E,"POS",F:F,"WINSTAN")</f>
        <v>0</v>
      </c>
      <c r="AK452" s="179">
        <f>COUNTIFS(D:D,"AA",L:L,"0;1",M:M,"STANTI",E:E,"POS",F:F,"WINSTANTI")+COUNTIFS(D:D,"AA",L:L,"0;1",M:M,"STANTI",E:E,"POS",F:F,"WINSTANTI")</f>
        <v>0</v>
      </c>
      <c r="AL452" s="179">
        <f>COUNTIFS(D:D,"AA",L:L,"0;1",G:G,"STANTI",F:F,"KEEPOS")+COUNTIFS(D:D,"AA",L:L,"0;1",M:M,"STANTI",F:F,"KEEPOS")</f>
        <v>0</v>
      </c>
      <c r="AM452" s="179">
        <f>COUNTIFS(D:D,"AA",L:L,"0;1",G:G,"STANTI")+COUNTIFS(D:D,"AA",L:L,"0;1",M:M,"STANTI")</f>
        <v>0</v>
      </c>
      <c r="AN452" s="180"/>
      <c r="AO452" s="180"/>
      <c r="AP452" s="179">
        <f>COUNTIFS(D:D,"AA",L:L,"0;-1",G:G,"STANTI",F:F,"ATONGOAL")+COUNTIFS(D:D,"AA",L:L,"0;-1",M:M,"STANTI",F:F,"ATONGOAL")</f>
        <v>0</v>
      </c>
      <c r="AQ452" s="180">
        <f>COUNTIFS(D:D,"AA",L:L,"0;-1",G:G,"STANTI",F:F,"ATON")+COUNTIFS(D:D,"AA",L:L,"0;-1",M:M,"STANTI",F:F,"ATON")</f>
        <v>0</v>
      </c>
      <c r="AR452" s="180">
        <f>COUNTIFS(D:D,"AA",L:L,"0;-1",G:G,"STANTI",F:F,"ATOF")+COUNTIFS(D:D,"AA",L:L,"0;-1",M:M,"STANTI",F:F,"ATOF")</f>
        <v>0</v>
      </c>
      <c r="AS452" s="180">
        <f>COUNTIFS(D:D,"AA",L:L,"0;-1",G:G,"STANTI",F:F,"ATBK")+COUNTIFS(D:D,"AA",L:L,"0;-1",M:M,"STANTI",F:F,"ATBK")</f>
        <v>0</v>
      </c>
      <c r="AT452" s="179">
        <f>COUNTIFS(D:D,"AA",L:L,"0;-1",G:G,"STANTI",F:F,"ENTRY")+COUNTIFS(D:D,"AA",L:L,"0;-1",M:M,"STANTI",F:F,"ENTRY")</f>
        <v>0</v>
      </c>
      <c r="AU452" s="179">
        <f>COUNTIFS(D:D,"AA",L:L,"0;-1",G:G,"STANTI",E:E,"POS",F:F,"WINSTAN")+COUNTIFS(D:D,"AA",L:L,"0;-1",G:G,"STANTI",E:E,"POS",F:F,"WINSTAN")</f>
        <v>0</v>
      </c>
      <c r="AV452" s="179">
        <f>COUNTIFS(D:D,"AA",L:L,"0;-1",M:M,"STANTI",E:E,"POS",F:F,"WINSTANTI")+COUNTIFS(D:D,"AA",L:L,"0;-1",M:M,"STANTI",E:E,"POS",F:F,"WINSTANTI")</f>
        <v>0</v>
      </c>
      <c r="AW452" s="179">
        <f>COUNTIFS(D:D,"AA",L:L,"0;-1",G:G,"STANTI",F:F,"KEEPOS")+COUNTIFS(D:D,"AA",L:L,"0;-1",M:M,"STANTI",F:F,"KEEPOS")</f>
        <v>0</v>
      </c>
      <c r="AX452" s="180">
        <f>COUNTIFS(D:D,"AA",L:L,"0;-1",G:G,"STANTI")+COUNTIFS(D:D,"AA",L:L,"0;-1",M:M,"STANTI")</f>
        <v>0</v>
      </c>
    </row>
    <row r="453" spans="15:50" s="115" customFormat="1">
      <c r="O453" s="91"/>
      <c r="X453" s="115">
        <f t="shared" si="106"/>
        <v>0</v>
      </c>
      <c r="Y453" s="115">
        <f t="shared" si="107"/>
        <v>0</v>
      </c>
      <c r="Z453" s="115" t="e">
        <f t="shared" si="108"/>
        <v>#VALUE!</v>
      </c>
      <c r="AA453" s="115">
        <f t="shared" si="109"/>
        <v>0</v>
      </c>
      <c r="AB453" s="246"/>
      <c r="AD453"/>
      <c r="AE453" s="181">
        <f>COUNTIFS(D:D,"DD",L:L,"0;1",G:G,"STANTI",F:F,"ATONGOAL")+COUNTIFS(D:D,"DD",L:L,"0;1",M:M,"STANTI",F:F,"ATONGOAL")</f>
        <v>0</v>
      </c>
      <c r="AF453" s="181">
        <f>COUNTIFS(D:D,"DD",L:L,"0;1",G:G,"STANTI",F:F,"ATON")+COUNTIFS(D:D,"DD",L:L,"0;1",M:M,"STANTI",F:F,"ATON")</f>
        <v>0</v>
      </c>
      <c r="AG453" s="181">
        <f>COUNTIFS(D:D,"DD",L:L,"0;1",G:G,"STANTI",F:F,"ATOF")+COUNTIFS(D:D,"DD",L:L,"0;1",M:M,"STANTI",F:F,"ATOF")</f>
        <v>0</v>
      </c>
      <c r="AH453" s="181">
        <f>COUNTIFS(D:D,"DD",L:L,"0;1",G:G,"STANTI",F:F,"ATBK")+COUNTIFS(D:D,"DD",L:L,"0;1",M:M,"STANTI",F:F,"ATBK")</f>
        <v>0</v>
      </c>
      <c r="AI453" s="181">
        <f>COUNTIFS(D:D,"DD",L:L,"0;1",G:G,"STANTI",F:F,"ENTRY")+COUNTIFS(D:D,"DD",L:L,"0;1",M:M,"STANTI",F:F,"ENTRY")</f>
        <v>0</v>
      </c>
      <c r="AJ453" s="181">
        <f>COUNTIFS(D:D,"DD",L:L,"0;1",G:G,"STANTI",E:E,"NEG",F:F,"WINSTAN")+COUNTIFS(D:D,"DD",L:L,"0;1",G:G,"STANTI",E:E,"NEG",F:F,"WINSTAN")</f>
        <v>0</v>
      </c>
      <c r="AK453" s="181">
        <f>COUNTIFS(D:D,"DD",L:L,"0;1",M:M,"STANTI",E:E,"NEG",F:F,"WINSTANTI")+COUNTIFS(D:D,"DD",L:L,"0;1",M:M,"STANTI",E:E,"NEG",F:F,"WINSTANTI")</f>
        <v>0</v>
      </c>
      <c r="AL453" s="181">
        <f>COUNTIFS(D:D,"DD",L:L,"0;1",G:G,"STANTI",F:F,"KEEPOS")+COUNTIFS(D:D,"DD",L:L,"0;1",M:M,"STANTI",F:F,"KEEPOS")</f>
        <v>0</v>
      </c>
      <c r="AM453" s="181">
        <f>COUNTIFS(D:D,"DD",L:L,"0;1",G:G,"STANTI")+COUNTIFS(D:D,"DD",L:L,"0;1",M:M,"STANTI")</f>
        <v>0</v>
      </c>
      <c r="AN453" s="182"/>
      <c r="AO453" s="182"/>
      <c r="AP453" s="181">
        <f>COUNTIFS(D:D,"DD",L:L,"0;-1",G:G,"STANTI",F:F,"ATONGOAL")+COUNTIFS(D:D,"DD",L:L,"0;-1",M:M,"STANTI",F:F,"ATONGOAL")</f>
        <v>0</v>
      </c>
      <c r="AQ453" s="182">
        <f>COUNTIFS(D:D,"DD",L:L,"0;-1",G:G,"STANTI",F:F,"ATON")+COUNTIFS(D:D,"DD",L:L,"0;-1",M:M,"STANTI",F:F,"ATON")</f>
        <v>0</v>
      </c>
      <c r="AR453" s="182">
        <f>COUNTIFS(D:D,"DD",L:L,"0;-1",G:G,"STANTI",F:F,"ATOF")+COUNTIFS(D:D,"DD",L:L,"0;-1",M:M,"STANTI",F:F,"ATOF")</f>
        <v>0</v>
      </c>
      <c r="AS453" s="182">
        <f>COUNTIFS(D:D,"DD",L:L,"0;-1",G:G,"STANTI",F:F,"ATBK")+COUNTIFS(D:D,"DD",L:L,"0;-1",M:M,"STANTI",F:F,"ATBK")</f>
        <v>0</v>
      </c>
      <c r="AT453" s="181">
        <f>COUNTIFS(D:D,"DD",L:L,"0;-1",G:G,"STANTI",F:F,"ENTRY")+COUNTIFS(D:D,"DD",L:L,"0;-1",M:M,"STANTI",F:F,"ENTRY")</f>
        <v>0</v>
      </c>
      <c r="AU453" s="181">
        <f>COUNTIFS(D:D,"DD",L:L,"0;-1",G:G,"STANTI",E:E,"NEG",F:F,"WINSTAN")+COUNTIFS(D:D,"DD",L:L,"0;-1",G:G,"STANTI",E:E,"NEG",F:F,"WINSTAN")</f>
        <v>0</v>
      </c>
      <c r="AV453" s="181">
        <f>COUNTIFS(D:D,"DD",L:L,"0;-1",M:M,"STANTI",E:E,"NEG",F:F,"WINSTANTI")+COUNTIFS(D:D,"DD",L:L,"0;-1",M:M,"STANTI",E:E,"NEG",F:F,"WINSTANTI")</f>
        <v>0</v>
      </c>
      <c r="AW453" s="181">
        <f>COUNTIFS(D:D,"DD",L:L,"0;-1",G:G,"STANTI",F:F,"KEEPOS")+COUNTIFS(D:D,"DD",L:L,"0;-1",M:M,"STANTI",F:F,"KEEPOS")</f>
        <v>0</v>
      </c>
      <c r="AX453" s="182">
        <f>COUNTIFS(D:D,"DD",L:L,"0;-1",G:G,"STANTI")+COUNTIFS(D:D,"DD",L:L,"0;-1",M:M,"STANTI")</f>
        <v>0</v>
      </c>
    </row>
    <row r="454" spans="15:50" s="115" customFormat="1" ht="15.75">
      <c r="O454" s="91"/>
      <c r="X454" s="115">
        <f t="shared" si="106"/>
        <v>0</v>
      </c>
      <c r="Y454" s="115">
        <f t="shared" si="107"/>
        <v>0</v>
      </c>
      <c r="Z454" s="115" t="e">
        <f t="shared" si="108"/>
        <v>#VALUE!</v>
      </c>
      <c r="AA454" s="115">
        <f t="shared" si="109"/>
        <v>0</v>
      </c>
      <c r="AB454" s="246"/>
      <c r="AD454"/>
      <c r="AE454" s="179">
        <f>COUNTIFS(D:D,"AA",L:L,"1;1",G:G,"STANTI",F:F,"ATONGOAL")+COUNTIFS(D:D,"AA",L:L,"1;1",M:M,"STANTI",F:F,"ATONGOAL")</f>
        <v>0</v>
      </c>
      <c r="AF454" s="179">
        <f>COUNTIFS(D:D,"AA",L:L,"1;1",G:G,"STANTI",F:F,"ATON")+COUNTIFS(D:D,"AA",L:L,"1;1",M:M,"STANTI",F:F,"ATON")</f>
        <v>0</v>
      </c>
      <c r="AG454" s="179">
        <f>COUNTIFS(D:D,"AA",L:L,"1;1",G:G,"STANTI",F:F,"ATOF")+COUNTIFS(D:D,"AA",L:L,"1;1",M:M,"STANTI",F:F,"ATOF")</f>
        <v>0</v>
      </c>
      <c r="AH454" s="179">
        <f>COUNTIFS(D:D,"AA",L:L,"1;1",G:G,"STANTI",F:F,"ATBK")+COUNTIFS(D:D,"AA",L:L,"1;1",M:M,"STANTI",F:F,"ATBK")</f>
        <v>0</v>
      </c>
      <c r="AI454" s="179">
        <f>COUNTIFS(D:D,"AA",L:L,"1;1",G:G,"STANTI",F:F,"ENTRY")+COUNTIFS(D:D,"AA",L:L,"1;1",M:M,"STANTI",F:F,"ENTRY")</f>
        <v>0</v>
      </c>
      <c r="AJ454" s="179">
        <f>COUNTIFS(D:D,"AA",L:L,"1;1",G:G,"STANTI",E:E,"POS",F:F,"WINSTAN")+COUNTIFS(D:D,"AA",L:L,"1;1",G:G,"STANTI",E:E,"POS",F:F,"WINSTAN")</f>
        <v>0</v>
      </c>
      <c r="AK454" s="179">
        <f>COUNTIFS(D:D,"AA",L:L,"1;1",M:M,"STANTI",E:E,"POS",F:F,"WINSTANTI")+COUNTIFS(D:D,"AA",L:L,"1;1",M:M,"STANTI",E:E,"POS",F:F,"WINSTANTI")</f>
        <v>0</v>
      </c>
      <c r="AL454" s="179">
        <f>COUNTIFS(D:D,"AA",L:L,"1;1",G:G,"STANTI",F:F,"KEEPOS")+COUNTIFS(D:D,"AA",L:L,"1;1",M:M,"STANTI",F:F,"KEEPOS")</f>
        <v>0</v>
      </c>
      <c r="AM454" s="179">
        <f>COUNTIFS(D:D,"AA",L:L,"1;1",G:G,"STANTI")+COUNTIFS(D:D,"AA",L:L,"1;1",M:M,"STANTI")</f>
        <v>0</v>
      </c>
      <c r="AN454" s="180"/>
      <c r="AO454" s="180"/>
      <c r="AP454" s="179">
        <f>COUNTIFS(D:D,"AA",L:L,"1;-1",G:G,"STANTI",F:F,"ATONGOAL")+COUNTIFS(D:D,"AA",L:L,"1;-1",M:M,"STANTI",F:F,"ATONGOAL")</f>
        <v>0</v>
      </c>
      <c r="AQ454" s="180">
        <f>COUNTIFS(D:D,"AA",L:L,"1;-1",G:G,"STANTI",F:F,"ATON")+COUNTIFS(D:D,"AA",L:L,"1;-1",M:M,"STANTI",F:F,"ATON")</f>
        <v>0</v>
      </c>
      <c r="AR454" s="180">
        <f>COUNTIFS(D:D,"AA",L:L,"1;-1",G:G,"STANTI",F:F,"ATOF")+COUNTIFS(D:D,"AA",L:L,"1;-1",M:M,"STANTI",F:F,"ATOF")</f>
        <v>0</v>
      </c>
      <c r="AS454" s="180">
        <f>COUNTIFS(D:D,"AA",L:L,"1;-1",G:G,"STANTI",F:F,"ATBK")+COUNTIFS(D:D,"AA",L:L,"1;-1",M:M,"STANTI",F:F,"ATBK")</f>
        <v>0</v>
      </c>
      <c r="AT454" s="179">
        <f>COUNTIFS(D:D,"AA",L:L,"1;-1",G:G,"STANTI",F:F,"ENTRY")+COUNTIFS(D:D,"AA",L:L,"1;-1",M:M,"STANTI",F:F,"ENTRY")</f>
        <v>0</v>
      </c>
      <c r="AU454" s="179">
        <f>COUNTIFS(D:D,"AA",L:L,"1;-1",G:G,"STANTI",E:E,"POS",F:F,"WINSTAN")+COUNTIFS(D:D,"AA",L:L,"1;-1",G:G,"STANTI",E:E,"POS",F:F,"WINSTAN")</f>
        <v>0</v>
      </c>
      <c r="AV454" s="179">
        <f>COUNTIFS(D:D,"AA",L:L,"1;-1",M:M,"STANTI",E:E,"POS",F:F,"WINSTANTI")+COUNTIFS(D:D,"AA",L:L,"1;-1",M:M,"STANTI",E:E,"POS",F:F,"WINSTANTI")</f>
        <v>0</v>
      </c>
      <c r="AW454" s="179">
        <f>COUNTIFS(D:D,"AA",L:L,"1;-1",G:G,"STANTI",F:F,"KEEPOS")+COUNTIFS(D:D,"AA",L:L,"1;-1",M:M,"STANTI",F:F,"KEEPOS")</f>
        <v>0</v>
      </c>
      <c r="AX454" s="180">
        <f>COUNTIFS(D:D,"AA",L:L,"1;-1",G:G,"STANTI")+COUNTIFS(D:D,"AA",L:L,"1;-1",M:M,"STANTI")</f>
        <v>0</v>
      </c>
    </row>
    <row r="455" spans="15:50" s="115" customFormat="1">
      <c r="O455" s="91"/>
      <c r="X455" s="115">
        <f t="shared" si="106"/>
        <v>0</v>
      </c>
      <c r="Y455" s="115">
        <f t="shared" si="107"/>
        <v>0</v>
      </c>
      <c r="Z455" s="115" t="e">
        <f t="shared" si="108"/>
        <v>#VALUE!</v>
      </c>
      <c r="AA455" s="115">
        <f t="shared" si="109"/>
        <v>0</v>
      </c>
      <c r="AB455" s="246"/>
      <c r="AD455"/>
      <c r="AE455" s="181">
        <f>COUNTIFS(D:D,"DD",L:L,"1;1",G:G,"STANTI",F:F,"ATONGOAL")+COUNTIFS(D:D,"DD",L:L,"1;1",M:M,"STANTI",F:F,"ATONGOAL")</f>
        <v>0</v>
      </c>
      <c r="AF455" s="181">
        <f>COUNTIFS(D:D,"DD",L:L,"1;1",G:G,"STANTI",F:F,"ATON")+COUNTIFS(D:D,"DD",L:L,"1;1",M:M,"STANTI",F:F,"ATON")</f>
        <v>0</v>
      </c>
      <c r="AG455" s="181">
        <f>COUNTIFS(D:D,"DD",L:L,"1;1",G:G,"STANTI",F:F,"ATOF")+COUNTIFS(D:D,"DD",L:L,"1;1",M:M,"STANTI",F:F,"ATOF")</f>
        <v>0</v>
      </c>
      <c r="AH455" s="181">
        <f>COUNTIFS(D:D,"DD",L:L,"1;1",G:G,"STANTI",F:F,"ATBK")+COUNTIFS(D:D,"DD",L:L,"1;1",M:M,"STANTI",F:F,"ATBK")</f>
        <v>0</v>
      </c>
      <c r="AI455" s="181">
        <f>COUNTIFS(D:D,"DD",L:L,"1;1",G:G,"STANTI",F:F,"ENTRY")+COUNTIFS(D:D,"DD",L:L,"1;1",M:M,"STANTI",F:F,"ENTRY")</f>
        <v>0</v>
      </c>
      <c r="AJ455" s="181">
        <f>COUNTIFS(D:D,"DD",L:L,"1;1",G:G,"STANTI",E:E,"NEG",F:F,"WINSTAN")+COUNTIFS(D:D,"DD",L:L,"1;1",G:G,"STANTI",E:E,"NEG",F:F,"WINSTAN")</f>
        <v>0</v>
      </c>
      <c r="AK455" s="181">
        <f>COUNTIFS(D:D,"DD",L:L,"1;1",M:M,"STANTI",E:E,"NEG",F:F,"WINSTANTI")+COUNTIFS(D:D,"DD",L:L,"1;1",M:M,"STANTI",E:E,"NEG",F:F,"WINSTANTI")</f>
        <v>0</v>
      </c>
      <c r="AL455" s="181">
        <f>COUNTIFS(D:D,"DD",L:L,"1;1",G:G,"STANTI",F:F,"KEEPOS")+COUNTIFS(D:D,"DD",L:L,"1;1",M:M,"STANTI",F:F,"KEEPOS")</f>
        <v>0</v>
      </c>
      <c r="AM455" s="336">
        <f>COUNTIFS(D:D,"DD",L:L,"1;1",G:G,"STANTI")+COUNTIFS(D:D,"DD",L:L,"1;1",M:M,"STANTI")+0.001</f>
        <v>1E-3</v>
      </c>
      <c r="AN455" s="182"/>
      <c r="AO455" s="182"/>
      <c r="AP455" s="181">
        <f>COUNTIFS(D:D,"DD",L:L,"1;-1",G:G,"STANTI",F:F,"ATONGOAL")+COUNTIFS(D:D,"DD",L:L,"1;-1",M:M,"STANTI",F:F,"ATONGOAL")</f>
        <v>0</v>
      </c>
      <c r="AQ455" s="182">
        <f>COUNTIFS(D:D,"DD",L:L,"1;-1",G:G,"STANTI",F:F,"ATON")+COUNTIFS(D:D,"DD",L:L,"1;-1",M:M,"STANTI",F:F,"ATON")</f>
        <v>0</v>
      </c>
      <c r="AR455" s="182">
        <f>COUNTIFS(D:D,"DD",L:L,"1;-1",G:G,"STANTI",F:F,"ATOF")+COUNTIFS(D:D,"DD",L:L,"1;-1",M:M,"STANTI",F:F,"ATOF")</f>
        <v>0</v>
      </c>
      <c r="AS455" s="182">
        <f>COUNTIFS(D:D,"DD",L:L,"1;-1",G:G,"STANTI",F:F,"ATBK")+COUNTIFS(D:D,"DD",L:L,"1;-1",M:M,"STANTI",F:F,"ATBK")</f>
        <v>0</v>
      </c>
      <c r="AT455" s="181">
        <f>COUNTIFS(D:D,"DD",L:L,"1;-1",G:G,"STANTI",F:F,"ENTRY")+COUNTIFS(D:D,"DD",L:L,"1;-1",M:M,"STANTI",F:F,"ENTRY")</f>
        <v>0</v>
      </c>
      <c r="AU455" s="181">
        <f>COUNTIFS(D:D,"DD",L:L,"1;-1",G:G,"STANTI",E:E,"NEG",F:F,"WINSTAN")+COUNTIFS(D:D,"DD",L:L,"1;-1",G:G,"STANTI",E:E,"NEG",F:F,"WINSTAN")</f>
        <v>0</v>
      </c>
      <c r="AV455" s="181">
        <f>COUNTIFS(D:D,"DD",L:L,"1;-1",M:M,"STANTI",E:E,"NEG",F:F,"WINSTANTI")+COUNTIFS(D:D,"DD",L:L,"1;-1",M:M,"STANTI",E:E,"NEG",F:F,"WINSTANTI")</f>
        <v>0</v>
      </c>
      <c r="AW455" s="181">
        <f>COUNTIFS(D:D,"DD",L:L,"1;-1",G:G,"STANTI",F:F,"KEEPOS")+COUNTIFS(D:D,"DD",L:L,"1;-1",M:M,"STANTI",F:F,"KEEPOS")</f>
        <v>0</v>
      </c>
      <c r="AX455" s="337">
        <f>COUNTIFS(D:D,"DD",L:L,"1;-1",G:G,"STANTI")+COUNTIFS(D:D,"DD",L:L,"1;-1",M:M,"STANTI")</f>
        <v>0</v>
      </c>
    </row>
    <row r="456" spans="15:50" s="115" customFormat="1" ht="15.75">
      <c r="O456" s="91"/>
      <c r="X456" s="115">
        <f t="shared" si="106"/>
        <v>0</v>
      </c>
      <c r="Y456" s="115">
        <f t="shared" si="107"/>
        <v>0</v>
      </c>
      <c r="Z456" s="115" t="e">
        <f t="shared" si="108"/>
        <v>#VALUE!</v>
      </c>
      <c r="AA456" s="115">
        <f t="shared" si="109"/>
        <v>0</v>
      </c>
      <c r="AB456" s="246"/>
      <c r="AD456"/>
      <c r="AE456" s="179">
        <f>COUNTIFS(D:D,"AA",L:L,"2;1",G:G,"STANTI",F:F,"ATONGOAL")+COUNTIFS(D:D,"AA",L:L,"2;1",M:M,"STANTI",F:F,"ATONGOAL")</f>
        <v>0</v>
      </c>
      <c r="AF456" s="179">
        <f>COUNTIFS(D:D,"AA",L:L,"2;1",G:G,"STANTI",F:F,"ATON")+COUNTIFS(D:D,"AA",L:L,"2;1",M:M,"STANTI",F:F,"ATON")</f>
        <v>0</v>
      </c>
      <c r="AG456" s="179">
        <f>COUNTIFS(D:D,"AA",L:L,"2;1",G:G,"STANTI",F:F,"ATOF")+COUNTIFS(D:D,"AA",L:L,"2;1",M:M,"STANTI",F:F,"ATOF")</f>
        <v>0</v>
      </c>
      <c r="AH456" s="179">
        <f>COUNTIFS(D:D,"AA",L:L,"2;1",G:G,"STANTI",F:F,"ATBK")+COUNTIFS(D:D,"AA",L:L,"2;1",M:M,"STANTI",F:F,"ATBK")</f>
        <v>0</v>
      </c>
      <c r="AI456" s="179">
        <f>COUNTIFS(D:D,"AA",L:L,"2;1",G:G,"STANTI",F:F,"ENTRY")+COUNTIFS(D:D,"AA",L:L,"2;1",M:M,"STANTI",F:F,"ENTRY")</f>
        <v>0</v>
      </c>
      <c r="AJ456" s="179">
        <f>COUNTIFS(D:D,"AA",L:L,"2;1",G:G,"STANTI",E:E,"POS",F:F,"WINSTAN")+COUNTIFS(D:D,"AA",L:L,"2;1",G:G,"STANTI",E:E,"POS",F:F,"WINSTAN")</f>
        <v>0</v>
      </c>
      <c r="AK456" s="179">
        <f>COUNTIFS(D:D,"AA",L:L,"2;1",M:M,"STANTI",E:E,"POS",F:F,"WINSTANTI")+COUNTIFS(D:D,"AA",L:L,"2;1",M:M,"STANTI",E:E,"POS",F:F,"WINSTANTI")</f>
        <v>0</v>
      </c>
      <c r="AL456" s="179">
        <f>COUNTIFS(D:D,"AA",L:L,"2;1",G:G,"STANTI",F:F,"KEEPOS")+COUNTIFS(D:D,"AA",L:L,"2;1",M:M,"STANTI",F:F,"KEEPOS")</f>
        <v>0</v>
      </c>
      <c r="AM456" s="179">
        <f>COUNTIFS(D:D,"AA",L:L,"2;1",G:G,"STANTI")+COUNTIFS(D:D,"AA",L:L,"2;1",M:M,"STANTI")</f>
        <v>0</v>
      </c>
      <c r="AN456" s="180"/>
      <c r="AO456" s="180"/>
      <c r="AP456" s="179">
        <f>COUNTIFS(D:D,"AA",L:L,"2;-1",G:G,"STANTI",F:F,"ATONGOAL")+COUNTIFS(D:D,"AA",L:L,"2;-1",M:M,"STANTI",F:F,"ATONGOAL")</f>
        <v>0</v>
      </c>
      <c r="AQ456" s="180">
        <f>COUNTIFS(D:D,"AA",L:L,"2;-1",G:G,"STANTI",F:F,"ATON")+COUNTIFS(D:D,"AA",L:L,"2;-1",M:M,"STANTI",F:F,"ATON")</f>
        <v>0</v>
      </c>
      <c r="AR456" s="180">
        <f>COUNTIFS(D:D,"AA",L:L,"2;-1",G:G,"STANTI",F:F,"ATOF")+COUNTIFS(D:D,"AA",L:L,"2;-1",M:M,"STANTI",F:F,"ATOF")</f>
        <v>0</v>
      </c>
      <c r="AS456" s="180">
        <f>COUNTIFS(D:D,"AA",L:L,"2;-1",G:G,"STANTI",F:F,"ATBK")+COUNTIFS(D:D,"AA",L:L,"2;-1",M:M,"STANTI",F:F,"ATBK")</f>
        <v>0</v>
      </c>
      <c r="AT456" s="179">
        <f>COUNTIFS(D:D,"AA",L:L,"2;-1",G:G,"STANTI",F:F,"ENTRY")+COUNTIFS(D:D,"AA",L:L,"2;-1",M:M,"STANTI",F:F,"ENTRY")</f>
        <v>0</v>
      </c>
      <c r="AU456" s="179">
        <f>COUNTIFS(D:D,"AA",L:L,"2;-1",G:G,"STANTI",E:E,"POS",F:F,"WINSTAN")+COUNTIFS(D:D,"AA",L:L,"2;-1",G:G,"STANTI",E:E,"POS",F:F,"WINSTAN")</f>
        <v>0</v>
      </c>
      <c r="AV456" s="179">
        <f>COUNTIFS(D:D,"AA",L:L,"2;-1",M:M,"STANTI",E:E,"POS",F:F,"WINSTANTI")+COUNTIFS(D:D,"AA",L:L,"2;-1",M:M,"STANTI",E:E,"POS",F:F,"WINSTANTI")</f>
        <v>0</v>
      </c>
      <c r="AW456" s="179">
        <f>COUNTIFS(D:D,"AA",L:L,"2;-1",G:G,"STANTI",F:F,"KEEPOS")+COUNTIFS(D:D,"AA",L:L,"2;-1",M:M,"STANTI",F:F,"KEEPOS")</f>
        <v>0</v>
      </c>
      <c r="AX456" s="180">
        <f>COUNTIFS(D:D,"AA",L:L,"2;-1",G:G,"STANTI")+COUNTIFS(D:D,"AA",L:L,"2;-1",M:M,"STANTI")</f>
        <v>0</v>
      </c>
    </row>
    <row r="457" spans="15:50" s="115" customFormat="1">
      <c r="O457" s="91"/>
      <c r="X457" s="115">
        <f t="shared" si="106"/>
        <v>0</v>
      </c>
      <c r="Y457" s="115">
        <f t="shared" si="107"/>
        <v>0</v>
      </c>
      <c r="Z457" s="115" t="e">
        <f t="shared" si="108"/>
        <v>#VALUE!</v>
      </c>
      <c r="AA457" s="115">
        <f t="shared" si="109"/>
        <v>0</v>
      </c>
      <c r="AB457" s="246"/>
      <c r="AD457"/>
      <c r="AE457" s="181">
        <f>COUNTIFS(D:D,"DD",L:L,"2;1",G:G,"STANTI",F:F,"ATONGOAL")+COUNTIFS(D:D,"DD",L:L,"2;1",M:M,"STANTI",F:F,"ATONGOAL")</f>
        <v>0</v>
      </c>
      <c r="AF457" s="181">
        <f>COUNTIFS(D:D,"DD",L:L,"2;1",G:G,"STANTI",F:F,"ATON")+COUNTIFS(D:D,"DD",L:L,"2;1",M:M,"STANTI",F:F,"ATON")</f>
        <v>0</v>
      </c>
      <c r="AG457" s="181">
        <f>COUNTIFS(D:D,"DD",L:L,"2;1",G:G,"STANTI",F:F,"ATOF")+COUNTIFS(D:D,"DD",L:L,"2;1",M:M,"STANTI",F:F,"ATOF")</f>
        <v>0</v>
      </c>
      <c r="AH457" s="181">
        <f>COUNTIFS(D:D,"DD",L:L,"2;1",G:G,"STANTI",F:F,"ATBK")+COUNTIFS(D:D,"DD",L:L,"2;1",M:M,"STANTI",F:F,"ATBK")</f>
        <v>0</v>
      </c>
      <c r="AI457" s="181">
        <f>COUNTIFS(D:D,"DD",L:L,"2;1",G:G,"STANTI",F:F,"ENTRY")+COUNTIFS(D:D,"DD",L:L,"2;1",M:M,"STANTI",F:F,"ENTRY")</f>
        <v>0</v>
      </c>
      <c r="AJ457" s="181">
        <f>COUNTIFS(D:D,"DD",L:L,"2;1",G:G,"STANTI",E:E,"NEG",F:F,"WINSTAN")+COUNTIFS(D:D,"DD",L:L,"2;1",G:G,"STANTI",E:E,"NEG",F:F,"WINSTAN")</f>
        <v>0</v>
      </c>
      <c r="AK457" s="181">
        <f>COUNTIFS(D:D,"DD",L:L,"2;1",M:M,"STANTI",E:E,"NEG",F:F,"WINSTANTI")+COUNTIFS(D:D,"DD",L:L,"2;1",M:M,"STANTI",E:E,"NEG",F:F,"WINSTANTI")</f>
        <v>0</v>
      </c>
      <c r="AL457" s="181">
        <f>COUNTIFS(D:D,"DD",L:L,"2;1",G:G,"STANTI",F:F,"KEEPOS")+COUNTIFS(D:D,"DD",L:L,"2;1",M:M,"STANTI",F:F,"KEEPOS")</f>
        <v>0</v>
      </c>
      <c r="AM457" s="181">
        <f>COUNTIFS(D:D,"DD",L:L,"2;1",G:G,"STANTI")+COUNTIFS(D:D,"DD",L:L,"2;1",M:M,"STANTI")</f>
        <v>0</v>
      </c>
      <c r="AN457" s="182"/>
      <c r="AO457" s="182"/>
      <c r="AP457" s="181">
        <f>COUNTIFS(D:D,"DD",L:L,"2;-1",G:G,"STANTI",F:F,"ATONGOAL")+COUNTIFS(D:D,"DD",L:L,"2;-1",M:M,"STANTI",F:F,"ATONGOAL")</f>
        <v>0</v>
      </c>
      <c r="AQ457" s="182">
        <f>COUNTIFS(D:D,"DD",L:L,"2;-1",G:G,"STANTI",F:F,"ATON")+COUNTIFS(D:D,"DD",L:L,"2;-1",M:M,"STANTI",F:F,"ATON")</f>
        <v>0</v>
      </c>
      <c r="AR457" s="182">
        <f>COUNTIFS(D:D,"DD",L:L,"2;-1",G:G,"STANTI",F:F,"ATOF")+COUNTIFS(D:D,"DD",L:L,"2;-1",M:M,"STANTI",F:F,"ATOF")</f>
        <v>0</v>
      </c>
      <c r="AS457" s="182">
        <f>COUNTIFS(D:D,"DD",L:L,"2;-1",G:G,"STANTI",F:F,"ATBK")+COUNTIFS(D:D,"DD",L:L,"2;-1",M:M,"STANTI",F:F,"ATBK")</f>
        <v>0</v>
      </c>
      <c r="AT457" s="181">
        <f>COUNTIFS(D:D,"DD",L:L,"2;-1",G:G,"STANTI",F:F,"ENTRY")+COUNTIFS(D:D,"DD",L:L,"2;-1",M:M,"STANTI",F:F,"ENTRY")</f>
        <v>0</v>
      </c>
      <c r="AU457" s="181">
        <f>COUNTIFS(D:D,"DD",L:L,"2;-1",G:G,"STANTI",E:E,"NEG",F:F,"WINSTAN")+COUNTIFS(D:D,"DD",L:L,"2;-1",M:M,"STANTI",E:E,"NEG",F:F,"WINSTAN")</f>
        <v>0</v>
      </c>
      <c r="AV457" s="181">
        <f>COUNTIFS(D:D,"DD",L:L,"2;-1",M:M,"STANTI",E:E,"NEG",F:F,"WINSTANTI")+COUNTIFS(D:D,"DD",L:L,"2;-1",M:M,"STANTI",E:E,"NEG",F:F,"WINSTANTI")</f>
        <v>0</v>
      </c>
      <c r="AW457" s="181">
        <f>COUNTIFS(D:D,"DD",L:L,"2;-1",G:G,"STANTI",F:F,"KEEPOS")+COUNTIFS(D:D,"DD",L:L,"2;-1",M:M,"STANTI",F:F,"KEEPOS")</f>
        <v>0</v>
      </c>
      <c r="AX457" s="182">
        <f>COUNTIFS(D:D,"DD",L:L,"2;-1",G:G,"STANTI")+COUNTIFS(D:D,"DD",L:L,"2;-1",M:M,"STANTI")</f>
        <v>0</v>
      </c>
    </row>
    <row r="458" spans="15:50" s="115" customFormat="1" ht="15.75">
      <c r="O458" s="91"/>
      <c r="X458" s="115">
        <f t="shared" si="106"/>
        <v>0</v>
      </c>
      <c r="Y458" s="115">
        <f t="shared" si="107"/>
        <v>0</v>
      </c>
      <c r="Z458" s="115" t="e">
        <f t="shared" si="108"/>
        <v>#VALUE!</v>
      </c>
      <c r="AA458" s="115">
        <f t="shared" si="109"/>
        <v>0</v>
      </c>
      <c r="AB458" s="246"/>
      <c r="AD458"/>
      <c r="AE458" s="179">
        <f>COUNTIFS(D:D,"AA",L:L,"3;1",G:G,"STANTI",F:F,"ATONGOAL")+COUNTIFS(D:D,"AA",L:L,"3;1",M:M,"STANTI",F:F,"ATONGOAL")</f>
        <v>0</v>
      </c>
      <c r="AF458" s="179">
        <f>COUNTIFS(D:D,"AA",L:L,"3;1",G:G,"STANTI",F:F,"ATON")+COUNTIFS(D:D,"AA",L:L,"3;1",M:M,"STANTI",F:F,"ATON")</f>
        <v>0</v>
      </c>
      <c r="AG458" s="179">
        <f>COUNTIFS(D:D,"AA",L:L,"3;1",G:G,"STANTI",F:F,"ATOF")+COUNTIFS(D:D,"AA",L:L,"3;1",M:M,"STANTI",F:F,"ATOF")</f>
        <v>0</v>
      </c>
      <c r="AH458" s="179">
        <f>COUNTIFS(D:D,"AA",L:L,"3;1",G:G,"STANTI",F:F,"ATBK")+COUNTIFS(D:D,"AA",L:L,"3;1",M:M,"STANTI",F:F,"ATBK")</f>
        <v>0</v>
      </c>
      <c r="AI458" s="179">
        <f>COUNTIFS(D:D,"AA",L:L,"3;1",G:G,"STANTI",F:F,"ENTRY")+COUNTIFS(D:D,"AA",L:L,"3;1",M:M,"STANTI",F:F,"ENTRY")</f>
        <v>0</v>
      </c>
      <c r="AJ458" s="179">
        <f>COUNTIFS(D:D,"AA",L:L,"3;1",G:G,"STANTI",E:E,"POS",F:F,"WINSTAN")+COUNTIFS(D:D,"AA",L:L,"3;1",G:G,"STANTI",E:E,"POS",F:F,"WINSTAN")</f>
        <v>0</v>
      </c>
      <c r="AK458" s="179">
        <f>COUNTIFS(D:D,"AA",L:L,"3;1",M:M,"STANTI",E:E,"POS",F:F,"WINSTANTI")+COUNTIFS(D:D,"AA",L:L,"3;1",M:M,"STANTI",E:E,"POS",F:F,"WINSTANTI")</f>
        <v>0</v>
      </c>
      <c r="AL458" s="179">
        <f>COUNTIFS(D:D,"AA",L:L,"3;1",G:G,"STANTI",F:F,"KEEPOS")+COUNTIFS(D:D,"AA",L:L,"3;1",M:M,"STANTI",F:F,"KEEPOS")</f>
        <v>0</v>
      </c>
      <c r="AM458" s="179">
        <f>COUNTIFS(D:D,"AA",L:L,"3;1",G:G,"STANTI")+COUNTIFS(D:D,"AA",L:L,"3;1",M:M,"STANTI")</f>
        <v>0</v>
      </c>
      <c r="AN458" s="180"/>
      <c r="AO458" s="180"/>
      <c r="AP458" s="179">
        <f>COUNTIFS(D:D,"AA",L:L,"3;-1",G:G,"STANTI",F:F,"ATONGOAL")+COUNTIFS(D:D,"AA",L:L,"3;-1",M:M,"STANTI",F:F,"ATONGOAL")</f>
        <v>0</v>
      </c>
      <c r="AQ458" s="180">
        <f>COUNTIFS(D:D,"AA",L:L,"3;-1",G:G,"STANTI",F:F,"ATON")+COUNTIFS(D:D,"AA",L:L,"3;-1",M:M,"STANTI",F:F,"ATON")</f>
        <v>0</v>
      </c>
      <c r="AR458" s="180">
        <f>COUNTIFS(D:D,"AA",L:L,"3;-1",G:G,"STANTI",F:F,"ATOF")+COUNTIFS(D:D,"AA",L:L,"3;-1",M:M,"STANTI",F:F,"ATOF")</f>
        <v>0</v>
      </c>
      <c r="AS458" s="180">
        <f>COUNTIFS(D:D,"AA",L:L,"3;-1",G:G,"STANTI",F:F,"ATBK")+COUNTIFS(D:D,"AA",L:L,"3;-1",M:M,"STANTI",F:F,"ATBK")</f>
        <v>0</v>
      </c>
      <c r="AT458" s="179">
        <f>COUNTIFS(D:D,"AA",L:L,"3;-1",G:G,"STANTI",F:F,"ENTRY")+COUNTIFS(D:D,"AA",L:L,"3;-1",M:M,"STANTI",F:F,"ENTRY")</f>
        <v>0</v>
      </c>
      <c r="AU458" s="179">
        <f>COUNTIFS(D:D,"AA",L:L,"3;-1",G:G,"STANTI",E:E,"POS",F:F,"WINSTAN")+COUNTIFS(D:D,"AA",L:L,"3;-1",G:G,"STANTI",E:E,"POS",F:F,"WINSTAN")</f>
        <v>0</v>
      </c>
      <c r="AV458" s="179">
        <f>COUNTIFS(D:D,"AA",L:L,"3;-1",M:M,"STANTI",E:E,"POS",F:F,"WINSTANTI")+COUNTIFS(D:D,"AA",L:L,"3;-1",M:M,"STANTI",E:E,"POS",F:F,"WINSTANTI")</f>
        <v>0</v>
      </c>
      <c r="AW458" s="179">
        <f>COUNTIFS(D:D,"AA",L:L,"3;-1",G:G,"STANTI",F:F,"KEEPOS")+COUNTIFS(D:D,"AA",L:L,"3;-1",M:M,"STANTI",F:F,"KEEPOS")</f>
        <v>0</v>
      </c>
      <c r="AX458" s="180">
        <f>COUNTIFS(D:D,"AA",L:L,"3;-1",G:G,"STANTI")+COUNTIFS(D:D,"AA",L:L,"3;-1",M:M,"STANTI")</f>
        <v>0</v>
      </c>
    </row>
    <row r="459" spans="15:50" s="115" customFormat="1">
      <c r="O459" s="91"/>
      <c r="X459" s="115">
        <f t="shared" si="106"/>
        <v>0</v>
      </c>
      <c r="Y459" s="115">
        <f t="shared" si="107"/>
        <v>0</v>
      </c>
      <c r="Z459" s="115" t="e">
        <f t="shared" si="108"/>
        <v>#VALUE!</v>
      </c>
      <c r="AA459" s="115">
        <f t="shared" si="109"/>
        <v>0</v>
      </c>
      <c r="AB459" s="246"/>
      <c r="AD459"/>
      <c r="AE459" s="181">
        <f>COUNTIFS(D:D,"DD",L:L,"3;1",G:G,"STANTI",F:F,"ATONGOAL")+COUNTIFS(D:D,"DD",L:L,"3;1",M:M,"STANTI",F:F,"ATONGOAL")</f>
        <v>0</v>
      </c>
      <c r="AF459" s="181">
        <f>COUNTIFS(D:D,"DD",L:L,"3;1",G:G,"STANTI",F:F,"ATON")+COUNTIFS(D:D,"DD",L:L,"3;1",M:M,"STANTI",F:F,"ATON")</f>
        <v>0</v>
      </c>
      <c r="AG459" s="181">
        <f>COUNTIFS(D:D,"DD",L:L,"3;1",G:G,"STANTI",F:F,"ATOF")+COUNTIFS(D:D,"DD",L:L,"3;1",M:M,"STANTI",F:F,"ATOF")</f>
        <v>0</v>
      </c>
      <c r="AH459" s="181">
        <f>COUNTIFS(D:D,"DD",L:L,"3;1",G:G,"STANTI",F:F,"ATBK")+COUNTIFS(D:D,"DD",L:L,"3;1",M:M,"STANTI",F:F,"ATBK")</f>
        <v>0</v>
      </c>
      <c r="AI459" s="181">
        <f>COUNTIFS(D:D,"DD",L:L,"3;1",G:G,"STANTI",F:F,"ENTRY")+COUNTIFS(D:D,"DD",L:L,"3;1",M:M,"STANTI",F:F,"ENTRY")</f>
        <v>0</v>
      </c>
      <c r="AJ459" s="181">
        <f>COUNTIFS(D:D,"DD",L:L,"3;1",G:G,"STANTI",E:E,"NEG",F:F,"WINSTAN")+COUNTIFS(D:D,"DD",L:L,"3;1",G:G,"STANTI",E:E,"NEG",F:F,"WINSTAN")</f>
        <v>0</v>
      </c>
      <c r="AK459" s="181">
        <f>COUNTIFS(D:D,"DD",L:L,"3;1",M:M,"STANTI",E:E,"NEG",F:F,"WINSTANTI")+COUNTIFS(D:D,"DD",L:L,"3;1",M:M,"STANTI",E:E,"NEG",F:F,"WINSTANTI")</f>
        <v>0</v>
      </c>
      <c r="AL459" s="181">
        <f>COUNTIFS(D:D,"DD",L:L,"3;1",G:G,"STANTI",F:F,"KEEPOS")+COUNTIFS(D:D,"DD",L:L,"3;1",M:M,"STANTI",F:F,"KEEPOS")</f>
        <v>0</v>
      </c>
      <c r="AM459" s="181">
        <f>COUNTIFS(D:D,"DD",L:L,"3;1",G:G,"STANTI")+COUNTIFS(D:D,"DD",L:L,"3;1",M:M,"STANTI")</f>
        <v>0</v>
      </c>
      <c r="AN459" s="182"/>
      <c r="AO459" s="182"/>
      <c r="AP459" s="181">
        <f>COUNTIFS(D:D,"DD",L:L,"3;-1",G:G,"STANTI",F:F,"ATONGOAL")+COUNTIFS(D:D,"DD",L:L,"3;-1",M:M,"STANTI",F:F,"ATONGOAL")</f>
        <v>0</v>
      </c>
      <c r="AQ459" s="182">
        <f>COUNTIFS(D:D,"DD",L:L,"3;-1",G:G,"STANTI",F:F,"ATON")+COUNTIFS(D:D,"DD",L:L,"3;-1",M:M,"STANTI",F:F,"ATON")</f>
        <v>0</v>
      </c>
      <c r="AR459" s="182">
        <f>COUNTIFS(D:D,"DD",L:L,"3;-1",G:G,"STANTI",F:F,"ATOF")+COUNTIFS(D:D,"DD",L:L,"3;-1",M:M,"STANTI",F:F,"ATOF")</f>
        <v>0</v>
      </c>
      <c r="AS459" s="182">
        <f>COUNTIFS(D:D,"DD",L:L,"3;-1",G:G,"STANTI",F:F,"ATBK")+COUNTIFS(D:D,"DD",L:L,"3;-1",M:M,"STANTI",F:F,"ATBK")</f>
        <v>0</v>
      </c>
      <c r="AT459" s="181">
        <f>COUNTIFS(D:D,"DD",L:L,"3;-1",G:G,"STANTI",F:F,"ENTRY")+COUNTIFS(D:D,"DD",L:L,"3;-1",M:M,"STANTI",F:F,"ENTRY")</f>
        <v>0</v>
      </c>
      <c r="AU459" s="181">
        <f>COUNTIFS(D:D,"DD",L:L,"3;-1",G:G,"STANTI",E:E,"NEG",F:F,"WINSTAN")+COUNTIFS(D:D,"DD",L:L,"3;-1",G:G,"STANTI",E:E,"NEG",F:F,"WINSTAN")</f>
        <v>0</v>
      </c>
      <c r="AV459" s="181">
        <f>COUNTIFS(D:D,"DD",L:L,"3;-1",M:M,"STANTI",E:E,"NEG",F:F,"WINSTANTI")+COUNTIFS(D:D,"DD",L:L,"3;-1",M:M,"STANTI",E:E,"NEG",F:F,"WINSTANTI")</f>
        <v>0</v>
      </c>
      <c r="AW459" s="181">
        <f>COUNTIFS(D:D,"DD",L:L,"3;-1",G:G,"STANTI",F:F,"KEEPOS")+COUNTIFS(D:D,"DD",L:L,"3;-1",M:M,"STANTI",F:F,"KEEPOS")</f>
        <v>0</v>
      </c>
      <c r="AX459" s="182">
        <f>COUNTIFS(D:D,"DD",L:L,"3;-1",G:G,"STANTI")+COUNTIFS(D:D,"DD",L:L,"3;-1",M:M,"STANTI")</f>
        <v>0</v>
      </c>
    </row>
    <row r="460" spans="15:50" s="115" customFormat="1" ht="15.75">
      <c r="O460" s="91"/>
      <c r="X460" s="115">
        <f t="shared" si="106"/>
        <v>0</v>
      </c>
      <c r="Y460" s="115">
        <f t="shared" si="107"/>
        <v>0</v>
      </c>
      <c r="Z460" s="115" t="e">
        <f t="shared" si="108"/>
        <v>#VALUE!</v>
      </c>
      <c r="AA460" s="115">
        <f t="shared" si="109"/>
        <v>0</v>
      </c>
      <c r="AB460" s="246"/>
      <c r="AD460"/>
      <c r="AE460" s="179">
        <f>COUNTIFS(D:D,"AA",L:L,"4;1",G:G,"STANTI",F:F,"ATONGOAL")+COUNTIFS(D:D,"AA",L:L,"4;1",M:M,"STANTI",F:F,"ATONGOAL")</f>
        <v>0</v>
      </c>
      <c r="AF460" s="179">
        <f>COUNTIFS(D:D,"AA",L:L,"4;1",G:G,"STANTI",F:F,"ATON")+COUNTIFS(D:D,"AA",L:L,"4;1",M:M,"STANTI",F:F,"ATON")</f>
        <v>0</v>
      </c>
      <c r="AG460" s="179">
        <f>COUNTIFS(D:D,"AA",L:L,"4;1",G:G,"STANTI",F:F,"ATOF")+COUNTIFS(D:D,"AA",L:L,"4;1",M:M,"STANTI",F:F,"ATOF")</f>
        <v>0</v>
      </c>
      <c r="AH460" s="179">
        <f>COUNTIFS(D:D,"AA",L:L,"4;1",G:G,"STANTI",F:F,"ATBK")+COUNTIFS(D:D,"AA",L:L,"4;1",M:M,"STANTI",F:F,"ATBK")</f>
        <v>0</v>
      </c>
      <c r="AI460" s="179">
        <f>COUNTIFS(D:D,"AA",L:L,"4;1",G:G,"STANTI",F:F,"ENTRY")+COUNTIFS(D:D,"AA",L:L,"4;1",M:M,"STANTI",F:F,"ENTRY")</f>
        <v>0</v>
      </c>
      <c r="AJ460" s="179">
        <f>COUNTIFS(D:D,"AA",L:L,"4;1",G:G,"STANTI",E:E,"POS",F:F,"WINSTAN")+COUNTIFS(D:D,"AA",L:L,"4;1",G:G,"STANTI",E:E,"POS",F:F,"WINSTAN")</f>
        <v>0</v>
      </c>
      <c r="AK460" s="179">
        <f>COUNTIFS(D:D,"AA",L:L,"4;1",M:M,"STANTI",E:E,"POS",F:F,"WINSTANTI")+COUNTIFS(D:D,"AA",L:L,"4;1",M:M,"STANTI",E:E,"POS",F:F,"WINSTANTI")</f>
        <v>0</v>
      </c>
      <c r="AL460" s="179">
        <f>COUNTIFS(D:D,"AA",L:L,"4;1",G:G,"STANTI",F:F,"KEEPOS")+COUNTIFS(D:D,"AA",L:L,"4;1",M:M,"STANTI",F:F,"KEEPOS")</f>
        <v>0</v>
      </c>
      <c r="AM460" s="179">
        <f>COUNTIFS(D:D,"AA",L:L,"4;1",G:G,"STANTI")+COUNTIFS(D:D,"AA",L:L,"4;1",M:M,"STANTI")</f>
        <v>0</v>
      </c>
      <c r="AN460" s="180"/>
      <c r="AO460" s="180"/>
      <c r="AP460" s="179">
        <f>COUNTIFS(D:D,"AA",L:L,"4;-1",G:G,"STANTI",F:F,"ATONGOAL")+COUNTIFS(D:D,"AA",L:L,"4;-1",M:M,"STANTI",F:F,"ATONGOAL")</f>
        <v>0</v>
      </c>
      <c r="AQ460" s="180">
        <f>COUNTIFS(D:D,"AA",L:L,"4;-1",G:G,"STANTI",F:F,"ATON")+COUNTIFS(D:D,"AA",L:L,"4;-1",M:M,"STANTI",F:F,"ATON")</f>
        <v>0</v>
      </c>
      <c r="AR460" s="180">
        <f>COUNTIFS(D:D,"AA",L:L,"4;-1",G:G,"STANTI",F:F,"ATOF")+COUNTIFS(D:D,"AA",L:L,"4;-1",M:M,"STANTI",F:F,"ATOF")</f>
        <v>0</v>
      </c>
      <c r="AS460" s="180">
        <f>COUNTIFS(D:D,"AA",L:L,"4;-1",G:G,"STANTI",F:F,"ATBK")+COUNTIFS(D:D,"AA",L:L,"4;-1",M:M,"STANTI",F:F,"ATBK")</f>
        <v>0</v>
      </c>
      <c r="AT460" s="179">
        <f>COUNTIFS(D:D,"AA",L:L,"4;-1",G:G,"STANTI",F:F,"ENTRY")+COUNTIFS(D:D,"AA",L:L,"4;-1",M:M,"STANTI",F:F,"ENTRY")</f>
        <v>0</v>
      </c>
      <c r="AU460" s="179">
        <f>COUNTIFS(D:D,"AA",L:L,"4;-1",G:G,"STANTI",E:E,"POS",F:F,"WINSTAN")+COUNTIFS(D:D,"AA",L:L,"4;-1",G:G,"STANTI",E:E,"POS",F:F,"WINSTAN")</f>
        <v>0</v>
      </c>
      <c r="AV460" s="179">
        <f>COUNTIFS(D:D,"AA",L:L,"4;-1",M:M,"STANTI",E:E,"POS",F:F,"WINSTANTI")+COUNTIFS(D:D,"AA",L:L,"4;-1",M:M,"STANTI",E:E,"POS",F:F,"WINSTANTI")</f>
        <v>0</v>
      </c>
      <c r="AW460" s="179">
        <f>COUNTIFS(D:D,"AA",L:L,"4;-1",G:G,"STANTI",F:F,"KEEPOS")+COUNTIFS(D:D,"AA",L:L,"4;-1",M:M,"STANTI",F:F,"KEEPOS")</f>
        <v>0</v>
      </c>
      <c r="AX460" s="180">
        <f>COUNTIFS(D:D,"AA",L:L,"4;-1",G:G,"STANTI")+COUNTIFS(D:D,"AA",L:L,"4;-1",M:M,"STANTI")</f>
        <v>0</v>
      </c>
    </row>
    <row r="461" spans="15:50" s="115" customFormat="1">
      <c r="O461" s="91"/>
      <c r="X461" s="115">
        <f t="shared" si="106"/>
        <v>0</v>
      </c>
      <c r="Y461" s="115">
        <f t="shared" si="107"/>
        <v>0</v>
      </c>
      <c r="Z461" s="115" t="e">
        <f t="shared" si="108"/>
        <v>#VALUE!</v>
      </c>
      <c r="AA461" s="115">
        <f t="shared" si="109"/>
        <v>0</v>
      </c>
      <c r="AB461" s="246"/>
      <c r="AD461"/>
      <c r="AE461" s="181">
        <f>COUNTIFS(D:D,"DD",L:L,"4;1",G:G,"STANTI",F:F,"ATONGOAL")+COUNTIFS(D:D,"DD",L:L,"4;1",M:M,"STANTI",F:F,"ATONGOAL")</f>
        <v>0</v>
      </c>
      <c r="AF461" s="181">
        <f>COUNTIFS(D:D,"DD",L:L,"4;1",G:G,"STANTI",F:F,"ATON")+COUNTIFS(D:D,"DD",L:L,"4;1",M:M,"STANTI",F:F,"ATON")</f>
        <v>0</v>
      </c>
      <c r="AG461" s="181">
        <f>COUNTIFS(D:D,"DD",L:L,"4;1",G:G,"STANTI",F:F,"ATOF")+COUNTIFS(D:D,"DD",L:L,"4;1",M:M,"STANTI",F:F,"ATOF")</f>
        <v>0</v>
      </c>
      <c r="AH461" s="181">
        <f>COUNTIFS(D:D,"DD",L:L,"4;1",G:G,"STANTI",F:F,"ATBK")+COUNTIFS(D:D,"DD",L:L,"4;1",M:M,"STANTI",F:F,"ATBK")</f>
        <v>0</v>
      </c>
      <c r="AI461" s="181">
        <f>COUNTIFS(D:D,"DD",L:L,"4;1",G:G,"STANTI",F:F,"ENTRY")+COUNTIFS(D:D,"DD",L:L,"4;1",M:M,"STANTI",F:F,"ENTRY")</f>
        <v>0</v>
      </c>
      <c r="AJ461" s="181">
        <f>COUNTIFS(D:D,"DD",L:L,"4;1",G:G,"STANTI",E:E,"NEG",F:F,"WINSTAN")+COUNTIFS(D:D,"DD",L:L,"4;1",G:G,"STANTI",E:E,"NEG",F:F,"WINSTAN")</f>
        <v>0</v>
      </c>
      <c r="AK461" s="181">
        <f>COUNTIFS(D:D,"DD",L:L,"4;1",M:M,"STANTI",E:E,"NEG",F:F,"WINSTANTI")+COUNTIFS(D:D,"DD",L:L,"4;1",M:M,"STANTI",E:E,"NEG",F:F,"WINSTANTI")</f>
        <v>0</v>
      </c>
      <c r="AL461" s="181">
        <f>COUNTIFS(D:D,"DD",L:L,"4;1",G:G,"STANTI",F:F,"KEEPOS")+COUNTIFS(D:D,"DD",L:L,"4;1",M:M,"STANTI",F:F,"KEEPOS")</f>
        <v>0</v>
      </c>
      <c r="AM461" s="181">
        <f>COUNTIFS(D:D,"DD",L:L,"4;1",G:G,"STANTI")+COUNTIFS(D:D,"DD",L:L,"4;1",M:M,"STANTI")</f>
        <v>0</v>
      </c>
      <c r="AN461" s="182"/>
      <c r="AO461" s="182"/>
      <c r="AP461" s="181">
        <f>COUNTIFS(D:D,"DD",L:L,"4;-1",G:G,"STANTI",F:F,"ATONGOAL")+COUNTIFS(D:D,"DD",L:L,"4;-1",M:M,"STANTI",F:F,"ATONGOAL")</f>
        <v>0</v>
      </c>
      <c r="AQ461" s="182">
        <f>COUNTIFS(D:D,"DD",L:L,"4;-1",G:G,"STANTI",F:F,"ATON")+COUNTIFS(D:D,"DD",L:L,"4;-1",M:M,"STANTI",F:F,"ATON")</f>
        <v>0</v>
      </c>
      <c r="AR461" s="182">
        <f>COUNTIFS(D:D,"DD",L:L,"4;-1",G:G,"STANTI",F:F,"ATOF")+COUNTIFS(D:D,"DD",L:L,"4;-1",M:M,"STANTI",F:F,"ATOF")</f>
        <v>0</v>
      </c>
      <c r="AS461" s="182">
        <f>COUNTIFS(D:D,"DD",L:L,"4;-1",G:G,"STANTI",F:F,"ATBK")+COUNTIFS(D:D,"DD",L:L,"4;-1",M:M,"STANTI",F:F,"ATBK")</f>
        <v>0</v>
      </c>
      <c r="AT461" s="181">
        <f>COUNTIFS(D:D,"DD",L:L,"4;-1",G:G,"STANTI",F:F,"ENTRY")+COUNTIFS(D:D,"DD",L:L,"4;-1",M:M,"STANTI",F:F,"ENTRY")</f>
        <v>0</v>
      </c>
      <c r="AU461" s="181">
        <f>COUNTIFS(D:D,"DD",L:L,"4;-1",G:G,"STANTI",E:E,"NEG",F:F,"WINSTAN")+COUNTIFS(D:D,"DD",L:L,"4;-1",G:G,"STANTI",E:E,"NEG",F:F,"WINSTAN")</f>
        <v>0</v>
      </c>
      <c r="AV461" s="181">
        <f>COUNTIFS(D:D,"DD",L:L,"4;-1",M:M,"STANTI",E:E,"NEG",F:F,"WINSTANTI")+COUNTIFS(D:D,"DD",L:L,"4;-1",M:M,"STANTI",E:E,"NEG",F:F,"WINSTANTI")</f>
        <v>0</v>
      </c>
      <c r="AW461" s="181">
        <f>COUNTIFS(D:D,"DD",L:L,"4;-1",G:G,"STANTI",F:F,"KEEPOS")+COUNTIFS(D:D,"DD",L:L,"4;-1",M:M,"STANTI",F:F,"KEEPOS")</f>
        <v>0</v>
      </c>
      <c r="AX461" s="182">
        <f>COUNTIFS(D:D,"DD",L:L,"4;-1",G:G,"STANTI")+COUNTIFS(D:D,"DD",L:L,"4;-1",M:M,"STANTI")</f>
        <v>0</v>
      </c>
    </row>
    <row r="462" spans="15:50" s="115" customFormat="1" ht="15.75">
      <c r="O462" s="91"/>
      <c r="X462" s="115">
        <f t="shared" si="106"/>
        <v>0</v>
      </c>
      <c r="Y462" s="115">
        <f t="shared" si="107"/>
        <v>0</v>
      </c>
      <c r="Z462" s="115" t="e">
        <f t="shared" si="108"/>
        <v>#VALUE!</v>
      </c>
      <c r="AA462" s="115">
        <f t="shared" si="109"/>
        <v>0</v>
      </c>
      <c r="AB462" s="246"/>
      <c r="AD462"/>
      <c r="AE462" s="179">
        <f>COUNTIFS(D:D,"AA",L:L,"5;1",G:G,"STANTI",F:F,"ATONGOAL")+COUNTIFS(D:D,"AA",L:L,"5;1",M:M,"STANTI",F:F,"ATONGOAL")+AE460</f>
        <v>0</v>
      </c>
      <c r="AF462" s="179">
        <f>COUNTIFS(D:D,"AA",L:L,"5;1",G:G,"STANTI",F:F,"ATON")+COUNTIFS(D:D,"AA",L:L,"5;1",M:M,"STANTI",F:F,"ATON")+AF460</f>
        <v>0</v>
      </c>
      <c r="AG462" s="179">
        <f>COUNTIFS(D:D,"AA",L:L,"5;1",G:G,"STANTI",F:F,"ATOF")+COUNTIFS(D:D,"AA",L:L,"5;1",M:M,"STANTI",F:F,"ATOF")+AG460</f>
        <v>0</v>
      </c>
      <c r="AH462" s="179">
        <f>COUNTIFS(D:D,"AA",L:L,"5;1",G:G,"STANTI",F:F,"ATBK")+COUNTIFS(D:D,"AA",L:L,"5;1",M:M,"STANTI",F:F,"ATBK")+AH460</f>
        <v>0</v>
      </c>
      <c r="AI462" s="179">
        <f>COUNTIFS(D:D,"AA",L:L,"5;1",G:G,"STANTI",F:F,"ENTRY")+COUNTIFS(D:D,"AA",L:L,"5;1",M:M,"STANTI",F:F,"ENTRY")+AI460</f>
        <v>0</v>
      </c>
      <c r="AJ462" s="179">
        <f>COUNTIFS(D:D,"AA",L:L,"5;1",G:G,"STANTI",E:E,"POS",F:F,"WINSTAN")+COUNTIFS(D:D,"AA",L:L,"5;1",G:G,"STANTI",E:E,"POS",F:F,"WINSTAN")+AJ460</f>
        <v>0</v>
      </c>
      <c r="AK462" s="179">
        <f>COUNTIFS(D:D,"AA",L:L,"5;1",M:M,"STANTI",E:E,"POS",F:F,"WINSTANTI")+COUNTIFS(D:D,"AA",L:L,"5;1",M:M,"STANTI",E:E,"POS",F:F,"WINSTANTI")+AK460</f>
        <v>0</v>
      </c>
      <c r="AL462" s="179">
        <f>COUNTIFS(D:D,"AA",L:L,"5;1",G:G,"STANTI",F:F,"KEEPOS")+COUNTIFS(D:D,"AA",L:L,"5;1",M:M,"STANTI",F:F,"KEEPOS")+AL460</f>
        <v>0</v>
      </c>
      <c r="AM462" s="179">
        <f>COUNTIFS(D:D,"AA",L:L,"5;1",G:G,"STANTI")+COUNTIFS(D:D,"AA",L:L,"5;1",M:M,"STANTI")+AM460</f>
        <v>0</v>
      </c>
      <c r="AN462" s="180"/>
      <c r="AO462" s="180"/>
      <c r="AP462" s="179">
        <f>COUNTIFS(D:D,"AA",L:L,"5;-1",G:G,"STANTI",F:F,"ATONGOAL")+COUNTIFS(D:D,"AA",L:L,"5;-1",M:M,"STANTI",F:F,"ATONGOAL")+AP460</f>
        <v>0</v>
      </c>
      <c r="AQ462" s="180">
        <f>COUNTIFS(D:D,"AA",L:L,"5;-1",G:G,"STANTI",F:F,"ATON")+COUNTIFS(D:D,"AA",L:L,"5;-1",M:M,"STANTI",F:F,"ATON")+AQ460</f>
        <v>0</v>
      </c>
      <c r="AR462" s="180">
        <f>COUNTIFS(D:D,"AA",L:L,"5;-1",G:G,"STANTI",F:F,"ATOF")+COUNTIFS(D:D,"AA",L:L,"5;-1",M:M,"STANTI",F:F,"ATOF")+AR460</f>
        <v>0</v>
      </c>
      <c r="AS462" s="180">
        <f>COUNTIFS(D:D,"AA",L:L,"5;-1",G:G,"STANTI",F:F,"ATBK")+COUNTIFS(D:D,"AA",L:L,"5;-1",M:M,"STANTI",F:F,"ATBK")+AS460</f>
        <v>0</v>
      </c>
      <c r="AT462" s="179">
        <f>COUNTIFS(D:D,"AA",L:L,"5;-1",G:G,"STANTI",F:F,"ENTRY")+COUNTIFS(D:D,"AA",L:L,"5;-1",M:M,"STANTI",F:F,"ENTRY")+AT460</f>
        <v>0</v>
      </c>
      <c r="AU462" s="179">
        <f>COUNTIFS(D:D,"AA",L:L,"5;-1",G:G,"STANTI",E:E,"POS",F:F,"WINSTAN")+COUNTIFS(D:D,"AA",L:L,"5;-1",G:G,"STANTI",E:E,"POS",F:F,"WINSTAN")+AU460</f>
        <v>0</v>
      </c>
      <c r="AV462" s="179">
        <f>COUNTIFS(D:D,"AA",L:L,"5;-1",M:M,"STANTI",E:E,"POS",F:F,"WINSTANTI")+COUNTIFS(D:D,"AA",L:L,"5;-1",M:M,"STANTI",E:E,"POS",F:F,"WINSTANTI")+AV460</f>
        <v>0</v>
      </c>
      <c r="AW462" s="179">
        <f>COUNTIFS(D:D,"AA",L:L,"5;-1",G:G,"STANTI",F:F,"KEEPOS")+COUNTIFS(D:D,"AA",L:L,"5;-1",M:M,"STANTI",F:F,"KEEPOS")+AW460</f>
        <v>0</v>
      </c>
      <c r="AX462" s="180">
        <f>COUNTIFS(D:D,"AA",L:L,"5;-1",G:G,"STANTI")+COUNTIFS(D:D,"AA",L:L,"5;-1",M:M,"STANTI")+AX460</f>
        <v>0</v>
      </c>
    </row>
    <row r="463" spans="15:50" s="115" customFormat="1">
      <c r="O463" s="91"/>
      <c r="X463" s="115">
        <f t="shared" si="106"/>
        <v>0</v>
      </c>
      <c r="Y463" s="115">
        <f t="shared" si="107"/>
        <v>0</v>
      </c>
      <c r="Z463" s="115" t="e">
        <f t="shared" si="108"/>
        <v>#VALUE!</v>
      </c>
      <c r="AA463" s="115">
        <f t="shared" si="109"/>
        <v>0</v>
      </c>
      <c r="AB463" s="246"/>
      <c r="AD463"/>
      <c r="AE463" s="181">
        <f>COUNTIFS(D:D,"DD",L:L,"5;1",G:G,"STANTI",F:F,"ATONGOAL")+COUNTIFS(D:D,"DD",L:L,"5;1",M:M,"STANTI",F:F,"ATONGOAL")+AE461</f>
        <v>0</v>
      </c>
      <c r="AF463" s="181">
        <f>COUNTIFS(D:D,"DD",L:L,"5;1",G:G,"STANTI",F:F,"ATONGOAL")+COUNTIFS(D:D,"DD",L:L,"5;1",M:M,"STANTI",F:F,"ATON")+AF461</f>
        <v>0</v>
      </c>
      <c r="AG463" s="181">
        <f>COUNTIFS(D:D,"DD",L:L,"5;1",G:G,"STANTI",F:F,"ATOF")+COUNTIFS(D:D,"DD",L:L,"5;1",M:M,"STANTI",F:F,"ATOF")+AG461</f>
        <v>0</v>
      </c>
      <c r="AH463" s="181">
        <f>COUNTIFS(D:D,"DD",L:L,"5;1",G:G,"STANTI",F:F,"ATBK")+COUNTIFS(D:D,"DD",L:L,"5;1",M:M,"STANTI",F:F,"ATBK")+AH461</f>
        <v>0</v>
      </c>
      <c r="AI463" s="181">
        <f>COUNTIFS(D:D,"DD",L:L,"5;1",G:G,"STANTI",F:F,"ENTRY")+COUNTIFS(D:D,"DD",L:L,"5;1",M:M,"STANTI",F:F,"ENTRY")+AI461</f>
        <v>0</v>
      </c>
      <c r="AJ463" s="181">
        <f>COUNTIFS(D:D,"DD",L:L,"5;1",G:G,"STANTI",E:E,"NEG",F:F,"WINSTAN")+COUNTIFS(D:D,"DD",L:L,"5;1",G:G,"STANTI",E:E,"NEG",F:F,"WINSTAN")+AJ461</f>
        <v>0</v>
      </c>
      <c r="AK463" s="181">
        <f>COUNTIFS(D:D,"DD",L:L,"5;1",M:M,"STANTI",E:E,"NEG",F:F,"WINSTANTI")+COUNTIFS(D:D,"DD",L:L,"5;1",M:M,"STANTI",E:E,"NEG",F:F,"WINSTANTI")+AK461</f>
        <v>0</v>
      </c>
      <c r="AL463" s="181">
        <f>COUNTIFS(D:D,"DD",L:L,"5;1",G:G,"STANTI",F:F,"KEEPOS")+COUNTIFS(D:D,"DD",L:L,"5;1",M:M,"STANTI",F:F,"KEEPOS")+AL461</f>
        <v>0</v>
      </c>
      <c r="AM463" s="181">
        <f>COUNTIFS(D:D,"DD",L:L,"5;1",G:G,"STANTI")+COUNTIFS(D:D,"DD",L:L,"5;1",M:M,"STANTI")+AM461</f>
        <v>0</v>
      </c>
      <c r="AN463" s="182"/>
      <c r="AO463" s="182"/>
      <c r="AP463" s="181">
        <f>COUNTIFS(D:D,"DD",L:L,"5;-1",G:G,"STANTI",F:F,"ATONGOAL")+COUNTIFS(D:D,"DD",L:L,"5;-1",M:M,"STANTI",F:F,"ATONGOAL")+AP461</f>
        <v>0</v>
      </c>
      <c r="AQ463" s="182">
        <f>COUNTIFS(D:D,"DD",L:L,"5;-1",G:G,"STANTI",F:F,"ATON")+COUNTIFS(D:D,"DD",L:L,"5;-1",M:M,"STANTI",F:F,"ATON")+AQ461</f>
        <v>0</v>
      </c>
      <c r="AR463" s="182">
        <f>COUNTIFS(D:D,"DD",L:L,"5;-1",G:G,"STANTI",F:F,"ATOF")+COUNTIFS(D:D,"DD",L:L,"5;-1",M:M,"STANTI",F:F,"ATOF")+AR461</f>
        <v>0</v>
      </c>
      <c r="AS463" s="182">
        <f>COUNTIFS(D:D,"DD",L:L,"5;-1",G:G,"STANTI",F:F,"ATBK")+COUNTIFS(D:D,"DD",L:L,"5;-1",M:M,"STANTI",F:F,"ATBK")+AS461</f>
        <v>0</v>
      </c>
      <c r="AT463" s="181">
        <f>COUNTIFS(D:D,"DD",L:L,"5;-1",G:G,"STANTI",F:F,"ENTRY")+COUNTIFS(D:D,"DD",L:L,"5;-1",M:M,"STANTI",F:F,"ENTRY")+AT461</f>
        <v>0</v>
      </c>
      <c r="AU463" s="181">
        <f>COUNTIFS(D:D,"DD",L:L,"5;-1",G:G,"STANTI",E:E,"NEG",F:F,"WINSTAN")+COUNTIFS(D:D,"DD",L:L,"5;-1",G:G,"STANTI",E:E,"NEG",F:F,"WINSTAN")+AU461</f>
        <v>0</v>
      </c>
      <c r="AV463" s="181">
        <f>COUNTIFS(D:D,"DD",L:L,"5;-1",M:M,"STANTI",E:E,"NEG",F:F,"WINSTANTI")+COUNTIFS(D:D,"DD",L:L,"5;-1",M:M,"STANTI",E:E,"NEG",F:F,"WINSTANTI")+AV461</f>
        <v>0</v>
      </c>
      <c r="AW463" s="181">
        <f>COUNTIFS(D:D,"DD",L:L,"5;-1",G:G,"STANTI",F:F,"KEEPOS")+COUNTIFS(D:D,"DD",L:L,"5;-1",M:M,"STANTI",F:F,"KEEPOS")+AW461</f>
        <v>0</v>
      </c>
      <c r="AX463" s="182">
        <f>COUNTIFS(D:D,"DD",L:L,"5;-1",G:G,"STANTI")+COUNTIFS(D:D,"DD",L:L,"5;-1",M:M,"STANTI")+AX461</f>
        <v>0</v>
      </c>
    </row>
    <row r="464" spans="15:50" s="115" customFormat="1">
      <c r="O464" s="91"/>
      <c r="X464" s="115">
        <f t="shared" si="106"/>
        <v>0</v>
      </c>
      <c r="Y464" s="115">
        <f t="shared" si="107"/>
        <v>0</v>
      </c>
      <c r="Z464" s="115" t="e">
        <f t="shared" si="108"/>
        <v>#VALUE!</v>
      </c>
      <c r="AA464" s="115">
        <f t="shared" si="109"/>
        <v>0</v>
      </c>
      <c r="AB464" s="246"/>
      <c r="AD464"/>
      <c r="AE464"/>
      <c r="AF464"/>
      <c r="AG464"/>
      <c r="AH464"/>
      <c r="AI464"/>
      <c r="AK464" s="201"/>
      <c r="AL464" s="201"/>
      <c r="AM464" s="201"/>
      <c r="AN464" s="201"/>
      <c r="AO464" s="201"/>
      <c r="AP464" s="201"/>
      <c r="AQ464" s="201"/>
      <c r="AR464" s="201"/>
      <c r="AS464" s="201"/>
      <c r="AT464" s="201"/>
    </row>
    <row r="465" spans="15:57" s="115" customFormat="1">
      <c r="O465" s="91"/>
      <c r="X465" s="115">
        <f t="shared" si="106"/>
        <v>0</v>
      </c>
      <c r="Y465" s="115">
        <f t="shared" si="107"/>
        <v>0</v>
      </c>
      <c r="Z465" s="115" t="e">
        <f t="shared" si="108"/>
        <v>#VALUE!</v>
      </c>
      <c r="AA465" s="115">
        <f t="shared" si="109"/>
        <v>0</v>
      </c>
      <c r="AB465" s="246"/>
    </row>
    <row r="466" spans="15:57" s="115" customFormat="1" ht="18.75">
      <c r="O466" s="91"/>
      <c r="X466" s="115">
        <f t="shared" si="106"/>
        <v>0</v>
      </c>
      <c r="Y466" s="115">
        <f t="shared" si="107"/>
        <v>0</v>
      </c>
      <c r="Z466" s="115" t="e">
        <f t="shared" si="108"/>
        <v>#VALUE!</v>
      </c>
      <c r="AA466" s="115">
        <f t="shared" si="109"/>
        <v>0</v>
      </c>
      <c r="AB466" s="246"/>
      <c r="AK466" s="224" t="s">
        <v>222</v>
      </c>
      <c r="AL466" s="224"/>
      <c r="AM466" s="224"/>
      <c r="AZ466"/>
      <c r="BA466"/>
      <c r="BB466"/>
      <c r="BC466"/>
      <c r="BD466"/>
      <c r="BE466"/>
    </row>
    <row r="467" spans="15:57">
      <c r="O467" s="91"/>
      <c r="X467" s="115">
        <f t="shared" si="106"/>
        <v>0</v>
      </c>
      <c r="Y467" s="115">
        <f t="shared" si="107"/>
        <v>0</v>
      </c>
      <c r="Z467" s="115" t="e">
        <f t="shared" si="108"/>
        <v>#VALUE!</v>
      </c>
      <c r="AA467" s="115">
        <f t="shared" si="109"/>
        <v>0</v>
      </c>
      <c r="AD467" s="115"/>
      <c r="AE467" s="115"/>
      <c r="AF467" s="115"/>
      <c r="AG467" s="115"/>
      <c r="AH467" s="217"/>
      <c r="AI467" s="217"/>
      <c r="AJ467" s="115"/>
      <c r="AK467" s="217" t="s">
        <v>220</v>
      </c>
      <c r="AL467" s="217"/>
      <c r="AM467" s="217"/>
      <c r="AN467" s="115"/>
      <c r="AO467" s="115"/>
      <c r="AP467" s="115"/>
      <c r="AQ467" s="115"/>
      <c r="AS467" s="115"/>
      <c r="AT467" s="115"/>
      <c r="AU467" s="115"/>
      <c r="AV467" s="115"/>
      <c r="AW467" s="115"/>
      <c r="AX467" s="115"/>
      <c r="AY467" s="115"/>
    </row>
    <row r="468" spans="15:57">
      <c r="O468" s="91"/>
      <c r="X468" s="115">
        <f t="shared" si="106"/>
        <v>0</v>
      </c>
      <c r="Y468" s="115">
        <f t="shared" si="107"/>
        <v>0</v>
      </c>
      <c r="Z468" s="115" t="e">
        <f t="shared" si="108"/>
        <v>#VALUE!</v>
      </c>
      <c r="AA468" s="115">
        <f t="shared" si="109"/>
        <v>0</v>
      </c>
      <c r="AD468" s="115"/>
      <c r="AE468" s="115" t="s">
        <v>311</v>
      </c>
      <c r="AF468" s="115" t="s">
        <v>9</v>
      </c>
      <c r="AG468" s="115" t="s">
        <v>8</v>
      </c>
      <c r="AH468" s="115" t="s">
        <v>19</v>
      </c>
      <c r="AI468" s="115" t="s">
        <v>310</v>
      </c>
      <c r="AJ468" s="115" t="s">
        <v>7</v>
      </c>
      <c r="AK468" s="115" t="s">
        <v>163</v>
      </c>
      <c r="AL468" s="115" t="s">
        <v>156</v>
      </c>
      <c r="AM468" s="115" t="s">
        <v>45</v>
      </c>
      <c r="AN468" s="115" t="s">
        <v>311</v>
      </c>
      <c r="AO468" s="115" t="s">
        <v>9</v>
      </c>
      <c r="AP468" s="115" t="s">
        <v>8</v>
      </c>
      <c r="AQ468" s="115" t="s">
        <v>19</v>
      </c>
      <c r="AR468" s="115" t="s">
        <v>310</v>
      </c>
      <c r="AS468" s="115" t="s">
        <v>7</v>
      </c>
      <c r="AT468" s="115" t="s">
        <v>163</v>
      </c>
      <c r="AU468" s="115" t="s">
        <v>156</v>
      </c>
      <c r="AV468" s="115" t="s">
        <v>45</v>
      </c>
      <c r="AW468" s="115" t="s">
        <v>311</v>
      </c>
      <c r="AX468" s="115" t="s">
        <v>9</v>
      </c>
      <c r="AY468" s="115" t="s">
        <v>8</v>
      </c>
      <c r="AZ468" s="115" t="s">
        <v>19</v>
      </c>
      <c r="BA468" s="115" t="s">
        <v>310</v>
      </c>
      <c r="BB468" s="115" t="s">
        <v>7</v>
      </c>
      <c r="BC468" s="115" t="s">
        <v>163</v>
      </c>
      <c r="BD468" s="115" t="s">
        <v>156</v>
      </c>
      <c r="BE468" s="115" t="s">
        <v>45</v>
      </c>
    </row>
    <row r="469" spans="15:57" ht="15.75">
      <c r="O469" s="91"/>
      <c r="X469" s="115">
        <f t="shared" si="106"/>
        <v>0</v>
      </c>
      <c r="Y469" s="115">
        <f t="shared" si="107"/>
        <v>0</v>
      </c>
      <c r="Z469" s="115" t="e">
        <f t="shared" si="108"/>
        <v>#VALUE!</v>
      </c>
      <c r="AA469" s="115">
        <f t="shared" si="109"/>
        <v>0</v>
      </c>
      <c r="AD469" s="115"/>
      <c r="AE469" s="179">
        <f>COUNTIFS(D:D,"AA",L:L,"-2;1",G:G,"STANFK",F:F,"ATONGOAL")+COUNTIFS(D:D,"AA",L:L,"-2;1",M:M,"STANFK",F:F,"ATONGOAL")+COUNTIFS(D:D,"AA",L:L,"-2;1",M:M,"STANFK DIRECT",F:F,"ATONGOAL")</f>
        <v>0</v>
      </c>
      <c r="AF469" s="179">
        <f>COUNTIFS(D:D,"AA",L:L,"-2;1",G:G,"STANFK",F:F,"ATON")+COUNTIFS(D:D,"AA",L:L,"-2;1",M:M,"STANFK",F:F,"ATON")+COUNTIFS(D:D,"AA",L:L,"-2;1",M:M,"STANFK DIRECT",F:F,"ATON")</f>
        <v>0</v>
      </c>
      <c r="AG469" s="179">
        <f>COUNTIFS(D:D,"AA",L:L,"-2;1",G:G,"STANFK",F:F,"ATOF")+COUNTIFS(D:D,"AA",L:L,"-2;1",M:M,"STANFK",F:F,"ATOF")+COUNTIFS(D:D,"AA",L:L,"-2;1",M:M,"STANFK DIRECT",F:F,"ATOF")</f>
        <v>0</v>
      </c>
      <c r="AH469" s="179">
        <f>COUNTIFS(D:D,"AA",L:L,"-2;1",G:G,"STANFK",F:F,"ATBK")+COUNTIFS(D:D,"AA",L:L,"-2;1",M:M,"STANFK",F:F,"ATBK")+COUNTIFS(D:D,"AA",L:L,"-2;1",M:M,"STANFK DIRECT",F:F,"ATBK")</f>
        <v>0</v>
      </c>
      <c r="AI469" s="180">
        <f>COUNTIFS(D:D,"AA",L:L,"-2;1",G:G,"STANFK",F:F,"ENTRY")</f>
        <v>0</v>
      </c>
      <c r="AJ469" s="180">
        <f>COUNTIFS(D:D,"AA",L:L,"-2;1",G:G,"STANFK",F:F,"WINSTAN")+COUNTIFS(D:D,"AA",L:L,"-2;1",M:M,"STANFK",F:F,"WINSTAN")</f>
        <v>0</v>
      </c>
      <c r="AK469" s="180">
        <f>COUNTIFS(D:D,"AA",L:L,"-2;1",G:G,"STANFK",F:F,"WINSTANTI")+COUNTIFS(D:D,"AA",L:L,"-2;1",M:M,"STANFK",F:F,"WINSTANTI")</f>
        <v>0</v>
      </c>
      <c r="AL469" s="180">
        <f>COUNTIFS(D:D,"AA",L:L,"-2;1",G:G,"STANFK",F:F,"KEEPOS")+COUNTIFS(D:D,"AA",L:L,"-2;1",M:M,"STANFK",F:F,"KEEPOS")</f>
        <v>0</v>
      </c>
      <c r="AM469" s="179">
        <f>COUNTIFS(D:D,"AA",L:L,"-2;1",G:G,"STANFK")+COUNTIFS(D:D,"AA",L:L,"-2;1",M:M,"STANFK")+COUNTIFS(D:D,"AA",L:L,"-2;1",M:M,"STANFK DIRECT")</f>
        <v>0</v>
      </c>
      <c r="AN469" s="179">
        <f>COUNTIFS(D:D,"AA",L:L,"-2;0",G:G,"STANFK",F:F,"ATONGOAL")+COUNTIFS(D:D,"AA",L:L,"-2;0",G:G,"STANFK DIRECT",F:F,"ATONGOAL")+COUNTIFS(D:D,"AA",L:L,"-2;0",M:M,"STANFK",F:F,"ATONGOAL")+COUNTIFS(D:D,"AA",L:L,"-2;0",M:M,"STANFK DIRECT",F:F,"ATONGOAL")</f>
        <v>0</v>
      </c>
      <c r="AO469" s="180">
        <f>COUNTIFS(D:D,"AA",L:L,"-2;0",G:G,"STANFK",F:F,"ATON")+COUNTIFS(D:D,"AA",L:L,"-2;0",M:M,"STANFK",F:F,"ATON")+COUNTIFS(D:D,"AA",L:L,"-2;0",M:M,"STANFK DIRECT",F:F,"ATON")</f>
        <v>0</v>
      </c>
      <c r="AP469" s="180">
        <f>COUNTIFS(D:D,"AA",L:L,"-2;0",G:G,"STANFK",F:F,"ATOF")+COUNTIFS(D:D,"AA",L:L,"-2;0",M:M,"STANFK",F:F,"ATOF")+COUNTIFS(D:D,"AA",L:L,"-2;0",M:M,"STANFK DIRECT",F:F,"ATOF")</f>
        <v>0</v>
      </c>
      <c r="AQ469" s="180">
        <f>COUNTIFS(D:D,"AA",L:L,"-2;0",G:G,"STANFK",F:F,"ATBK")+COUNTIFS(D:D,"AA",L:L,"-2;0",M:M,"STANFK",F:F,"ATBK")+COUNTIFS(D:D,"AA",L:L,"-2;0",M:M,"STANFK DIRECT",F:F,"ATBK")</f>
        <v>0</v>
      </c>
      <c r="AR469" s="180">
        <f>COUNTIFS(D:D,"AA",L:L,"-2;0",G:G,"STANFK",F:F,"ENTRY")</f>
        <v>0</v>
      </c>
      <c r="AS469" s="180">
        <f>COUNTIFS(D:D,"AA",L:L,"-2;0",G:G,"STANFK",F:F,"WINSTAN")+COUNTIFS(D:D,"AA",L:L,"-2;0",M:M,"STANFK",F:F,"WINSTAN")</f>
        <v>0</v>
      </c>
      <c r="AT469" s="180">
        <f>COUNTIFS(D:D,"AA",L:L,"-2;0",G:G,"STANFK",F:F,"WINSTAN")+COUNTIFS(D:D,"AA",L:L,"-2;0",M:M,"STANFK",F:F,"WINSTAN")</f>
        <v>0</v>
      </c>
      <c r="AU469" s="180">
        <f>COUNTIFS(D:D,"AA",L:L,"-2;0",G:G,"STANFK",F:F,"KEEPOS")+COUNTIFS(D:D,"AA",L:L,"-2;0",M:M,"STANFK",F:F,"KEEPOS")</f>
        <v>0</v>
      </c>
      <c r="AV469" s="180">
        <f>COUNTIFS(D:D,"AA",L:L,"-2;0",G:G,"STANFK")+COUNTIFS(D:D,"AA",L:L,"-2;0",M:M,"STANFK")+COUNTIFS(D:D,"AA",L:L,"-2;0",M:M,"STANFK DIRECT")</f>
        <v>0</v>
      </c>
      <c r="AW469" s="179">
        <f>COUNTIFS(D:D,"AA",L:L,"-2;-1",G:G,"STANFK",F:F,"ATONGOAL")+COUNTIFS(D:D,"AA",L:L,"-2;-1",G:G,"STANFK DIRECT",F:F,"ATONGOAL")+COUNTIFS(D:D,"AA",L:L,"-2;-1",M:M,"STANFK",F:F,"ATONGOAL")+COUNTIFS(D:D,"AA",L:L,"-2;-1",M:M,"STANFK DIRECT",F:F,"ATONGOAL")</f>
        <v>0</v>
      </c>
      <c r="AX469" s="180">
        <f>COUNTIFS(D:D,"AA",L:L,"-2;-1",G:G,"STANFK",F:F,"ATON")+COUNTIFS(D:D,"AA",L:L,"-2;-1",M:M,"STANFK",F:F,"ATON")+COUNTIFS(D:D,"AA",L:L,"-2;-1",M:M,"STANFK DIRECT",F:F,"ATON")</f>
        <v>0</v>
      </c>
      <c r="AY469" s="180">
        <f>COUNTIFS(D:D,"AA",L:L,"-2;-1",G:G,"STANFK",F:F,"ATOF")+COUNTIFS(D:D,"AA",L:L,"-2;-1",M:M,"STANFK",F:F,"ATOF")+COUNTIFS(D:D,"AA",L:L,"-2;-1",M:M,"STANFK DIRECT",F:F,"ATOF")</f>
        <v>0</v>
      </c>
      <c r="AZ469" s="180">
        <f>COUNTIFS(D:D,"AA",L:L,"-2;-1",G:G,"STANFK",F:F,"ATBK")+COUNTIFS(D:D,"AA",L:L,"-2;-1",M:M,"STANFK",F:F,"ATBK")+COUNTIFS(D:D,"AA",L:L,"-2;-1",M:M,"STANFK DIRECT",F:F,"ATBK")</f>
        <v>0</v>
      </c>
      <c r="BA469" s="180">
        <f>COUNTIFS(D:D,"AA",L:L,"-2;-1",G:G,"STANFK",F:F,"ENTRY")</f>
        <v>0</v>
      </c>
      <c r="BB469" s="180">
        <f>COUNTIFS(D:D,"AA",L:L,"-2;-1",G:G,"STANFK",F:F,"WINSTAN")+COUNTIFS(D:D,"AA",L:L,"-2;-1",M:M,"STANFK",F:F,"WINSTAN")</f>
        <v>0</v>
      </c>
      <c r="BC469" s="180">
        <f>COUNTIFS(D:D,"AA",L:L,"-2;-1",G:G,"STANFK",F:F,"WINSTANTI")+COUNTIFS(D:D,"AA",L:L,"-2;-1",M:M,"STANFK",F:F,"WINSTANTI")</f>
        <v>0</v>
      </c>
      <c r="BD469" s="180">
        <f>COUNTIFS(D:D,"AA",L:L,"-2;-1",G:G,"STANFK",F:F,"KEEPOS")+COUNTIFS(D:D,"AA",L:L,"-2;-1",M:M,"STANFK",F:F,"KEEPOS")</f>
        <v>0</v>
      </c>
      <c r="BE469" s="179">
        <f>COUNTIFS(D:D,"AA",L:L,"-2;-1",G:G,"STANFK")+COUNTIFS(D:D,"AA",L:L,"-2;-1",M:M,"STANFK")+COUNTIFS(D:D,"AA",L:L,"-2;-1",M:M,"STANFK DIRECT")</f>
        <v>0</v>
      </c>
    </row>
    <row r="470" spans="15:57" ht="15.75">
      <c r="O470" s="91"/>
      <c r="X470" s="115">
        <f t="shared" si="106"/>
        <v>0</v>
      </c>
      <c r="Y470" s="115">
        <f t="shared" si="107"/>
        <v>0</v>
      </c>
      <c r="Z470" s="115" t="e">
        <f t="shared" si="108"/>
        <v>#VALUE!</v>
      </c>
      <c r="AA470" s="115">
        <f t="shared" si="109"/>
        <v>0</v>
      </c>
      <c r="AE470" s="184">
        <f>COUNTIFS(D:D,"DD",L:L,"-2;1",G:G,"STANFK",F:F,"ATONGOAL")+COUNTIFS(D:D,"DD",L:L,"-2;1",M:M,"STANFK",F:F,"ATONGOAL")+COUNTIFS(D:D,"DD",L:L,"-2;1",M:M,"STANFK DIRECT",F:F,"ATONGOAL")</f>
        <v>0</v>
      </c>
      <c r="AF470" s="184">
        <f>COUNTIFS(D:D,"DD",L:L,"-2;1",G:G,"STANFK",F:F,"ATON")+COUNTIFS(D:D,"DD",L:L,"-2;1",M:M,"STANFK",F:F,"ATON")+COUNTIFS(D:D,"DD",L:L,"-2;1",M:M,"STANFK DIRECT",F:F,"ATON")</f>
        <v>0</v>
      </c>
      <c r="AG470" s="184">
        <f>COUNTIFS(D:D,"DD",L:L,"-2;1",G:G,"STANFK",F:F,"ATOF")+COUNTIFS(D:D,"DD",L:L,"-2;1",M:M,"STANFK",F:F,"ATOF")+COUNTIFS(D:D,"DD",L:L,"-2;1",M:M,"STANFK DIRECT",F:F,"ATOF")</f>
        <v>0</v>
      </c>
      <c r="AH470" s="184">
        <f>COUNTIFS(D:D,"DD",L:L,"-2;1",G:G,"STANFK",F:F,"ATBK")+COUNTIFS(D:D,"DD",L:L,"-2;1",M:M,"STANFK",F:F,"ATBK")+COUNTIFS(D:D,"DD",L:L,"-2;1",M:M,"STANFK DIRECT",F:F,"ATBK")</f>
        <v>0</v>
      </c>
      <c r="AI470" s="185">
        <f>COUNTIFS(D:D,"DD",L:L,"-2;1",G:G,"STANFK",F:F,"ENTRY")</f>
        <v>0</v>
      </c>
      <c r="AJ470" s="185">
        <f>COUNTIFS(D:D,"DD",L:L,"-2;1",G:G,"STANFK",F:F,"WINSTAN")+COUNTIFS(D:D,"DD",L:L,"-2;1",M:M,"STANFK",F:F,"WINSTAN")</f>
        <v>0</v>
      </c>
      <c r="AK470" s="185">
        <f>COUNTIFS(D:D,"DD",L:L,"-2;1",G:G,"STANFK",F:F,"WINSTANTI")+COUNTIFS(D:D,"DD",L:L,"-2;1",M:M,"STANFK",F:F,"WINSTANTI")</f>
        <v>0</v>
      </c>
      <c r="AL470" s="185">
        <f>COUNTIFS(D:D,"DD",L:L,"-2;1",G:G,"STANFK",F:F,"KEEPOS")+COUNTIFS(D:D,"DD",L:L,"-2;1",M:M,"STANFK",F:F,"KEEPOS")</f>
        <v>0</v>
      </c>
      <c r="AM470" s="181">
        <f>COUNTIFS(D:D,"DD",L:L,"-2;1",G:G,"STANFK")+COUNTIFS(D:D,"DD",L:L,"-2;1",M:M,"STANFK")+COUNTIFS(D:D,"DD",L:L,"-2;1",M:M,"STANFK DIRECT")</f>
        <v>0</v>
      </c>
      <c r="AN470" s="184">
        <f>COUNTIFS(D:D,"DD",L:L,"-2;0",G:G,"STANFK",F:F,"ATONGOAL")+COUNTIFS(D:D,"DD",L:L,"-2;0",G:G,"STANFK DIRECT",F:F,"ATONGOAL")+COUNTIFS(D:D,"DD",L:L,"-2;0",M:M,"STANFK",F:F,"ATONGOAL")+COUNTIFS(D:D,"DD",L:L,"-2;0",M:M,"STANFK DIRECT",F:F,"ATONGOAL")</f>
        <v>0</v>
      </c>
      <c r="AO470" s="185">
        <f>COUNTIFS(D:D,"DD",L:L,"-2;0",G:G,"STANFK",F:F,"ATON")+COUNTIFS(D:D,"DD",L:L,"-2;0",M:M,"STANFK",F:F,"ATON")+COUNTIFS(D:D,"DD",L:L,"-2;0",M:M,"STANFK DIRECT",F:F,"ATON")</f>
        <v>0</v>
      </c>
      <c r="AP470" s="185">
        <f>COUNTIFS(D:D,"DD",L:L,"-2;0",G:G,"STANFK",F:F,"ATOF")+COUNTIFS(D:D,"DD",L:L,"-2;0",M:M,"STANFK",F:F,"ATOF")+COUNTIFS(D:D,"DD",L:L,"-2;0",M:M,"STANFK DIRECT",F:F,"ATOF")</f>
        <v>0</v>
      </c>
      <c r="AQ470" s="185">
        <f>COUNTIFS(D:D,"DD",L:L,"-2;0",G:G,"STANFK",F:F,"ATBK")+COUNTIFS(D:D,"DD",L:L,"-2;0",M:M,"STANFK",F:F,"ATBK")+COUNTIFS(D:D,"DD",L:L,"-2;0",M:M,"STANFK DIRECT",F:F,"ATBK")</f>
        <v>0</v>
      </c>
      <c r="AR470" s="185">
        <f>COUNTIFS(D:D,"DD",L:L,"-2;0",G:G,"STANFK",F:F,"ENTRY")</f>
        <v>0</v>
      </c>
      <c r="AS470" s="185">
        <f>COUNTIFS(D:D,"DD",L:L,"-2;0",G:G,"STANFK",F:F,"WINSTAN")+COUNTIFS(D:D,"DD",L:L,"-2;0",M:M,"STANFK",F:F,"WINSTAN")</f>
        <v>0</v>
      </c>
      <c r="AT470" s="185">
        <f>COUNTIFS(D:D,"DD",L:L,"-2;0",G:G,"STANFK",F:F,"WINSTAN")+COUNTIFS(D:D,"DD",L:L,"-2;0",M:M,"STANFK",F:F,"WINSTAN")</f>
        <v>0</v>
      </c>
      <c r="AU470" s="185">
        <f>COUNTIFS(D:D,"DD",L:L,"-2;0",G:G,"STANFK",F:F,"KEEPOS")+COUNTIFS(D:D,"DD",L:L,"-2;0",M:M,"STANFK",F:F,"KEEPOS")</f>
        <v>0</v>
      </c>
      <c r="AV470" s="185">
        <f>COUNTIFS(D:D,"DD",L:L,"-2;0",G:G,"STANFK")+COUNTIFS(D:D,"DD",L:L,"-2;0",M:M,"STANFK")+COUNTIFS(D:D,"DD",L:L,"-2;0",M:M,"STANFK DIRECT")</f>
        <v>0</v>
      </c>
      <c r="AW470" s="184">
        <f>COUNTIFS(D:D,"DD",L:L,"-2;-1",G:G,"STANFK",F:F,"ATONGOAL")+COUNTIFS(D:D,"DD",L:L,"-2;-1",G:G,"STANFK DIRECT",F:F,"ATONGOAL")+COUNTIFS(D:D,"DD",L:L,"-2;-1",M:M,"STANFK",F:F,"ATONGOAL")+COUNTIFS(D:D,"DD",L:L,"-2;-1",M:M,"STANFK DIRECT",F:F,"ATONGOAL")</f>
        <v>0</v>
      </c>
      <c r="AX470" s="185">
        <f>COUNTIFS(D:D,"DD",L:L,"-2;-1",G:G,"STANFK",F:F,"ATON")+COUNTIFS(D:D,"DD",L:L,"-2;-1",M:M,"STANFK",F:F,"ATON")+COUNTIFS(D:D,"DD",L:L,"-2;-1",M:M,"STANFK DIRECT",F:F,"ATON")</f>
        <v>0</v>
      </c>
      <c r="AY470" s="185">
        <f>COUNTIFS(D:D,"DD",L:L,"-2;-1",G:G,"STANFK",F:F,"ATOF")+COUNTIFS(D:D,"DD",L:L,"-2;-1",M:M,"STANFK",F:F,"ATOF")+COUNTIFS(D:D,"DD",L:L,"-2;-1",M:M,"STANFK DIRECT",F:F,"ATOF")</f>
        <v>0</v>
      </c>
      <c r="AZ470" s="185">
        <f>COUNTIFS(D:D,"DD",L:L,"-2;-1",G:G,"STANFK",F:F,"ATBK")+COUNTIFS(D:D,"DD",L:L,"-2;-1",M:M,"STANFK",F:F,"ATBK")+COUNTIFS(D:D,"DD",L:L,"-2;-1",M:M,"STANFK DIRECT",F:F,"ATBK")</f>
        <v>0</v>
      </c>
      <c r="BA470" s="185">
        <f>COUNTIFS(D:D,"DD",L:L,"-2;-1",G:G,"STANFK",F:F,"ENTRY")</f>
        <v>0</v>
      </c>
      <c r="BB470" s="185">
        <f>COUNTIFS(D:D,"DD",L:L,"-2;-1",G:G,"STANFK",F:F,"WINSTAN")+COUNTIFS(D:D,"DD",L:L,"-2;-1",M:M,"STANFK",F:F,"WINSTAN")</f>
        <v>0</v>
      </c>
      <c r="BC470" s="185">
        <f>COUNTIFS(D:D,"DD",L:L,"-2;-1",G:G,"STANFK",F:F,"WINSTANTI")+COUNTIFS(D:D,"DD",L:L,"-2;-1",M:M,"STANFK",F:F,"WINSTANTI")</f>
        <v>0</v>
      </c>
      <c r="BD470" s="185">
        <f>COUNTIFS(D:D,"DD",L:L,"-2;-1",G:G,"STANFK",F:F,"KEEPOS")+COUNTIFS(D:D,"DD",L:L,"-2;-1",M:M,"STANFK",F:F,"KEEPOS")</f>
        <v>0</v>
      </c>
      <c r="BE470" s="181">
        <f>COUNTIFS(D:D,"DD",L:L,"-2;-1",G:G,"STANFK")+COUNTIFS(D:D,"DD",L:L,"-2;-1",M:M,"STANFK")+COUNTIFS(D:D,"DD",L:L,"-2;-1",M:M,"STANFK DIRECT")</f>
        <v>0</v>
      </c>
    </row>
    <row r="471" spans="15:57" ht="15.75">
      <c r="O471" s="91"/>
      <c r="X471" s="115">
        <f t="shared" si="106"/>
        <v>0</v>
      </c>
      <c r="Y471" s="115">
        <f t="shared" si="107"/>
        <v>0</v>
      </c>
      <c r="Z471" s="115" t="e">
        <f t="shared" si="108"/>
        <v>#VALUE!</v>
      </c>
      <c r="AA471" s="115">
        <f t="shared" si="109"/>
        <v>0</v>
      </c>
      <c r="AE471" s="179">
        <f>COUNTIFS(D:D,"AA",L:L,"-1;1",G:G,"STANFK",F:F,"ATONGOAL")+COUNTIFS(D:D,"AA",L:L,"-1;1",M:M,"STANFK",F:F,"ATONGOAL")+COUNTIFS(D:D,"AA",L:L,"-1;1",M:M,"STANFK DIRECT",F:F,"ATONGOAL")</f>
        <v>0</v>
      </c>
      <c r="AF471" s="179">
        <f>COUNTIFS(D:D,"AA",L:L,"-1;1",G:G,"STANFK",F:F,"ATON")+COUNTIFS(D:D,"AA",L:L,"-1;1",M:M,"STANFK",F:F,"ATON")+COUNTIFS(D:D,"AA",L:L,"-1;1",M:M,"STANFK DIRECT",F:F,"ATON")</f>
        <v>0</v>
      </c>
      <c r="AG471" s="179">
        <f>COUNTIFS(D:D,"AA",L:L,"-1;1",G:G,"STANFK",F:F,"ATOF")+COUNTIFS(D:D,"AA",L:L,"-1;1",M:M,"STANFK",F:F,"ATOF")+COUNTIFS(D:D,"AA",L:L,"-1;1",M:M,"STANFK DIRECT",F:F,"ATOF")</f>
        <v>0</v>
      </c>
      <c r="AH471" s="179">
        <f>COUNTIFS(D:D,"AA",L:L,"-1;1",G:G,"STANFK",F:F,"ATBK")+COUNTIFS(D:D,"AA",L:L,"-1;1",M:M,"STANFK",F:F,"ATBK")+COUNTIFS(D:D,"AA",L:L,"-1;1",M:M,"STANFK DIRECT",F:F,"ATBK")</f>
        <v>0</v>
      </c>
      <c r="AI471" s="180">
        <f>COUNTIFS(D:D,"AA",L:L,"-1;1",G:G,"STANFK",F:F,"ENTRY")</f>
        <v>0</v>
      </c>
      <c r="AJ471" s="180">
        <f>COUNTIFS(D:D,"AA",L:L,"-1;1",G:G,"STANFK",F:F,"WINSTAN")+COUNTIFS(D:D,"AA",L:L,"-1;1",M:M,"STANFK",F:F,"WINSTAN")</f>
        <v>0</v>
      </c>
      <c r="AK471" s="180">
        <f>COUNTIFS(D:D,"AA",L:L,"-1;1",G:G,"STANFK",F:F,"WINSTANTI")+COUNTIFS(D:D,"AA",L:L,"-1;1",M:M,"STANFK",F:F,"WINSTANTI")</f>
        <v>0</v>
      </c>
      <c r="AL471" s="180">
        <f>COUNTIFS(D:D,"AA",L:L,"-1;1",G:G,"STANFK",F:F,"KEEPOS")+COUNTIFS(D:D,"AA",L:L,"-1;1",M:M,"STANFK",F:F,"KEEPOS")</f>
        <v>0</v>
      </c>
      <c r="AM471" s="179">
        <f>COUNTIFS(D:D,"AA",L:L,"-1;1",G:G,"STANFK")+COUNTIFS(D:D,"AA",L:L,"-1;1",M:M,"STANFK")+COUNTIFS(D:D,"AA",L:L,"-1;1",M:M,"STANFK DIRECT")</f>
        <v>0</v>
      </c>
      <c r="AN471" s="179">
        <f>COUNTIFS(D:D,"AA",L:L,"-1;0",G:G,"STANFK",F:F,"ATONGOAL")+COUNTIFS(D:D,"AA",L:L,"-1;0",G:G,"STANFK DIRECT",F:F,"ATONGOAL")+COUNTIFS(D:D,"AA",L:L,"-1;0",M:M,"STANFK",F:F,"ATONGOAL")+COUNTIFS(D:D,"AA",L:L,"-1;0",M:M,"STANFK DIRECT",F:F,"ATONGOAL")</f>
        <v>0</v>
      </c>
      <c r="AO471" s="180">
        <f>COUNTIFS(D:D,"AA",L:L,"-1;0",G:G,"STANFK",F:F,"ATON")+COUNTIFS(D:D,"AA",L:L,"-1;0",M:M,"STANFK",F:F,"ATON")+COUNTIFS(D:D,"AA",L:L,"-1;0",M:M,"STANFK DIRECT",F:F,"ATON")</f>
        <v>0</v>
      </c>
      <c r="AP471" s="180">
        <f>COUNTIFS(D:D,"AA",L:L,"-1;0",G:G,"STANFK",F:F,"ATOF")+COUNTIFS(D:D,"AA",L:L,"-1;0",M:M,"STANFK",F:F,"ATOF")+COUNTIFS(D:D,"AA",L:L,"-1;0",M:M,"STANFK DIRECT",F:F,"ATOF")</f>
        <v>0</v>
      </c>
      <c r="AQ471" s="180">
        <f>COUNTIFS(D:D,"AA",L:L,"-1;0",G:G,"STANFK",F:F,"ATBK")+COUNTIFS(D:D,"AA",L:L,"-1;0",M:M,"STANFK",F:F,"ATBK")+COUNTIFS(D:D,"AA",L:L,"-1;0",M:M,"STANFK DIRECT",F:F,"ATBK")</f>
        <v>0</v>
      </c>
      <c r="AR471" s="180">
        <f>COUNTIFS(D:D,"AA",L:L,"-1;0",G:G,"STANFK",F:F,"ENTRY")</f>
        <v>0</v>
      </c>
      <c r="AS471" s="180">
        <f>COUNTIFS(D:D,"AA",L:L,"-1;0",G:G,"STANFK",F:F,"WINSTAN")+COUNTIFS(D:D,"AA",L:L,"-1;0",M:M,"STANFK",F:F,"WINSTAN")</f>
        <v>0</v>
      </c>
      <c r="AT471" s="180">
        <f>COUNTIFS(D:D,"AA",L:L,"-1;0",G:G,"STANFK",F:F,"WINSTAN")+COUNTIFS(D:D,"AA",L:L,"-1;0",M:M,"STANFK",F:F,"WINSTAN")</f>
        <v>0</v>
      </c>
      <c r="AU471" s="180">
        <f>COUNTIFS(D:D,"AA",L:L,"-1;0",G:G,"STANFK",F:F,"KEEPOS")+COUNTIFS(D:D,"AA",L:L,"-1;0",M:M,"STANFK",F:F,"KEEPOS")</f>
        <v>0</v>
      </c>
      <c r="AV471" s="180">
        <f>COUNTIFS(D:D,"AA",L:L,"-1;0",G:G,"STANFK")+COUNTIFS(D:D,"AA",L:L,"-1;0",M:M,"STANFK")+COUNTIFS(D:D,"AA",L:L,"-1;0",M:M,"STANFK DIRECT")</f>
        <v>0</v>
      </c>
      <c r="AW471" s="179">
        <f>COUNTIFS(D:D,"AA",L:L,"-1;-1",G:G,"STANFK",F:F,"ATONGOAL")+COUNTIFS(D:D,"AA",L:L,"-1;-1",G:G,"STANFK DIRECT",F:F,"ATONGOAL")+COUNTIFS(D:D,"AA",L:L,"-1;-1",M:M,"STANFK",F:F,"ATONGOAL")+COUNTIFS(D:D,"AA",L:L,"-1;-1",M:M,"STANFK DIRECT",F:F,"ATONGOAL")</f>
        <v>0</v>
      </c>
      <c r="AX471" s="180">
        <f>COUNTIFS(D:D,"AA",L:L,"-1;-1",G:G,"STANFK",F:F,"ATON")+COUNTIFS(D:D,"AA",L:L,"-1;-1",M:M,"STANFK",F:F,"ATON")+COUNTIFS(D:D,"AA",L:L,"-1;-1",M:M,"STANFK DIRECT",F:F,"ATON")</f>
        <v>0</v>
      </c>
      <c r="AY471" s="180">
        <f>COUNTIFS(D:D,"AA",L:L,"-1;-1",G:G,"STANFK",F:F,"ATOF")+COUNTIFS(D:D,"AA",L:L,"-1;-1",M:M,"STANFK",F:F,"ATOF")+COUNTIFS(D:D,"AA",L:L,"-1;-1",M:M,"STANFK DIRECT",F:F,"ATOF")</f>
        <v>0</v>
      </c>
      <c r="AZ471" s="180">
        <f>COUNTIFS(D:D,"AA",L:L,"-1;-1",G:G,"STANFK",F:F,"ATBK")+COUNTIFS(D:D,"AA",L:L,"-1;-1",M:M,"STANFK",F:F,"ATBK")+COUNTIFS(D:D,"AA",L:L,"-1;-1",M:M,"STANFK DIRECT",F:F,"ATBK")</f>
        <v>0</v>
      </c>
      <c r="BA471" s="180">
        <f>COUNTIFS(D:D,"AA",L:L,"-1;-1",G:G,"STANFK",F:F,"ENTRY")</f>
        <v>0</v>
      </c>
      <c r="BB471" s="180">
        <f>COUNTIFS(D:D,"AA",L:L,"-1;-1",G:G,"STANFK",F:F,"WINSTAN")+COUNTIFS(D:D,"AA",L:L,"-1;-1",M:M,"STANFK",F:F,"WINSTAN")</f>
        <v>0</v>
      </c>
      <c r="BC471" s="180">
        <f>COUNTIFS(D:D,"AA",L:L,"-1;-1",G:G,"STANFK",F:F,"WINSTANTI")+COUNTIFS(D:D,"AA",L:L,"-1;-1",M:M,"STANFK",F:F,"WINSTANTI")</f>
        <v>0</v>
      </c>
      <c r="BD471" s="180">
        <f>COUNTIFS(D:D,"AA",L:L,"-1;-1",G:G,"STANFK",F:F,"KEEPOS")+COUNTIFS(D:D,"AA",L:L,"-1;-1",M:M,"STANFK",F:F,"KEEPOS")</f>
        <v>0</v>
      </c>
      <c r="BE471" s="179">
        <f>COUNTIFS(D:D,"AA",L:L,"-1;-1",G:G,"STANFK")+COUNTIFS(D:D,"AA",L:L,"-1;-1",M:M,"STANFK")+COUNTIFS(D:D,"AA",L:L,"-1;-1",M:M,"STANFK DIRECT")</f>
        <v>0</v>
      </c>
    </row>
    <row r="472" spans="15:57" ht="15.75">
      <c r="O472" s="91"/>
      <c r="X472" s="115">
        <f t="shared" si="106"/>
        <v>0</v>
      </c>
      <c r="Y472" s="115">
        <f t="shared" si="107"/>
        <v>0</v>
      </c>
      <c r="Z472" s="115" t="e">
        <f t="shared" si="108"/>
        <v>#VALUE!</v>
      </c>
      <c r="AA472" s="115">
        <f t="shared" si="109"/>
        <v>0</v>
      </c>
      <c r="AE472" s="184">
        <f>COUNTIFS(D:D,"DD",L:L,"-1;1",G:G,"STANFK",F:F,"ATONGOAL")+COUNTIFS(D:D,"DD",L:L,"-1;1",M:M,"STANFK",F:F,"ATONGOAL")+COUNTIFS(D:D,"DD",L:L,"-1;1",M:M,"STANFK DIRECT",F:F,"ATONGOAL")</f>
        <v>0</v>
      </c>
      <c r="AF472" s="184">
        <f>COUNTIFS(D:D,"DD",L:L,"-1;1",G:G,"STANFK",F:F,"ATON")+COUNTIFS(D:D,"DD",L:L,"-1;1",M:M,"STANFK",F:F,"ATON")+COUNTIFS(D:D,"DD",L:L,"-1;1",M:M,"STANFK DIRECT",F:F,"ATON")</f>
        <v>0</v>
      </c>
      <c r="AG472" s="184">
        <f>COUNTIFS(D:D,"DD",L:L,"-1;1",G:G,"STANFK",F:F,"ATOF")+COUNTIFS(D:D,"DD",L:L,"-1;1",M:M,"STANFK",F:F,"ATOF")+COUNTIFS(D:D,"DD",L:L,"-1;1",M:M,"STANFK DIRECT",F:F,"ATOF")</f>
        <v>0</v>
      </c>
      <c r="AH472" s="184">
        <f>COUNTIFS(D:D,"DD",L:L,"-1;1",G:G,"STANFK",F:F,"ATBK")+COUNTIFS(D:D,"DD",L:L,"-1;1",M:M,"STANFK",F:F,"ATBK")+COUNTIFS(D:D,"DD",L:L,"-1;1",M:M,"STANFK DIRECT",F:F,"ATBK")</f>
        <v>0</v>
      </c>
      <c r="AI472" s="185">
        <f>COUNTIFS(D:D,"DD",L:L,"-1;1",G:G,"STANFK",F:F,"ENTRY")</f>
        <v>0</v>
      </c>
      <c r="AJ472" s="185">
        <f>COUNTIFS(D:D,"DD",L:L,"-1;1",G:G,"STANFK",F:F,"WINSTAN")+COUNTIFS(D:D,"DD",L:L,"-1;1",M:M,"STANFK",F:F,"WINSTAN")</f>
        <v>0</v>
      </c>
      <c r="AK472" s="185">
        <f>COUNTIFS(D:D,"DD",L:L,"-1;1",G:G,"STANFK",F:F,"WINSTANTI")+COUNTIFS(D:D,"DD",L:L,"-1;1",M:M,"STANFK",F:F,"WINSTANTI")</f>
        <v>0</v>
      </c>
      <c r="AL472" s="185">
        <f>COUNTIFS(D:D,"DD",L:L,"-1;1",G:G,"STANFK",F:F,"KEEPOS")+COUNTIFS(D:D,"DD",L:L,"-1;1",M:M,"STANFK",F:F,"KEEPOS")</f>
        <v>0</v>
      </c>
      <c r="AM472" s="181">
        <f>COUNTIFS(D:D,"DD",L:L,"-1;1",G:G,"STANFK")+COUNTIFS(D:D,"DD",L:L,"-1;1",M:M,"STANFK")+COUNTIFS(D:D,"DD",L:L,"-1;1",M:M,"STANFK DIRECT")</f>
        <v>0</v>
      </c>
      <c r="AN472" s="184">
        <f>COUNTIFS(D:D,"DD",L:L,"-1;0",G:G,"STANFK",F:F,"ATONGOAL")+COUNTIFS(D:D,"DD",L:L,"-1;0",G:G,"STANFK DIRECT",F:F,"ATONGOAL")+COUNTIFS(D:D,"DD",L:L,"-1;0",M:M,"STANFK",F:F,"ATONGOAL")+COUNTIFS(D:D,"DD",L:L,"-1;0",M:M,"STANFK DIRECT",F:F,"ATONGOAL")</f>
        <v>0</v>
      </c>
      <c r="AO472" s="185">
        <f>COUNTIFS(D:D,"DD",L:L,"-1;0",G:G,"STANFK",F:F,"ATON")+COUNTIFS(D:D,"DD",L:L,"-1;0",M:M,"STANFK",F:F,"ATON")+COUNTIFS(D:D,"DD",L:L,"-1;0",M:M,"STANFK DIRECT",F:F,"ATON")</f>
        <v>0</v>
      </c>
      <c r="AP472" s="185">
        <f>COUNTIFS(D:D,"DD",L:L,"-1;0",G:G,"STANFK",F:F,"ATOF")+COUNTIFS(D:D,"DD",L:L,"-1;0",M:M,"STANFK",F:F,"ATOF")+COUNTIFS(D:D,"DD",L:L,"-1;0",M:M,"STANFK DIRECT",F:F,"ATOF")</f>
        <v>0</v>
      </c>
      <c r="AQ472" s="185">
        <f>COUNTIFS(D:D,"DD",L:L,"-1;0",G:G,"STANFK",F:F,"ATBK")+COUNTIFS(D:D,"DD",L:L,"-1;0",M:M,"STANFK",F:F,"ATBK")+COUNTIFS(D:D,"DD",L:L,"-1;0",M:M,"STANFK DIRECT",F:F,"ATBK")</f>
        <v>0</v>
      </c>
      <c r="AR472" s="185">
        <f>COUNTIFS(D:D,"DD",L:L,"-1;0",G:G,"STANFK",F:F,"ENTRY")</f>
        <v>0</v>
      </c>
      <c r="AS472" s="185">
        <f>COUNTIFS(D:D,"DD",L:L,"-1;0",G:G,"STANFK",F:F,"WINSTAN")+COUNTIFS(D:D,"DD",L:L,"-1;0",M:M,"STANFK",F:F,"WINSTAN")</f>
        <v>0</v>
      </c>
      <c r="AT472" s="185">
        <f>COUNTIFS(D:D,"DD",L:L,"-1;0",G:G,"STANFK",F:F,"WINSTAN")+COUNTIFS(D:D,"DD",L:L,"-1;0",M:M,"STANFK",F:F,"WINSTAN")</f>
        <v>0</v>
      </c>
      <c r="AU472" s="185">
        <f>COUNTIFS(D:D,"DD",L:L,"-1;0",G:G,"STANFK",F:F,"KEEPOS")+COUNTIFS(D:D,"DD",L:L,"-1;0",M:M,"STANFK",F:F,"KEEPOS")</f>
        <v>0</v>
      </c>
      <c r="AV472" s="185">
        <f>COUNTIFS(D:D,"DD",L:L,"-1;0",G:G,"STANFK")+COUNTIFS(D:D,"DD",L:L,"-1;0",M:M,"STANFK")+COUNTIFS(D:D,"DD",L:L,"-1;0",M:M,"STANFK DIRECT")</f>
        <v>0</v>
      </c>
      <c r="AW472" s="184">
        <f>COUNTIFS(D:D,"DD",L:L,"-1;-1",G:G,"STANFK",F:F,"ATONGOAL")+COUNTIFS(D:D,"DD",L:L,"-1;-1",G:G,"STANFK DIRECT",F:F,"ATONGOAL")+COUNTIFS(D:D,"DD",L:L,"-1;-1",M:M,"STANFK",F:F,"ATONGOAL")+COUNTIFS(D:D,"DD",L:L,"-1;-1",M:M,"STANFK DIRECT",F:F,"ATONGOAL")</f>
        <v>0</v>
      </c>
      <c r="AX472" s="185">
        <f>COUNTIFS(D:D,"DD",L:L,"-1;-1",G:G,"STANFK",F:F,"ATON")+COUNTIFS(D:D,"DD",L:L,"-1;-1",M:M,"STANFK",F:F,"ATON")+COUNTIFS(D:D,"DD",L:L,"-1;-1",M:M,"STANFK DIRECT",F:F,"ATON")</f>
        <v>0</v>
      </c>
      <c r="AY472" s="185">
        <f>COUNTIFS(D:D,"DD",L:L,"-1;-1",G:G,"STANFK",F:F,"ATOF")+COUNTIFS(D:D,"DD",L:L,"-1;-1",M:M,"STANFK",F:F,"ATOF")+COUNTIFS(D:D,"DD",L:L,"-1;-1",M:M,"STANFK DIRECT",F:F,"ATOF")</f>
        <v>0</v>
      </c>
      <c r="AZ472" s="185">
        <f>COUNTIFS(D:D,"DD",L:L,"-1;-1",G:G,"STANFK",F:F,"ATBK")+COUNTIFS(D:D,"DD",L:L,"-1;-1",M:M,"STANFK",F:F,"ATBK")+COUNTIFS(D:D,"DD",L:L,"-1;-1",M:M,"STANFK DIRECT",F:F,"ATBK")</f>
        <v>0</v>
      </c>
      <c r="BA472" s="185">
        <f>COUNTIFS(D:D,"DD",L:L,"-1;-1",G:G,"STANFK",F:F,"ENTRY")</f>
        <v>0</v>
      </c>
      <c r="BB472" s="185">
        <f>COUNTIFS(D:D,"DD",L:L,"-1;-1",G:G,"STANFK",F:F,"WINSTAN")+COUNTIFS(D:D,"DD",L:L,"-1;-1",M:M,"STANFK",F:F,"WINSTAN")</f>
        <v>0</v>
      </c>
      <c r="BC472" s="185">
        <f>COUNTIFS(D:D,"DD",L:L,"-1;-1",G:G,"STANFK",F:F,"WINSTANTI")+COUNTIFS(D:D,"DD",L:L,"-1;-1",M:M,"STANFK",F:F,"WINSTANTI")</f>
        <v>0</v>
      </c>
      <c r="BD472" s="185">
        <f>COUNTIFS(D:D,"DD",L:L,"-1;-1",G:G,"STANFK",F:F,"KEEPOS")+COUNTIFS(D:D,"DD",L:L,"-1;-1",M:M,"STANFK",F:F,"KEEPOS")</f>
        <v>0</v>
      </c>
      <c r="BE472" s="181">
        <f>COUNTIFS(D:D,"DD",L:L,"-1;-1",G:G,"STANFK")+COUNTIFS(D:D,"DD",L:L,"-1;-1",M:M,"STANFK")+COUNTIFS(D:D,"DD",L:L,"-1;-1",M:M,"STANFK DIRECT")</f>
        <v>0</v>
      </c>
    </row>
    <row r="473" spans="15:57" ht="15.75">
      <c r="O473" s="91"/>
      <c r="X473" s="115">
        <f t="shared" si="106"/>
        <v>0</v>
      </c>
      <c r="Y473" s="115">
        <f t="shared" si="107"/>
        <v>0</v>
      </c>
      <c r="Z473" s="115" t="e">
        <f t="shared" si="108"/>
        <v>#VALUE!</v>
      </c>
      <c r="AA473" s="115">
        <f t="shared" si="109"/>
        <v>0</v>
      </c>
      <c r="AE473" s="179">
        <f>COUNTIFS(D:D,"AA",L:L,"0;1",G:G,"STANFK",F:F,"ATONGOAL")+COUNTIFS(D:D,"AA",L:L,"0;1",M:M,"STANFK",F:F,"ATONGOAL")+COUNTIFS(D:D,"AA",L:L,"0;1",M:M,"STANFK DIRECT",F:F,"ATONGOAL")</f>
        <v>0</v>
      </c>
      <c r="AF473" s="179">
        <f>COUNTIFS(D:D,"AA",L:L,"0;1",G:G,"STANFK",F:F,"ATON")+COUNTIFS(D:D,"AA",L:L,"0;1",M:M,"STANFK",F:F,"ATON")+COUNTIFS(D:D,"AA",L:L,"0;1",M:M,"STANFK DIRECT",F:F,"ATON")</f>
        <v>0</v>
      </c>
      <c r="AG473" s="179">
        <f>COUNTIFS(D:D,"AA",L:L,"0;1",G:G,"STANFK",F:F,"ATOF")+COUNTIFS(D:D,"AA",L:L,"0;1",M:M,"STANFK",F:F,"ATOF")+COUNTIFS(D:D,"AA",L:L,"0;1",M:M,"STANFK DIRECT",F:F,"ATOF")</f>
        <v>0</v>
      </c>
      <c r="AH473" s="179">
        <f>COUNTIFS(D:D,"AA",L:L,"0;1",G:G,"STANFK",F:F,"ATBK")+COUNTIFS(D:D,"AA",L:L,"0;1",M:M,"STANFK",F:F,"ATBK")+COUNTIFS(D:D,"AA",L:L,"0;1",M:M,"STANFK DIRECT",F:F,"ATBK")</f>
        <v>0</v>
      </c>
      <c r="AI473" s="180">
        <f>COUNTIFS(D:D,"AA",L:L,"0;1",G:G,"STANFK",F:F,"ENTRY")</f>
        <v>0</v>
      </c>
      <c r="AJ473" s="180">
        <f>COUNTIFS(D:D,"AA",L:L,"0;1",G:G,"STANFK",F:F,"WINSTAN")+COUNTIFS(D:D,"AA",L:L,"0;1",M:M,"STANFK",F:F,"WINSTAN")</f>
        <v>0</v>
      </c>
      <c r="AK473" s="180">
        <f>COUNTIFS(D:D,"AA",L:L,"0;1",G:G,"STANFK",F:F,"WINSTANTI")+COUNTIFS(D:D,"AA",L:L,"0;1",M:M,"STANFK",F:F,"WINSTANTI")</f>
        <v>0</v>
      </c>
      <c r="AL473" s="180">
        <f>COUNTIFS(D:D,"AA",L:L,"0;1",G:G,"STANFK",F:F,"KEEPOS")+COUNTIFS(D:D,"AA",L:L,"0;1",M:M,"STANFK",F:F,"KEEPOS")</f>
        <v>0</v>
      </c>
      <c r="AM473" s="179">
        <f>COUNTIFS(D:D,"AA",L:L,"0;1",G:G,"STANFK")+COUNTIFS(D:D,"AA",L:L,"0;1",M:M,"STANFK")</f>
        <v>0</v>
      </c>
      <c r="AN473" s="179">
        <f>COUNTIFS(D:D,"AA",L:L,"0;0",G:G,"STANFK",F:F,"ATONGOAL")+COUNTIFS(D:D,"AA",L:L,"0;0",G:G,"STANFK DIRECT",F:F,"ATONGOAL")+COUNTIFS(D:D,"AA",L:L,"0;0",M:M,"STANFK",F:F,"ATONGOAL")+COUNTIFS(D:D,"AA",L:L,"0;0",M:M,"STANFK DIRECT",F:F,"ATONGOAL")</f>
        <v>0</v>
      </c>
      <c r="AO473" s="180">
        <f>COUNTIFS(D:D,"AA",L:L,"0;0",G:G,"STANFK",F:F,"ATON")+COUNTIFS(D:D,"AA",L:L,"0;0",M:M,"STANFK",F:F,"ATON")+COUNTIFS(D:D,"AA",L:L,"0;0",M:M,"STANFK DIRECT",F:F,"ATON")</f>
        <v>0</v>
      </c>
      <c r="AP473" s="180">
        <f>COUNTIFS(D:D,"AA",L:L,"0;0",G:G,"STANFK",F:F,"ATOF")+COUNTIFS(D:D,"AA",L:L,"0;0",M:M,"STANFK",F:F,"ATOF")+COUNTIFS(D:D,"AA",L:L,"0;0",M:M,"STANFK DIRECT",F:F,"ATOF")</f>
        <v>0</v>
      </c>
      <c r="AQ473" s="180">
        <f>COUNTIFS(D:D,"AA",L:L,"0;0",G:G,"STANFK",F:F,"ATBK")+COUNTIFS(D:D,"AA",L:L,"0;0",M:M,"STANFK",F:F,"ATBK")+COUNTIFS(D:D,"AA",L:L,"0;0",M:M,"STANFK DIRECT",F:F,"ATBK")</f>
        <v>0</v>
      </c>
      <c r="AR473" s="180">
        <f>COUNTIFS(D:D,"AA",L:L,"0;0",G:G,"STANFK",F:F,"ENTRY")</f>
        <v>0</v>
      </c>
      <c r="AS473" s="180">
        <f>COUNTIFS(D:D,"AA",L:L,"0;0",G:G,"STANFK",F:F,"WINSTAN")+COUNTIFS(D:D,"AA",L:L,"0;0",M:M,"STANFK",F:F,"WINSTAN")</f>
        <v>0</v>
      </c>
      <c r="AT473" s="180">
        <f>COUNTIFS(D:D,"AA",L:L,"0;0",G:G,"STANFK",F:F,"WINSTAN")+COUNTIFS(D:D,"AA",L:L,"0;0",M:M,"STANFK",F:F,"WINSTAN")</f>
        <v>0</v>
      </c>
      <c r="AU473" s="180">
        <f>COUNTIFS(D:D,"AA",L:L,"0;0",G:G,"STANFK",F:F,"KEEPOS")+COUNTIFS(D:D,"AA",L:L,"0;0",M:M,"STANFK",F:F,"KEEPOS")</f>
        <v>0</v>
      </c>
      <c r="AV473" s="180">
        <f>COUNTIFS(D:D,"AA",L:L,"0;0",G:G,"STANFK")+COUNTIFS(D:D,"AA",L:L,"0;0",M:M,"STANFK")</f>
        <v>0</v>
      </c>
      <c r="AW473" s="179">
        <f>COUNTIFS(D:D,"AA",L:L,"0;-1",G:G,"STANFK",F:F,"ATONGOAL")+COUNTIFS(D:D,"AA",L:L,"0;-1",G:G,"STANFK DIRECT",F:F,"ATONGOAL")+COUNTIFS(D:D,"AA",L:L,"0;-1",M:M,"STANFK",F:F,"ATONGOAL")+COUNTIFS(D:D,"AA",L:L,"0;-1",M:M,"STANFK DIRECT",F:F,"ATONGOAL")</f>
        <v>0</v>
      </c>
      <c r="AX473" s="180">
        <f>COUNTIFS(D:D,"AA",L:L,"0;-1",G:G,"STANFK",F:F,"ATON")+COUNTIFS(D:D,"AA",L:L,"0;-1",M:M,"STANFK",F:F,"ATON")+COUNTIFS(D:D,"AA",L:L,"0;-1",M:M,"STANFK DIRECT",F:F,"ATON")</f>
        <v>0</v>
      </c>
      <c r="AY473" s="180">
        <f>COUNTIFS(D:D,"AA",L:L,"0;-1",G:G,"STANFK",F:F,"ATOF")+COUNTIFS(D:D,"AA",L:L,"0;-1",M:M,"STANFK",F:F,"ATOF")+COUNTIFS(D:D,"AA",L:L,"0;-1",M:M,"STANFK DIRECT",F:F,"ATOF")</f>
        <v>0</v>
      </c>
      <c r="AZ473" s="180">
        <f>COUNTIFS(D:D,"AA",L:L,"0;-1",G:G,"STANFK",F:F,"ATBK")+COUNTIFS(D:D,"AA",L:L,"0;-1",M:M,"STANFK",F:F,"ATBK")+COUNTIFS(D:D,"AA",L:L,"0;-1",M:M,"STANFK DIRECT",F:F,"ATBK")</f>
        <v>0</v>
      </c>
      <c r="BA473" s="180">
        <f>COUNTIFS(D:D,"AA",L:L,"0;-1",G:G,"STANFK",F:F,"ENTRY")</f>
        <v>0</v>
      </c>
      <c r="BB473" s="180">
        <f>COUNTIFS(D:D,"AA",L:L,"0;-1",G:G,"STANFK",F:F,"WINSTAN")+COUNTIFS(D:D,"AA",L:L,"0;-1",M:M,"STANFK",F:F,"WINSTAN")</f>
        <v>0</v>
      </c>
      <c r="BC473" s="180">
        <f>COUNTIFS(D:D,"AA",L:L,"0;-1",G:G,"STANFK",F:F,"WINSTANTI")+COUNTIFS(D:D,"AA",L:L,"0;-1",M:M,"STANFK",F:F,"WINSTANTI")</f>
        <v>0</v>
      </c>
      <c r="BD473" s="180">
        <f>COUNTIFS(D:D,"AA",L:L,"0;-1",G:G,"STANFK",F:F,"KEEPOS")+COUNTIFS(D:D,"AA",L:L,"0;-1",M:M,"STANFK",F:F,"KEEPOS")</f>
        <v>0</v>
      </c>
      <c r="BE473" s="179">
        <f>COUNTIFS(D:D,"AA",L:L,"0;-1",G:G,"STANFK")+COUNTIFS(D:D,"AA",L:L,"0;-1",M:M,"STANFK")</f>
        <v>0</v>
      </c>
    </row>
    <row r="474" spans="15:57" ht="15.75">
      <c r="O474" s="91"/>
      <c r="X474" s="115">
        <f t="shared" si="106"/>
        <v>0</v>
      </c>
      <c r="Y474" s="115">
        <f t="shared" si="107"/>
        <v>0</v>
      </c>
      <c r="Z474" s="115" t="e">
        <f t="shared" si="108"/>
        <v>#VALUE!</v>
      </c>
      <c r="AA474" s="115">
        <f t="shared" si="109"/>
        <v>0</v>
      </c>
      <c r="AE474" s="184">
        <f>COUNTIFS(D:D,"DD",L:L,"0;1",G:G,"STANFK",F:F,"ATONGOAL")+COUNTIFS(D:D,"DD",L:L,"0;1",M:M,"STANFK",F:F,"ATONGOAL")+COUNTIFS(D:D,"DD",L:L,"0;1",M:M,"STANFK DIRECT",F:F,"ATONGOAL")</f>
        <v>0</v>
      </c>
      <c r="AF474" s="184">
        <f>COUNTIFS(D:D,"DD",L:L,"0;1",G:G,"STANFK",F:F,"ATON")+COUNTIFS(D:D,"DD",L:L,"0;1",M:M,"STANFK",F:F,"ATON")+COUNTIFS(D:D,"DD",L:L,"0;1",M:M,"STANFK DIRECT",F:F,"ATON")</f>
        <v>0</v>
      </c>
      <c r="AG474" s="184">
        <f>COUNTIFS(D:D,"DD",L:L,"0;1",G:G,"STANFK",F:F,"ATOF")+COUNTIFS(D:D,"DD",L:L,"0;1",M:M,"STANFK",F:F,"ATOF")+COUNTIFS(D:D,"DD",L:L,"0;1",M:M,"STANFK DIRECT",F:F,"ATOF")</f>
        <v>0</v>
      </c>
      <c r="AH474" s="184">
        <f>COUNTIFS(D:D,"DD",L:L,"0;1",G:G,"STANFK",F:F,"ATBK")+COUNTIFS(D:D,"DD",L:L,"0;1",M:M,"STANFK",F:F,"ATBK")+COUNTIFS(D:D,"DD",L:L,"0;1",M:M,"STANFK DIRECT",F:F,"ATBK")</f>
        <v>0</v>
      </c>
      <c r="AI474" s="185">
        <f>COUNTIFS(D:D,"DD",L:L,"0;1",G:G,"STANFK",F:F,"ENTRY")</f>
        <v>0</v>
      </c>
      <c r="AJ474" s="185">
        <f>COUNTIFS(D:D,"DD",L:L,"0;1",G:G,"STANFK",F:F,"WINSTAN")+COUNTIFS(D:D,"DD",L:L,"0;1",M:M,"STANFK",F:F,"WINSTAN")</f>
        <v>0</v>
      </c>
      <c r="AK474" s="185">
        <f>COUNTIFS(D:D,"DD",L:L,"0;1",G:G,"STANFK",F:F,"WINSTANTI")+COUNTIFS(D:D,"DD",L:L,"0;1",M:M,"STANFK",F:F,"WINSTANTI")</f>
        <v>0</v>
      </c>
      <c r="AL474" s="185">
        <f>COUNTIFS(D:D,"DD",L:L,"0;1",G:G,"STANFK",F:F,"KEEPOS")+COUNTIFS(D:D,"DD",L:L,"0;1",M:M,"STANFK",F:F,"KEEPOS")</f>
        <v>0</v>
      </c>
      <c r="AM474" s="181">
        <f>COUNTIFS(D:D,"DD",L:L,"0;1",G:G,"STANFK")+COUNTIFS(D:D,"DD",L:L,"0;1",M:M,"STANFK")</f>
        <v>0</v>
      </c>
      <c r="AN474" s="184">
        <f>COUNTIFS(D:D,"DD",L:L,"0;0",G:G,"STANFK",F:F,"ATONGOAL")+COUNTIFS(D:D,"DD",L:L,"0;0",G:G,"STANFK DIRECT",F:F,"ATONGOAL")+COUNTIFS(D:D,"DD",L:L,"0;0",M:M,"STANFK",F:F,"ATONGOAL")+COUNTIFS(D:D,"DD",L:L,"0;0",M:M,"STANFK DIRECT",F:F,"ATONGOAL")</f>
        <v>0</v>
      </c>
      <c r="AO474" s="185">
        <f>COUNTIFS(D:D,"DD",L:L,"0;0",G:G,"STANFK",F:F,"ATON")+COUNTIFS(D:D,"DD",L:L,"0;0",M:M,"STANFK",F:F,"ATON")+COUNTIFS(D:D,"DD",L:L,"0;0",M:M,"STANFK DIRECT",F:F,"ATON")</f>
        <v>0</v>
      </c>
      <c r="AP474" s="185">
        <f>COUNTIFS(D:D,"DD",L:L,"0;0",G:G,"STANFK",F:F,"ATOF")+COUNTIFS(D:D,"DD",L:L,"0;0",M:M,"STANFK",F:F,"ATOF")+COUNTIFS(D:D,"DD",L:L,"0;0",M:M,"STANFK DIRECT",F:F,"ATOF")</f>
        <v>0</v>
      </c>
      <c r="AQ474" s="185">
        <f>COUNTIFS(D:D,"DD",L:L,"0;0",G:G,"STANFK",F:F,"ATBK")+COUNTIFS(D:D,"DD",L:L,"0;0",M:M,"STANFK",F:F,"ATBK")+COUNTIFS(D:D,"DD",L:L,"0;0",M:M,"STANFK DIRECT",F:F,"ATBK")</f>
        <v>0</v>
      </c>
      <c r="AR474" s="185">
        <f>COUNTIFS(D:D,"DD",L:L,"0;0",G:G,"STANFK",F:F,"ENTRY")</f>
        <v>0</v>
      </c>
      <c r="AS474" s="185">
        <f>COUNTIFS(D:D,"DD",L:L,"0;0",G:G,"STANFK",F:F,"WINSTAN")+COUNTIFS(D:D,"DD",L:L,"0;0",M:M,"STANFK",F:F,"WINSTAN")</f>
        <v>0</v>
      </c>
      <c r="AT474" s="185">
        <f>COUNTIFS(D:D,"DD",L:L,"0;0",G:G,"STANFK",F:F,"WINSTAN")+COUNTIFS(D:D,"DD",L:L,"0;0",M:M,"STANFK",F:F,"WINSTAN")</f>
        <v>0</v>
      </c>
      <c r="AU474" s="185">
        <f>COUNTIFS(D:D,"DD",L:L,"0;0",G:G,"STANFK",F:F,"KEEPOS")+COUNTIFS(D:D,"DD",L:L,"0;0",M:M,"STANFK",F:F,"KEEPOS")</f>
        <v>0</v>
      </c>
      <c r="AV474" s="185">
        <f>COUNTIFS(D:D,"DD",L:L,"0;0",G:G,"STANFK")+COUNTIFS(D:D,"DD",L:L,"0;0",M:M,"STANFK")</f>
        <v>0</v>
      </c>
      <c r="AW474" s="184">
        <f>COUNTIFS(D:D,"DD",L:L,"0;-1",G:G,"STANFK",F:F,"ATONGOAL")+COUNTIFS(D:D,"DD",L:L,"0;-1",G:G,"STANFK DIRECT",F:F,"ATONGOAL")+COUNTIFS(D:D,"DD",L:L,"0;-1",M:M,"STANFK",F:F,"ATONGOAL")+COUNTIFS(D:D,"DD",L:L,"0;-1",M:M,"STANFK DIRECT",F:F,"ATONGOAL")</f>
        <v>0</v>
      </c>
      <c r="AX474" s="185">
        <f>COUNTIFS(D:D,"DD",L:L,"0;-1",G:G,"STANFK",F:F,"ATON")+COUNTIFS(D:D,"DD",L:L,"0;-1",M:M,"STANFK",F:F,"ATON")+COUNTIFS(D:D,"DD",L:L,"0;-1",M:M,"STANFK DIRECT",F:F,"ATON")</f>
        <v>0</v>
      </c>
      <c r="AY474" s="185">
        <f>COUNTIFS(D:D,"DD",L:L,"0;-1",G:G,"STANFK",F:F,"ATOF")+COUNTIFS(D:D,"DD",L:L,"0;-1",M:M,"STANFK",F:F,"ATOF")+COUNTIFS(D:D,"DD",L:L,"0;-1",M:M,"STANFK DIRECT",F:F,"ATOF")</f>
        <v>0</v>
      </c>
      <c r="AZ474" s="185">
        <f>COUNTIFS(D:D,"DD",L:L,"0;-1",G:G,"STANFK",F:F,"ATBK")+COUNTIFS(D:D,"DD",L:L,"0;-1",M:M,"STANFK",F:F,"ATBK")+COUNTIFS(D:D,"DD",L:L,"0;-1",M:M,"STANFK DIRECT",F:F,"ATBK")</f>
        <v>0</v>
      </c>
      <c r="BA474" s="185">
        <f>COUNTIFS(D:D,"DD",L:L,"0;-1",G:G,"STANFK",F:F,"ENTRY")</f>
        <v>0</v>
      </c>
      <c r="BB474" s="185">
        <f>COUNTIFS(D:D,"DD",L:L,"0;-1",G:G,"STANFK",F:F,"WINSTAN")+COUNTIFS(D:D,"DD",L:L,"0;-1",M:M,"STANFK",F:F,"WINSTAN")</f>
        <v>0</v>
      </c>
      <c r="BC474" s="185">
        <f>COUNTIFS(D:D,"DD",L:L,"0;-1",G:G,"STANFK",F:F,"WINSTANTI")+COUNTIFS(D:D,"DD",L:L,"0;-1",M:M,"STANFK",F:F,"WINSTANTI")</f>
        <v>0</v>
      </c>
      <c r="BD474" s="185">
        <f>COUNTIFS(D:D,"DD",L:L,"0;-1",G:G,"STANFK",F:F,"KEEPOS")+COUNTIFS(D:D,"DD",L:L,"0;-1",M:M,"STANFK",F:F,"KEEPOS")</f>
        <v>0</v>
      </c>
      <c r="BE474" s="181">
        <f>COUNTIFS(D:D,"DD",L:L,"0;-1",G:G,"STANFK")+COUNTIFS(D:D,"DD",L:L,"0;-1",M:M,"STANFK")</f>
        <v>0</v>
      </c>
    </row>
    <row r="475" spans="15:57" ht="15.75">
      <c r="O475" s="91"/>
      <c r="X475" s="115">
        <f t="shared" si="106"/>
        <v>0</v>
      </c>
      <c r="Y475" s="115">
        <f t="shared" si="107"/>
        <v>0</v>
      </c>
      <c r="Z475" s="115" t="e">
        <f t="shared" si="108"/>
        <v>#VALUE!</v>
      </c>
      <c r="AA475" s="115">
        <f t="shared" si="109"/>
        <v>0</v>
      </c>
      <c r="AE475" s="179">
        <f>COUNTIFS(D:D,"AA",L:L,"1;1",G:G,"STANFK",F:F,"ATONGOAL")+COUNTIFS(D:D,"AA",L:L,"1;1",M:M,"STANFK",F:F,"ATONGOAL")+COUNTIFS(D:D,"AA",L:L,"1;1",M:M,"STANFK DIRECT",F:F,"ATONGOAL")</f>
        <v>0</v>
      </c>
      <c r="AF475" s="179">
        <f>COUNTIFS(D:D,"AA",L:L,"1;1",G:G,"STANFK",F:F,"ATON")+COUNTIFS(D:D,"AA",L:L,"1;1",M:M,"STANFK",F:F,"ATON")+COUNTIFS(D:D,"AA",L:L,"1;1",M:M,"STANFK DIRECT",F:F,"ATON")</f>
        <v>0</v>
      </c>
      <c r="AG475" s="179">
        <f>COUNTIFS(D:D,"AA",L:L,"1;1",G:G,"STANFK",F:F,"ATOF")+COUNTIFS(D:D,"AA",L:L,"1;1",M:M,"STANFK",F:F,"ATOF")+COUNTIFS(D:D,"AA",L:L,"1;1",M:M,"STANFK DIRECT",F:F,"ATOF")</f>
        <v>0</v>
      </c>
      <c r="AH475" s="179">
        <f>COUNTIFS(D:D,"AA",L:L,"1;1",G:G,"STANFK",F:F,"ATBK")+COUNTIFS(D:D,"AA",L:L,"1;1",M:M,"STANFK",F:F,"ATBK")+COUNTIFS(D:D,"AA",L:L,"1;1",M:M,"STANFK DIRECT",F:F,"ATBK")</f>
        <v>0</v>
      </c>
      <c r="AI475" s="180">
        <f>COUNTIFS(D:D,"AA",L:L,"1;1",G:G,"STANFK",F:F,"ENTRY")</f>
        <v>0</v>
      </c>
      <c r="AJ475" s="180">
        <f>COUNTIFS(D:D,"AA",L:L,"1;1",G:G,"STANFK",F:F,"WINSTAN")+COUNTIFS(D:D,"AA",L:L,"1;1",M:M,"STANFK",F:F,"WINSTAN")</f>
        <v>0</v>
      </c>
      <c r="AK475" s="180">
        <f>COUNTIFS(D:D,"AA",L:L,"1;1",G:G,"STANFK",F:F,"WINSTANTI")+COUNTIFS(D:D,"AA",L:L,"1;1",M:M,"STANFK",F:F,"WINSTANTI")</f>
        <v>0</v>
      </c>
      <c r="AL475" s="180">
        <f>COUNTIFS(D:D,"AA",L:L,"1;1",G:G,"STANFK",F:F,"KEEPOS")+COUNTIFS(D:D,"AA",L:L,"1;1",M:M,"STANFK",F:F,"KEEPOS")</f>
        <v>0</v>
      </c>
      <c r="AM475" s="179">
        <f>COUNTIFS(D:D,"AA",L:L,"1;1",G:G,"STANFK")+COUNTIFS(D:D,"AA",L:L,"1;1",M:M,"STANFK")</f>
        <v>0</v>
      </c>
      <c r="AN475" s="179">
        <f>COUNTIFS(D:D,"AA",L:L,"1;0",G:G,"STANFK",F:F,"ATONGOAL")+COUNTIFS(D:D,"AA",L:L,"1;0",G:G,"STANFK DIRECT",F:F,"ATONGOAL")+COUNTIFS(D:D,"AA",L:L,"1;0",M:M,"STANFK",F:F,"ATONGOAL")+COUNTIFS(D:D,"AA",L:L,"1;0",M:M,"STANFK DIRECT",F:F,"ATONGOAL")</f>
        <v>0</v>
      </c>
      <c r="AO475" s="180">
        <f>COUNTIFS(D:D,"AA",L:L,"1;0",G:G,"STANFK",F:F,"ATON")+COUNTIFS(D:D,"AA",L:L,"1;0",M:M,"STANFK",F:F,"ATON")+COUNTIFS(D:D,"AA",L:L,"1;0",M:M,"STANFK DIRECT",F:F,"ATON")</f>
        <v>0</v>
      </c>
      <c r="AP475" s="180">
        <f>COUNTIFS(D:D,"AA",L:L,"1;0",G:G,"STANFK",F:F,"ATOF")+COUNTIFS(D:D,"AA",L:L,"1;0",M:M,"STANFK",F:F,"ATOF")+COUNTIFS(D:D,"AA",L:L,"1;0",M:M,"STANFK DIRECT",F:F,"ATOF")</f>
        <v>0</v>
      </c>
      <c r="AQ475" s="180">
        <f>COUNTIFS(D:D,"AA",L:L,"1;0",G:G,"STANFK",F:F,"ATBK")+COUNTIFS(D:D,"AA",L:L,"1;0",M:M,"STANFK",F:F,"ATBK")+COUNTIFS(D:D,"AA",L:L,"1;0",M:M,"STANFK DIRECT",F:F,"ATBK")</f>
        <v>0</v>
      </c>
      <c r="AR475" s="180">
        <f>COUNTIFS(D:D,"AA",L:L,"1;0",G:G,"STANFK",F:F,"ENTRY")</f>
        <v>0</v>
      </c>
      <c r="AS475" s="180">
        <f>COUNTIFS(D:D,"AA",L:L,"1;0",G:G,"STANFK",F:F,"WINSTAN")+COUNTIFS(D:D,"AA",L:L,"1;0",M:M,"STANFK",F:F,"WINSTAN")</f>
        <v>0</v>
      </c>
      <c r="AT475" s="180">
        <f>COUNTIFS(D:D,"AA",L:L,"1;0",G:G,"STANFK",F:F,"WINSTAN")+COUNTIFS(D:D,"AA",L:L,"1;0",M:M,"STANFK",F:F,"WINSTAN")</f>
        <v>0</v>
      </c>
      <c r="AU475" s="180">
        <f>COUNTIFS(D:D,"AA",L:L,"1;0",G:G,"STANFK",F:F,"KEEPOS")+COUNTIFS(D:D,"AA",L:L,"1;0",M:M,"STANFK",F:F,"KEEPOS")</f>
        <v>0</v>
      </c>
      <c r="AV475" s="180">
        <f>COUNTIFS(D:D,"AA",L:L,"1;0",G:G,"STANFK")+COUNTIFS(D:D,"AA",L:L,"1;0",M:M,"STANFK")</f>
        <v>0</v>
      </c>
      <c r="AW475" s="179">
        <f>COUNTIFS(D:D,"AA",L:L,"1;-1",G:G,"STANFK",F:F,"ATONGOAL")+COUNTIFS(D:D,"AA",L:L,"1;-1",G:G,"STANFK DIRECT",F:F,"ATONGOAL")+COUNTIFS(D:D,"AA",L:L,"1;-1",M:M,"STANFK",F:F,"ATONGOAL")+COUNTIFS(D:D,"AA",L:L,"1;-1",M:M,"STANFK DIRECT",F:F,"ATONGOAL")</f>
        <v>0</v>
      </c>
      <c r="AX475" s="180">
        <f>COUNTIFS(D:D,"AA",L:L,"1;-1",G:G,"STANFK",F:F,"ATON")+COUNTIFS(D:D,"AA",L:L,"1;-1",M:M,"STANFK",F:F,"ATON")+COUNTIFS(D:D,"AA",L:L,"1;-1",M:M,"STANFK DIRECT",F:F,"ATON")</f>
        <v>0</v>
      </c>
      <c r="AY475" s="180">
        <f>COUNTIFS(D:D,"AA",L:L,"1;-1",G:G,"STANFK",F:F,"ATOF")+COUNTIFS(D:D,"AA",L:L,"1;-1",M:M,"STANFK",F:F,"ATOF")+COUNTIFS(D:D,"AA",L:L,"1;-1",M:M,"STANFK DIRECT",F:F,"ATOF")</f>
        <v>0</v>
      </c>
      <c r="AZ475" s="180">
        <f>COUNTIFS(D:D,"AA",L:L,"1;-1",G:G,"STANFK",F:F,"ATBK")+COUNTIFS(D:D,"AA",L:L,"1;-1",M:M,"STANFK",F:F,"ATBK")+COUNTIFS(D:D,"AA",L:L,"1;-1",M:M,"STANFK DIRECT",F:F,"ATBK")</f>
        <v>0</v>
      </c>
      <c r="BA475" s="180">
        <f>COUNTIFS(D:D,"AA",L:L,"1;-1",G:G,"STANFK",F:F,"ENTRY")</f>
        <v>0</v>
      </c>
      <c r="BB475" s="180">
        <f>COUNTIFS(D:D,"AA",L:L,"1;-1",G:G,"STANFK",F:F,"WINSTAN")+COUNTIFS(D:D,"AA",L:L,"1;-1",M:M,"STANFK",F:F,"WINSTAN")</f>
        <v>0</v>
      </c>
      <c r="BC475" s="180">
        <f>COUNTIFS(D:D,"AA",L:L,"1;-1",G:G,"STANFK",F:F,"WINSTANTI")+COUNTIFS(D:D,"AA",L:L,"1;-1",M:M,"STANFK",F:F,"WINSTANTI")</f>
        <v>0</v>
      </c>
      <c r="BD475" s="180">
        <f>COUNTIFS(D:D,"AA",L:L,"1;-1",G:G,"STANFK",F:F,"KEEPOS")+COUNTIFS(D:D,"AA",L:L,"1;-1",M:M,"STANFK",F:F,"KEEPOS")</f>
        <v>0</v>
      </c>
      <c r="BE475" s="179">
        <f>COUNTIFS(D:D,"AA",L:L,"1;-1",G:G,"STANFK")+COUNTIFS(D:D,"AA",L:L,"1;-1",M:M,"STANFK")</f>
        <v>0</v>
      </c>
    </row>
    <row r="476" spans="15:57" ht="15.75">
      <c r="O476" s="91"/>
      <c r="X476" s="115">
        <f t="shared" si="106"/>
        <v>0</v>
      </c>
      <c r="Y476" s="115">
        <f t="shared" si="107"/>
        <v>0</v>
      </c>
      <c r="Z476" s="115" t="e">
        <f t="shared" si="108"/>
        <v>#VALUE!</v>
      </c>
      <c r="AA476" s="115">
        <f t="shared" si="109"/>
        <v>0</v>
      </c>
      <c r="AE476" s="184">
        <f>COUNTIFS(D:D,"DD",L:L,"1;1",G:G,"STANFK",F:F,"ATONGOAL")+COUNTIFS(D:D,"DD",L:L,"1;1",M:M,"STANFK",F:F,"ATONGOAL")+COUNTIFS(D:D,"DD",L:L,"1;1",M:M,"STANFK DIRECT",F:F,"ATONGOAL")</f>
        <v>0</v>
      </c>
      <c r="AF476" s="184">
        <f>COUNTIFS(D:D,"DD",L:L,"1;1",G:G,"STANFK",F:F,"ATON")+COUNTIFS(D:D,"DD",L:L,"1;1",M:M,"STANFK",F:F,"ATON")+COUNTIFS(D:D,"DD",L:L,"1;1",M:M,"STANFK DIRECT",F:F,"ATON")</f>
        <v>0</v>
      </c>
      <c r="AG476" s="184">
        <f>COUNTIFS(D:D,"DD",L:L,"1;1",G:G,"STANFK",F:F,"ATOF")+COUNTIFS(D:D,"DD",L:L,"1;1",M:M,"STANFK",F:F,"ATOF")+COUNTIFS(D:D,"DD",L:L,"1;1",M:M,"STANFK DIRECT",F:F,"ATOF")</f>
        <v>0</v>
      </c>
      <c r="AH476" s="184">
        <f>COUNTIFS(D:D,"DD",L:L,"1;1",G:G,"STANFK",F:F,"ATBK")+COUNTIFS(D:D,"DD",L:L,"1;1",M:M,"STANFK",F:F,"ATBK")+COUNTIFS(D:D,"DD",L:L,"1;1",M:M,"STANFK DIRECT",F:F,"ATBK")</f>
        <v>0</v>
      </c>
      <c r="AI476" s="185">
        <f>COUNTIFS(D:D,"DD",L:L,"1;1",G:G,"STANFK",F:F,"ENTRY")</f>
        <v>0</v>
      </c>
      <c r="AJ476" s="185">
        <f>COUNTIFS(D:D,"DD",L:L,"1;1",G:G,"STANFK",F:F,"WINSTAN")+COUNTIFS(D:D,"DD",L:L,"1;1",M:M,"STANFK",F:F,"WINSTAN")</f>
        <v>0</v>
      </c>
      <c r="AK476" s="185">
        <f>COUNTIFS(D:D,"DD",L:L,"1;1",G:G,"STANFK",F:F,"WINSTANTI")+COUNTIFS(D:D,"DD",L:L,"1;1",M:M,"STANFK",F:F,"WINSTANTI")</f>
        <v>0</v>
      </c>
      <c r="AL476" s="185">
        <f>COUNTIFS(D:D,"DD",L:L,"1;1",G:G,"STANFK",F:F,"KEEPOS")+COUNTIFS(D:D,"DD",L:L,"1;1",M:M,"STANFK",F:F,"KEEPOS")</f>
        <v>0</v>
      </c>
      <c r="AM476" s="181">
        <f>COUNTIFS(D:D,"DD",L:L,"1;1",G:G,"STANFK")+COUNTIFS(D:D,"DD",L:L,"1;1",M:M,"STANFK")</f>
        <v>0</v>
      </c>
      <c r="AN476" s="184">
        <f>COUNTIFS(D:D,"DD",L:L,"1;0",G:G,"STANFK",F:F,"ATONGOAL")+COUNTIFS(D:D,"DD",L:L,"1;0",G:G,"STANFK DIRECT",F:F,"ATONGOAL")+COUNTIFS(D:D,"DD",L:L,"1;0",M:M,"STANFK",F:F,"ATONGOAL")+COUNTIFS(D:D,"DD",L:L,"1;0",M:M,"STANFK DIRECT",F:F,"ATONGOAL")</f>
        <v>0</v>
      </c>
      <c r="AO476" s="185">
        <f>COUNTIFS(D:D,"DD",L:L,"1;0",G:G,"STANFK",F:F,"ATON")+COUNTIFS(D:D,"DD",L:L,"1;0",M:M,"STANFK",F:F,"ATON")+COUNTIFS(D:D,"DD",L:L,"1;0",M:M,"STANFK DIRECT",F:F,"ATON")</f>
        <v>0</v>
      </c>
      <c r="AP476" s="185">
        <f>COUNTIFS(D:D,"DD",L:L,"1;0",G:G,"STANFK",F:F,"ATOF")+COUNTIFS(D:D,"DD",L:L,"1;0",M:M,"STANFK",F:F,"ATOF")+COUNTIFS(D:D,"DD",L:L,"1;0",M:M,"STANFK DIRECT",F:F,"ATOF")</f>
        <v>0</v>
      </c>
      <c r="AQ476" s="185">
        <f>COUNTIFS(D:D,"DD",L:L,"1;0",G:G,"STANFK",F:F,"ATBK")+COUNTIFS(D:D,"DD",L:L,"1;0",M:M,"STANFK",F:F,"ATBK")+COUNTIFS(D:D,"DD",L:L,"1;0",M:M,"STANFK DIRECT",F:F,"ATBK")</f>
        <v>0</v>
      </c>
      <c r="AR476" s="185">
        <f>COUNTIFS(D:D,"DD",L:L,"1;0",G:G,"STANFK",F:F,"ENTRY")</f>
        <v>0</v>
      </c>
      <c r="AS476" s="185">
        <f>COUNTIFS(D:D,"DD",L:L,"1;0",G:G,"STANFK",F:F,"WINSTAN")+COUNTIFS(D:D,"DD",L:L,"1;0",M:M,"STANFK",F:F,"WINSTAN")</f>
        <v>0</v>
      </c>
      <c r="AT476" s="185">
        <f>COUNTIFS(D:D,"DD",L:L,"1;0",G:G,"STANFK",F:F,"WINSTAN")+COUNTIFS(D:D,"DD",L:L,"1;0",M:M,"STANFK",F:F,"WINSTAN")</f>
        <v>0</v>
      </c>
      <c r="AU476" s="185">
        <f>COUNTIFS(D:D,"DD",L:L,"1;0",G:G,"STANFK",F:F,"KEEPOS")+COUNTIFS(D:D,"DD",L:L,"1;0",M:M,"STANFK",F:F,"KEEPOS")</f>
        <v>0</v>
      </c>
      <c r="AV476" s="185">
        <f>COUNTIFS(D:D,"DD",L:L,"1;0",G:G,"STANFK")+COUNTIFS(D:D,"DD",L:L,"1;0",M:M,"STANFK")</f>
        <v>0</v>
      </c>
      <c r="AW476" s="184">
        <f>COUNTIFS(D:D,"DD",L:L,"1;-1",G:G,"STANFK",F:F,"ATONGOAL")+COUNTIFS(D:D,"DD",L:L,"1;-1",G:G,"STANFK DIRECT",F:F,"ATONGOAL")+COUNTIFS(D:D,"DD",L:L,"1;-1",M:M,"STANFK",F:F,"ATONGOAL")+COUNTIFS(D:D,"DD",L:L,"1;-1",M:M,"STANFK DIRECT",F:F,"ATONGOAL")</f>
        <v>0</v>
      </c>
      <c r="AX476" s="185">
        <f>COUNTIFS(D:D,"DD",L:L,"1;-1",G:G,"STANFK",F:F,"ATON")+COUNTIFS(D:D,"DD",L:L,"1;-1",M:M,"STANFK",F:F,"ATON")+COUNTIFS(D:D,"DD",L:L,"1;-1",M:M,"STANFK DIRECT",F:F,"ATON")</f>
        <v>0</v>
      </c>
      <c r="AY476" s="185">
        <f>COUNTIFS(D:D,"DD",L:L,"1;-1",G:G,"STANFK",F:F,"ATOF")+COUNTIFS(D:D,"DD",L:L,"1;-1",M:M,"STANFK",F:F,"ATOF")+COUNTIFS(D:D,"DD",L:L,"1;-1",M:M,"STANFK DIRECT",F:F,"ATOF")</f>
        <v>0</v>
      </c>
      <c r="AZ476" s="185">
        <f>COUNTIFS(D:D,"DD",L:L,"1;-1",G:G,"STANFK",F:F,"ATBK")+COUNTIFS(D:D,"DD",L:L,"1;-1",M:M,"STANFK",F:F,"ATBK")+COUNTIFS(D:D,"DD",L:L,"1;-1",M:M,"STANFK DIRECT",F:F,"ATBK")</f>
        <v>0</v>
      </c>
      <c r="BA476" s="185">
        <f>COUNTIFS(D:D,"DD",L:L,"1;-1",G:G,"STANFK",F:F,"ENTRY")</f>
        <v>0</v>
      </c>
      <c r="BB476" s="185">
        <f>COUNTIFS(D:D,"DD",L:L,"1;-1",G:G,"STANFK",F:F,"WINSTAN")+COUNTIFS(D:D,"DD",L:L,"1;-1",M:M,"STANFK",F:F,"WINSTAN")</f>
        <v>0</v>
      </c>
      <c r="BC476" s="185">
        <f>COUNTIFS(D:D,"DD",L:L,"1;-1",G:G,"STANFK",F:F,"WINSTANTI")+COUNTIFS(D:D,"DD",L:L,"1;-1",M:M,"STANFK",F:F,"WINSTANTI")</f>
        <v>0</v>
      </c>
      <c r="BD476" s="185">
        <f>COUNTIFS(D:D,"DD",L:L,"1;-1",G:G,"STANFK",F:F,"KEEPOS")+COUNTIFS(D:D,"DD",L:L,"1;-1",M:M,"STANFK",F:F,"KEEPOS")</f>
        <v>0</v>
      </c>
      <c r="BE476" s="181">
        <f>COUNTIFS(D:D,"DD",L:L,"1;-1",G:G,"STANFK")+COUNTIFS(D:D,"DD",L:L,"1;-1",M:M,"STANFK")</f>
        <v>0</v>
      </c>
    </row>
    <row r="477" spans="15:57" ht="15.75">
      <c r="O477" s="91"/>
      <c r="X477" s="115">
        <f t="shared" si="106"/>
        <v>0</v>
      </c>
      <c r="Y477" s="115">
        <f t="shared" si="107"/>
        <v>0</v>
      </c>
      <c r="Z477" s="115" t="e">
        <f t="shared" si="108"/>
        <v>#VALUE!</v>
      </c>
      <c r="AA477" s="115">
        <f t="shared" si="109"/>
        <v>0</v>
      </c>
      <c r="AE477" s="179">
        <f>COUNTIFS(D:D,"AA",L:L,"2;1",G:G,"STANFK",F:F,"ATONGOAL")+COUNTIFS(D:D,"AA",L:L,"2;1",M:M,"STANFK",F:F,"ATONGOAL")+COUNTIFS(D:D,"AA",L:L,"2;1",M:M,"STANFK DIRECT",F:F,"ATONGOAL")</f>
        <v>0</v>
      </c>
      <c r="AF477" s="179">
        <f>COUNTIFS(D:D,"AA",L:L,"2;1",G:G,"STANFK",F:F,"ATON")+COUNTIFS(D:D,"AA",L:L,"2;1",M:M,"STANFK",F:F,"ATON")+COUNTIFS(D:D,"AA",L:L,"2;1",M:M,"STANFK DIRECT",F:F,"ATON")</f>
        <v>0</v>
      </c>
      <c r="AG477" s="179">
        <f>COUNTIFS(D:D,"AA",L:L,"2;1",G:G,"STANFK",F:F,"ATOF")+COUNTIFS(D:D,"AA",L:L,"2;1",M:M,"STANFK",F:F,"ATOF")+COUNTIFS(D:D,"AA",L:L,"2;1",M:M,"STANFK DIRECT",F:F,"ATOF")</f>
        <v>0</v>
      </c>
      <c r="AH477" s="179">
        <f>COUNTIFS(D:D,"AA",L:L,"2;1",G:G,"STANFK",F:F,"ATBK")+COUNTIFS(D:D,"AA",L:L,"2;1",M:M,"STANFK",F:F,"ATBK")+COUNTIFS(D:D,"AA",L:L,"2;1",M:M,"STANFK DIRECT",F:F,"ATBK")</f>
        <v>0</v>
      </c>
      <c r="AI477" s="180">
        <f>COUNTIFS(D:D,"AA",L:L,"2;1",G:G,"STANFK",F:F,"ENTRY")</f>
        <v>0</v>
      </c>
      <c r="AJ477" s="180">
        <f>COUNTIFS(D:D,"AA",L:L,"2;1",G:G,"STANFK",F:F,"WINSTAN")+COUNTIFS(D:D,"AA",L:L,"2;1",M:M,"STANFK",F:F,"WINSTAN")</f>
        <v>0</v>
      </c>
      <c r="AK477" s="180">
        <f>COUNTIFS(D:D,"AA",L:L,"2;1",G:G,"STANFK",F:F,"WINSTANTI")+COUNTIFS(D:D,"AA",L:L,"2;1",M:M,"STANFK",F:F,"WINSTANTI")</f>
        <v>0</v>
      </c>
      <c r="AL477" s="180">
        <f>COUNTIFS(D:D,"AA",L:L,"2;1",G:G,"STANFK",F:F,"KEEPOS")+COUNTIFS(D:D,"AA",L:L,"2;1",M:M,"STANFK",F:F,"KEEPOS")</f>
        <v>0</v>
      </c>
      <c r="AM477" s="179">
        <f>COUNTIFS(D:D,"AA",L:L,"2;1",G:G,"STANFK")+COUNTIFS(D:D,"AA",L:L,"2;1",M:M,"STANFK")+COUNTIFS(D:D,"AA",L:L,"2;1",M:M,"STANFK DIRECT")</f>
        <v>0</v>
      </c>
      <c r="AN477" s="179">
        <f>COUNTIFS(D:D,"AA",L:L,"2;0",G:G,"STANFK",F:F,"ATONGOAL")+COUNTIFS(D:D,"AA",L:L,"2;0",G:G,"STANFK DIRECT",F:F,"ATONGOAL")+COUNTIFS(D:D,"AA",L:L,"2;0",M:M,"STANFK",F:F,"ATONGOAL")+COUNTIFS(D:D,"AA",L:L,"2;0",M:M,"STANFK DIRECT",F:F,"ATONGOAL")</f>
        <v>0</v>
      </c>
      <c r="AO477" s="180">
        <f>COUNTIFS(D:D,"AA",L:L,"2;0",G:G,"STANFK",F:F,"ATON")+COUNTIFS(D:D,"AA",L:L,"2;0",M:M,"STANFK",F:F,"ATON")+COUNTIFS(D:D,"AA",L:L,"2;0",M:M,"STANFK DIRECT",F:F,"ATON")</f>
        <v>0</v>
      </c>
      <c r="AP477" s="180">
        <f>COUNTIFS(D:D,"AA",L:L,"2;0",G:G,"STANFK",F:F,"ATOF")+COUNTIFS(D:D,"AA",L:L,"2;0",M:M,"STANFK",F:F,"ATOF")+COUNTIFS(D:D,"AA",L:L,"2;0",M:M,"STANFK DIRECT",F:F,"ATOF")</f>
        <v>0</v>
      </c>
      <c r="AQ477" s="180">
        <f>COUNTIFS(D:D,"AA",L:L,"2;0",G:G,"STANFK",F:F,"ATBK")+COUNTIFS(D:D,"AA",L:L,"2;0",M:M,"STANFK",F:F,"ATBK")+COUNTIFS(D:D,"AA",L:L,"2;0",M:M,"STANFK DIRECT",F:F,"ATBK")</f>
        <v>0</v>
      </c>
      <c r="AR477" s="180">
        <f>COUNTIFS(D:D,"AA",L:L,"2;0",G:G,"STANFK",F:F,"ENTRY")</f>
        <v>0</v>
      </c>
      <c r="AS477" s="180">
        <f>COUNTIFS(D:D,"AA",L:L,"2;0",G:G,"STANFK",F:F,"WINSTAN")+COUNTIFS(D:D,"AA",L:L,"2;0",M:M,"STANFK",F:F,"WINSTAN")</f>
        <v>0</v>
      </c>
      <c r="AT477" s="180">
        <f>COUNTIFS(D:D,"AA",L:L,"2;0",G:G,"STANFK",F:F,"WINSTAN")+COUNTIFS(D:D,"AA",L:L,"2;0",M:M,"STANFK",F:F,"WINSTAN")</f>
        <v>0</v>
      </c>
      <c r="AU477" s="180">
        <f>COUNTIFS(D:D,"AA",L:L,"2;0",G:G,"STANFK",F:F,"KEEPOS")+COUNTIFS(D:D,"AA",L:L,"2;0",M:M,"STANFK",F:F,"KEEPOS")</f>
        <v>0</v>
      </c>
      <c r="AV477" s="180">
        <f>COUNTIFS(D:D,"AA",L:L,"2;0",G:G,"STANFK")+COUNTIFS(D:D,"AA",L:L,"2;0",M:M,"STANFK")+COUNTIFS(D:D,"AA",L:L,"2;0",M:M,"STANFK DIRECT")</f>
        <v>0</v>
      </c>
      <c r="AW477" s="179">
        <f>COUNTIFS(D:D,"AA",L:L,"2;-1",G:G,"STANFK",F:F,"ATONGOAL")+COUNTIFS(D:D,"AA",L:L,"2;-1",G:G,"STANFK DIRECT",F:F,"ATONGOAL")+COUNTIFS(D:D,"AA",L:L,"2;-1",M:M,"STANFK",F:F,"ATONGOAL")+COUNTIFS(D:D,"AA",L:L,"2;-1",M:M,"STANFK DIRECT",F:F,"ATONGOAL")</f>
        <v>0</v>
      </c>
      <c r="AX477" s="180">
        <f>COUNTIFS(D:D,"AA",L:L,"2;-1",G:G,"STANFK",F:F,"ATON")+COUNTIFS(D:D,"AA",L:L,"2;-1",M:M,"STANFK",F:F,"ATON")+COUNTIFS(D:D,"AA",L:L,"2;-1",M:M,"STANFK DIRECT",F:F,"ATON")</f>
        <v>0</v>
      </c>
      <c r="AY477" s="180">
        <f>COUNTIFS(D:D,"AA",L:L,"2;-1",G:G,"STANFK",F:F,"ATOF")+COUNTIFS(D:D,"AA",L:L,"2;-1",M:M,"STANFK",F:F,"ATOF")+COUNTIFS(D:D,"AA",L:L,"2;-1",M:M,"STANFK DIRECT",F:F,"ATOF")</f>
        <v>0</v>
      </c>
      <c r="AZ477" s="180">
        <f>COUNTIFS(D:D,"AA",L:L,"2;-1",G:G,"STANFK",F:F,"ATBK")+COUNTIFS(D:D,"AA",L:L,"2;-1",M:M,"STANFK",F:F,"ATBK")+COUNTIFS(D:D,"AA",L:L,"2;-1",M:M,"STANFK DIRECT",F:F,"ATBK")</f>
        <v>0</v>
      </c>
      <c r="BA477" s="180">
        <f>COUNTIFS(D:D,"AA",L:L,"2;-1",G:G,"STANFK",F:F,"ENTRY")</f>
        <v>0</v>
      </c>
      <c r="BB477" s="180">
        <f>COUNTIFS(D:D,"AA",L:L,"2;-1",G:G,"STANFK",F:F,"WINSTAN")+COUNTIFS(D:D,"AA",L:L,"2;-1",M:M,"STANFK",F:F,"WINSTAN")</f>
        <v>0</v>
      </c>
      <c r="BC477" s="180">
        <f>COUNTIFS(D:D,"AA",L:L,"2;-1",G:G,"STANFK",F:F,"WINSTANTI")+COUNTIFS(D:D,"AA",L:L,"2;-1",M:M,"STANFK",F:F,"WINSTANTI")</f>
        <v>0</v>
      </c>
      <c r="BD477" s="180">
        <f>COUNTIFS(D:D,"AA",L:L,"2;-1",G:G,"STANFK",F:F,"KEEPOS")+COUNTIFS(D:D,"AA",L:L,"2;-1",M:M,"STANFK",F:F,"KEEPOS")</f>
        <v>0</v>
      </c>
      <c r="BE477" s="179">
        <f>COUNTIFS(D:D,"AA",L:L,"2;-1",G:G,"STANFK")+COUNTIFS(D:D,"AA",L:L,"2;-1",M:M,"STANFK")+COUNTIFS(D:D,"AA",L:L,"2;-1",M:M,"STANFK DIRECT")</f>
        <v>0</v>
      </c>
    </row>
    <row r="478" spans="15:57" ht="15.75">
      <c r="O478" s="91"/>
      <c r="X478" s="115">
        <f t="shared" si="106"/>
        <v>0</v>
      </c>
      <c r="Y478" s="115">
        <f t="shared" si="107"/>
        <v>0</v>
      </c>
      <c r="Z478" s="115" t="e">
        <f t="shared" si="108"/>
        <v>#VALUE!</v>
      </c>
      <c r="AA478" s="115">
        <f t="shared" si="109"/>
        <v>0</v>
      </c>
      <c r="AE478" s="184">
        <f>COUNTIFS(D:D,"DD",L:L,"2;1",G:G,"STANFK",F:F,"ATONGOAL")+COUNTIFS(D:D,"DD",L:L,"2;1",M:M,"STANFK",F:F,"ATONGOAL")+COUNTIFS(D:D,"DD",L:L,"2;1",M:M,"STANFK DIRECT",F:F,"ATONGOAL")</f>
        <v>0</v>
      </c>
      <c r="AF478" s="184">
        <f>COUNTIFS(D:D,"DD",L:L,"2;1",G:G,"STANFK",F:F,"ATON")+COUNTIFS(D:D,"DD",L:L,"2;1",M:M,"STANFK",F:F,"ATON")+COUNTIFS(D:D,"DD",L:L,"2;1",M:M,"STANFK DIRECT",F:F,"ATON")</f>
        <v>0</v>
      </c>
      <c r="AG478" s="184">
        <f>COUNTIFS(D:D,"DD",L:L,"2;1",G:G,"STANFK",F:F,"ATOF")+COUNTIFS(D:D,"DD",L:L,"2;1",M:M,"STANFK",F:F,"ATOF")+COUNTIFS(D:D,"DD",L:L,"2;1",M:M,"STANFK DIRECT",F:F,"ATOF")</f>
        <v>0</v>
      </c>
      <c r="AH478" s="184">
        <f>COUNTIFS(D:D,"DD",L:L,"2;1",G:G,"STANFK",F:F,"ATBK")+COUNTIFS(D:D,"DD",L:L,"2;1",M:M,"STANFK",F:F,"ATBK")+COUNTIFS(D:D,"DD",L:L,"2;1",M:M,"STANFK DIRECT",F:F,"ATBK")</f>
        <v>0</v>
      </c>
      <c r="AI478" s="185">
        <f>COUNTIFS(D:D,"DD",L:L,"2;1",G:G,"STANFK",F:F,"ENTRY")</f>
        <v>0</v>
      </c>
      <c r="AJ478" s="185">
        <f>COUNTIFS(D:D,"DD",L:L,"2;1",G:G,"STANFK",F:F,"WINSTAN")+COUNTIFS(D:D,"DD",L:L,"2;1",M:M,"STANFK",F:F,"WINSTAN")</f>
        <v>0</v>
      </c>
      <c r="AK478" s="185">
        <f>COUNTIFS(D:D,"DD",L:L,"2;1",G:G,"STANFK",F:F,"WINSTANTI")+COUNTIFS(D:D,"DD",L:L,"2;1",M:M,"STANFK",F:F,"WINSTANTI")</f>
        <v>0</v>
      </c>
      <c r="AL478" s="185">
        <f>COUNTIFS(D:D,"DD",L:L,"2;1",G:G,"STANFK",F:F,"KEEPOS")+COUNTIFS(D:D,"DD",L:L,"2;1",M:M,"STANFK",F:F,"KEEPOS")</f>
        <v>0</v>
      </c>
      <c r="AM478" s="181">
        <f>COUNTIFS(D:D,"DD",L:L,"2;1",G:G,"STANFK")+COUNTIFS(D:D,"DD",L:L,"2;1",M:M,"STANFK")+COUNTIFS(D:D,"DD",L:L,"2;1",M:M,"STANFK DIRECT")</f>
        <v>0</v>
      </c>
      <c r="AN478" s="184">
        <f>COUNTIFS(D:D,"DD",L:L,"2;0",G:G,"STANFK",F:F,"ATONGOAL")+COUNTIFS(D:D,"DD",L:L,"2;0",G:G,"STANFK DIRECT",F:F,"ATONGOAL")+COUNTIFS(D:D,"DD",L:L,"2;0",M:M,"STANFK",F:F,"ATONGOAL")+COUNTIFS(D:D,"DD",L:L,"2;0",M:M,"STANFK DIRECT",F:F,"ATONGOAL")</f>
        <v>0</v>
      </c>
      <c r="AO478" s="185">
        <f>COUNTIFS(D:D,"DD",L:L,"2;0",G:G,"STANFK",F:F,"ATON")+COUNTIFS(D:D,"DD",L:L,"2;0",M:M,"STANFK",F:F,"ATON")+COUNTIFS(D:D,"DD",L:L,"2;0",M:M,"STANFK DIRECT",F:F,"ATON")</f>
        <v>0</v>
      </c>
      <c r="AP478" s="185">
        <f>COUNTIFS(D:D,"DD",L:L,"2;0",G:G,"STANFK",F:F,"ATOF")+COUNTIFS(D:D,"DD",L:L,"2;0",M:M,"STANFK",F:F,"ATOF")+COUNTIFS(D:D,"DD",L:L,"2;0",M:M,"STANFK DIRECT",F:F,"ATOF")</f>
        <v>0</v>
      </c>
      <c r="AQ478" s="185">
        <f>COUNTIFS(D:D,"DD",L:L,"2;0",G:G,"STANFK",F:F,"ATBK")+COUNTIFS(D:D,"DD",L:L,"2;0",M:M,"STANFK",F:F,"ATBK")+COUNTIFS(D:D,"DD",L:L,"2;0",M:M,"STANFK DIRECT",F:F,"ATBK")</f>
        <v>0</v>
      </c>
      <c r="AR478" s="185">
        <f>COUNTIFS(D:D,"DD",L:L,"2;0",G:G,"STANFK",F:F,"ENTRY")</f>
        <v>0</v>
      </c>
      <c r="AS478" s="185">
        <f>COUNTIFS(D:D,"DD",L:L,"2;0",G:G,"STANFK",F:F,"WINSTAN")+COUNTIFS(D:D,"DD",L:L,"2;0",M:M,"STANFK",F:F,"WINSTAN")</f>
        <v>0</v>
      </c>
      <c r="AT478" s="185">
        <f>COUNTIFS(D:D,"DD",L:L,"2;0",G:G,"STANFK",F:F,"WINSTAN")+COUNTIFS(D:D,"DD",L:L,"2;0",M:M,"STANFK",F:F,"WINSTAN")</f>
        <v>0</v>
      </c>
      <c r="AU478" s="185">
        <f>COUNTIFS(D:D,"DD",L:L,"2;0",G:G,"STANFK",F:F,"KEEPOS")+COUNTIFS(D:D,"DD",L:L,"2;0",M:M,"STANFK",F:F,"KEEPOS")</f>
        <v>0</v>
      </c>
      <c r="AV478" s="185">
        <f>COUNTIFS(D:D,"DD",L:L,"2;0",G:G,"STANFK")+COUNTIFS(D:D,"DD",L:L,"2;0",M:M,"STANFK")+COUNTIFS(D:D,"DD",L:L,"2;0",M:M,"STANFK DIRECT")</f>
        <v>0</v>
      </c>
      <c r="AW478" s="184">
        <f>COUNTIFS(D:D,"DD",L:L,"2;-1",G:G,"STANFK",F:F,"ATONGOAL")+COUNTIFS(D:D,"DD",L:L,"2;-1",G:G,"STANFK DIRECT",F:F,"ATONGOAL")+COUNTIFS(D:D,"DD",L:L,"2;-1",M:M,"STANFK",F:F,"ATONGOAL")+COUNTIFS(D:D,"DD",L:L,"2;-1",M:M,"STANFK DIRECT",F:F,"ATONGOAL")</f>
        <v>0</v>
      </c>
      <c r="AX478" s="185">
        <f>COUNTIFS(D:D,"DD",L:L,"2;-1",G:G,"STANFK",F:F,"ATON")+COUNTIFS(D:D,"DD",L:L,"2;-1",M:M,"STANFK",F:F,"ATON")+COUNTIFS(D:D,"DD",L:L,"2;-1",M:M,"STANFK DIRECT",F:F,"ATON")</f>
        <v>0</v>
      </c>
      <c r="AY478" s="185">
        <f>COUNTIFS(D:D,"DD",L:L,"2;-1",G:G,"STANFK",F:F,"ATOF")+COUNTIFS(D:D,"DD",L:L,"2;-1",M:M,"STANFK",F:F,"ATOF")+COUNTIFS(D:D,"DD",L:L,"2;-1",M:M,"STANFK DIRECT",F:F,"ATOF")</f>
        <v>0</v>
      </c>
      <c r="AZ478" s="185">
        <f>COUNTIFS(D:D,"DD",L:L,"2;-1",G:G,"STANFK",F:F,"ATBK")+COUNTIFS(D:D,"DD",L:L,"2;-1",M:M,"STANFK",F:F,"ATBK")+COUNTIFS(D:D,"DD",L:L,"2;-1",M:M,"STANFK DIRECT",F:F,"ATBK")</f>
        <v>0</v>
      </c>
      <c r="BA478" s="185">
        <f>COUNTIFS(D:D,"DD",L:L,"2;-1",G:G,"STANFK",F:F,"ENTRY")</f>
        <v>0</v>
      </c>
      <c r="BB478" s="185">
        <f>COUNTIFS(D:D,"DD",L:L,"2;-1",G:G,"STANFK",F:F,"WINSTAN")+COUNTIFS(D:D,"DD",L:L,"2;-1",M:M,"STANFK",F:F,"WINSTAN")</f>
        <v>0</v>
      </c>
      <c r="BC478" s="185">
        <f>COUNTIFS(D:D,"DD",L:L,"2;-1",G:G,"STANFK",F:F,"WINSTANTI")+COUNTIFS(D:D,"DD",L:L,"2;-1",M:M,"STANFK",F:F,"WINSTANTI")</f>
        <v>0</v>
      </c>
      <c r="BD478" s="185">
        <f>COUNTIFS(D:D,"DD",L:L,"2;-1",G:G,"STANFK",F:F,"KEEPOS")+COUNTIFS(D:D,"DD",L:L,"2;-1",M:M,"STANFK",F:F,"KEEPOS")</f>
        <v>0</v>
      </c>
      <c r="BE478" s="181">
        <f>COUNTIFS(D:D,"DD",L:L,"2;-1",G:G,"STANFK")+COUNTIFS(D:D,"DD",L:L,"2;-1",M:M,"STANFK")+COUNTIFS(D:D,"DD",L:L,"2;-1",M:M,"STANFK DIRECT")</f>
        <v>0</v>
      </c>
    </row>
    <row r="479" spans="15:57" ht="15.75">
      <c r="O479" s="91"/>
      <c r="X479" s="115">
        <f t="shared" si="106"/>
        <v>0</v>
      </c>
      <c r="Y479" s="115">
        <f t="shared" si="107"/>
        <v>0</v>
      </c>
      <c r="Z479" s="115" t="e">
        <f t="shared" si="108"/>
        <v>#VALUE!</v>
      </c>
      <c r="AA479" s="115">
        <f t="shared" si="109"/>
        <v>0</v>
      </c>
      <c r="AE479" s="179">
        <f>COUNTIFS(D:D,"AA",L:L,"3;1",M:M,"STANFK",F:F,"ATONGOAL")+COUNTIFS(D:D,"AA",L:L,"3;1",G:G,"STANFK",F:F,"ATONGOAL")+COUNTIFS(D:D,"AA",L:L,"3;1",G:G,"STANFK DIRECT",F:F,"ATONGOAL")</f>
        <v>0</v>
      </c>
      <c r="AF479" s="179">
        <f>COUNTIFS(D:D,"AA",L:L,"3;1",G:G,"STANFK",F:F,"ATON")+COUNTIFS(D:D,"AA",L:L,"3;1",M:M,"STANFK",F:F,"ATON")+COUNTIFS(D:D,"AA",L:L,"3;1",M:M,"STANFK DIRECT",F:F,"ATON")</f>
        <v>0</v>
      </c>
      <c r="AG479" s="179">
        <f>COUNTIFS(D:D,"AA",L:L,"3;1",G:G,"STANFK",F:F,"ATOF")+COUNTIFS(D:D,"AA",L:L,"3;1",M:M,"STANFK",F:F,"ATOF")+COUNTIFS(D:D,"AA",L:L,"3;1",M:M,"STANFK DIRECT",F:F,"ATOF")</f>
        <v>0</v>
      </c>
      <c r="AH479" s="179">
        <f>COUNTIFS(D:D,"AA",L:L,"3;1",G:G,"STANFK",F:F,"ATBK")+COUNTIFS(D:D,"AA",L:L,"3;1",M:M,"STANFK",F:F,"ATBK")+COUNTIFS(D:D,"AA",L:L,"3;1",M:M,"STANFK DIRECT",F:F,"ATBK")</f>
        <v>0</v>
      </c>
      <c r="AI479" s="180">
        <f>COUNTIFS(D:D,"AA",L:L,"3;1",G:G,"STANFK",F:F,"ENTRY")</f>
        <v>0</v>
      </c>
      <c r="AJ479" s="180">
        <f>COUNTIFS(D:D,"AA",L:L,"3;1",G:G,"STANFK",F:F,"WINSTAN")+COUNTIFS(D:D,"AA",L:L,"3;1",M:M,"STANFK",F:F,"WINSTAN")</f>
        <v>0</v>
      </c>
      <c r="AK479" s="180">
        <f>COUNTIFS(D:D,"AA",L:L,"3;1",G:G,"STANFK",F:F,"WINSTANTI")+COUNTIFS(D:D,"AA",L:L,"3;1",M:M,"STANFK",F:F,"WINSTANTI")</f>
        <v>0</v>
      </c>
      <c r="AL479" s="180">
        <f>COUNTIFS(D:D,"AA",L:L,"3;1",G:G,"STANFK",F:F,"KEEPOS")+COUNTIFS(D:D,"AA",L:L,"3;1",M:M,"STANFK",F:F,"KEEPOS")</f>
        <v>0</v>
      </c>
      <c r="AM479" s="179">
        <f>COUNTIFS(D:D,"AA",L:L,"3;1",G:G,"STANFK")+COUNTIFS(D:D,"AA",L:L,"3;1",M:M,"STANFK")+COUNTIFS(D:D,"AA",L:L,"3;1",M:M,"STANFK DIRECT")</f>
        <v>0</v>
      </c>
      <c r="AN479" s="179">
        <f>COUNTIFS(D:D,"AA",L:L,"3;0",M:M,"STANFK",F:F,"ATONGOAL")+COUNTIFS(D:D,"AA",L:L,"3;0",M:M,"STANFK DIRECT",F:F,"ATONGOAL")+COUNTIFS(D:D,"AA",L:L,"3;0",G:G,"STANFK",F:F,"ATONGOAL")+COUNTIFS(D:D,"AA",L:L,"3;0",G:G,"STANFK DIRECT",F:F,"ATONGOAL")</f>
        <v>0</v>
      </c>
      <c r="AO479" s="180">
        <f>COUNTIFS(D:D,"AA",L:L,"3;0",G:G,"STANFK",F:F,"ATON")+COUNTIFS(D:D,"AA",L:L,"3;0",M:M,"STANFK",F:F,"ATON")+COUNTIFS(D:D,"AA",L:L,"3;0",M:M,"STANFK DIRECT",F:F,"ATON")</f>
        <v>0</v>
      </c>
      <c r="AP479" s="180">
        <f>COUNTIFS(D:D,"AA",L:L,"3;0",G:G,"STANFK",F:F,"ATOF")+COUNTIFS(D:D,"AA",L:L,"3;0",M:M,"STANFK",F:F,"ATOF")+COUNTIFS(D:D,"AA",L:L,"3;0",M:M,"STANFK DIRECT",F:F,"ATOF")</f>
        <v>0</v>
      </c>
      <c r="AQ479" s="180">
        <f>COUNTIFS(D:D,"AA",L:L,"3;0",G:G,"STANFK",F:F,"ATBK")+COUNTIFS(D:D,"AA",L:L,"3;0",M:M,"STANFK",F:F,"ATBK")+COUNTIFS(D:D,"AA",L:L,"3;0",M:M,"STANFK DIRECT",F:F,"ATBK")</f>
        <v>0</v>
      </c>
      <c r="AR479" s="180">
        <f>COUNTIFS(D:D,"AA",L:L,"3;0",G:G,"STANFK",F:F,"ENTRY")</f>
        <v>0</v>
      </c>
      <c r="AS479" s="180">
        <f>COUNTIFS(D:D,"AA",L:L,"3;0",G:G,"STANFK",F:F,"WINSTAN")+COUNTIFS(D:D,"AA",L:L,"3;0",M:M,"STANFK",F:F,"WINSTAN")</f>
        <v>0</v>
      </c>
      <c r="AT479" s="180">
        <f>COUNTIFS(D:D,"AA",L:L,"3;0",G:G,"STANFK",F:F,"WINSTAN")+COUNTIFS(D:D,"AA",L:L,"3;0",M:M,"STANFK",F:F,"WINSTAN")</f>
        <v>0</v>
      </c>
      <c r="AU479" s="180">
        <f>COUNTIFS(D:D,"AA",L:L,"3;0",G:G,"STANFK",F:F,"KEEPOS")+COUNTIFS(D:D,"AA",L:L,"3;0",M:M,"STANFK",F:F,"KEEPOS")</f>
        <v>0</v>
      </c>
      <c r="AV479" s="180">
        <f>COUNTIFS(D:D,"AA",L:L,"3;0",G:G,"STANFK")+COUNTIFS(D:D,"AA",L:L,"3;0",M:M,"STANFK")+COUNTIFS(D:D,"AA",L:L,"3;0",M:M,"STANFK DIRECT")</f>
        <v>0</v>
      </c>
      <c r="AW479" s="179">
        <f>COUNTIFS(D:D,"AA",L:L,"3;-1",M:M,"STANFK",F:F,"ATONGOAL")+COUNTIFS(D:D,"AA",L:L,"3;-1",M:M,"STANFK DIRECT",F:F,"ATONGOAL")+COUNTIFS(D:D,"AA",L:L,"3;-1",G:G,"STANFK",F:F,"ATONGOAL")+COUNTIFS(D:D,"AA",L:L,"3;-1",G:G,"STANFK DIRECT",F:F,"ATONGOAL")</f>
        <v>0</v>
      </c>
      <c r="AX479" s="180">
        <f>COUNTIFS(D:D,"AA",L:L,"3;-1",G:G,"STANFK",F:F,"ATON")+COUNTIFS(D:D,"AA",L:L,"3;-1",M:M,"STANFK",F:F,"ATON")+COUNTIFS(D:D,"AA",L:L,"3;-1",M:M,"STANFK DIRECT",F:F,"ATON")</f>
        <v>0</v>
      </c>
      <c r="AY479" s="180">
        <f>COUNTIFS(D:D,"AA",L:L,"3;-1",G:G,"STANFK",F:F,"ATOF")+COUNTIFS(D:D,"AA",L:L,"3;-1",M:M,"STANFK",F:F,"ATOF")+COUNTIFS(D:D,"AA",L:L,"3;-1",M:M,"STANFK DIRECT",F:F,"ATOF")</f>
        <v>0</v>
      </c>
      <c r="AZ479" s="180">
        <f>COUNTIFS(D:D,"AA",L:L,"3;-1",G:G,"STANFK",F:F,"ATBK")+COUNTIFS(D:D,"AA",L:L,"3;-1",M:M,"STANFK",F:F,"ATBK")+COUNTIFS(D:D,"AA",L:L,"3;-1",M:M,"STANFK DIRECT",F:F,"ATBK")</f>
        <v>0</v>
      </c>
      <c r="BA479" s="180">
        <f>COUNTIFS(D:D,"AA",L:L,"3;-1",G:G,"STANFK",F:F,"ENTRY")</f>
        <v>0</v>
      </c>
      <c r="BB479" s="180">
        <f>COUNTIFS(D:D,"AA",L:L,"3;-1",G:G,"STANFK",F:F,"WINSTAN")+COUNTIFS(D:D,"AA",L:L,"3;-1",M:M,"STANFK",F:F,"WINSTAN")</f>
        <v>0</v>
      </c>
      <c r="BC479" s="180">
        <f>COUNTIFS(D:D,"AA",L:L,"3;-1",G:G,"STANFK",F:F,"WINSTANTI")+COUNTIFS(D:D,"AA",L:L,"3;-1",M:M,"STANFK",F:F,"WINSTANTI")</f>
        <v>0</v>
      </c>
      <c r="BD479" s="180">
        <f>COUNTIFS(D:D,"AA",L:L,"3;-1",G:G,"STANFK",F:F,"KEEPOS")+COUNTIFS(D:D,"AA",L:L,"3;-1",M:M,"STANFK",F:F,"KEEPOS")</f>
        <v>0</v>
      </c>
      <c r="BE479" s="179">
        <f>COUNTIFS(D:D,"AA",L:L,"3;-1",G:G,"STANFK")+COUNTIFS(D:D,"AA",L:L,"3;-1",M:M,"STANFK")+COUNTIFS(D:D,"AA",L:L,"3;-1",M:M,"STANFK DIRECT")</f>
        <v>0</v>
      </c>
    </row>
    <row r="480" spans="15:57" ht="15.75">
      <c r="O480" s="91"/>
      <c r="X480" s="115">
        <f t="shared" si="106"/>
        <v>0</v>
      </c>
      <c r="Y480" s="115">
        <f t="shared" si="107"/>
        <v>0</v>
      </c>
      <c r="Z480" s="115" t="e">
        <f t="shared" si="108"/>
        <v>#VALUE!</v>
      </c>
      <c r="AA480" s="115">
        <f t="shared" si="109"/>
        <v>0</v>
      </c>
      <c r="AE480" s="184">
        <f>COUNTIFS(D:D,"DD",L:L,"3;1",G:G,"STANFK",F:F,"ATONGOAL")+COUNTIFS(D:D,"DD",L:L,"3;1",M:M,"STANFK",F:F,"ATONGOAL")+COUNTIFS(D:D,"DD",L:L,"3;1",M:M,"STANFK DIRECT",F:F,"ATONGOAL")</f>
        <v>0</v>
      </c>
      <c r="AF480" s="184">
        <f>COUNTIFS(D:D,"DD",L:L,"3;1",G:G,"STANFK",F:F,"ATON")+COUNTIFS(D:D,"DD",L:L,"3;1",M:M,"STANFK",F:F,"ATON")+COUNTIFS(D:D,"DD",L:L,"3;1",M:M,"STANFK DIRECT",F:F,"ATON")</f>
        <v>0</v>
      </c>
      <c r="AG480" s="184">
        <f>COUNTIFS(D:D,"DD",L:L,"3;1",G:G,"STANFK",F:F,"ATOF")+COUNTIFS(D:D,"DD",L:L,"3;1",M:M,"STANFK",F:F,"ATOF")+COUNTIFS(D:D,"DD",L:L,"3;1",M:M,"STANFK DIRECT",F:F,"ATOF")</f>
        <v>0</v>
      </c>
      <c r="AH480" s="184">
        <f>COUNTIFS(D:D,"DD",L:L,"3;1",G:G,"STANFK",F:F,"ATBK")+COUNTIFS(D:D,"DD",L:L,"3;1",M:M,"STANFK",F:F,"ATBK")+COUNTIFS(D:D,"DD",L:L,"3;1",M:M,"STANFK DIRECT",F:F,"ATBK")</f>
        <v>0</v>
      </c>
      <c r="AI480" s="185">
        <f>COUNTIFS(D:D,"DD",L:L,"3;1",G:G,"STANFK",F:F,"ENTRY")</f>
        <v>0</v>
      </c>
      <c r="AJ480" s="185">
        <f>COUNTIFS(D:D,"DD",L:L,"3;1",G:G,"STANFK",F:F,"WINSTAN")+COUNTIFS(D:D,"DD",L:L,"3;1",M:M,"STANFK",F:F,"WINSTAN")</f>
        <v>0</v>
      </c>
      <c r="AK480" s="185">
        <f>COUNTIFS(D:D,"DD",L:L,"3;1",G:G,"STANFK",F:F,"WINSTANTI")+COUNTIFS(D:D,"DD",L:L,"3;1",M:M,"STANFK",F:F,"WINSTANTI")</f>
        <v>0</v>
      </c>
      <c r="AL480" s="185">
        <f>COUNTIFS(D:D,"DD",L:L,"3;1",G:G,"STANFK",F:F,"KEEPOS")+COUNTIFS(D:D,"DD",L:L,"3;1",M:M,"STANFK",F:F,"KEEPOS")</f>
        <v>0</v>
      </c>
      <c r="AM480" s="181">
        <f>COUNTIFS(D:D,"DD",L:L,"3;1",G:G,"STANFK")+COUNTIFS(D:D,"DD",L:L,"3;1",M:M,"STANFK")+COUNTIFS(D:D,"DD",L:L,"3;1",M:M,"STANFK DRIECT")</f>
        <v>0</v>
      </c>
      <c r="AN480" s="184">
        <f>COUNTIFS(D:D,"DD",L:L,"3;0",G:G,"STANFK",F:F,"ATONGOAL")+COUNTIFS(D:D,"DD",L:L,"3;0",G:G,"STANFK DIRECT",F:F,"ATONGOAL")+COUNTIFS(D:D,"DD",L:L,"3;0",M:M,"STANFK",F:F,"ATONGOAL")+COUNTIFS(D:D,"DD",L:L,"3;0",M:M,"STANFK DIRECT",F:F,"ATONGOAL")</f>
        <v>0</v>
      </c>
      <c r="AO480" s="185">
        <f>COUNTIFS(D:D,"DD",L:L,"3;0",G:G,"STANFK",F:F,"ATON")+COUNTIFS(D:D,"DD",L:L,"3;0",M:M,"STANFK",F:F,"ATON")+COUNTIFS(D:D,"DD",L:L,"3;0",M:M,"STANFK DIRECT",F:F,"ATON")</f>
        <v>0</v>
      </c>
      <c r="AP480" s="185">
        <f>COUNTIFS(D:D,"DD",L:L,"3;0",G:G,"STANFK",F:F,"ATOF")+COUNTIFS(D:D,"DD",L:L,"3;0",M:M,"STANFK",F:F,"ATOF")+COUNTIFS(D:D,"DD",L:L,"3;0",M:M,"STANFK DIRECT",F:F,"ATOF")</f>
        <v>0</v>
      </c>
      <c r="AQ480" s="185">
        <f>COUNTIFS(D:D,"DD",L:L,"3;0",G:G,"STANFK",F:F,"ATBK")+COUNTIFS(D:D,"DD",L:L,"3;0",M:M,"STANFK",F:F,"ATBK")+COUNTIFS(D:D,"DD",L:L,"3;0",M:M,"STANFK DIRECT",F:F,"ATBK")</f>
        <v>0</v>
      </c>
      <c r="AR480" s="185">
        <f>COUNTIFS(D:D,"DD",L:L,"3;0",G:G,"STANFK",F:F,"ENTRY")</f>
        <v>0</v>
      </c>
      <c r="AS480" s="185">
        <f>COUNTIFS(D:D,"DD",L:L,"3;0",G:G,"STANFK",F:F,"WINSTAN")+COUNTIFS(D:D,"DD",L:L,"3;0",M:M,"STANFK",F:F,"WINSTAN")</f>
        <v>0</v>
      </c>
      <c r="AT480" s="185">
        <f>COUNTIFS(D:D,"DD",L:L,"3;0",G:G,"STANFK",F:F,"WINSTAN")+COUNTIFS(D:D,"DD",L:L,"3;0",M:M,"STANFK",F:F,"WINSTAN")</f>
        <v>0</v>
      </c>
      <c r="AU480" s="185">
        <f>COUNTIFS(D:D,"DD",L:L,"3;0",G:G,"STANFK",F:F,"KEEPOS")+COUNTIFS(D:D,"DD",L:L,"3;0",M:M,"STANFK",F:F,"KEEPOS")</f>
        <v>0</v>
      </c>
      <c r="AV480" s="185">
        <f>COUNTIFS(D:D,"DD",L:L,"3;0",G:G,"STANFK")+COUNTIFS(D:D,"DD",L:L,"3;0",M:M,"STANFK")+COUNTIFS(D:D,"DD",L:L,"3;0",M:M,"STANFK DIRECT")</f>
        <v>0</v>
      </c>
      <c r="AW480" s="184">
        <f>COUNTIFS(D:D,"DD",L:L,"3;-1",G:G,"STANFK",F:F,"ATONGOAL")+COUNTIFS(D:D,"DD",L:L,"3;-1",G:G,"STANFK DIRECT",F:F,"ATONGOAL")+COUNTIFS(D:D,"DD",L:L,"3;-1",M:M,"STANFK",F:F,"ATONGOAL")+COUNTIFS(D:D,"DD",L:L,"3;-1",M:M,"STANFK DIRECT",F:F,"ATONGOAL")</f>
        <v>0</v>
      </c>
      <c r="AX480" s="185">
        <f>COUNTIFS(D:D,"DD",L:L,"3;-1",G:G,"STANFK",F:F,"ATON")+COUNTIFS(D:D,"DD",L:L,"3;-1",M:M,"STANFK",F:F,"ATON")+COUNTIFS(D:D,"DD",L:L,"3;-1",M:M,"STANFK DIRECT",F:F,"ATON")</f>
        <v>0</v>
      </c>
      <c r="AY480" s="185">
        <f>COUNTIFS(D:D,"DD",L:L,"3;-1",G:G,"STANFK",F:F,"ATOF")+COUNTIFS(D:D,"DD",L:L,"3;-1",M:M,"STANFK",F:F,"ATOF")+COUNTIFS(D:D,"DD",L:L,"3;-1",M:M,"STANFK DIRECT",F:F,"ATOF")</f>
        <v>0</v>
      </c>
      <c r="AZ480" s="185">
        <f>COUNTIFS(D:D,"DD",L:L,"3;-1",G:G,"STANFK",F:F,"ATBK")+COUNTIFS(D:D,"DD",L:L,"3;-1",M:M,"STANFK",F:F,"ATBK")+COUNTIFS(D:D,"DD",L:L,"3;-1",M:M,"STANFK DIRECT",F:F,"ATBK")</f>
        <v>0</v>
      </c>
      <c r="BA480" s="185">
        <f>COUNTIFS(D:D,"DD",L:L,"3;-1",G:G,"STANFK",F:F,"ENTRY")</f>
        <v>0</v>
      </c>
      <c r="BB480" s="185">
        <f>COUNTIFS(D:D,"DD",L:L,"3;-1",G:G,"STANFK",F:F,"WINSTAN")+COUNTIFS(D:D,"DD",L:L,"3;-1",M:M,"STANFK",F:F,"WINSTAN")</f>
        <v>0</v>
      </c>
      <c r="BC480" s="185">
        <f>COUNTIFS(D:D,"DD",L:L,"3;-1",G:G,"STANFK",F:F,"WINSTANTI")+COUNTIFS(D:D,"DD",L:L,"3;-1",M:M,"STANFK",F:F,"WINSTANTI")</f>
        <v>0</v>
      </c>
      <c r="BD480" s="185">
        <f>COUNTIFS(D:D,"DD",L:L,"3;-1",G:G,"STANFK",F:F,"KEEPOS")+COUNTIFS(D:D,"DD",L:L,"3;-1",M:M,"STANFK",F:F,"KEEPOS")</f>
        <v>0</v>
      </c>
      <c r="BE480" s="181">
        <f>COUNTIFS(D:D,"DD",L:L,"3;-1",G:G,"STANFK")+COUNTIFS(D:D,"DD",L:L,"3;-1",M:M,"STANFK")+COUNTIFS(D:D,"DD",L:L,"3;-1",M:M,"STANFK DIRECT")</f>
        <v>0</v>
      </c>
    </row>
    <row r="481" spans="15:65" ht="15.75">
      <c r="O481" s="91"/>
      <c r="X481" s="115">
        <f t="shared" si="106"/>
        <v>0</v>
      </c>
      <c r="Y481" s="115">
        <f t="shared" si="107"/>
        <v>0</v>
      </c>
      <c r="Z481" s="115" t="e">
        <f t="shared" si="108"/>
        <v>#VALUE!</v>
      </c>
      <c r="AA481" s="115">
        <f t="shared" si="109"/>
        <v>0</v>
      </c>
      <c r="AE481" s="179">
        <f>COUNTIFS(D:D,"AA",L:L,"4;1",G:G,"STANFK",F:F,"ATONGOAL")+COUNTIFS(D:D,"AA",L:L,"4;1",M:M,"STANFK",F:F,"ATONGOAL")+COUNTIFS(D:D,"AA",L:L,"4;1",M:M,"STANFK DIRECT",F:F,"ATONGOAL")</f>
        <v>0</v>
      </c>
      <c r="AF481" s="179">
        <f>COUNTIFS(D:D,"AA",L:L,"4;1",G:G,"STANFK",F:F,"ATON")+COUNTIFS(D:D,"AA",L:L,"4;1",M:M,"STANFK",F:F,"ATON")+COUNTIFS(D:D,"AA",L:L,"4;1",M:M,"STANFK DIRECT",F:F,"ATON")</f>
        <v>0</v>
      </c>
      <c r="AG481" s="179">
        <f>COUNTIFS(D:D,"AA",L:L,"4;1",G:G,"STANFK",F:F,"ATOF")+COUNTIFS(D:D,"AA",L:L,"4;1",M:M,"STANFK",F:F,"ATOF")+COUNTIFS(D:D,"AA",L:L,"4;1",M:M,"STANFK DIRECT",F:F,"ATOF")</f>
        <v>0</v>
      </c>
      <c r="AH481" s="179">
        <f>COUNTIFS(D:D,"AA",L:L,"4;1",G:G,"STANFK",F:F,"ATBK")+COUNTIFS(D:D,"AA",L:L,"4;1",M:M,"STANFK",F:F,"ATBK")+COUNTIFS(D:D,"AA",L:L,"4;1",M:M,"STANFK DIRECT",F:F,"ATBK")</f>
        <v>0</v>
      </c>
      <c r="AI481" s="180">
        <f>COUNTIFS(D:D,"AA",L:L,"4;1",G:G,"STANFK",F:F,"ENTRY")</f>
        <v>0</v>
      </c>
      <c r="AJ481" s="180">
        <f>COUNTIFS(D:D,"AA",L:L,"4;1",G:G,"STANFK",F:F,"WINSTAN")+COUNTIFS(D:D,"AA",L:L,"4;1",M:M,"STANFK",F:F,"WINSTAN")</f>
        <v>0</v>
      </c>
      <c r="AK481" s="180">
        <f>COUNTIFS(D:D,"AA",L:L,"4;1",G:G,"STANFK",F:F,"WINSTANTI")+COUNTIFS(D:D,"AA",L:L,"4;1",M:M,"STANFK",F:F,"WINSTANTI")</f>
        <v>0</v>
      </c>
      <c r="AL481" s="180">
        <f>COUNTIFS(D:D,"AA",L:L,"4;1",G:G,"STANFK",F:F,"KEEPOS")+COUNTIFS(D:D,"AA",L:L,"4;1",M:M,"STANFK",F:F,"KEEPOS")</f>
        <v>0</v>
      </c>
      <c r="AM481" s="179">
        <f>COUNTIFS(D:D,"AA",L:L,"4;1",G:G,"STANFK")+COUNTIFS(D:D,"AA",L:L,"4;1",M:M,"STANFK")+COUNTIFS(D:D,"AA",L:L,"4;1",M:M,"STANFK DIRECT")</f>
        <v>0</v>
      </c>
      <c r="AN481" s="179">
        <f>COUNTIFS(D:D,"AA",L:L,"4;0",G:G,"STANFK",F:F,"ATONGOAL")+COUNTIFS(D:D,"AA",L:L,"4;0",G:G,"STANFK DIRECT",F:F,"ATONGOAL")+COUNTIFS(D:D,"AA",L:L,"4;0",M:M,"STANFK",F:F,"ATONGOAL")+COUNTIFS(D:D,"AA",L:L,"4;0",M:M,"STANFK DIRECT",F:F,"ATONGOAL")</f>
        <v>0</v>
      </c>
      <c r="AO481" s="180">
        <f>COUNTIFS(D:D,"AA",L:L,"4;0",G:G,"STANFK",F:F,"ATON")+COUNTIFS(D:D,"AA",L:L,"4;0",M:M,"STANFK",F:F,"ATON")+COUNTIFS(D:D,"AA",L:L,"4;0",M:M,"STANFK DIRECT",F:F,"ATON")</f>
        <v>0</v>
      </c>
      <c r="AP481" s="180">
        <f>COUNTIFS(D:D,"AA",L:L,"4;0",G:G,"STANFK",F:F,"ATOF")+COUNTIFS(D:D,"AA",L:L,"4;0",M:M,"STANFK",F:F,"ATOF")+COUNTIFS(D:D,"AA",L:L,"4;0",M:M,"STANFK DIRECT",F:F,"ATOF")</f>
        <v>0</v>
      </c>
      <c r="AQ481" s="180">
        <f>COUNTIFS(D:D,"AA",L:L,"4;0",G:G,"STANFK",F:F,"ATBK")+COUNTIFS(D:D,"AA",L:L,"4;0",M:M,"STANFK",F:F,"ATBK")+COUNTIFS(D:D,"AA",L:L,"4;0",M:M,"STANFK DIRECT",F:F,"ATBK")</f>
        <v>0</v>
      </c>
      <c r="AR481" s="180">
        <f>COUNTIFS(D:D,"AA",L:L,"4;0",G:G,"STANFK",F:F,"ENTRY")</f>
        <v>0</v>
      </c>
      <c r="AS481" s="180">
        <f>COUNTIFS(D:D,"AA",L:L,"4;0",G:G,"STANFK",F:F,"WINSTAN")+COUNTIFS(D:D,"AA",L:L,"4;0",M:M,"STANFK",F:F,"WINSTAN")</f>
        <v>0</v>
      </c>
      <c r="AT481" s="180">
        <f>COUNTIFS(D:D,"AA",L:L,"4;0",G:G,"STANFK",F:F,"WINSTAN")+COUNTIFS(D:D,"AA",L:L,"4;0",M:M,"STANFK",F:F,"WINSTAN")</f>
        <v>0</v>
      </c>
      <c r="AU481" s="180">
        <f>COUNTIFS(D:D,"AA",L:L,"4;0",G:G,"STANFK",F:F,"KEEPOS")+COUNTIFS(D:D,"AA",L:L,"4;0",M:M,"STANFK",F:F,"KEEPOS")</f>
        <v>0</v>
      </c>
      <c r="AV481" s="180">
        <f>COUNTIFS(D:D,"AA",L:L,"4;0",G:G,"STANFK")+COUNTIFS(D:D,"AA",L:L,"4;0",M:M,"STANFK")+COUNTIFS(D:D,"AA",L:L,"4;0",M:M,"STANFK DIRECT")</f>
        <v>0</v>
      </c>
      <c r="AW481" s="179">
        <f>COUNTIFS(D:D,"AA",L:L,"4;-1",G:G,"STANFK",F:F,"ATONGOAL")+COUNTIFS(D:D,"AA",L:L,"4;-1",G:G,"STANFK DIRECT",F:F,"ATONGOAL")+COUNTIFS(D:D,"AA",L:L,"4;-1",M:M,"STANFK",F:F,"ATONGOAL")+COUNTIFS(D:D,"AA",L:L,"4;-1",M:M,"STANFK DIRECT",F:F,"ATONGOAL")</f>
        <v>0</v>
      </c>
      <c r="AX481" s="180">
        <f>COUNTIFS(D:D,"AA",L:L,"4;-1",G:G,"STANFK",F:F,"ATON")+COUNTIFS(D:D,"AA",L:L,"4;-1",M:M,"STANFK",F:F,"ATON")+COUNTIFS(D:D,"AA",L:L,"4;-1",M:M,"STANFK DIRECT",F:F,"ATON")</f>
        <v>0</v>
      </c>
      <c r="AY481" s="180">
        <f>COUNTIFS(D:D,"AA",L:L,"4;-1",G:G,"STANFK",F:F,"ATOF")+COUNTIFS(D:D,"AA",L:L,"4;-1",M:M,"STANFK",F:F,"ATOF")+COUNTIFS(D:D,"AA",L:L,"4;-1",M:M,"STANFK DIRECT",F:F,"ATOF")</f>
        <v>0</v>
      </c>
      <c r="AZ481" s="180">
        <f>COUNTIFS(D:D,"AA",L:L,"4;-1",G:G,"STANFK",F:F,"ATBK")+COUNTIFS(D:D,"AA",L:L,"4;-1",M:M,"STANFK",F:F,"ATBK")+COUNTIFS(D:D,"AA",L:L,"4;-1",M:M,"STANFK DIRECT",F:F,"ATBK")</f>
        <v>0</v>
      </c>
      <c r="BA481" s="180">
        <f>COUNTIFS(D:D,"AA",L:L,"4;-1",G:G,"STANFK",F:F,"ENTRY")</f>
        <v>0</v>
      </c>
      <c r="BB481" s="180">
        <f>COUNTIFS(D:D,"AA",L:L,"4;-1",G:G,"STANFK",F:F,"WINSTAN")+COUNTIFS(D:D,"AA",L:L,"4;-1",M:M,"STANFK",F:F,"WINSTAN")</f>
        <v>0</v>
      </c>
      <c r="BC481" s="180">
        <f>COUNTIFS(D:D,"AA",L:L,"4;-1",G:G,"STANFK",F:F,"WINSTANTI")+COUNTIFS(D:D,"AA",L:L,"4;-1",M:M,"STANFK",F:F,"WINSTANTI")</f>
        <v>0</v>
      </c>
      <c r="BD481" s="180">
        <f>COUNTIFS(D:D,"AA",L:L,"4;-1",G:G,"STANFK",F:F,"KEEPOS")+COUNTIFS(D:D,"AA",L:L,"4;-1",M:M,"STANFK",F:F,"KEEPOS")</f>
        <v>0</v>
      </c>
      <c r="BE481" s="179">
        <f>COUNTIFS(D:D,"AA",L:L,"4;-1",G:G,"STANFK")+COUNTIFS(D:D,"AA",L:L,"4;-1",M:M,"STANFK")+COUNTIFS(D:D,"AA",L:L,"4;-1",M:M,"STANFK DIRECT")</f>
        <v>0</v>
      </c>
    </row>
    <row r="482" spans="15:65" ht="15.75">
      <c r="O482" s="91"/>
      <c r="X482" s="115">
        <f t="shared" si="106"/>
        <v>0</v>
      </c>
      <c r="Y482" s="115">
        <f t="shared" si="107"/>
        <v>0</v>
      </c>
      <c r="Z482" s="115" t="e">
        <f t="shared" si="108"/>
        <v>#VALUE!</v>
      </c>
      <c r="AA482" s="115">
        <f t="shared" si="109"/>
        <v>0</v>
      </c>
      <c r="AE482" s="184">
        <f>COUNTIFS(D:D,"DD",L:L,"4;1",G:G,"STANFK",F:F,"ATONGOAL")+COUNTIFS(D:D,"DD",L:L,"4;1",M:M,"STANFK",F:F,"ATONGOAL")+COUNTIFS(D:D,"DD",L:L,"4;1",M:M,"STANFK DIRECT",F:F,"ATONGOAL")</f>
        <v>0</v>
      </c>
      <c r="AF482" s="184">
        <f>COUNTIFS(D:D,"DD",L:L,"4;1",G:G,"STANFK",F:F,"ATON")+COUNTIFS(D:D,"DD",L:L,"4;1",M:M,"STANFK",F:F,"ATON")+COUNTIFS(D:D,"DD",L:L,"4;1",M:M,"STANFK DIRECT",F:F,"ATON")</f>
        <v>0</v>
      </c>
      <c r="AG482" s="184">
        <f>COUNTIFS(D:D,"DD",L:L,"4;1",G:G,"STANFK",F:F,"ATOF")+COUNTIFS(D:D,"DD",L:L,"4;1",M:M,"STANFK",F:F,"ATOF")+COUNTIFS(D:D,"DD",L:L,"4;1",M:M,"STANFK DIRECT",F:F,"ATOF")</f>
        <v>0</v>
      </c>
      <c r="AH482" s="184">
        <f>COUNTIFS(D:D,"DD",L:L,"4;1",G:G,"STANFK",F:F,"ATBK")+COUNTIFS(D:D,"DD",L:L,"4;1",M:M,"STANFK",F:F,"ATBK")+COUNTIFS(D:D,"DD",L:L,"4;1",M:M,"STANFK DIRECT",F:F,"ATBK")</f>
        <v>0</v>
      </c>
      <c r="AI482" s="185">
        <f>COUNTIFS(D:D,"DD",L:L,"4;1",G:G,"STANFK",F:F,"ENTRY")</f>
        <v>0</v>
      </c>
      <c r="AJ482" s="185">
        <f>COUNTIFS(D:D,"DD",L:L,"4;1",G:G,"STANFK",F:F,"WINSTAN")+COUNTIFS(D:D,"DD",L:L,"4;1",M:M,"STANFK",F:F,"WINSTAN")</f>
        <v>0</v>
      </c>
      <c r="AK482" s="185">
        <f>COUNTIFS(D:D,"DD",L:L,"4;1",G:G,"STANFK",F:F,"WINSTANTI")+COUNTIFS(D:D,"DD",L:L,"4;1",M:M,"STANFK",F:F,"WINSTANTI")</f>
        <v>0</v>
      </c>
      <c r="AL482" s="185">
        <f>COUNTIFS(D:D,"DD",L:L,"4;1",G:G,"STANFK",F:F,"KEEPOS")+COUNTIFS(D:D,"DD",L:L,"4;1",M:M,"STANFK",F:F,"KEEPOS")</f>
        <v>0</v>
      </c>
      <c r="AM482" s="181">
        <f>COUNTIFS(D:D,"DD",L:L,"4;1",G:G,"STANFK")+COUNTIFS(D:D,"DD",L:L,"4;1",M:M,"STANFK")+COUNTIFS(D:D,"DD",L:L,"4;1",M:M,"STANFK DIRECT")</f>
        <v>0</v>
      </c>
      <c r="AN482" s="184">
        <f>COUNTIFS(D:D,"DD",L:L,"4;0",G:G,"STANFK",F:F,"ATONGOAL")+COUNTIFS(D:D,"DD",L:L,"4;0",G:G,"STANFK DIRECT",F:F,"ATONGOAL")+COUNTIFS(D:D,"DD",L:L,"4;0",M:M,"STANFK",F:F,"ATONGOAL")+COUNTIFS(D:D,"DD",L:L,"4;0",M:M,"STANFK DIRECT",F:F,"ATONGOAL")</f>
        <v>0</v>
      </c>
      <c r="AO482" s="185">
        <f>COUNTIFS(D:D,"DD",L:L,"4;0",G:G,"STANFK",F:F,"ATON")+COUNTIFS(D:D,"DD",L:L,"4;0",M:M,"STANFK",F:F,"ATON")+COUNTIFS(D:D,"DD",L:L,"4;0",M:M,"STANFK DIRECT",F:F,"ATON")</f>
        <v>0</v>
      </c>
      <c r="AP482" s="185">
        <f>COUNTIFS(D:D,"DD",L:L,"4;0",G:G,"STANFK",F:F,"ATOF")+COUNTIFS(D:D,"DD",L:L,"4;0",M:M,"STANFK",F:F,"ATOF")+COUNTIFS(D:D,"DD",L:L,"4;0",M:M,"STANFK DIRECT",F:F,"ATOF")</f>
        <v>0</v>
      </c>
      <c r="AQ482" s="185">
        <f>COUNTIFS(D:D,"DD",L:L,"4;0",G:G,"STANFK",F:F,"ATBK")+COUNTIFS(D:D,"DD",L:L,"4;0",M:M,"STANFK",F:F,"ATBK")+COUNTIFS(D:D,"DD",L:L,"4;0",M:M,"STANFK DIRECT",F:F,"ATBK")</f>
        <v>0</v>
      </c>
      <c r="AR482" s="185">
        <f>COUNTIFS(D:D,"DD",L:L,"4;0",G:G,"STANFK",F:F,"ENTRY")</f>
        <v>0</v>
      </c>
      <c r="AS482" s="185">
        <f>COUNTIFS(D:D,"DD",L:L,"4;0",G:G,"STANFK",F:F,"WINSTAN")+COUNTIFS(D:D,"DD",L:L,"4;0",M:M,"STANFK",F:F,"WINSTAN")</f>
        <v>0</v>
      </c>
      <c r="AT482" s="185">
        <f>COUNTIFS(D:D,"DD",L:L,"4;0",G:G,"STANFK",F:F,"WINSTAN")+COUNTIFS(D:D,"DD",L:L,"4;0",M:M,"STANFK",F:F,"WINSTAN")</f>
        <v>0</v>
      </c>
      <c r="AU482" s="185">
        <f>COUNTIFS(D:D,"DD",L:L,"4;0",G:G,"STANFK",F:F,"KEEPOS")+COUNTIFS(D:D,"DD",L:L,"4;0",M:M,"STANFK",F:F,"KEEPOS")</f>
        <v>0</v>
      </c>
      <c r="AV482" s="185">
        <f>COUNTIFS(D:D,"DD",L:L,"4;0",G:G,"STANFK")+COUNTIFS(D:D,"DD",L:L,"4;0",M:M,"STANFK")+COUNTIFS(D:D,"DD",L:L,"4;0",M:M,"STANFK DIRECT")</f>
        <v>0</v>
      </c>
      <c r="AW482" s="184">
        <f>COUNTIFS(D:D,"DD",L:L,"4;-1",G:G,"STANFK",F:F,"ATONGOAL")+COUNTIFS(D:D,"DD",L:L,"4;-1",G:G,"STANFK DIRECT",F:F,"ATONGOAL")+COUNTIFS(D:D,"DD",L:L,"4;-1",M:M,"STANFK",F:F,"ATONGOAL")+COUNTIFS(D:D,"DD",L:L,"4;-1",M:M,"STANFK DIRECT",F:F,"ATONGOAL")</f>
        <v>0</v>
      </c>
      <c r="AX482" s="185">
        <f>COUNTIFS(D:D,"DD",L:L,"4;-1",G:G,"STANFK",F:F,"ATON")+COUNTIFS(D:D,"DD",L:L,"4;-1",M:M,"STANFK",F:F,"ATON")+COUNTIFS(D:D,"DD",L:L,"4;-1",M:M,"STANFK DIRECT",F:F,"ATON")</f>
        <v>0</v>
      </c>
      <c r="AY482" s="185">
        <f>COUNTIFS(D:D,"DD",L:L,"4;-1",G:G,"STANFK",F:F,"ATOF")+COUNTIFS(D:D,"DD",L:L,"4;-1",M:M,"STANFK",F:F,"ATOF")+COUNTIFS(D:D,"DD",L:L,"4;-1",M:M,"STANFK DIRECT",F:F,"ATOF")</f>
        <v>0</v>
      </c>
      <c r="AZ482" s="185">
        <f>COUNTIFS(D:D,"DD",L:L,"4;-1",G:G,"STANFK",F:F,"ATBK")+COUNTIFS(D:D,"DD",L:L,"4;-1",M:M,"STANFK",F:F,"ATBK")+COUNTIFS(D:D,"DD",L:L,"4;-1",M:M,"STANFK DIRECT",F:F,"ATBK")</f>
        <v>0</v>
      </c>
      <c r="BA482" s="185">
        <f>COUNTIFS(D:D,"DD",L:L,"4;-1",G:G,"STANFK",F:F,"ENTRY")</f>
        <v>0</v>
      </c>
      <c r="BB482" s="185">
        <f>COUNTIFS(D:D,"DD",L:L,"4;-1",G:G,"STANFK",F:F,"WINSTAN")+COUNTIFS(D:D,"DD",L:L,"4;-1",M:M,"STANFK",F:F,"WINSTAN")</f>
        <v>0</v>
      </c>
      <c r="BC482" s="185">
        <f>COUNTIFS(D:D,"DD",L:L,"4;-1",G:G,"STANFK",F:F,"WINSTANTI")+COUNTIFS(D:D,"DD",L:L,"4;-1",M:M,"STANFK",F:F,"WINSTANTI")</f>
        <v>0</v>
      </c>
      <c r="BD482" s="185">
        <f>COUNTIFS(D:D,"DD",L:L,"4;-1",G:G,"STANFK",F:F,"KEEPOS")+COUNTIFS(D:D,"DD",L:L,"4;-1",M:M,"STANFK",F:F,"KEEPOS")</f>
        <v>0</v>
      </c>
      <c r="BE482" s="181">
        <f>COUNTIFS(D:D,"DD",L:L,"4;-1",G:G,"STANFK")+COUNTIFS(D:D,"DD",L:L,"4;-1",M:M,"STANFK")+COUNTIFS(D:D,"DD",L:L,"4;-1",M:M,"STANFK DIRECT")</f>
        <v>0</v>
      </c>
    </row>
    <row r="483" spans="15:65" s="115" customFormat="1" ht="15.75">
      <c r="O483" s="91"/>
      <c r="X483" s="115">
        <f t="shared" si="106"/>
        <v>0</v>
      </c>
      <c r="Y483" s="115">
        <f t="shared" si="107"/>
        <v>0</v>
      </c>
      <c r="Z483" s="115" t="e">
        <f t="shared" si="108"/>
        <v>#VALUE!</v>
      </c>
      <c r="AA483" s="115">
        <f t="shared" si="109"/>
        <v>0</v>
      </c>
      <c r="AB483" s="246"/>
      <c r="AE483" s="179">
        <f>COUNTIFS(D:D,"AA",L:L,"5;1",M:M,"STANFK",F:F,"ATONGOAL")+COUNTIFS(D:D,"AA",L:L,"5;1",G:G,"STANFK",F:F,"ATONGOAL")+COUNTIFS(D:D,"AA",L:L,"5;1",G:G,"STANFK DIRECT",F:F,"ATONGOAL")</f>
        <v>0</v>
      </c>
      <c r="AF483" s="179">
        <f>COUNTIFS(D:D,"AA",L:L,"5;1",G:G,"STANFK",F:F,"ATON")+COUNTIFS(D:D,"AA",L:L,"5;1",M:M,"STANFK",F:F,"ATON")+COUNTIFS(D:D,"AA",L:L,"5;1",M:M,"STANFK DIRECT",F:F,"ATON")</f>
        <v>0</v>
      </c>
      <c r="AG483" s="179">
        <f>COUNTIFS(D:D,"AA",L:L,"5;1",G:G,"STANFK",F:F,"ATOF")+COUNTIFS(D:D,"AA",L:L,"5;1",M:M,"STANFK",F:F,"ATOF")+COUNTIFS(D:D,"AA",L:L,"5;1",M:M,"STANFK DIRECT",F:F,"ATOF")</f>
        <v>0</v>
      </c>
      <c r="AH483" s="179">
        <f>COUNTIFS(D:D,"AA",L:L,"5;1",G:G,"STANFK",F:F,"ATBK")+COUNTIFS(D:D,"AA",L:L,"5;1",M:M,"STANFK",F:F,"ATBK")+COUNTIFS(D:D,"AA",L:L,"5;1",M:M,"STANFK DIRECT",F:F,"ATBK")</f>
        <v>0</v>
      </c>
      <c r="AI483" s="180">
        <f>COUNTIFS(D:D,"AA",L:L,"5;1",G:G,"STANFK",F:F,"ENTRY")</f>
        <v>0</v>
      </c>
      <c r="AJ483" s="180">
        <f>COUNTIFS(D:D,"AA",L:L,"5;1",G:G,"STANFK",F:F,"WINSTAN")+COUNTIFS(D:D,"AA",L:L,"5;1",M:M,"STANFK",F:F,"WINSTAN")</f>
        <v>0</v>
      </c>
      <c r="AK483" s="180">
        <f>COUNTIFS(D:D,"AA",L:L,"5;1",G:G,"STANFK",F:F,"WINSTANTI")+COUNTIFS(D:D,"AA",L:L,"5;1",M:M,"STANFK",F:F,"WINSTANTI")</f>
        <v>0</v>
      </c>
      <c r="AL483" s="180">
        <f>COUNTIFS(D:D,"AA",L:L,"5;1",G:G,"STANFK",F:F,"KEEPOS")+COUNTIFS(D:D,"AA",L:L,"5;1",M:M,"STANFK",F:F,"KEEPOS")</f>
        <v>0</v>
      </c>
      <c r="AM483" s="179">
        <f>COUNTIFS(D:D,"AA",L:L,"5;1",G:G,"STANFK")+COUNTIFS(D:D,"AA",L:L,"5;1",M:M,"STANFK")+COUNTIFS(D:D,"AA",L:L,"5;1",M:M,"STANFK DIRECT")</f>
        <v>0</v>
      </c>
      <c r="AN483" s="179">
        <f>COUNTIFS(D:D,"AA",L:L,"5;0",M:M,"STANFK",F:F,"ATONGOAL")+COUNTIFS(D:D,"AA",L:L,"5;0",M:M,"STANFK DIRECT",F:F,"ATONGOAL")+COUNTIFS(D:D,"AA",L:L,"5;0",G:G,"STANFK",F:F,"ATONGOAL")+COUNTIFS(D:D,"AA",L:L,"5;0",G:G,"STANFK DIRECT",F:F,"ATONGOAL")</f>
        <v>0</v>
      </c>
      <c r="AO483" s="180">
        <f>COUNTIFS(D:D,"AA",L:L,"5;0",G:G,"STANFK",F:F,"ATON")+COUNTIFS(D:D,"AA",L:L,"5;0",M:M,"STANFK",F:F,"ATON")+COUNTIFS(D:D,"AA",L:L,"5;0",M:M,"STANFK DIRECT",F:F,"ATON")</f>
        <v>0</v>
      </c>
      <c r="AP483" s="180">
        <f>COUNTIFS(D:D,"AA",L:L,"5;0",G:G,"STANFK",F:F,"ATOF")+COUNTIFS(D:D,"AA",L:L,"5;0",M:M,"STANFK",F:F,"ATOF")+COUNTIFS(D:D,"AA",L:L,"5;0",M:M,"STANFK DIRECT",F:F,"ATOF")</f>
        <v>0</v>
      </c>
      <c r="AQ483" s="180">
        <f>COUNTIFS(D:D,"AA",L:L,"5;0",G:G,"STANFK",F:F,"ATBK")+COUNTIFS(D:D,"AA",L:L,"5;0",M:M,"STANFK",F:F,"ATBK")+COUNTIFS(D:D,"AA",L:L,"5;0",M:M,"STANFK DIRECT",F:F,"ATBK")</f>
        <v>0</v>
      </c>
      <c r="AR483" s="180">
        <f>COUNTIFS(D:D,"AA",L:L,"5;0",G:G,"STANFK",F:F,"ENTRY")</f>
        <v>0</v>
      </c>
      <c r="AS483" s="180">
        <f>COUNTIFS(D:D,"AA",L:L,"5;0",G:G,"STANFK",F:F,"WINSTAN")+COUNTIFS(D:D,"AA",L:L,"5;0",M:M,"STANFK",F:F,"WINSTAN")</f>
        <v>0</v>
      </c>
      <c r="AT483" s="180">
        <f>COUNTIFS(D:D,"AA",L:L,"5;0",G:G,"STANFK",F:F,"WINSTAN")+COUNTIFS(D:D,"AA",L:L,"5;0",M:M,"STANFK",F:F,"WINSTAN")</f>
        <v>0</v>
      </c>
      <c r="AU483" s="180">
        <f>COUNTIFS(D:D,"AA",L:L,"5;0",G:G,"STANFK",F:F,"KEEPOS")+COUNTIFS(D:D,"AA",L:L,"5;0",M:M,"STANFK",F:F,"KEEPOS")</f>
        <v>0</v>
      </c>
      <c r="AV483" s="180">
        <f>COUNTIFS(D:D,"AA",L:L,"5;0",G:G,"STANFK")+COUNTIFS(D:D,"AA",L:L,"5;0",M:M,"STANFK")+COUNTIFS(D:D,"AA",L:L,"5;0",M:M,"STANFK DIRECT")</f>
        <v>0</v>
      </c>
      <c r="AW483" s="179">
        <f>COUNTIFS(D:D,"AA",L:L,"5;-1",M:M,"STANFK",F:F,"ATONGOAL")+COUNTIFS(D:D,"AA",L:L,"5;-1",M:M,"STANFK DIRECT",F:F,"ATONGOAL")+COUNTIFS(D:D,"AA",L:L,"5;-1",G:G,"STANFK",F:F,"ATONGOAL")+COUNTIFS(D:D,"AA",L:L,"5;-1",G:G,"STANFK DIRECT",F:F,"ATONGOAL")</f>
        <v>0</v>
      </c>
      <c r="AX483" s="180">
        <f>COUNTIFS(D:D,"AA",L:L,"5;-1",G:G,"STANFK",F:F,"ATON")+COUNTIFS(D:D,"AA",L:L,"5;-1",M:M,"STANFK",F:F,"ATON")+COUNTIFS(D:D,"AA",L:L,"5;-1",M:M,"STANFK DIRECT",F:F,"ATON")</f>
        <v>0</v>
      </c>
      <c r="AY483" s="180">
        <f>COUNTIFS(D:D,"AA",L:L,"5;-1",G:G,"STANFK",F:F,"ATOF")+COUNTIFS(D:D,"AA",L:L,"5;-1",M:M,"STANFK",F:F,"ATOF")+COUNTIFS(D:D,"AA",L:L,"5;-1",M:M,"STANFK DIRECT",F:F,"ATOF")</f>
        <v>0</v>
      </c>
      <c r="AZ483" s="180">
        <f>COUNTIFS(D:D,"AA",L:L,"5;-1",G:G,"STANFK",F:F,"ATBK")+COUNTIFS(D:D,"AA",L:L,"5;-1",M:M,"STANFK",F:F,"ATBK")+COUNTIFS(D:D,"AA",L:L,"5;-1",M:M,"STANFK DIRECT",F:F,"ATBK")</f>
        <v>0</v>
      </c>
      <c r="BA483" s="180">
        <f>COUNTIFS(D:D,"AA",L:L,"5;-1",G:G,"STANFK",F:F,"ENTRY")</f>
        <v>0</v>
      </c>
      <c r="BB483" s="180">
        <f>COUNTIFS(D:D,"AA",L:L,"5;-1",G:G,"STANFK",F:F,"WINSTAN")+COUNTIFS(D:D,"AA",L:L,"5;-1",M:M,"STANFK",F:F,"WINSTAN")</f>
        <v>0</v>
      </c>
      <c r="BC483" s="180">
        <f>COUNTIFS(D:D,"AA",L:L,"5;-1",G:G,"STANFK",F:F,"WINSTANTI")+COUNTIFS(D:D,"AA",L:L,"5;-1",M:M,"STANFK",F:F,"WINSTANTI")</f>
        <v>0</v>
      </c>
      <c r="BD483" s="180">
        <f>COUNTIFS(D:D,"AA",L:L,"5;-1",G:G,"STANFK",F:F,"KEEPOS")+COUNTIFS(D:D,"AA",L:L,"5;-1",M:M,"STANFK",F:F,"KEEPOS")</f>
        <v>0</v>
      </c>
      <c r="BE483" s="179">
        <f>COUNTIFS(D:D,"AA",L:L,"5;-1",G:G,"STANFK")+COUNTIFS(D:D,"AA",L:L,"5;-1",M:M,"STANFK")+COUNTIFS(D:D,"AA",L:L,"5;-1",M:M,"STANFK DIRECT")</f>
        <v>0</v>
      </c>
      <c r="BM483"/>
    </row>
    <row r="484" spans="15:65" s="115" customFormat="1" ht="15.75">
      <c r="O484" s="91"/>
      <c r="X484" s="115">
        <f t="shared" si="106"/>
        <v>0</v>
      </c>
      <c r="Y484" s="115">
        <f t="shared" si="107"/>
        <v>0</v>
      </c>
      <c r="Z484" s="115" t="e">
        <f t="shared" si="108"/>
        <v>#VALUE!</v>
      </c>
      <c r="AA484" s="115">
        <f t="shared" si="109"/>
        <v>0</v>
      </c>
      <c r="AB484" s="246"/>
      <c r="AE484" s="184">
        <f>COUNTIFS(D:D,"DD",L:L,"5;1",G:G,"STANFK",F:F,"ATONGOAL")+COUNTIFS(D:D,"DD",L:L,"5;1",M:M,"STANFK",F:F,"ATONGOAL")+COUNTIFS(D:D,"DD",L:L,"5;1",M:M,"STANFK DIRECT",F:F,"ATONGOAL")</f>
        <v>0</v>
      </c>
      <c r="AF484" s="184">
        <f>COUNTIFS(D:D,"DD",L:L,"5;1",G:G,"STANFK",F:F,"ATON")+COUNTIFS(D:D,"DD",L:L,"5;1",M:M,"STANFK",F:F,"ATON")+COUNTIFS(D:D,"DD",L:L,"5;1",M:M,"STANFK DIRECT",F:F,"ATON")</f>
        <v>0</v>
      </c>
      <c r="AG484" s="184">
        <f>COUNTIFS(D:D,"DD",L:L,"5;1",G:G,"STANFK",F:F,"ATOF")+COUNTIFS(D:D,"DD",L:L,"5;1",M:M,"STANFK",F:F,"ATOF")+COUNTIFS(D:D,"DD",L:L,"5;1",M:M,"STANFK DIRECT",F:F,"ATOF")</f>
        <v>0</v>
      </c>
      <c r="AH484" s="184">
        <f>COUNTIFS(D:D,"DD",L:L,"5;1",G:G,"STANFK",F:F,"ATBK")+COUNTIFS(D:D,"DD",L:L,"5;1",M:M,"STANFK",F:F,"ATBK")+COUNTIFS(D:D,"DD",L:L,"5;1",M:M,"STANFK DIRECT",F:F,"ATBK")</f>
        <v>0</v>
      </c>
      <c r="AI484" s="185">
        <f>COUNTIFS(D:D,"DD",L:L,"5;1",G:G,"STANFK",F:F,"ENTRY")</f>
        <v>0</v>
      </c>
      <c r="AJ484" s="185">
        <f>COUNTIFS(D:D,"DD",L:L,"5;1",G:G,"STANFK",F:F,"WINSTAN")+COUNTIFS(D:D,"DD",L:L,"5;1",M:M,"STANFK",F:F,"WINSTAN")</f>
        <v>0</v>
      </c>
      <c r="AK484" s="185">
        <f>COUNTIFS(D:D,"DD",L:L,"5;1",G:G,"STANFK",F:F,"WINSTANTI")+COUNTIFS(D:D,"DD",L:L,"5;1",M:M,"STANFK",F:F,"WINSTANTI")</f>
        <v>0</v>
      </c>
      <c r="AL484" s="185">
        <f>COUNTIFS(D:D,"DD",L:L,"5;1",G:G,"STANFK",F:F,"KEEPOS")+COUNTIFS(D:D,"DD",L:L,"5;1",M:M,"STANFK",F:F,"KEEPOS")</f>
        <v>0</v>
      </c>
      <c r="AM484" s="181">
        <f>COUNTIFS(D:D,"DD",L:L,"5;1",G:G,"STANFK")+COUNTIFS(D:D,"DD",L:L,"5;1",M:M,"STANFK")+COUNTIFS(D:D,"DD",L:L,"5;1",M:M,"STANFK DRIECT")</f>
        <v>0</v>
      </c>
      <c r="AN484" s="184">
        <f>COUNTIFS(D:D,"DD",L:L,"5;0",G:G,"STANFK",F:F,"ATONGOAL")+COUNTIFS(D:D,"DD",L:L,"5;0",G:G,"STANFK DIRECT",F:F,"ATONGOAL")+COUNTIFS(D:D,"DD",L:L,"5;0",M:M,"STANFK",F:F,"ATONGOAL")+COUNTIFS(D:D,"DD",L:L,"5;0",M:M,"STANFK DIRECT",F:F,"ATONGOAL")</f>
        <v>0</v>
      </c>
      <c r="AO484" s="185">
        <f>COUNTIFS(D:D,"DD",L:L,"5;0",G:G,"STANFK",F:F,"ATON")+COUNTIFS(D:D,"DD",L:L,"5;0",M:M,"STANFK",F:F,"ATON")+COUNTIFS(D:D,"DD",L:L,"5;0",M:M,"STANFK DIRECT",F:F,"ATON")</f>
        <v>0</v>
      </c>
      <c r="AP484" s="185">
        <f>COUNTIFS(D:D,"DD",L:L,"5;0",G:G,"STANFK",F:F,"ATOF")+COUNTIFS(D:D,"DD",L:L,"5;0",M:M,"STANFK",F:F,"ATOF")+COUNTIFS(D:D,"DD",L:L,"5;0",M:M,"STANFK DIRECT",F:F,"ATOF")</f>
        <v>0</v>
      </c>
      <c r="AQ484" s="185">
        <f>COUNTIFS(D:D,"DD",L:L,"5;0",G:G,"STANFK",F:F,"ATBK")+COUNTIFS(D:D,"DD",L:L,"5;0",M:M,"STANFK",F:F,"ATBK")+COUNTIFS(D:D,"DD",L:L,"5;0",M:M,"STANFK DIRECT",F:F,"ATBK")</f>
        <v>0</v>
      </c>
      <c r="AR484" s="185">
        <f>COUNTIFS(D:D,"DD",L:L,"5;0",G:G,"STANFK",F:F,"ENTRY")</f>
        <v>0</v>
      </c>
      <c r="AS484" s="185">
        <f>COUNTIFS(D:D,"DD",L:L,"5;0",G:G,"STANFK",F:F,"WINSTAN")+COUNTIFS(D:D,"DD",L:L,"5;0",M:M,"STANFK",F:F,"WINSTAN")</f>
        <v>0</v>
      </c>
      <c r="AT484" s="185">
        <f>COUNTIFS(D:D,"DD",L:L,"5;0",G:G,"STANFK",F:F,"WINSTAN")+COUNTIFS(D:D,"DD",L:L,"5;0",M:M,"STANFK",F:F,"WINSTAN")</f>
        <v>0</v>
      </c>
      <c r="AU484" s="185">
        <f>COUNTIFS(D:D,"DD",L:L,"5;0",G:G,"STANFK",F:F,"KEEPOS")+COUNTIFS(D:D,"DD",L:L,"5;0",M:M,"STANFK",F:F,"KEEPOS")</f>
        <v>0</v>
      </c>
      <c r="AV484" s="185">
        <f>COUNTIFS(D:D,"DD",L:L,"5;0",G:G,"STANFK")+COUNTIFS(D:D,"DD",L:L,"5;0",M:M,"STANFK")+COUNTIFS(D:D,"DD",L:L,"5;0",M:M,"STANFK DIRECT")</f>
        <v>0</v>
      </c>
      <c r="AW484" s="184">
        <f>COUNTIFS(D:D,"DD",L:L,"5;-1",G:G,"STANFK",F:F,"ATONGOAL")+COUNTIFS(D:D,"DD",L:L,"5;-1",G:G,"STANFK DIRECT",F:F,"ATONGOAL")+COUNTIFS(D:D,"DD",L:L,"5;-1",M:M,"STANFK",F:F,"ATONGOAL")+COUNTIFS(D:D,"DD",L:L,"5;-1",M:M,"STANFK DIRECT",F:F,"ATONGOAL")</f>
        <v>0</v>
      </c>
      <c r="AX484" s="185">
        <f>COUNTIFS(D:D,"DD",L:L,"5;-1",G:G,"STANFK",F:F,"ATON")+COUNTIFS(D:D,"DD",L:L,"5;-1",M:M,"STANFK",F:F,"ATON")+COUNTIFS(D:D,"DD",L:L,"5;-1",M:M,"STANFK DIRECT",F:F,"ATON")</f>
        <v>0</v>
      </c>
      <c r="AY484" s="185">
        <f>COUNTIFS(D:D,"DD",L:L,"5;-1",G:G,"STANFK",F:F,"ATOF")+COUNTIFS(D:D,"DD",L:L,"5;-1",M:M,"STANFK",F:F,"ATOF")+COUNTIFS(D:D,"DD",L:L,"5;-1",M:M,"STANFK DIRECT",F:F,"ATOF")</f>
        <v>0</v>
      </c>
      <c r="AZ484" s="185">
        <f>COUNTIFS(D:D,"DD",L:L,"5;-1",G:G,"STANFK",F:F,"ATBK")+COUNTIFS(D:D,"DD",L:L,"5;-1",M:M,"STANFK",F:F,"ATBK")+COUNTIFS(D:D,"DD",L:L,"5;-1",M:M,"STANFK DIRECT",F:F,"ATBK")</f>
        <v>0</v>
      </c>
      <c r="BA484" s="185">
        <f>COUNTIFS(D:D,"DD",L:L,"5;-1",G:G,"STANFK",F:F,"ENTRY")</f>
        <v>0</v>
      </c>
      <c r="BB484" s="185">
        <f>COUNTIFS(D:D,"DD",L:L,"5;-1",G:G,"STANFK",F:F,"WINSTAN")+COUNTIFS(D:D,"DD",L:L,"5;-1",M:M,"STANFK",F:F,"WINSTAN")</f>
        <v>0</v>
      </c>
      <c r="BC484" s="185">
        <f>COUNTIFS(D:D,"DD",L:L,"5;-1",G:G,"STANFK",F:F,"WINSTANTI")+COUNTIFS(D:D,"DD",L:L,"5;-1",M:M,"STANFK",F:F,"WINSTANTI")</f>
        <v>0</v>
      </c>
      <c r="BD484" s="185">
        <f>COUNTIFS(D:D,"DD",L:L,"5;-1",G:G,"STANFK",F:F,"KEEPOS")+COUNTIFS(D:D,"DD",L:L,"5;-1",M:M,"STANFK",F:F,"KEEPOS")</f>
        <v>0</v>
      </c>
      <c r="BE484" s="181">
        <f>COUNTIFS(D:D,"DD",L:L,"5;-1",G:G,"STANFK")+COUNTIFS(D:D,"DD",L:L,"5;-1",M:M,"STANFK")+COUNTIFS(D:D,"DD",L:L,"5;-1",M:M,"STANFK DIRECT")</f>
        <v>0</v>
      </c>
      <c r="BM484"/>
    </row>
    <row r="485" spans="15:65" s="115" customFormat="1">
      <c r="O485" s="91"/>
      <c r="X485" s="115">
        <f t="shared" si="106"/>
        <v>0</v>
      </c>
      <c r="Y485" s="115">
        <f t="shared" si="107"/>
        <v>0</v>
      </c>
      <c r="Z485" s="115" t="e">
        <f t="shared" si="108"/>
        <v>#VALUE!</v>
      </c>
      <c r="AA485" s="115">
        <f t="shared" si="109"/>
        <v>0</v>
      </c>
      <c r="AB485" s="246"/>
      <c r="AH485" s="198"/>
      <c r="AI485" s="198"/>
      <c r="AK485" s="377" t="s">
        <v>221</v>
      </c>
      <c r="AL485" s="377"/>
      <c r="AM485" s="377"/>
      <c r="BM485"/>
    </row>
    <row r="486" spans="15:65" s="115" customFormat="1">
      <c r="O486" s="91"/>
      <c r="X486" s="115">
        <f t="shared" si="106"/>
        <v>0</v>
      </c>
      <c r="Y486" s="115">
        <f t="shared" si="107"/>
        <v>0</v>
      </c>
      <c r="Z486" s="115" t="e">
        <f t="shared" si="108"/>
        <v>#VALUE!</v>
      </c>
      <c r="AA486" s="115">
        <f t="shared" si="109"/>
        <v>0</v>
      </c>
      <c r="AB486" s="246"/>
      <c r="AE486"/>
      <c r="AF486"/>
      <c r="AG486"/>
    </row>
    <row r="487" spans="15:65">
      <c r="O487" s="91"/>
      <c r="X487" s="115">
        <f t="shared" si="106"/>
        <v>0</v>
      </c>
      <c r="Y487" s="115">
        <f t="shared" si="107"/>
        <v>0</v>
      </c>
      <c r="Z487" s="115" t="e">
        <f t="shared" si="108"/>
        <v>#VALUE!</v>
      </c>
      <c r="AA487" s="115">
        <f t="shared" si="109"/>
        <v>0</v>
      </c>
      <c r="AD487" s="115"/>
      <c r="AH487" s="115"/>
      <c r="AI487" s="115"/>
      <c r="AJ487" s="115"/>
      <c r="AR487"/>
    </row>
    <row r="488" spans="15:65">
      <c r="O488" s="91"/>
      <c r="X488" s="115">
        <f t="shared" si="106"/>
        <v>0</v>
      </c>
      <c r="Y488" s="115">
        <f t="shared" si="107"/>
        <v>0</v>
      </c>
      <c r="Z488" s="115" t="e">
        <f t="shared" si="108"/>
        <v>#VALUE!</v>
      </c>
      <c r="AA488" s="115">
        <f t="shared" si="109"/>
        <v>0</v>
      </c>
      <c r="AD488" s="115"/>
      <c r="AE488" s="115"/>
      <c r="AF488" s="115"/>
      <c r="AG488" s="115"/>
      <c r="AH488" s="115"/>
      <c r="AI488" s="115"/>
      <c r="AJ488" s="115"/>
      <c r="AK488" s="367" t="s">
        <v>720</v>
      </c>
      <c r="AL488" s="217"/>
      <c r="AM488" s="115"/>
      <c r="AN488" s="115"/>
      <c r="AO488" s="115"/>
      <c r="AP488" s="115"/>
      <c r="AQ488" s="115"/>
      <c r="AS488" s="115"/>
      <c r="AT488" s="115"/>
      <c r="AU488" s="115"/>
      <c r="AV488" s="115"/>
      <c r="AW488" s="115"/>
      <c r="AX488" s="115"/>
      <c r="AY488" s="115"/>
    </row>
    <row r="489" spans="15:65">
      <c r="O489" s="91"/>
      <c r="X489" s="115">
        <f t="shared" si="106"/>
        <v>0</v>
      </c>
      <c r="Y489" s="115">
        <f t="shared" si="107"/>
        <v>0</v>
      </c>
      <c r="Z489" s="115" t="e">
        <f t="shared" si="108"/>
        <v>#VALUE!</v>
      </c>
      <c r="AA489" s="115">
        <f t="shared" si="109"/>
        <v>0</v>
      </c>
      <c r="AE489" s="115"/>
      <c r="AF489" s="115"/>
      <c r="AG489" s="115"/>
      <c r="AH489" s="115"/>
      <c r="AI489" s="115"/>
      <c r="AJ489" s="115"/>
      <c r="AK489" s="218" t="s">
        <v>220</v>
      </c>
      <c r="AL489" s="218"/>
      <c r="AM489" s="115"/>
      <c r="AN489" s="115"/>
      <c r="AO489" s="115"/>
      <c r="AP489" s="115"/>
      <c r="AQ489" s="115"/>
      <c r="AS489" s="115"/>
      <c r="AT489" s="115"/>
      <c r="AU489" s="115"/>
      <c r="AV489" s="115"/>
      <c r="AW489" s="115"/>
      <c r="AX489" s="115"/>
      <c r="AY489" s="115"/>
    </row>
    <row r="490" spans="15:65">
      <c r="O490" s="91"/>
      <c r="X490" s="115">
        <f t="shared" si="106"/>
        <v>0</v>
      </c>
      <c r="Y490" s="115">
        <f t="shared" si="107"/>
        <v>0</v>
      </c>
      <c r="Z490" s="115" t="e">
        <f t="shared" si="108"/>
        <v>#VALUE!</v>
      </c>
      <c r="AA490" s="115">
        <f t="shared" si="109"/>
        <v>0</v>
      </c>
      <c r="AE490" s="115" t="s">
        <v>311</v>
      </c>
      <c r="AF490" s="115" t="s">
        <v>9</v>
      </c>
      <c r="AG490" s="115" t="s">
        <v>8</v>
      </c>
      <c r="AH490" s="115" t="s">
        <v>19</v>
      </c>
      <c r="AI490" s="115" t="s">
        <v>7</v>
      </c>
      <c r="AJ490" s="115" t="s">
        <v>163</v>
      </c>
      <c r="AK490" s="115" t="s">
        <v>310</v>
      </c>
      <c r="AL490" s="115" t="s">
        <v>156</v>
      </c>
      <c r="AM490" s="115" t="s">
        <v>45</v>
      </c>
      <c r="AN490" s="115" t="s">
        <v>311</v>
      </c>
      <c r="AO490" s="115" t="s">
        <v>9</v>
      </c>
      <c r="AP490" s="115" t="s">
        <v>8</v>
      </c>
      <c r="AQ490" s="115" t="s">
        <v>19</v>
      </c>
      <c r="AR490" s="115" t="s">
        <v>7</v>
      </c>
      <c r="AS490" s="115" t="s">
        <v>163</v>
      </c>
      <c r="AT490" s="115" t="s">
        <v>310</v>
      </c>
      <c r="AU490" s="115" t="s">
        <v>156</v>
      </c>
      <c r="AV490" s="115" t="s">
        <v>45</v>
      </c>
      <c r="AW490" s="115" t="s">
        <v>311</v>
      </c>
      <c r="AX490" s="115" t="s">
        <v>9</v>
      </c>
      <c r="AY490" s="115" t="s">
        <v>8</v>
      </c>
      <c r="AZ490" s="115" t="s">
        <v>19</v>
      </c>
      <c r="BA490" s="115" t="s">
        <v>7</v>
      </c>
      <c r="BB490" s="115" t="s">
        <v>163</v>
      </c>
      <c r="BC490" s="115" t="s">
        <v>310</v>
      </c>
      <c r="BD490" s="115" t="s">
        <v>156</v>
      </c>
      <c r="BE490" s="115" t="s">
        <v>45</v>
      </c>
    </row>
    <row r="491" spans="15:65" ht="15.75">
      <c r="O491" s="91"/>
      <c r="X491" s="115">
        <f t="shared" si="106"/>
        <v>0</v>
      </c>
      <c r="Y491" s="115">
        <f t="shared" si="107"/>
        <v>0</v>
      </c>
      <c r="Z491" s="115" t="e">
        <f t="shared" si="108"/>
        <v>#VALUE!</v>
      </c>
      <c r="AA491" s="115">
        <f t="shared" si="109"/>
        <v>0</v>
      </c>
      <c r="AE491" s="179">
        <f>COUNTIFS(D:D,"DA",L:L,"-2;1",I:I,"S3",F:F,"ATONGOAL")+AE493</f>
        <v>0</v>
      </c>
      <c r="AF491" s="179">
        <f>COUNTIFS(D:D,"DA",L:L,"-2;1",I:I,"S3",F:F,"ATON")+AF493</f>
        <v>0</v>
      </c>
      <c r="AG491" s="179">
        <f>COUNTIFS(D:D,"DA",L:L,"-2;1",I:I,"S3",F:F,"ATOF")+AG493</f>
        <v>0</v>
      </c>
      <c r="AH491" s="179">
        <f>COUNTIFS(D:D,"DA",L:L,"-2;1",I:I,"S3",F:F,"ATBK")+AH493</f>
        <v>0</v>
      </c>
      <c r="AI491" s="180">
        <f>COUNTIFS(D:D,"DA",L:L,"-2;1",I:I,"S3",F:F,"WINSTAN")+AI493</f>
        <v>0</v>
      </c>
      <c r="AJ491" s="180">
        <f>COUNTIFS(D:D,"DA",L:L,"-2;1",I:I,"S3",F:F,"WINSTANTI")+AJ493</f>
        <v>0</v>
      </c>
      <c r="AK491" s="179">
        <f>COUNTIFS(D:D,"DA",L:L,"-2;1",I:I,"S3",F:F,"ENTRY")+AK493</f>
        <v>0</v>
      </c>
      <c r="AL491" s="179">
        <f>COUNTIFS(D:D,"DA",L:L,"-2;1",I:I,"S3",F:F,"KEEPOS")+AL493</f>
        <v>0</v>
      </c>
      <c r="AM491" s="219">
        <f>COUNTIFS(D:D,"DA",L:L,"-2;1",I:I,"S3")+AM493</f>
        <v>0</v>
      </c>
      <c r="AN491" s="179">
        <f>COUNTIFS(D:D,"DA",L:L,"-2;0",I:I,"S3",F:F,"ATONGOAL")</f>
        <v>0</v>
      </c>
      <c r="AO491" s="180">
        <f>COUNTIFS(D:D,"DA",L:L,"-2;0",I:I,"S3",F:F,"ATON")</f>
        <v>0</v>
      </c>
      <c r="AP491" s="180">
        <f>COUNTIFS(D:D,"DA",L:L,"-2;0",I:I,"S3",F:F,"ATOF")</f>
        <v>0</v>
      </c>
      <c r="AQ491" s="180">
        <f>COUNTIFS(D:D,"DA",L:L,"-2;0",I:I,"S3",F:F,"ATBK")</f>
        <v>0</v>
      </c>
      <c r="AR491" s="180">
        <f>COUNTIFS(D:D,"DA",L:L,"-2;0",I:I,"S3",F:F,"WINSTAN")</f>
        <v>0</v>
      </c>
      <c r="AS491" s="180">
        <f>COUNTIFS(D:D,"DA",L:L,"-2;0",I:I,"S3",F:F,"WINSTANTI")</f>
        <v>0</v>
      </c>
      <c r="AT491" s="179">
        <f>COUNTIFS(D:D,"DA",L:L,"-2;0",I:I,"S3",F:F,"ENTRY")</f>
        <v>0</v>
      </c>
      <c r="AU491" s="179">
        <f>COUNTIFS(D:D,"DA",L:L,"-2;0",I:I,"S3",F:F,"KEEPOS")</f>
        <v>0</v>
      </c>
      <c r="AV491" s="170">
        <f>COUNTIFS(D:D,"DA",L:L,"-2;0",I:I,"S3")</f>
        <v>0</v>
      </c>
      <c r="AW491" s="179">
        <f>COUNTIFS(D:D,"DA",L:L,"-2;-1",I:I,"S3",F:F,"ATONGOAL")+AW493</f>
        <v>0</v>
      </c>
      <c r="AX491" s="180">
        <f>COUNTIFS(D:D,"DA",L:L,"-2;-1",I:I,"S3",F:F,"ATON")+AX493</f>
        <v>0</v>
      </c>
      <c r="AY491" s="180">
        <f>COUNTIFS(D:D,"DA",L:L,"-2;-1",I:I,"S3",F:F,"ATOF")+AY493</f>
        <v>0</v>
      </c>
      <c r="AZ491" s="180">
        <f>COUNTIFS(D:D,"DA",L:L,"-2;-1",I:I,"S3",F:F,"ATBK")+AZ493</f>
        <v>0</v>
      </c>
      <c r="BA491" s="180">
        <f>COUNTIFS(D:D,"DA",L:L,"-2;-1",I:I,"S3",F:F,"WINSTAN")+BA493</f>
        <v>0</v>
      </c>
      <c r="BB491" s="180">
        <f>COUNTIFS(D:D,"DA",L:L,"-2;-1",I:I,"S3",F:F,"WINSTANTI")+BB493</f>
        <v>0</v>
      </c>
      <c r="BC491" s="179">
        <f>COUNTIFS(D:D,"DA",L:L,"-2;-1",I:I,"S3",F:F,"ENTRY")+BC493</f>
        <v>0</v>
      </c>
      <c r="BD491" s="179">
        <f>COUNTIFS(D:D,"DA",L:L,"-2;-1",I:I,"S3",F:F,"KEEPOS")+BD493</f>
        <v>0</v>
      </c>
      <c r="BE491" s="167">
        <f>COUNTIFS(D:D,"DA",L:L,"-2;-1",I:I,"S3")+BE493</f>
        <v>0</v>
      </c>
    </row>
    <row r="492" spans="15:65">
      <c r="O492" s="91"/>
      <c r="X492" s="115">
        <f t="shared" si="106"/>
        <v>0</v>
      </c>
      <c r="Y492" s="115">
        <f t="shared" si="107"/>
        <v>0</v>
      </c>
      <c r="Z492" s="115" t="e">
        <f t="shared" si="108"/>
        <v>#VALUE!</v>
      </c>
      <c r="AA492" s="115">
        <f t="shared" si="109"/>
        <v>0</v>
      </c>
      <c r="AE492" s="181">
        <f>COUNTIFS(D:D,"AD",L:L,"-2;1",I:I,"S3",F:F,"ATONGOAL")+AE494</f>
        <v>0</v>
      </c>
      <c r="AF492" s="181">
        <f>COUNTIFS(D:D,"AD",L:L,"-2;1",I:I,"S3",F:F,"ATON")+AF494</f>
        <v>0</v>
      </c>
      <c r="AG492" s="181">
        <f>COUNTIFS(D:D,"AD",L:L,"-2;1",I:I,"S3",F:F,"ATOF")+AG494</f>
        <v>0</v>
      </c>
      <c r="AH492" s="181">
        <f>COUNTIFS(D:D,"AD",L:L,"-2;1",I:I,"S3",F:F,"ATBK")+AH494</f>
        <v>0</v>
      </c>
      <c r="AI492" s="182">
        <f>COUNTIFS(D:D,"AD",L:L,"-2;1",I:I,"S3",F:F,"WINSTAN")+AI494</f>
        <v>0</v>
      </c>
      <c r="AJ492" s="182">
        <f>COUNTIFS(D:D,"AD",L:L,"-2;1",I:I,"S3",F:F,"WINSTANTI")+AJ494</f>
        <v>0</v>
      </c>
      <c r="AK492" s="181">
        <f>COUNTIFS(D:D,"AD",L:L,"-2;1",I:I,"S3",F:F,"ENTRY")+AK494</f>
        <v>0</v>
      </c>
      <c r="AL492" s="181">
        <f>COUNTIFS(D:D,"AD",L:L,"-2;1",I:I,"S3",F:F,"KEEPOSL")+AL494</f>
        <v>0</v>
      </c>
      <c r="AM492" s="222">
        <f>COUNTIFS(D:D,"AD",L:L,"-2;1",I:I,"S3")+AM494</f>
        <v>0</v>
      </c>
      <c r="AN492" s="181">
        <f>COUNTIFS(D:D,"AD",L:L,"-2;0",I:I,"S3",F:F,"ATONGOAL")</f>
        <v>0</v>
      </c>
      <c r="AO492" s="182">
        <f>COUNTIFS(D:D,"AD",L:L,"-2;0",I:I,"S3",F:F,"ATON")</f>
        <v>0</v>
      </c>
      <c r="AP492" s="182">
        <f>COUNTIFS(D:D,"AD",L:L,"-2;0",I:I,"S3",F:F,"ATOF")</f>
        <v>0</v>
      </c>
      <c r="AQ492" s="182">
        <f>COUNTIFS(D:D,"AD",L:L,"-2;0",I:I,"S3",F:F,"ATBK")</f>
        <v>0</v>
      </c>
      <c r="AR492" s="182">
        <f>COUNTIFS(D:D,"AD",L:L,"-2;0",I:I,"S3",F:F,"WINSTAN")</f>
        <v>0</v>
      </c>
      <c r="AS492" s="182">
        <f>COUNTIFS(D:D,"AD",L:L,"-2;0",I:I,"S3",F:F,"WINSTANTI")</f>
        <v>0</v>
      </c>
      <c r="AT492" s="181">
        <f>COUNTIFS(D:D,"AD",L:L,"-2;0",I:I,"S3",F:F,"ENTRY")</f>
        <v>0</v>
      </c>
      <c r="AU492" s="181">
        <f>COUNTIFS(D:D,"AD",L:L,"-2;0",I:I,"S3",F:F,"KEEPOS")</f>
        <v>0</v>
      </c>
      <c r="AV492" s="171">
        <f>COUNTIFS(D:D,"AD",L:L,"-2;0",I:I,"S3")</f>
        <v>0</v>
      </c>
      <c r="AW492" s="181">
        <f>COUNTIFS(D:D,"AD",L:L,"-2;-1",I:I,"S3",F:F,"ATONGOAL")+AW494</f>
        <v>0</v>
      </c>
      <c r="AX492" s="182">
        <f>COUNTIFS(D:D,"AD",L:L,"-2;-1",I:I,"S3",F:F,"ATON")+AX494</f>
        <v>0</v>
      </c>
      <c r="AY492" s="182">
        <f>COUNTIFS(D:D,"AD",L:L,"-2;-1",I:I,"S3",F:F,"ATOF")+AY494</f>
        <v>0</v>
      </c>
      <c r="AZ492" s="182">
        <f>COUNTIFS(D:D,"AD",L:L,"-2;-1",I:I,"S3",F:F,"ATBK")+AZ494</f>
        <v>0</v>
      </c>
      <c r="BA492" s="182">
        <f>COUNTIFS(D:D,"AD",L:L,"-2;-1",I:I,"S3",F:F,"WINSTAN")+BA494</f>
        <v>0</v>
      </c>
      <c r="BB492" s="182">
        <f>COUNTIFS(D:D,"AD",L:L,"-2;-1",I:I,"S3",F:F,"WINSTANTI")+BB494</f>
        <v>0</v>
      </c>
      <c r="BC492" s="181">
        <f>COUNTIFS(D:D,"AD",L:L,"-2;-1",I:I,"S3",F:F,"ENTRY")+BC494</f>
        <v>0</v>
      </c>
      <c r="BD492" s="181">
        <f>COUNTIFS(D:D,"AD",L:L,"-2;-1",I:I,"S3",F:F,"KEEPOS")+BD494</f>
        <v>0</v>
      </c>
      <c r="BE492" s="168">
        <f>COUNTIFS(D:D,"AD",L:L,"-2;-1",I:I,"S3")+BE494</f>
        <v>0</v>
      </c>
    </row>
    <row r="493" spans="15:65" ht="15.75">
      <c r="O493" s="91"/>
      <c r="X493" s="115">
        <f t="shared" si="106"/>
        <v>0</v>
      </c>
      <c r="Y493" s="115">
        <f t="shared" si="107"/>
        <v>0</v>
      </c>
      <c r="Z493" s="115" t="e">
        <f t="shared" si="108"/>
        <v>#VALUE!</v>
      </c>
      <c r="AA493" s="115">
        <f t="shared" si="109"/>
        <v>0</v>
      </c>
      <c r="AE493" s="179">
        <f>COUNTIFS(D:D,"DA",L:L,"-1;1",I:I,"S3",F:F,"ATONGOAL")</f>
        <v>0</v>
      </c>
      <c r="AF493" s="179">
        <f>COUNTIFS(D:D,"DA",L:L,"-1;1",I:I,"S3",F:F,"ATON")</f>
        <v>0</v>
      </c>
      <c r="AG493" s="179">
        <f>COUNTIFS(D:D,"DA",L:L,"-1;1",I:I,"S3",F:F,"ATOF")</f>
        <v>0</v>
      </c>
      <c r="AH493" s="179">
        <f>COUNTIFS(D:D,"DA",L:L,"-1;1",I:I,"S3",F:F,"ATBK")</f>
        <v>0</v>
      </c>
      <c r="AI493" s="180">
        <f>COUNTIFS(D:D,"DA",L:L,"-1;1",I:I,"S3",F:F,"WINSTAN")</f>
        <v>0</v>
      </c>
      <c r="AJ493" s="180">
        <f>COUNTIFS(D:D,"DA",L:L,"-1;1",I:I,"S3",F:F,"WINSTANTI")</f>
        <v>0</v>
      </c>
      <c r="AK493" s="179">
        <f>COUNTIFS(D:D,"DA",L:L,"-1;1",I:I,"S3",F:F,"ENTRY")</f>
        <v>0</v>
      </c>
      <c r="AL493" s="179">
        <f>COUNTIFS(D:D,"DA",L:L,"-1;1",I:I,"S3",F:F,"KEEPOS")</f>
        <v>0</v>
      </c>
      <c r="AM493" s="219">
        <f>COUNTIFS(D:D,"DA",L:L,"-1;1",I:I,"S3")</f>
        <v>0</v>
      </c>
      <c r="AN493" s="179">
        <f>COUNTIFS(D:D,"DA",L:L,"-1;0",I:I,"S3",F:F,"ATONGOAL")</f>
        <v>0</v>
      </c>
      <c r="AO493" s="180">
        <f>COUNTIFS(D:D,"DA",L:L,"-1;0",I:I,"S3",F:F,"ATON")</f>
        <v>0</v>
      </c>
      <c r="AP493" s="180">
        <f>COUNTIFS(D:D,"DA",L:L,"-1;0",I:I,"S3",F:F,"ATOF")</f>
        <v>0</v>
      </c>
      <c r="AQ493" s="180">
        <f>COUNTIFS(D:D,"DA",L:L,"-1;0",I:I,"S3",F:F,"ATBK")</f>
        <v>0</v>
      </c>
      <c r="AR493" s="180">
        <f>COUNTIFS(D:D,"DA",L:L,"-1;0",I:I,"S3",F:F,"WINSTAN")</f>
        <v>0</v>
      </c>
      <c r="AS493" s="180">
        <f>COUNTIFS(D:D,"DA",L:L,"-1;0",I:I,"S3",F:F,"WINSTANTI")</f>
        <v>0</v>
      </c>
      <c r="AT493" s="179">
        <f>COUNTIFS(D:D,"DA",L:L,"-1;0",I:I,"S3",F:F,"ENTRY")</f>
        <v>0</v>
      </c>
      <c r="AU493" s="179">
        <f>COUNTIFS(D:D,"DA",L:L,"-1;0",I:I,"S3",F:F,"KEEPOS")</f>
        <v>0</v>
      </c>
      <c r="AV493" s="170">
        <f>COUNTIFS(D:D,"DA",L:L,"-1;0",I:I,"S3")</f>
        <v>0</v>
      </c>
      <c r="AW493" s="179">
        <f>COUNTIFS(D:D,"DA",L:L,"-1;-1",I:I,"S3",F:F,"ATONGOAL")</f>
        <v>0</v>
      </c>
      <c r="AX493" s="180">
        <f>COUNTIFS(D:D,"DA",L:L,"-1;-1",I:I,"S3",F:F,"ATON")</f>
        <v>0</v>
      </c>
      <c r="AY493" s="180">
        <f>COUNTIFS(D:D,"DA",L:L,"-1;-1",I:I,"S3",F:F,"ATOF")</f>
        <v>0</v>
      </c>
      <c r="AZ493" s="180">
        <f>COUNTIFS(D:D,"DA",L:L,"-1;-1",I:I,"S3",F:F,"ATBK")</f>
        <v>0</v>
      </c>
      <c r="BA493" s="180">
        <f>COUNTIFS(D:D,"DA",L:L,"-1;-1",I:I,"S3",F:F,"WINSTAN")</f>
        <v>0</v>
      </c>
      <c r="BB493" s="180">
        <f>COUNTIFS(D:D,"DA",L:L,"-1;-1",I:I,"S3",F:F,"WINSTANTI")</f>
        <v>0</v>
      </c>
      <c r="BC493" s="179">
        <f>COUNTIFS(D:D,"DA",L:L,"-1;-1",I:I,"S3",F:F,"ENTRY")</f>
        <v>0</v>
      </c>
      <c r="BD493" s="179">
        <f>COUNTIFS(D:D,"DA",L:L,"-1;-1",I:I,"S3",F:F,"KEEPOS")</f>
        <v>0</v>
      </c>
      <c r="BE493" s="167">
        <f>COUNTIFS(D:D,"DA",L:L,"-1;-1",I:I,"S3")</f>
        <v>0</v>
      </c>
    </row>
    <row r="494" spans="15:65">
      <c r="O494" s="91"/>
      <c r="X494" s="115">
        <f t="shared" si="106"/>
        <v>0</v>
      </c>
      <c r="Y494" s="115">
        <f t="shared" si="107"/>
        <v>0</v>
      </c>
      <c r="Z494" s="115" t="e">
        <f t="shared" si="108"/>
        <v>#VALUE!</v>
      </c>
      <c r="AA494" s="115">
        <f t="shared" si="109"/>
        <v>0</v>
      </c>
      <c r="AE494" s="181">
        <f>COUNTIFS(D:D,"AD",L:L,"-1;1",I:I,"S3",F:F,"ATONGOAL")</f>
        <v>0</v>
      </c>
      <c r="AF494" s="181">
        <f>COUNTIFS(D:D,"AD",L:L,"-1;1",I:I,"S3",F:F,"ATON")</f>
        <v>0</v>
      </c>
      <c r="AG494" s="181">
        <f>COUNTIFS(D:D,"AD",L:L,"-1;1",I:I,"S3",F:F,"ATOF")</f>
        <v>0</v>
      </c>
      <c r="AH494" s="181">
        <f>COUNTIFS(D:D,"AD",L:L,"-1;1",I:I,"S3",F:F,"ATBK")</f>
        <v>0</v>
      </c>
      <c r="AI494" s="182">
        <f>COUNTIFS(D:D,"AD",L:L,"-1;1",I:I,"S3",F:F,"WINSTAN")</f>
        <v>0</v>
      </c>
      <c r="AJ494" s="182">
        <f>COUNTIFS(D:D,"AD",L:L,"-1;1",I:I,"S3",F:F,"WINSTANTI")</f>
        <v>0</v>
      </c>
      <c r="AK494" s="181">
        <f>COUNTIFS(D:D,"AD",L:L,"-1;1",I:I,"S3",F:F,"ENTRY")</f>
        <v>0</v>
      </c>
      <c r="AL494" s="181">
        <f>COUNTIFS(D:D,"AD",L:L,"-1;1",I:I,"S3",F:F,"KEEPOS")</f>
        <v>0</v>
      </c>
      <c r="AM494" s="222">
        <f>COUNTIFS(D:D,"AD",L:L,"-1;1",I:I,"S3")</f>
        <v>0</v>
      </c>
      <c r="AN494" s="181">
        <f>COUNTIFS(D:D,"AD",L:L,"-1;0",I:I,"S3",F:F,"ATONGOAL")</f>
        <v>0</v>
      </c>
      <c r="AO494" s="182">
        <f>COUNTIFS(D:D,"AD",L:L,"-1;0",I:I,"S3",F:F,"ATON")</f>
        <v>0</v>
      </c>
      <c r="AP494" s="182">
        <f>COUNTIFS(D:D,"AD",L:L,"-1;0",I:I,"S3",F:F,"ATOF")</f>
        <v>0</v>
      </c>
      <c r="AQ494" s="182">
        <f>COUNTIFS(D:D,"AD",L:L,"-1;0",I:I,"S3",F:F,"ATBK")</f>
        <v>0</v>
      </c>
      <c r="AR494" s="182">
        <f>COUNTIFS(D:D,"DA",L:L,"-1;0",I:I,"S3",F:F,"WINSTAN")</f>
        <v>0</v>
      </c>
      <c r="AS494" s="182">
        <f>COUNTIFS(D:D,"DA",L:L,"-1;0",I:I,"S3",F:F,"WINSTANTI")</f>
        <v>0</v>
      </c>
      <c r="AT494" s="181">
        <f>COUNTIFS(D:D,"AD",L:L,"-1;0",I:I,"S3",F:F,"ENTRY")</f>
        <v>0</v>
      </c>
      <c r="AU494" s="181">
        <f>COUNTIFS(D:D,"AD",L:L,"-1;0",I:I,"S3",F:F,"KEEPOS")</f>
        <v>0</v>
      </c>
      <c r="AV494" s="171">
        <f>COUNTIFS(D:D,"AD",L:L,"-1;0",I:I,"S3")</f>
        <v>0</v>
      </c>
      <c r="AW494" s="181">
        <f>COUNTIFS(D:D,"AD",L:L,"-1;-1",I:I,"S3",F:F,"ATONGOAL")</f>
        <v>0</v>
      </c>
      <c r="AX494" s="182">
        <f>COUNTIFS(D:D,"AD",L:L,"-1;-1",I:I,"S3",F:F,"ATON")</f>
        <v>0</v>
      </c>
      <c r="AY494" s="182">
        <f>COUNTIFS(D:D,"AD",L:L,"-1;-1",I:I,"S3",F:F,"ATOF")</f>
        <v>0</v>
      </c>
      <c r="AZ494" s="182">
        <f>COUNTIFS(D:D,"AD",L:L,"-1;-1",I:I,"S3",F:F,"ATBK")</f>
        <v>0</v>
      </c>
      <c r="BA494" s="182">
        <f>COUNTIFS(D:D,"DA",L:L,"-1;-1",I:I,"S3",F:F,"WINSTAN")</f>
        <v>0</v>
      </c>
      <c r="BB494" s="182">
        <f>COUNTIFS(D:D,"DA",L:L,"-1;-1",I:I,"S3",F:F,"WINSTANTI")</f>
        <v>0</v>
      </c>
      <c r="BC494" s="181">
        <f>COUNTIFS(D:D,"AD",L:L,"-1;-1",I:I,"S3",F:F,"ENTRY")</f>
        <v>0</v>
      </c>
      <c r="BD494" s="181">
        <f>COUNTIFS(D:D,"AD",L:L,"-1;-1",I:I,"S3",F:F,"KEEPOS")</f>
        <v>0</v>
      </c>
      <c r="BE494" s="168">
        <f>COUNTIFS(D:D,"AD",L:L,"-1;-1",I:I,"S3")</f>
        <v>0</v>
      </c>
    </row>
    <row r="495" spans="15:65" ht="15.75">
      <c r="O495" s="91"/>
      <c r="X495" s="115">
        <f t="shared" si="106"/>
        <v>0</v>
      </c>
      <c r="Y495" s="115">
        <f t="shared" si="107"/>
        <v>0</v>
      </c>
      <c r="Z495" s="115" t="e">
        <f t="shared" si="108"/>
        <v>#VALUE!</v>
      </c>
      <c r="AA495" s="115">
        <f t="shared" si="109"/>
        <v>0</v>
      </c>
      <c r="AE495" s="179">
        <f>COUNTIFS(D:D,"DA",L:L,"0;1",I:I,"S3",F:F,"ATONGOAL")</f>
        <v>0</v>
      </c>
      <c r="AF495" s="179">
        <f>COUNTIFS(D:D,"DA",L:L,"0;1",I:I,"S3",F:F,"ATON")</f>
        <v>0</v>
      </c>
      <c r="AG495" s="179">
        <f>COUNTIFS(D:D,"DA",L:L,"0;1",I:I,"S3",F:F,"ATOF")</f>
        <v>0</v>
      </c>
      <c r="AH495" s="179">
        <f>COUNTIFS(D:D,"DA",L:L,"0;1",I:I,"S3",F:F,"ATBK")</f>
        <v>0</v>
      </c>
      <c r="AI495" s="180">
        <f>COUNTIFS(D:D,"DA",L:L,"0;1",I:I,"S3",F:F,"WINSTAN")</f>
        <v>0</v>
      </c>
      <c r="AJ495" s="180">
        <f>COUNTIFS(D:D,"DA",L:L,"0;1",I:I,"S3",F:F,"WINSTANTI")</f>
        <v>0</v>
      </c>
      <c r="AK495" s="179">
        <f>COUNTIFS(D:D,"DA",L:L,"0;1",I:I,"S3",F:F,"ENTRY")</f>
        <v>0</v>
      </c>
      <c r="AL495" s="179">
        <f>COUNTIFS(D:D,"DA",L:L,"0;1",I:I,"S3",F:F,"KEEPOS")</f>
        <v>0</v>
      </c>
      <c r="AM495" s="219">
        <f>COUNTIFS(D:D,"DA",L:L,"0;1",I:I,"S3")</f>
        <v>0</v>
      </c>
      <c r="AN495" s="179">
        <f>COUNTIFS(D:D,"DA",L:L,"0;0",I:I,"S3",F:F,"ATONGOAL")</f>
        <v>0</v>
      </c>
      <c r="AO495" s="180">
        <f>COUNTIFS(D:D,"DA",L:L,"0;0",I:I,"S3",F:F,"ATON")</f>
        <v>0</v>
      </c>
      <c r="AP495" s="180">
        <f>COUNTIFS(D:D,"DA",L:L,"0;0",I:I,"S3",F:F,"ATOF")</f>
        <v>0</v>
      </c>
      <c r="AQ495" s="180">
        <f>COUNTIFS(D:D,"DA",L:L,"0;0",I:I,"S3",F:F,"ATBK")</f>
        <v>0</v>
      </c>
      <c r="AR495" s="180">
        <f>COUNTIFS(D:D,"DA",L:L,"0;0",I:I,"S3",F:F,"WINSTAN")</f>
        <v>0</v>
      </c>
      <c r="AS495" s="180">
        <f>COUNTIFS(D:D,"DA",L:L,"0;0",I:I,"S3",F:F,"WINSTANTI")</f>
        <v>0</v>
      </c>
      <c r="AT495" s="179">
        <f>COUNTIFS(D:D,"DA",L:L,"0;0",I:I,"S3",F:F,"ENTRY")</f>
        <v>0</v>
      </c>
      <c r="AU495" s="179">
        <f>COUNTIFS(D:D,"DA",L:L,"0;0",I:I,"S3",F:F,"KEEPOS")</f>
        <v>0</v>
      </c>
      <c r="AV495" s="170">
        <f>COUNTIFS(D:D,"DA",L:L,"0;0",I:I,"S3")</f>
        <v>0</v>
      </c>
      <c r="AW495" s="179">
        <f>COUNTIFS(D:D,"DA",L:L,"0;-1",I:I,"S3",F:F,"ATONGOAL")</f>
        <v>0</v>
      </c>
      <c r="AX495" s="180">
        <f>COUNTIFS(D:D,"DA",L:L,"0;-1",I:I,"S3",F:F,"ATON")</f>
        <v>0</v>
      </c>
      <c r="AY495" s="180">
        <f>COUNTIFS(D:D,"DA",L:L,"0;-1",I:I,"S3",F:F,"ATOF")</f>
        <v>0</v>
      </c>
      <c r="AZ495" s="180">
        <f>COUNTIFS(D:D,"DA",L:L,"0;-1",I:I,"S3",F:F,"ATBK")</f>
        <v>0</v>
      </c>
      <c r="BA495" s="180">
        <f>COUNTIFS(D:D,"DA",L:L,"0;-1",I:I,"S3",F:F,"WINSTAN")</f>
        <v>0</v>
      </c>
      <c r="BB495" s="180">
        <f>COUNTIFS(D:D,"DA",L:L,"0;-1",I:I,"S3",F:F,"WINSTANTI")</f>
        <v>0</v>
      </c>
      <c r="BC495" s="179">
        <f>COUNTIFS(D:D,"DA",L:L,"0;-1",I:I,"S3",F:F,"ENTRY")</f>
        <v>0</v>
      </c>
      <c r="BD495" s="179">
        <f>COUNTIFS(D:D,"DA",L:L,"0;-1",I:I,"S3",F:F,"KEEPOS")</f>
        <v>0</v>
      </c>
      <c r="BE495" s="167">
        <f>COUNTIFS(D:D,"DA",L:L,"0;-1",I:I,"S3")</f>
        <v>0</v>
      </c>
    </row>
    <row r="496" spans="15:65">
      <c r="O496" s="91"/>
      <c r="X496" s="115">
        <f t="shared" si="106"/>
        <v>0</v>
      </c>
      <c r="Y496" s="115">
        <f t="shared" si="107"/>
        <v>0</v>
      </c>
      <c r="Z496" s="115" t="e">
        <f t="shared" si="108"/>
        <v>#VALUE!</v>
      </c>
      <c r="AA496" s="115">
        <f t="shared" si="109"/>
        <v>0</v>
      </c>
      <c r="AE496" s="181">
        <f>COUNTIFS(D:D,"AD",L:L,"0;1",I:I,"S3",F:F,"ATONGOAL")</f>
        <v>0</v>
      </c>
      <c r="AF496" s="181">
        <f>COUNTIFS(D:D,"AD",L:L,"0;1",I:I,"S3",F:F,"ATON")</f>
        <v>0</v>
      </c>
      <c r="AG496" s="181">
        <f>COUNTIFS(D:D,"AD",L:L,"0;1",I:I,"S3",F:F,"ATOF")</f>
        <v>0</v>
      </c>
      <c r="AH496" s="181">
        <f>COUNTIFS(D:D,"AD",L:L,"0;1",I:I,"S3",F:F,"ATBK")</f>
        <v>0</v>
      </c>
      <c r="AI496" s="182">
        <f>COUNTIFS(D:D,"AD",L:L,"0;1",I:I,"S3",F:F,"WINSTAN")</f>
        <v>0</v>
      </c>
      <c r="AJ496" s="182">
        <f>COUNTIFS(D:D,"AD",L:L,"0;1",I:I,"S3",F:F,"WINSTANTI")</f>
        <v>0</v>
      </c>
      <c r="AK496" s="181">
        <f>COUNTIFS(D:D,"AD",L:L,"0;1",I:I,"S3",F:F,"ENTRY")</f>
        <v>0</v>
      </c>
      <c r="AL496" s="181">
        <f>COUNTIFS(D:D,"AD",L:L,"0;1",I:I,"S3",F:F,"KEEPOS")</f>
        <v>0</v>
      </c>
      <c r="AM496" s="222">
        <f>COUNTIFS(D:D,"AD",L:L,"0;1",I:I,"S3")</f>
        <v>0</v>
      </c>
      <c r="AN496" s="181">
        <f>COUNTIFS(D:D,"AD",L:L,"0;0",I:I,"S3",F:F,"ATONGOAL")</f>
        <v>0</v>
      </c>
      <c r="AO496" s="182">
        <f>COUNTIFS(D:D,"AD",L:L,"0;0",I:I,"S3",F:F,"ATON")</f>
        <v>0</v>
      </c>
      <c r="AP496" s="182">
        <f>COUNTIFS(D:D,"AD",L:L,"0;0",I:I,"S3",F:F,"ATOF")</f>
        <v>0</v>
      </c>
      <c r="AQ496" s="182">
        <f>COUNTIFS(D:D,"AD",L:L,"0;0",I:I,"S3",F:F,"ATBK")</f>
        <v>0</v>
      </c>
      <c r="AR496" s="182">
        <f>COUNTIFS(D:D,"AD",L:L,"0;0",I:I,"S3",F:F,"WINSTAN")</f>
        <v>0</v>
      </c>
      <c r="AS496" s="182">
        <f>COUNTIFS(D:D,"AD",L:L,"0;0",I:I,"S3",F:F,"WINSTANTI")</f>
        <v>0</v>
      </c>
      <c r="AT496" s="181">
        <f>COUNTIFS(D:D,"AD",L:L,"0;0",I:I,"S3",F:F,"ENTRY")</f>
        <v>0</v>
      </c>
      <c r="AU496" s="181">
        <f>COUNTIFS(D:D,"AD",L:L,"0;0",I:I,"S3",F:F,"KEEPOS")</f>
        <v>0</v>
      </c>
      <c r="AV496" s="171">
        <f>COUNTIFS(D:D,"AD",L:L,"0;0",I:I,"S3")</f>
        <v>0</v>
      </c>
      <c r="AW496" s="181">
        <f>COUNTIFS(D:D,"AD",L:L,"0;-1",I:I,"S3",F:F,"ATONGOAL")</f>
        <v>0</v>
      </c>
      <c r="AX496" s="182">
        <f>COUNTIFS(D:D,"AD",L:L,"0;-1",I:I,"S3",F:F,"ATON")</f>
        <v>0</v>
      </c>
      <c r="AY496" s="182">
        <f>COUNTIFS(D:D,"AD",L:L,"0;-1",I:I,"S3",F:F,"ATOF")</f>
        <v>0</v>
      </c>
      <c r="AZ496" s="182">
        <f>COUNTIFS(D:D,"AD",L:L,"0;-1",I:I,"S3",F:F,"ATBK")</f>
        <v>0</v>
      </c>
      <c r="BA496" s="182">
        <f>COUNTIFS(D:D,"AD",L:L,"0;-1",I:I,"S3",F:F,"WINSTAN")</f>
        <v>0</v>
      </c>
      <c r="BB496" s="182">
        <f>COUNTIFS(D:D,"AD",L:L,"0;-1",I:I,"S3",F:F,"WINSTANTI")</f>
        <v>0</v>
      </c>
      <c r="BC496" s="181">
        <f>COUNTIFS(D:D,"AD",L:L,"0;-1",I:I,"S3",F:F,"ENTRY")</f>
        <v>0</v>
      </c>
      <c r="BD496" s="181">
        <f>COUNTIFS(D:D,"AD",L:L,"0;-1",I:I,"S3",F:F,"KEEPOS")</f>
        <v>0</v>
      </c>
      <c r="BE496" s="168">
        <f>COUNTIFS(D:D,"AD",L:L,"0;-1",I:I,"S3")</f>
        <v>0</v>
      </c>
    </row>
    <row r="497" spans="15:57" ht="15.75">
      <c r="O497" s="91"/>
      <c r="X497" s="115">
        <f t="shared" si="106"/>
        <v>0</v>
      </c>
      <c r="Y497" s="115">
        <f t="shared" si="107"/>
        <v>0</v>
      </c>
      <c r="Z497" s="115" t="e">
        <f t="shared" si="108"/>
        <v>#VALUE!</v>
      </c>
      <c r="AA497" s="115">
        <f t="shared" si="109"/>
        <v>0</v>
      </c>
      <c r="AE497" s="179">
        <f>COUNTIFS(D:D,"DA",L:L,"1;1",I:I,"S3",F:F,"ATONGOAL")</f>
        <v>0</v>
      </c>
      <c r="AF497" s="179">
        <f>COUNTIFS(D:D,"DA",L:L,"1;1",I:I,"S3",F:F,"ATON")</f>
        <v>0</v>
      </c>
      <c r="AG497" s="179">
        <f>COUNTIFS(D:D,"DA",L:L,"1;1",I:I,"S3",F:F,"ATOF")</f>
        <v>0</v>
      </c>
      <c r="AH497" s="179">
        <f>COUNTIFS(D:D,"DA",L:L,"1;1",I:I,"S3",F:F,"ATBK")</f>
        <v>0</v>
      </c>
      <c r="AI497" s="180">
        <f>COUNTIFS(D:D,"DA",L:L,"1;1",I:I,"S3",F:F,"WINSTAN")</f>
        <v>0</v>
      </c>
      <c r="AJ497" s="180">
        <f>COUNTIFS(D:D,"DA",L:L,"1;1",I:I,"S3",F:F,"WINSTANTI")</f>
        <v>0</v>
      </c>
      <c r="AK497" s="179">
        <f>COUNTIFS(D:D,"DA",L:L,"1;1",I:I,"S3",F:F,"ENTRY")</f>
        <v>0</v>
      </c>
      <c r="AL497" s="179">
        <f>COUNTIFS(D:D,"DA",L:L,"1;1",I:I,"S3",F:F,"KEEPOS")</f>
        <v>0</v>
      </c>
      <c r="AM497" s="219">
        <f>COUNTIFS(D:D,"DA",L:L,"1;1",I:I,"S3")</f>
        <v>0</v>
      </c>
      <c r="AN497" s="179">
        <f>COUNTIFS(D:D,"DA",L:L,"1;0",I:I,"S3",F:F,"ATONGOAL")</f>
        <v>0</v>
      </c>
      <c r="AO497" s="180">
        <f>COUNTIFS(D:D,"DA",L:L,"1;0",I:I,"S3",F:F,"ATON")</f>
        <v>0</v>
      </c>
      <c r="AP497" s="180">
        <f>COUNTIFS(D:D,"DA",L:L,"1;0",I:I,"S3",F:F,"ATOF")</f>
        <v>0</v>
      </c>
      <c r="AQ497" s="180">
        <f>COUNTIFS(D:D,"DA",L:L,"1;0",I:I,"S3",F:F,"ATBK")</f>
        <v>0</v>
      </c>
      <c r="AR497" s="180">
        <f>COUNTIFS(D:D,"DA",L:L,"1;0",I:I,"S3",F:F,"WINSTAN")</f>
        <v>0</v>
      </c>
      <c r="AS497" s="180">
        <f>COUNTIFS(D:D,"DA",L:L,"1;0",I:I,"S3",F:F,"WINSTANTI")</f>
        <v>0</v>
      </c>
      <c r="AT497" s="179">
        <f>COUNTIFS(D:D,"DA",L:L,"1;0",I:I,"S3",F:F,"ENTRY")</f>
        <v>0</v>
      </c>
      <c r="AU497" s="179">
        <f>COUNTIFS(D:D,"DA",L:L,"1;0",I:I,"S3",F:F,"KEEPOS")</f>
        <v>0</v>
      </c>
      <c r="AV497" s="170">
        <f>COUNTIFS(D:D,"DA",L:L,"1;0",I:I,"S3")</f>
        <v>0</v>
      </c>
      <c r="AW497" s="179">
        <f>COUNTIFS(D:D,"DA",L:L,"1;-1",I:I,"S3",F:F,"ATONGOAL")</f>
        <v>0</v>
      </c>
      <c r="AX497" s="180">
        <f>COUNTIFS(D:D,"DA",L:L,"1;-1",I:I,"S3",F:F,"ATON")</f>
        <v>0</v>
      </c>
      <c r="AY497" s="180">
        <f>COUNTIFS(D:D,"DA",L:L,"1;-1",I:I,"S3",F:F,"ATOF")</f>
        <v>0</v>
      </c>
      <c r="AZ497" s="180">
        <f>COUNTIFS(D:D,"DA",L:L,"1;-1",I:I,"S3",F:F,"ATBK")</f>
        <v>0</v>
      </c>
      <c r="BA497" s="180">
        <f>COUNTIFS(D:D,"DA",L:L,"1;-1",I:I,"S3",F:F,"WINSTAN")</f>
        <v>0</v>
      </c>
      <c r="BB497" s="180">
        <f>COUNTIFS(D:D,"DA",L:L,"1;-1",I:I,"S3",F:F,"WINSTANTI")</f>
        <v>0</v>
      </c>
      <c r="BC497" s="179">
        <f>COUNTIFS(D:D,"DA",L:L,"1;-1",I:I,"S3",F:F,"ENTRY")</f>
        <v>0</v>
      </c>
      <c r="BD497" s="179">
        <f>COUNTIFS(D:D,"DA",L:L,"1;-1",I:I,"S3",F:F,"KEEPOS")</f>
        <v>0</v>
      </c>
      <c r="BE497" s="167">
        <f>COUNTIFS(D:D,"DA",L:L,"1;-1",I:I,"S3")</f>
        <v>0</v>
      </c>
    </row>
    <row r="498" spans="15:57">
      <c r="O498" s="91"/>
      <c r="X498" s="115">
        <f t="shared" si="106"/>
        <v>0</v>
      </c>
      <c r="Y498" s="115">
        <f t="shared" si="107"/>
        <v>0</v>
      </c>
      <c r="Z498" s="115" t="e">
        <f t="shared" si="108"/>
        <v>#VALUE!</v>
      </c>
      <c r="AA498" s="115">
        <f t="shared" si="109"/>
        <v>0</v>
      </c>
      <c r="AE498" s="181">
        <f>COUNTIFS(D:D,"AD",L:L,"1;1",I:I,"S3",F:F,"ATONGOAL")</f>
        <v>0</v>
      </c>
      <c r="AF498" s="181">
        <f>COUNTIFS(D:D,"AD",L:L,"1;1",I:I,"S3",F:F,"ATON")</f>
        <v>0</v>
      </c>
      <c r="AG498" s="181">
        <f>COUNTIFS(D:D,"AD",L:L,"1;1",I:I,"S3",F:F,"ATOF")</f>
        <v>0</v>
      </c>
      <c r="AH498" s="181">
        <f>COUNTIFS(D:D,"AD",L:L,"1;1",I:I,"S3",F:F,"ATBK")</f>
        <v>0</v>
      </c>
      <c r="AI498" s="182">
        <f>COUNTIFS(D:D,"AD",L:L,"1;1",I:I,"S3",F:F,"WINSTAN")</f>
        <v>0</v>
      </c>
      <c r="AJ498" s="182">
        <f>COUNTIFS(D:D,"AD",L:L,"1;1",I:I,"S3",F:F,"WINSTANTI")</f>
        <v>0</v>
      </c>
      <c r="AK498" s="181">
        <f>COUNTIFS(D:D,"AD",L:L,"1;1",I:I,"S3",F:F,"ENTRY")</f>
        <v>0</v>
      </c>
      <c r="AL498" s="181">
        <f>COUNTIFS(D:D,"AD",L:L,"1;1",I:I,"S3",F:F,"KEEPOS")</f>
        <v>0</v>
      </c>
      <c r="AM498" s="222">
        <f>COUNTIFS(D:D,"AD",L:L,"1;1",I:I,"S3")</f>
        <v>0</v>
      </c>
      <c r="AN498" s="181">
        <f>COUNTIFS(D:D,"AD",L:L,"1;0",I:I,"S3",F:F,"ATONGOAL")</f>
        <v>0</v>
      </c>
      <c r="AO498" s="182">
        <f>COUNTIFS(D:D,"AD",L:L,"1;0",I:I,"S3",F:F,"ATON")</f>
        <v>0</v>
      </c>
      <c r="AP498" s="182">
        <f>COUNTIFS(D:D,"AD",L:L,"1;0",I:I,"S3",F:F,"ATOF")</f>
        <v>0</v>
      </c>
      <c r="AQ498" s="182">
        <f>COUNTIFS(D:D,"AD",L:L,"1;0",I:I,"S3",F:F,"ATBK")</f>
        <v>0</v>
      </c>
      <c r="AR498" s="182">
        <f>COUNTIFS(D:D,"AD",L:L,"1;0",I:I,"S3",F:F,"WINSTAN")</f>
        <v>0</v>
      </c>
      <c r="AS498" s="182">
        <f>COUNTIFS(D:D,"AD",L:L,"1;0",I:I,"S3",F:F,"WINSTANTI")</f>
        <v>0</v>
      </c>
      <c r="AT498" s="181">
        <f>COUNTIFS(D:D,"AD",L:L,"1;0",I:I,"S3",F:F,"ENTRY")</f>
        <v>0</v>
      </c>
      <c r="AU498" s="181">
        <f>COUNTIFS(D:D,"AD",L:L,"1;0",I:I,"S3",F:F,"KEEPOS")</f>
        <v>0</v>
      </c>
      <c r="AV498" s="171">
        <f>COUNTIFS(D:D,"AD",L:L,"1;0",I:I,"S3")</f>
        <v>0</v>
      </c>
      <c r="AW498" s="181">
        <f>COUNTIFS(D:D,"AD",L:L,"1;-1",I:I,"S3",F:F,"ATONGOAL")</f>
        <v>0</v>
      </c>
      <c r="AX498" s="182">
        <f>COUNTIFS(D:D,"AD",L:L,"1;-1",I:I,"S3",F:F,"ATON")</f>
        <v>0</v>
      </c>
      <c r="AY498" s="182">
        <f>COUNTIFS(D:D,"AD",L:L,"1;-1",I:I,"S3",F:F,"ATOF")</f>
        <v>0</v>
      </c>
      <c r="AZ498" s="182">
        <f>COUNTIFS(D:D,"AD",L:L,"1;-1",I:I,"S3",F:F,"ATBK")</f>
        <v>0</v>
      </c>
      <c r="BA498" s="182">
        <f>COUNTIFS(D:D,"AD",L:L,"1;-1",I:I,"S3",F:F,"WINSTAN")</f>
        <v>0</v>
      </c>
      <c r="BB498" s="182">
        <f>COUNTIFS(D:D,"AD",L:L,"1;-1",I:I,"S3",F:F,"WINSTANTI")</f>
        <v>0</v>
      </c>
      <c r="BC498" s="181">
        <f>COUNTIFS(D:D,"AD",L:L,"1;-1",I:I,"S3",F:F,"ENTRY")</f>
        <v>0</v>
      </c>
      <c r="BD498" s="181">
        <f>COUNTIFS(D:D,"AD",L:L,"1;-1",I:I,"S3",F:F,"KEEPOS")</f>
        <v>0</v>
      </c>
      <c r="BE498" s="168">
        <f>COUNTIFS(D:D,"AD",L:L,"1;-1",I:I,"S3")</f>
        <v>0</v>
      </c>
    </row>
    <row r="499" spans="15:57" ht="15.75">
      <c r="O499" s="91"/>
      <c r="X499" s="115">
        <f t="shared" si="106"/>
        <v>0</v>
      </c>
      <c r="Y499" s="115">
        <f t="shared" si="107"/>
        <v>0</v>
      </c>
      <c r="Z499" s="115" t="e">
        <f t="shared" si="108"/>
        <v>#VALUE!</v>
      </c>
      <c r="AA499" s="115">
        <f t="shared" si="109"/>
        <v>0</v>
      </c>
      <c r="AE499" s="179">
        <f>COUNTIFS(D:D,"DA",L:L,"2;1",I:I,"S3",F:F,"ATONGOAL")</f>
        <v>0</v>
      </c>
      <c r="AF499" s="179">
        <f>COUNTIFS(D:D,"DA",L:L,"2;1",I:I,"S3",F:F,"ATON")</f>
        <v>0</v>
      </c>
      <c r="AG499" s="179">
        <f>COUNTIFS(D:D,"DA",L:L,"2;1",I:I,"S3",F:F,"ATOF")</f>
        <v>0</v>
      </c>
      <c r="AH499" s="179">
        <f>COUNTIFS(D:D,"DA",L:L,"2;1",I:I,"S3",F:F,"ATBK")</f>
        <v>0</v>
      </c>
      <c r="AI499" s="180">
        <f>COUNTIFS(D:D,"DA",L:L,"2;1",I:I,"S3",F:F,"WINSTAN")</f>
        <v>0</v>
      </c>
      <c r="AJ499" s="180">
        <f>COUNTIFS(D:D,"DA",L:L,"2;1",I:I,"S3",F:F,"WINSTANTI")</f>
        <v>0</v>
      </c>
      <c r="AK499" s="179">
        <f>COUNTIFS(D:D,"DA",L:L,"2;1",I:I,"S3",F:F,"ENTRY")</f>
        <v>0</v>
      </c>
      <c r="AL499" s="179">
        <f>COUNTIFS(D:D,"DA",L:L,"2;1",I:I,"S3",F:F,"KEEPOS")</f>
        <v>0</v>
      </c>
      <c r="AM499" s="219">
        <f>COUNTIFS(D:D,"DA",L:L,"2;1",I:I,"S3")</f>
        <v>0</v>
      </c>
      <c r="AN499" s="179">
        <f>COUNTIFS(D:D,"DA",L:L,"2;0",I:I,"S3",F:F,"ATONGOAL")</f>
        <v>0</v>
      </c>
      <c r="AO499" s="180">
        <f>COUNTIFS(D:D,"DA",L:L,"2;0",I:I,"S3",F:F,"ATON")</f>
        <v>0</v>
      </c>
      <c r="AP499" s="180">
        <f>COUNTIFS(D:D,"DA",L:L,"2;0",I:I,"S3",F:F,"ATOF")</f>
        <v>0</v>
      </c>
      <c r="AQ499" s="180">
        <f>COUNTIFS(D:D,"DA",L:L,"2;0",I:I,"S3",F:F,"ATBK")</f>
        <v>0</v>
      </c>
      <c r="AR499" s="180">
        <f>COUNTIFS(D:D,"DA",L:L,"2;0",I:I,"S3",F:F,"WINSTAN")</f>
        <v>0</v>
      </c>
      <c r="AS499" s="180">
        <f>COUNTIFS(D:D,"DA",L:L,"2;0",I:I,"S3",F:F,"WINSTANTI")</f>
        <v>0</v>
      </c>
      <c r="AT499" s="179">
        <f>COUNTIFS(D:D,"DA",L:L,"2;0",I:I,"S3",F:F,"ENTRY")</f>
        <v>0</v>
      </c>
      <c r="AU499" s="179">
        <f>COUNTIFS(D:D,"DA",L:L,"2;0",I:I,"S3",F:F,"KEEPOS")</f>
        <v>0</v>
      </c>
      <c r="AV499" s="170">
        <f>COUNTIFS(D:D,"DA",L:L,"2;0",I:I,"S3")</f>
        <v>0</v>
      </c>
      <c r="AW499" s="179">
        <f>COUNTIFS(D:D,"DA",L:L,"2;-1",I:I,"S3",F:F,"ATONGOAL")</f>
        <v>0</v>
      </c>
      <c r="AX499" s="180">
        <f>COUNTIFS(D:D,"DA",L:L,"2;-1",I:I,"S3",F:F,"ATON")</f>
        <v>0</v>
      </c>
      <c r="AY499" s="180">
        <f>COUNTIFS(D:D,"DA",L:L,"2;-1",I:I,"S3",F:F,"ATOF")</f>
        <v>0</v>
      </c>
      <c r="AZ499" s="180">
        <f>COUNTIFS(D:D,"DA",L:L,"2;-1",I:I,"S3",F:F,"ATBK")</f>
        <v>0</v>
      </c>
      <c r="BA499" s="180">
        <f>COUNTIFS(D:D,"DA",L:L,"2;-1",I:I,"S3",F:F,"WINSTAN")</f>
        <v>0</v>
      </c>
      <c r="BB499" s="180">
        <f>COUNTIFS(D:D,"DA",L:L,"2;-1",I:I,"S3",F:F,"WINSTANTI")</f>
        <v>0</v>
      </c>
      <c r="BC499" s="179">
        <f>COUNTIFS(D:D,"DA",L:L,"2;-1",I:I,"S3",F:F,"ENTRY")</f>
        <v>0</v>
      </c>
      <c r="BD499" s="179">
        <f>COUNTIFS(D:D,"DA",L:L,"2;-1",I:I,"S3",F:F,"KEEPOS")</f>
        <v>0</v>
      </c>
      <c r="BE499" s="167">
        <f>COUNTIFS(D:D,"DA",L:L,"2;-1",I:I,"S3")</f>
        <v>0</v>
      </c>
    </row>
    <row r="500" spans="15:57">
      <c r="O500" s="91"/>
      <c r="X500" s="115">
        <f t="shared" si="106"/>
        <v>0</v>
      </c>
      <c r="Y500" s="115">
        <f t="shared" si="107"/>
        <v>0</v>
      </c>
      <c r="Z500" s="115" t="e">
        <f t="shared" si="108"/>
        <v>#VALUE!</v>
      </c>
      <c r="AA500" s="115">
        <f t="shared" si="109"/>
        <v>0</v>
      </c>
      <c r="AE500" s="181">
        <f>COUNTIFS(D:D,"AD",L:L,"2;1",I:I,"S3",F:F,"ATONGOAL")</f>
        <v>0</v>
      </c>
      <c r="AF500" s="181">
        <f>COUNTIFS(D:D,"AD",L:L,"2;1",I:I,"S3",F:F,"ATON")</f>
        <v>0</v>
      </c>
      <c r="AG500" s="181">
        <f>COUNTIFS(D:D,"AD",L:L,"2;1",I:I,"S3",F:F,"ATOF")</f>
        <v>0</v>
      </c>
      <c r="AH500" s="181">
        <f>COUNTIFS(D:D,"AD",L:L,"2;1",I:I,"S3",F:F,"ATBK")</f>
        <v>0</v>
      </c>
      <c r="AI500" s="182">
        <f>COUNTIFS(D:D,"AD",L:L,"2;1",I:I,"S3",F:F,"WINSTAN")</f>
        <v>0</v>
      </c>
      <c r="AJ500" s="182">
        <f>COUNTIFS(D:D,"AD",L:L,"2;1",I:I,"S3",F:F,"WINSTANTI")</f>
        <v>0</v>
      </c>
      <c r="AK500" s="181">
        <f>COUNTIFS(D:D,"AD",L:L,"2;1",I:I,"S3",F:F,"ENTRY")</f>
        <v>0</v>
      </c>
      <c r="AL500" s="181">
        <f>COUNTIFS(D:D,"AD",L:L,"2;1",I:I,"S3",F:F,"KEEPOS")</f>
        <v>0</v>
      </c>
      <c r="AM500" s="222">
        <f>COUNTIFS(D:D,"AD",L:L,"2;1",I:I,"S3")</f>
        <v>0</v>
      </c>
      <c r="AN500" s="181">
        <f>COUNTIFS(D:D,"AD",L:L,"2;0",I:I,"S3",F:F,"ATONGOAL")</f>
        <v>0</v>
      </c>
      <c r="AO500" s="182">
        <f>COUNTIFS(D:D,"AD",L:L,"2;0",I:I,"S3",F:F,"ATON")</f>
        <v>0</v>
      </c>
      <c r="AP500" s="182">
        <f>COUNTIFS(D:D,"AD",L:L,"2;0",I:I,"S3",F:F,"ATOF")</f>
        <v>0</v>
      </c>
      <c r="AQ500" s="182">
        <f>COUNTIFS(D:D,"AD",L:L,"2;0",I:I,"S3",F:F,"ATBK")</f>
        <v>0</v>
      </c>
      <c r="AR500" s="182">
        <f>COUNTIFS(D:D,"AD",L:L,"2;0",I:I,"S3",F:F,"WINSTAN")</f>
        <v>0</v>
      </c>
      <c r="AS500" s="182">
        <f>COUNTIFS(D:D,"AD",L:L,"2;0",I:I,"S3",F:F,"WINSTANTI")</f>
        <v>0</v>
      </c>
      <c r="AT500" s="181">
        <f>COUNTIFS(D:D,"AD",L:L,"2;0",I:I,"S3",F:F,"ENTRY")</f>
        <v>0</v>
      </c>
      <c r="AU500" s="181">
        <f>COUNTIFS(D:D,"AD",L:L,"2;0",I:I,"S3",F:F,"KEEPOS")</f>
        <v>0</v>
      </c>
      <c r="AV500" s="171">
        <f>COUNTIFS(D:D,"AD",L:L,"2;0",I:I,"S3")</f>
        <v>0</v>
      </c>
      <c r="AW500" s="181">
        <f>COUNTIFS(D:D,"AD",L:L,"2;-1",I:I,"S3",F:F,"ATONGOAL")</f>
        <v>0</v>
      </c>
      <c r="AX500" s="182">
        <f>COUNTIFS(D:D,"AD",L:L,"2;-1",I:I,"S3",F:F,"ATON")</f>
        <v>0</v>
      </c>
      <c r="AY500" s="182">
        <f>COUNTIFS(D:D,"AD",L:L,"2;-1",I:I,"S3",F:F,"ATOF")</f>
        <v>0</v>
      </c>
      <c r="AZ500" s="182">
        <f>COUNTIFS(D:D,"AD",L:L,"2;-1",I:I,"S3",F:F,"ATBK")</f>
        <v>0</v>
      </c>
      <c r="BA500" s="182">
        <f>COUNTIFS(D:D,"AD",L:L,"2;-1",I:I,"S3",F:F,"WINSTAN")</f>
        <v>0</v>
      </c>
      <c r="BB500" s="182">
        <f>COUNTIFS(D:D,"AD",L:L,"2;-1",I:I,"S3",F:F,"WINSTANTI")</f>
        <v>0</v>
      </c>
      <c r="BC500" s="181">
        <f>COUNTIFS(D:D,"AD",L:L,"2;-1",I:I,"S3",F:F,"ENTRY")</f>
        <v>0</v>
      </c>
      <c r="BD500" s="181">
        <f>COUNTIFS(D:D,"AD",L:L,"2;-1",I:I,"S3",F:F,"KEEPOS")</f>
        <v>0</v>
      </c>
      <c r="BE500" s="168">
        <f>COUNTIFS(D:D,"AD",L:L,"2;-1",I:I,"S3")</f>
        <v>0</v>
      </c>
    </row>
    <row r="501" spans="15:57" ht="15.75">
      <c r="O501" s="91"/>
      <c r="X501" s="115">
        <f t="shared" si="106"/>
        <v>0</v>
      </c>
      <c r="Y501" s="115">
        <f t="shared" si="107"/>
        <v>0</v>
      </c>
      <c r="Z501" s="115" t="e">
        <f t="shared" si="108"/>
        <v>#VALUE!</v>
      </c>
      <c r="AA501" s="115">
        <f t="shared" si="109"/>
        <v>0</v>
      </c>
      <c r="AE501" s="179">
        <f>COUNTIFS(D:D,"DA",L:L,"3;1",I:I,"S3",F:F,"ATONGOAL")</f>
        <v>0</v>
      </c>
      <c r="AF501" s="179">
        <f>COUNTIFS(D:D,"DA",L:L,"3;1",I:I,"S3",F:F,"ATON")</f>
        <v>0</v>
      </c>
      <c r="AG501" s="179">
        <f>COUNTIFS(D:D,"DA",L:L,"3;1",I:I,"S3",F:F,"ATOF")</f>
        <v>0</v>
      </c>
      <c r="AH501" s="179">
        <f>COUNTIFS(D:D,"DA",L:L,"3;1",I:I,"S3",F:F,"ATBK")</f>
        <v>0</v>
      </c>
      <c r="AI501" s="180">
        <f>COUNTIFS(D:D,"DA",L:L,"3;1",I:I,"S3",F:F,"WINSTAN")</f>
        <v>0</v>
      </c>
      <c r="AJ501" s="180">
        <f>COUNTIFS(D:D,"DA",L:L,"3;1",I:I,"S3",F:F,"WINSTANTI")</f>
        <v>0</v>
      </c>
      <c r="AK501" s="179">
        <f>COUNTIFS(D:D,"DA",L:L,"3;1",I:I,"S3",F:F,"ENTRY")</f>
        <v>0</v>
      </c>
      <c r="AL501" s="179">
        <f>COUNTIFS(D:D,"DA",L:L,"3;1",I:I,"S3",F:F,"KEEPOS")</f>
        <v>0</v>
      </c>
      <c r="AM501" s="219">
        <f>COUNTIFS(D:D,"DA",L:L,"3;1",I:I,"S3")</f>
        <v>0</v>
      </c>
      <c r="AN501" s="179">
        <f>COUNTIFS(D:D,"DA",L:L,"3;0",I:I,"S3",F:F,"ATONGOAL")</f>
        <v>0</v>
      </c>
      <c r="AO501" s="180">
        <f>COUNTIFS(D:D,"DA",L:L,"3;0",I:I,"S3",F:F,"ATON")</f>
        <v>0</v>
      </c>
      <c r="AP501" s="180">
        <f>COUNTIFS(D:D,"DA",L:L,"3;0",I:I,"S3",F:F,"ATOF")</f>
        <v>0</v>
      </c>
      <c r="AQ501" s="180">
        <f>COUNTIFS(D:D,"DA",L:L,"3;0",I:I,"S3",F:F,"ATBK")</f>
        <v>0</v>
      </c>
      <c r="AR501" s="180">
        <f>COUNTIFS(D:D,"DA",L:L,"3;0",I:I,"S3",F:F,"WINSTAN")</f>
        <v>0</v>
      </c>
      <c r="AS501" s="180">
        <f>COUNTIFS(D:D,"DA",L:L,"3;0",I:I,"S3",F:F,"WINSTANTI")</f>
        <v>0</v>
      </c>
      <c r="AT501" s="179">
        <f>COUNTIFS(D:D,"DA",L:L,"3;0",I:I,"S3",F:F,"ENTRY")</f>
        <v>0</v>
      </c>
      <c r="AU501" s="179">
        <f>COUNTIFS(D:D,"DA",L:L,"3;0",I:I,"S3",F:F,"KEEPOS")</f>
        <v>0</v>
      </c>
      <c r="AV501" s="170">
        <f>COUNTIFS(D:D,"DA",L:L,"3;0",I:I,"S3")</f>
        <v>0</v>
      </c>
      <c r="AW501" s="179">
        <f>COUNTIFS(D:D,"DA",L:L,"3;-1",I:I,"S3",F:F,"ATONGOAL")</f>
        <v>0</v>
      </c>
      <c r="AX501" s="180">
        <f>COUNTIFS(D:D,"DA",L:L,"3;-1",I:I,"S3",F:F,"ATON")</f>
        <v>0</v>
      </c>
      <c r="AY501" s="180">
        <f>COUNTIFS(D:D,"DA",L:L,"3;-1",I:I,"S3",F:F,"ATOF")</f>
        <v>0</v>
      </c>
      <c r="AZ501" s="180">
        <f>COUNTIFS(D:D,"DA",L:L,"3;-1",I:I,"S3",F:F,"ATBK")</f>
        <v>0</v>
      </c>
      <c r="BA501" s="180">
        <f>COUNTIFS(D:D,"DA",L:L,"3;-1",I:I,"S3",F:F,"WINSTAN")</f>
        <v>0</v>
      </c>
      <c r="BB501" s="180">
        <f>COUNTIFS(D:D,"DA",L:L,"3;-1",I:I,"S3",F:F,"WINSTANTI")</f>
        <v>0</v>
      </c>
      <c r="BC501" s="179">
        <f>COUNTIFS(D:D,"DA",L:L,"3;-1",I:I,"S3",F:F,"ENTRY")</f>
        <v>0</v>
      </c>
      <c r="BD501" s="179">
        <f>COUNTIFS(D:D,"DA",L:L,"3;-1",I:I,"S3",F:F,"KEEPOS")</f>
        <v>0</v>
      </c>
      <c r="BE501" s="167">
        <f>COUNTIFS(D:D,"DA",L:L,"3;-1",I:I,"S3")</f>
        <v>0</v>
      </c>
    </row>
    <row r="502" spans="15:57">
      <c r="O502" s="91"/>
      <c r="X502" s="115">
        <f t="shared" si="106"/>
        <v>0</v>
      </c>
      <c r="Y502" s="115">
        <f t="shared" si="107"/>
        <v>0</v>
      </c>
      <c r="Z502" s="115" t="e">
        <f t="shared" si="108"/>
        <v>#VALUE!</v>
      </c>
      <c r="AA502" s="115">
        <f t="shared" si="109"/>
        <v>0</v>
      </c>
      <c r="AE502" s="181">
        <f>COUNTIFS(D:D,"AD",L:L,"3;1",I:I,"S3",F:F,"ATONGOAL")</f>
        <v>0</v>
      </c>
      <c r="AF502" s="181">
        <f>COUNTIFS(D:D,"AD",L:L,"3;1",I:I,"S3",F:F,"ATON")</f>
        <v>0</v>
      </c>
      <c r="AG502" s="181">
        <f>COUNTIFS(D:D,"AD",L:L,"3;1",I:I,"S3",F:F,"ATOF")</f>
        <v>0</v>
      </c>
      <c r="AH502" s="181">
        <f>COUNTIFS(D:D,"AD",L:L,"3;1",I:I,"S3",F:F,"ATBK")</f>
        <v>0</v>
      </c>
      <c r="AI502" s="182">
        <f>COUNTIFS(D:D,"AD",L:L,"3;1",I:I,"S3",F:F,"WINSTAN")</f>
        <v>0</v>
      </c>
      <c r="AJ502" s="182">
        <f>COUNTIFS(D:D,"AD",L:L,"3;1",I:I,"S3",F:F,"WINSTANTI")</f>
        <v>0</v>
      </c>
      <c r="AK502" s="181">
        <f>COUNTIFS(D:D,"AD",L:L,"3;1",I:I,"S3",F:F,"ENTRY")</f>
        <v>0</v>
      </c>
      <c r="AL502" s="181">
        <f>COUNTIFS(D:D,"AD",L:L,"3;1",I:I,"S3",F:F,"KEEPOS")</f>
        <v>0</v>
      </c>
      <c r="AM502" s="222">
        <f>COUNTIFS(D:D,"AD",L:L,"3;1",I:I,"S3")</f>
        <v>0</v>
      </c>
      <c r="AN502" s="181">
        <f>COUNTIFS(D:D,"AD",L:L,"3;0",I:I,"S3",F:F,"ATONGOAL")</f>
        <v>0</v>
      </c>
      <c r="AO502" s="182">
        <f>COUNTIFS(D:D,"AD",L:L,"3;0",I:I,"S3",F:F,"ATON")</f>
        <v>0</v>
      </c>
      <c r="AP502" s="182">
        <f>COUNTIFS(D:D,"AD",L:L,"3;0",I:I,"S3",F:F,"ATOF")</f>
        <v>0</v>
      </c>
      <c r="AQ502" s="182">
        <f>COUNTIFS(D:D,"AD",L:L,"3;0",I:I,"S3",F:F,"ATBK")</f>
        <v>0</v>
      </c>
      <c r="AR502" s="182">
        <f>COUNTIFS(D:D,"AD",L:L,"3;0",I:I,"S3",F:F,"WINSTAN")</f>
        <v>0</v>
      </c>
      <c r="AS502" s="182">
        <f>COUNTIFS(D:D,"AD",L:L,"3;0",I:I,"S3",F:F,"WINSTANTI")</f>
        <v>0</v>
      </c>
      <c r="AT502" s="181">
        <f>COUNTIFS(D:D,"AD",L:L,"3;0",I:I,"S3",F:F,"ENTRY")</f>
        <v>0</v>
      </c>
      <c r="AU502" s="181">
        <f>COUNTIFS(D:D,"AD",L:L,"3;0",I:I,"S3",F:F,"KEEPOS")</f>
        <v>0</v>
      </c>
      <c r="AV502" s="171">
        <f>COUNTIFS(D:D,"AD",L:L,"3;0",I:I,"S3")</f>
        <v>0</v>
      </c>
      <c r="AW502" s="181">
        <f>COUNTIFS(D:D,"AD",L:L,"3;-1",I:I,"S3",F:F,"ATONGOAL")</f>
        <v>0</v>
      </c>
      <c r="AX502" s="182">
        <f>COUNTIFS(D:D,"AD",L:L,"3;-1",I:I,"S3",F:F,"ATON")</f>
        <v>0</v>
      </c>
      <c r="AY502" s="182">
        <f>COUNTIFS(D:D,"AD",L:L,"3;-1",I:I,"S3",F:F,"ATOF")</f>
        <v>0</v>
      </c>
      <c r="AZ502" s="182">
        <f>COUNTIFS(D:D,"AD",L:L,"3;-1",I:I,"S3",F:F,"ATBK")</f>
        <v>0</v>
      </c>
      <c r="BA502" s="182">
        <f>COUNTIFS(D:D,"AD",L:L,"3;-1",I:I,"S3",F:F,"WINSTAN")</f>
        <v>0</v>
      </c>
      <c r="BB502" s="182">
        <f>COUNTIFS(D:D,"AD",L:L,"3;-1",I:I,"S3",F:F,"WINSTANTI")</f>
        <v>0</v>
      </c>
      <c r="BC502" s="181">
        <f>COUNTIFS(D:D,"AD",L:L,"3;-1",I:I,"S3",F:F,"ENTRY")</f>
        <v>0</v>
      </c>
      <c r="BD502" s="181">
        <f>COUNTIFS(D:D,"AD",L:L,"3;-1",I:I,"S3",F:F,"KEEPOS")</f>
        <v>0</v>
      </c>
      <c r="BE502" s="168">
        <f>COUNTIFS(D:D,"AD",L:L,"3;-1",I:I,"S3")</f>
        <v>0</v>
      </c>
    </row>
    <row r="503" spans="15:57" s="115" customFormat="1" ht="15.75">
      <c r="O503" s="91"/>
      <c r="X503" s="115">
        <f t="shared" si="106"/>
        <v>0</v>
      </c>
      <c r="Y503" s="115">
        <f t="shared" si="107"/>
        <v>0</v>
      </c>
      <c r="Z503" s="115" t="e">
        <f t="shared" si="108"/>
        <v>#VALUE!</v>
      </c>
      <c r="AA503" s="115">
        <f t="shared" si="109"/>
        <v>0</v>
      </c>
      <c r="AB503" s="246"/>
      <c r="AE503" s="179">
        <f>COUNTIFS(D:D,"DA",L:L,"4;1",I:I,"S3",F:F,"ATONGOAL")</f>
        <v>0</v>
      </c>
      <c r="AF503" s="179">
        <f>COUNTIFS(D:D,"DA",L:L,"4;1",I:I,"S3",F:F,"ATON")</f>
        <v>0</v>
      </c>
      <c r="AG503" s="179">
        <f>COUNTIFS(D:D,"DA",L:L,"4;1",I:I,"S3",F:F,"ATOF")</f>
        <v>0</v>
      </c>
      <c r="AH503" s="179">
        <f>COUNTIFS(D:D,"DA",L:L,"4;1",I:I,"S3",F:F,"ATBK")</f>
        <v>0</v>
      </c>
      <c r="AI503" s="180">
        <f>COUNTIFS(D:D,"DA",L:L,"4;1",I:I,"S3",F:F,"WINSTAN")</f>
        <v>0</v>
      </c>
      <c r="AJ503" s="180">
        <f>COUNTIFS(D:D,"DA",L:L,"4;1",I:I,"S3",F:F,"WINSTANTI")</f>
        <v>0</v>
      </c>
      <c r="AK503" s="179">
        <f>COUNTIFS(D:D,"DA",L:L,"4;1",I:I,"S3",F:F,"ENTRY")</f>
        <v>0</v>
      </c>
      <c r="AL503" s="179">
        <f>COUNTIFS(D:D,"DA",L:L,"4;1",I:I,"S3",F:F,"KEEPOS")</f>
        <v>0</v>
      </c>
      <c r="AM503" s="219">
        <f>COUNTIFS(D:D,"DA",L:L,"4;1",I:I,"S3")</f>
        <v>0</v>
      </c>
      <c r="AN503" s="179">
        <f>COUNTIFS(D:D,"DA",L:L,"4;0",I:I,"S3",F:F,"ATONGOAL")</f>
        <v>0</v>
      </c>
      <c r="AO503" s="180">
        <f>COUNTIFS(D:D,"DA",L:L,"4;0",I:I,"S3",F:F,"ATON")</f>
        <v>0</v>
      </c>
      <c r="AP503" s="180">
        <f>COUNTIFS(D:D,"DA",L:L,"4;0",I:I,"S3",F:F,"ATOF")</f>
        <v>0</v>
      </c>
      <c r="AQ503" s="180">
        <f>COUNTIFS(D:D,"DA",L:L,"4;0",I:I,"S3",F:F,"ATBK")</f>
        <v>0</v>
      </c>
      <c r="AR503" s="180">
        <f>COUNTIFS(D:D,"DA",L:L,"4;0",I:I,"S3",F:F,"WINSTAN")</f>
        <v>0</v>
      </c>
      <c r="AS503" s="180">
        <f>COUNTIFS(D:D,"DA",L:L,"4;0",I:I,"S3",F:F,"WINSTANTI")</f>
        <v>0</v>
      </c>
      <c r="AT503" s="179">
        <f>COUNTIFS(D:D,"DA",L:L,"4;0",I:I,"S3",F:F,"ENTRY")</f>
        <v>0</v>
      </c>
      <c r="AU503" s="179">
        <f>COUNTIFS(D:D,"DA",L:L,"4;0",I:I,"S3",F:F,"KEEPOS")</f>
        <v>0</v>
      </c>
      <c r="AV503" s="170">
        <f>COUNTIFS(D:D,"DA",L:L,"4;0",I:I,"S3")</f>
        <v>0</v>
      </c>
      <c r="AW503" s="179">
        <f>COUNTIFS(D:D,"DA",L:L,"4;-1",I:I,"S3",F:F,"ATONGOAL")</f>
        <v>0</v>
      </c>
      <c r="AX503" s="180">
        <f>COUNTIFS(D:D,"DA",L:L,"4;-1",I:I,"S3",F:F,"ATON")</f>
        <v>0</v>
      </c>
      <c r="AY503" s="180">
        <f>COUNTIFS(D:D,"DA",L:L,"4;-1",I:I,"S3",F:F,"ATOF")</f>
        <v>0</v>
      </c>
      <c r="AZ503" s="180">
        <f>COUNTIFS(D:D,"DA",L:L,"4;-1",I:I,"S3",F:F,"ATBK")</f>
        <v>0</v>
      </c>
      <c r="BA503" s="180">
        <f>COUNTIFS(D:D,"DA",L:L,"4;-1",I:I,"S3",F:F,"WINSTAN")</f>
        <v>0</v>
      </c>
      <c r="BB503" s="180">
        <f>COUNTIFS(D:D,"DA",L:L,"4;-1",I:I,"S3",F:F,"WINSTANTI")</f>
        <v>0</v>
      </c>
      <c r="BC503" s="179">
        <f>COUNTIFS(D:D,"DA",L:L,"4;-1",I:I,"S3",F:F,"ENTRY")</f>
        <v>0</v>
      </c>
      <c r="BD503" s="179">
        <f>COUNTIFS(D:D,"DA",L:L,"4;-1",I:I,"S3",F:F,"KEEPOS")</f>
        <v>0</v>
      </c>
      <c r="BE503" s="195">
        <f>COUNTIFS(D:D,"DA",L:L,"4;-1",I:I,"S3")</f>
        <v>0</v>
      </c>
    </row>
    <row r="504" spans="15:57" s="115" customFormat="1">
      <c r="O504" s="91"/>
      <c r="X504" s="115">
        <f t="shared" si="106"/>
        <v>0</v>
      </c>
      <c r="Y504" s="115">
        <f t="shared" si="107"/>
        <v>0</v>
      </c>
      <c r="Z504" s="115" t="e">
        <f t="shared" si="108"/>
        <v>#VALUE!</v>
      </c>
      <c r="AA504" s="115">
        <f t="shared" si="109"/>
        <v>0</v>
      </c>
      <c r="AB504" s="246"/>
      <c r="AE504" s="181">
        <f>COUNTIFS(D:D,"AD",L:L,"4;1",I:I,"S3",F:F,"ATONGOAL")</f>
        <v>0</v>
      </c>
      <c r="AF504" s="181">
        <f>COUNTIFS(D:D,"AD",L:L,"4;1",I:I,"S3",F:F,"ATON")</f>
        <v>0</v>
      </c>
      <c r="AG504" s="181">
        <f>COUNTIFS(D:D,"AD",L:L,"4;1",I:I,"S3",F:F,"ATOF")</f>
        <v>0</v>
      </c>
      <c r="AH504" s="181">
        <f>COUNTIFS(D:D,"AD",L:L,"4;1",I:I,"S3",F:F,"ATBK")</f>
        <v>0</v>
      </c>
      <c r="AI504" s="182">
        <f>COUNTIFS(D:D,"AD",L:L,"4;1",I:I,"S3",F:F,"WINSTAN")</f>
        <v>0</v>
      </c>
      <c r="AJ504" s="182">
        <f>COUNTIFS(D:D,"AD",L:L,"4;1",I:I,"S3",F:F,"WINSTANTI")</f>
        <v>0</v>
      </c>
      <c r="AK504" s="181">
        <f>COUNTIFS(D:D,"AD",L:L,"4;1",I:I,"S3",F:F,"ENTRY")</f>
        <v>0</v>
      </c>
      <c r="AL504" s="181">
        <f>COUNTIFS(D:D,"AD",L:L,"4;1",I:I,"S3",F:F,"KEEPOS")</f>
        <v>0</v>
      </c>
      <c r="AM504" s="222">
        <f>COUNTIFS(D:D,"AD",L:L,"4;1",I:I,"S3")</f>
        <v>0</v>
      </c>
      <c r="AN504" s="181">
        <f>COUNTIFS(D:D,"AD",L:L,"4;0",I:I,"S3",F:F,"ATONGOAL")</f>
        <v>0</v>
      </c>
      <c r="AO504" s="182">
        <f>COUNTIFS(D:D,"AD",L:L,"4;0",I:I,"S3",F:F,"ATON")</f>
        <v>0</v>
      </c>
      <c r="AP504" s="182">
        <f>COUNTIFS(D:D,"AD",L:L,"4;0",I:I,"S3",F:F,"ATOF")</f>
        <v>0</v>
      </c>
      <c r="AQ504" s="182">
        <f>COUNTIFS(D:D,"AD",L:L,"4;0",I:I,"S3",F:F,"ATBK")</f>
        <v>0</v>
      </c>
      <c r="AR504" s="182">
        <f>COUNTIFS(D:D,"AD",L:L,"4;0",I:I,"S3",F:F,"WINSTAN")</f>
        <v>0</v>
      </c>
      <c r="AS504" s="182">
        <f>COUNTIFS(D:D,"AD",L:L,"4;0",I:I,"S3",F:F,"WINSTANTI")</f>
        <v>0</v>
      </c>
      <c r="AT504" s="181">
        <f>COUNTIFS(D:D,"AD",L:L,"4;0",I:I,"S3",F:F,"ENTRY")</f>
        <v>0</v>
      </c>
      <c r="AU504" s="181">
        <f>COUNTIFS(D:D,"AD",L:L,"4;0",I:I,"S3",F:F,"KEEPOS")</f>
        <v>0</v>
      </c>
      <c r="AV504" s="171">
        <f>COUNTIFS(D:D,"AD",L:L,"4;0",I:I,"S3")</f>
        <v>0</v>
      </c>
      <c r="AW504" s="181">
        <f>COUNTIFS(D:D,"AD",L:L,"4;-1",I:I,"S3",F:F,"ATONGOAL")</f>
        <v>0</v>
      </c>
      <c r="AX504" s="182">
        <f>COUNTIFS(D:D,"AD",L:L,"4;-1",I:I,"S3",F:F,"ATON")</f>
        <v>0</v>
      </c>
      <c r="AY504" s="182">
        <f>COUNTIFS(D:D,"AD",L:L,"4;-1",I:I,"S3",F:F,"ATOF")</f>
        <v>0</v>
      </c>
      <c r="AZ504" s="182">
        <f>COUNTIFS(D:D,"AD",L:L,"4;-1",I:I,"S3",F:F,"ATBK")</f>
        <v>0</v>
      </c>
      <c r="BA504" s="182">
        <f>COUNTIFS(D:D,"AD",L:L,"4;-1",I:I,"S3",F:F,"WINSTAN")</f>
        <v>0</v>
      </c>
      <c r="BB504" s="182">
        <f>COUNTIFS(D:D,"AD",L:L,"4;-1",I:I,"S3",F:F,"WINSTANTI")</f>
        <v>0</v>
      </c>
      <c r="BC504" s="181">
        <f>COUNTIFS(D:D,"AD",L:L,"4;-1",I:I,"S3",F:F,"ENTRY")</f>
        <v>0</v>
      </c>
      <c r="BD504" s="181">
        <f>COUNTIFS(D:D,"AD",L:L,"4;-1",I:I,"S3",F:F,"KEEPOS")</f>
        <v>0</v>
      </c>
      <c r="BE504" s="196">
        <f>COUNTIFS(D:D,"AD",L:L,"4;-1",I:I,"S3")</f>
        <v>0</v>
      </c>
    </row>
    <row r="505" spans="15:57" s="115" customFormat="1" ht="15.75">
      <c r="O505" s="91"/>
      <c r="X505" s="115">
        <f t="shared" si="106"/>
        <v>0</v>
      </c>
      <c r="Y505" s="115">
        <f t="shared" si="107"/>
        <v>0</v>
      </c>
      <c r="Z505" s="115" t="e">
        <f t="shared" si="108"/>
        <v>#VALUE!</v>
      </c>
      <c r="AA505" s="115">
        <f t="shared" si="109"/>
        <v>0</v>
      </c>
      <c r="AB505" s="246"/>
      <c r="AE505" s="179">
        <f>COUNTIFS(D:D,"DA",L:L,"5;1",I:I,"S3",F:F,"ATONGOAL")+AE503</f>
        <v>0</v>
      </c>
      <c r="AF505" s="179">
        <f>COUNTIFS(D:D,"DA",L:L,"5;1",I:I,"S3",F:F,"ATON")+AF503</f>
        <v>0</v>
      </c>
      <c r="AG505" s="179">
        <f>COUNTIFS(D:D,"DA",L:L,"5;1",I:I,"S3",F:F,"ATOF")+AG503</f>
        <v>0</v>
      </c>
      <c r="AH505" s="179">
        <f>COUNTIFS(D:D,"DA",L:L,"5;1",I:I,"S3",F:F,"ATBK")+AH503</f>
        <v>0</v>
      </c>
      <c r="AI505" s="180">
        <f>COUNTIFS(D:D,"DA",L:L,"5;1",I:I,"S3",F:F,"WINSTAN")+AI503</f>
        <v>0</v>
      </c>
      <c r="AJ505" s="180">
        <f>COUNTIFS(D:D,"DA",L:L,"5;1",I:I,"S3",F:F,"WINSTANTI")+AJ503</f>
        <v>0</v>
      </c>
      <c r="AK505" s="179">
        <f>COUNTIFS(D:D,"DA",L:L,"5;1",I:I,"S3",F:F,"ENTRY")+AK503</f>
        <v>0</v>
      </c>
      <c r="AL505" s="179">
        <f>COUNTIFS(D:D,"DA",L:L,"5;1",I:I,"S3",F:F,"KEEPOS")+AL503</f>
        <v>0</v>
      </c>
      <c r="AM505" s="219">
        <f>COUNTIFS(D:D,"DA",L:L,"5;1",I:I,"S3")+AM503</f>
        <v>0</v>
      </c>
      <c r="AN505" s="179">
        <f>COUNTIFS(D:D,"DA",L:L,"5;0",I:I,"S3",F:F,"ATONGOAL")</f>
        <v>0</v>
      </c>
      <c r="AO505" s="180">
        <f>COUNTIFS(D:D,"DA",L:L,"5;0",I:I,"S3",F:F,"ATON")</f>
        <v>0</v>
      </c>
      <c r="AP505" s="180">
        <f>COUNTIFS(D:D,"DA",L:L,"5;0",I:I,"S3",F:F,"ATOF")</f>
        <v>0</v>
      </c>
      <c r="AQ505" s="180">
        <f>COUNTIFS(D:D,"DA",L:L,"5;0",I:I,"S3",F:F,"ATBK")</f>
        <v>0</v>
      </c>
      <c r="AR505" s="180">
        <f>COUNTIFS(D:D,"DA",L:L,"5;0",I:I,"S3",F:F,"WINSTAN")</f>
        <v>0</v>
      </c>
      <c r="AS505" s="180">
        <f>COUNTIFS(D:D,"DA",L:L,"5;0",I:I,"S3",F:F,"WINSTANTI")</f>
        <v>0</v>
      </c>
      <c r="AT505" s="179">
        <f>COUNTIFS(D:D,"DA",L:L,"5;0",I:I,"S3",F:F,"ENTRY")</f>
        <v>0</v>
      </c>
      <c r="AU505" s="179">
        <f>COUNTIFS(D:D,"DA",L:L,"5;0",I:I,"S3",F:F,"KEEPOS")</f>
        <v>0</v>
      </c>
      <c r="AV505" s="170">
        <f>COUNTIFS(D:D,"DA",L:L,"5;0",I:I,"S3")</f>
        <v>0</v>
      </c>
      <c r="AW505" s="179">
        <f>COUNTIFS(D:D,"DA",L:L,"5;-1",I:I,"S3",F:F,"ATONGOAL")+AW503</f>
        <v>0</v>
      </c>
      <c r="AX505" s="180">
        <f>COUNTIFS(D:D,"DA",L:L,"5;-1",I:I,"S3",F:F,"ATON")+AX503</f>
        <v>0</v>
      </c>
      <c r="AY505" s="180">
        <f>COUNTIFS(D:D,"DA",L:L,"5;-1",I:I,"S3",F:F,"ATOF")+AY503</f>
        <v>0</v>
      </c>
      <c r="AZ505" s="180">
        <f>COUNTIFS(D:D,"DA",L:L,"5;-1",I:I,"S3",F:F,"ATBK")+AZ503</f>
        <v>0</v>
      </c>
      <c r="BA505" s="180">
        <f>COUNTIFS(D:D,"DA",L:L,"5;-1",I:I,"S3",F:F,"WINSTAN")+BA503</f>
        <v>0</v>
      </c>
      <c r="BB505" s="180">
        <f>COUNTIFS(D:D,"DA",L:L,"5;-1",I:I,"S3",F:F,"WINSTANTI")+BB503</f>
        <v>0</v>
      </c>
      <c r="BC505" s="179">
        <f>COUNTIFS(D:D,"DA",L:L,"5;-1",I:I,"S3",F:F,"ENTRY")+BC503</f>
        <v>0</v>
      </c>
      <c r="BD505" s="179">
        <f>COUNTIFS(D:D,"DA",L:L,"5;-1",I:I,"S3",F:F,"KEEPOS")+BD503</f>
        <v>0</v>
      </c>
      <c r="BE505" s="195">
        <f>COUNTIFS(D:D,"DA",L:L,"5;-1",I:I,"S3")+BE503</f>
        <v>0</v>
      </c>
    </row>
    <row r="506" spans="15:57" s="115" customFormat="1">
      <c r="O506" s="91"/>
      <c r="X506" s="115">
        <f t="shared" si="106"/>
        <v>0</v>
      </c>
      <c r="Y506" s="115">
        <f t="shared" si="107"/>
        <v>0</v>
      </c>
      <c r="Z506" s="115" t="e">
        <f t="shared" si="108"/>
        <v>#VALUE!</v>
      </c>
      <c r="AA506" s="115">
        <f t="shared" si="109"/>
        <v>0</v>
      </c>
      <c r="AB506" s="246"/>
      <c r="AE506" s="181">
        <f>COUNTIFS(D:D,"AD",L:L,"5;1",I:I,"S3",F:F,"ATONGOAL")+AE504</f>
        <v>0</v>
      </c>
      <c r="AF506" s="181">
        <f>COUNTIFS(D:D,"AD",L:L,"5;1",I:I,"S3",F:F,"ATON")+AF504</f>
        <v>0</v>
      </c>
      <c r="AG506" s="181">
        <f>COUNTIFS(D:D,"AD",L:L,"5;1",I:I,"S3",F:F,"ATOF")+AG504</f>
        <v>0</v>
      </c>
      <c r="AH506" s="181">
        <f>COUNTIFS(D:D,"AD",L:L,"5;1",I:I,"S3",F:F,"ATBK")+AH504</f>
        <v>0</v>
      </c>
      <c r="AI506" s="182">
        <f>COUNTIFS(D:D,"AD",L:L,"5;1",I:I,"S3",F:F,"WINSTAN")+AI504</f>
        <v>0</v>
      </c>
      <c r="AJ506" s="182">
        <f>COUNTIFS(D:D,"AD",L:L,"5;1",I:I,"S3",F:F,"WINSTANTI")+AJ504</f>
        <v>0</v>
      </c>
      <c r="AK506" s="181">
        <f>COUNTIFS(D:D,"AD",L:L,"5;1",I:I,"S3",F:F,"ENTRY")+AK504</f>
        <v>0</v>
      </c>
      <c r="AL506" s="181">
        <f>COUNTIFS(D:D,"AD",L:L,"5;1",I:I,"S3",F:F,"KEEPOS")+AL504</f>
        <v>0</v>
      </c>
      <c r="AM506" s="222">
        <f>COUNTIFS(D:D,"AD",L:L,"5;1",I:I,"S3")+AM504</f>
        <v>0</v>
      </c>
      <c r="AN506" s="181">
        <f>COUNTIFS(D:D,"AD",L:L,"5;0",I:I,"S3",F:F,"ATONGOAL")</f>
        <v>0</v>
      </c>
      <c r="AO506" s="182">
        <f>COUNTIFS(D:D,"AD",L:L,"5;0",I:I,"S3",F:F,"ATON")</f>
        <v>0</v>
      </c>
      <c r="AP506" s="182">
        <f>COUNTIFS(D:D,"AD",L:L,"5;0",I:I,"S3",F:F,"ATOF")</f>
        <v>0</v>
      </c>
      <c r="AQ506" s="182">
        <f>COUNTIFS(D:D,"AD",L:L,"5;0",I:I,"S3",F:F,"ATBK")</f>
        <v>0</v>
      </c>
      <c r="AR506" s="182">
        <f>COUNTIFS(D:D,"AD",L:L,"5;0",I:I,"S3",F:F,"WINSTAN")</f>
        <v>0</v>
      </c>
      <c r="AS506" s="182">
        <f>COUNTIFS(D:D,"AD",L:L,"5;0",I:I,"S3",F:F,"WINSTANTI")</f>
        <v>0</v>
      </c>
      <c r="AT506" s="181">
        <f>COUNTIFS(D:D,"AD",L:L,"5;0",I:I,"S3",F:F,"ENTRY")</f>
        <v>0</v>
      </c>
      <c r="AU506" s="181">
        <f>COUNTIFS(D:D,"AD",L:L,"5;0",I:I,"S3",F:F,"KEEPOS")</f>
        <v>0</v>
      </c>
      <c r="AV506" s="171">
        <f>COUNTIFS(D:D,"AD",L:L,"5;0",I:I,"S3")</f>
        <v>0</v>
      </c>
      <c r="AW506" s="181">
        <f>COUNTIFS(D:D,"AD",L:L,"5;-1",I:I,"S3",F:F,"ATONGOAL")+AW504</f>
        <v>0</v>
      </c>
      <c r="AX506" s="182">
        <f>COUNTIFS(D:D,"AD",L:L,"5;-1",I:I,"S3",F:F,"ATON")+AX504</f>
        <v>0</v>
      </c>
      <c r="AY506" s="182">
        <f>COUNTIFS(D:D,"AD",L:L,"5;-1",I:I,"S3",F:F,"ATOF")+AY504</f>
        <v>0</v>
      </c>
      <c r="AZ506" s="182">
        <f>COUNTIFS(D:D,"AD",L:L,"5;-1",I:I,"S3",F:F,"ATBK")+AZ504</f>
        <v>0</v>
      </c>
      <c r="BA506" s="182">
        <f>COUNTIFS(D:D,"AD",L:L,"5;-1",I:I,"S3",F:F,"WINSTAN")+BA504</f>
        <v>0</v>
      </c>
      <c r="BB506" s="182">
        <f>COUNTIFS(D:D,"AD",L:L,"5;-1",I:I,"S3",F:F,"WINSTANTI")+BB504</f>
        <v>0</v>
      </c>
      <c r="BC506" s="181">
        <f>COUNTIFS(D:D,"AD",L:L,"5;-1",I:I,"S3",F:F,"ENTRY")+BC504</f>
        <v>0</v>
      </c>
      <c r="BD506" s="181">
        <f>COUNTIFS(D:D,"AD",L:L,"5;-1",I:I,"S3",F:F,"KEEPOS")+BD504</f>
        <v>0</v>
      </c>
      <c r="BE506" s="196">
        <f>COUNTIFS(D:D,"AD",L:L,"5;-1",I:I,"S3")+BE504</f>
        <v>0</v>
      </c>
    </row>
    <row r="507" spans="15:57">
      <c r="O507" s="91"/>
      <c r="X507" s="115">
        <f t="shared" si="106"/>
        <v>0</v>
      </c>
      <c r="Y507" s="115">
        <f t="shared" si="107"/>
        <v>0</v>
      </c>
      <c r="Z507" s="115" t="e">
        <f t="shared" si="108"/>
        <v>#VALUE!</v>
      </c>
      <c r="AA507" s="115">
        <f t="shared" si="109"/>
        <v>0</v>
      </c>
      <c r="AE507" s="115"/>
      <c r="AF507" s="115"/>
      <c r="AG507" s="115"/>
      <c r="AH507" s="115"/>
      <c r="AI507" s="115"/>
      <c r="AJ507" s="115"/>
      <c r="AK507" s="221" t="s">
        <v>221</v>
      </c>
      <c r="AL507" s="221"/>
      <c r="AM507" s="115"/>
      <c r="AN507" s="115"/>
      <c r="AO507" s="115"/>
      <c r="AP507" s="115"/>
      <c r="AQ507" s="115"/>
      <c r="AS507" s="115"/>
      <c r="AT507" s="115"/>
      <c r="AU507" s="115"/>
      <c r="AV507" s="115"/>
      <c r="AW507" s="115"/>
      <c r="AX507" s="115"/>
      <c r="AY507" s="115"/>
    </row>
    <row r="508" spans="15:57">
      <c r="O508" s="91"/>
      <c r="X508" s="115">
        <f t="shared" si="106"/>
        <v>0</v>
      </c>
      <c r="Y508" s="115">
        <f t="shared" si="107"/>
        <v>0</v>
      </c>
      <c r="Z508" s="115" t="e">
        <f t="shared" si="108"/>
        <v>#VALUE!</v>
      </c>
      <c r="AA508" s="115">
        <f t="shared" si="109"/>
        <v>0</v>
      </c>
      <c r="AR508"/>
      <c r="AU508" s="115"/>
    </row>
    <row r="509" spans="15:57">
      <c r="O509" s="91"/>
      <c r="X509" s="115">
        <f t="shared" si="106"/>
        <v>0</v>
      </c>
      <c r="Y509" s="115">
        <f t="shared" si="107"/>
        <v>0</v>
      </c>
      <c r="Z509" s="115" t="e">
        <f t="shared" si="108"/>
        <v>#VALUE!</v>
      </c>
      <c r="AA509" s="115">
        <f t="shared" si="109"/>
        <v>0</v>
      </c>
      <c r="AR509"/>
    </row>
    <row r="510" spans="15:57">
      <c r="O510" s="91"/>
      <c r="X510" s="115">
        <f t="shared" si="106"/>
        <v>0</v>
      </c>
      <c r="Y510" s="115">
        <f t="shared" si="107"/>
        <v>0</v>
      </c>
      <c r="Z510" s="115" t="e">
        <f t="shared" si="108"/>
        <v>#VALUE!</v>
      </c>
      <c r="AA510" s="115">
        <f t="shared" si="109"/>
        <v>0</v>
      </c>
      <c r="AE510" s="115"/>
      <c r="AF510" s="115"/>
      <c r="AG510" s="115"/>
      <c r="AH510" s="115"/>
      <c r="AI510" s="115"/>
      <c r="AJ510" s="115"/>
      <c r="AK510" s="367" t="s">
        <v>719</v>
      </c>
      <c r="AL510" s="217"/>
      <c r="AM510" s="115"/>
      <c r="AN510" s="115"/>
      <c r="AO510" s="115"/>
      <c r="AP510" s="115"/>
      <c r="AQ510" s="115"/>
      <c r="AS510" s="115"/>
      <c r="AT510" s="115"/>
      <c r="AU510" s="115"/>
      <c r="AV510" s="115"/>
      <c r="AW510" s="115"/>
      <c r="AX510" s="115"/>
      <c r="AY510" s="115"/>
      <c r="AZ510" s="115"/>
      <c r="BA510" s="115"/>
      <c r="BB510" s="115"/>
      <c r="BC510" s="115"/>
      <c r="BD510" s="115"/>
      <c r="BE510" s="115"/>
    </row>
    <row r="511" spans="15:57">
      <c r="O511" s="91"/>
      <c r="X511" s="115">
        <f t="shared" si="106"/>
        <v>0</v>
      </c>
      <c r="Y511" s="115">
        <f t="shared" si="107"/>
        <v>0</v>
      </c>
      <c r="Z511" s="115" t="e">
        <f t="shared" si="108"/>
        <v>#VALUE!</v>
      </c>
      <c r="AA511" s="115">
        <f t="shared" si="109"/>
        <v>0</v>
      </c>
      <c r="AE511" s="115"/>
      <c r="AF511" s="115"/>
      <c r="AG511" s="115"/>
      <c r="AH511" s="115"/>
      <c r="AI511" s="115"/>
      <c r="AJ511" s="115"/>
      <c r="AK511" s="218" t="s">
        <v>220</v>
      </c>
      <c r="AL511" s="218"/>
      <c r="AM511" s="115"/>
      <c r="AN511" s="115"/>
      <c r="AO511" s="115"/>
      <c r="AP511" s="115"/>
      <c r="AQ511" s="115"/>
      <c r="AS511" s="115"/>
      <c r="AT511" s="115"/>
      <c r="AU511" s="115"/>
      <c r="AV511" s="115"/>
      <c r="AW511" s="115"/>
      <c r="AX511" s="115"/>
      <c r="AY511" s="115"/>
      <c r="AZ511" s="115"/>
      <c r="BA511" s="115"/>
      <c r="BB511" s="115"/>
      <c r="BC511" s="115"/>
      <c r="BD511" s="115"/>
      <c r="BE511" s="115"/>
    </row>
    <row r="512" spans="15:57">
      <c r="O512" s="91"/>
      <c r="X512" s="115">
        <f t="shared" si="106"/>
        <v>0</v>
      </c>
      <c r="Y512" s="115">
        <f t="shared" si="107"/>
        <v>0</v>
      </c>
      <c r="Z512" s="115" t="e">
        <f t="shared" si="108"/>
        <v>#VALUE!</v>
      </c>
      <c r="AA512" s="115">
        <f t="shared" si="109"/>
        <v>0</v>
      </c>
      <c r="AE512" s="115" t="s">
        <v>311</v>
      </c>
      <c r="AF512" s="115" t="s">
        <v>9</v>
      </c>
      <c r="AG512" s="115" t="s">
        <v>8</v>
      </c>
      <c r="AH512" s="115" t="s">
        <v>19</v>
      </c>
      <c r="AI512" s="115" t="s">
        <v>7</v>
      </c>
      <c r="AJ512" s="115" t="s">
        <v>163</v>
      </c>
      <c r="AK512" s="115" t="s">
        <v>310</v>
      </c>
      <c r="AL512" s="115" t="s">
        <v>156</v>
      </c>
      <c r="AM512" s="115" t="s">
        <v>45</v>
      </c>
      <c r="AN512" s="115" t="s">
        <v>311</v>
      </c>
      <c r="AO512" s="115" t="s">
        <v>9</v>
      </c>
      <c r="AP512" s="115" t="s">
        <v>8</v>
      </c>
      <c r="AQ512" s="115" t="s">
        <v>19</v>
      </c>
      <c r="AR512" s="115" t="s">
        <v>7</v>
      </c>
      <c r="AS512" s="115" t="s">
        <v>163</v>
      </c>
      <c r="AT512" s="115" t="s">
        <v>310</v>
      </c>
      <c r="AU512" s="115" t="s">
        <v>156</v>
      </c>
      <c r="AV512" s="115" t="s">
        <v>45</v>
      </c>
      <c r="AW512" s="115" t="s">
        <v>311</v>
      </c>
      <c r="AX512" s="115" t="s">
        <v>9</v>
      </c>
      <c r="AY512" s="115" t="s">
        <v>8</v>
      </c>
      <c r="AZ512" s="115" t="s">
        <v>19</v>
      </c>
      <c r="BA512" s="115" t="s">
        <v>7</v>
      </c>
      <c r="BB512" s="115" t="s">
        <v>163</v>
      </c>
      <c r="BC512" s="115" t="s">
        <v>310</v>
      </c>
      <c r="BD512" s="115" t="s">
        <v>156</v>
      </c>
      <c r="BE512" s="115" t="s">
        <v>45</v>
      </c>
    </row>
    <row r="513" spans="15:57" ht="15.75">
      <c r="O513" s="91"/>
      <c r="X513" s="115">
        <f t="shared" si="106"/>
        <v>0</v>
      </c>
      <c r="Y513" s="115">
        <f t="shared" si="107"/>
        <v>0</v>
      </c>
      <c r="Z513" s="115" t="e">
        <f t="shared" si="108"/>
        <v>#VALUE!</v>
      </c>
      <c r="AA513" s="115">
        <f t="shared" si="109"/>
        <v>0</v>
      </c>
      <c r="AE513" s="179">
        <f>COUNTIFS(D:D,"DA",L:L,"-2;1",I:I,"S2",F:F,"ATONGOAL")+AE515</f>
        <v>0</v>
      </c>
      <c r="AF513" s="179">
        <f>COUNTIFS(D:D,"DA",L:L,"-2;1",I:I,"S2",F:F,"ATON")+AF515</f>
        <v>0</v>
      </c>
      <c r="AG513" s="179">
        <f>COUNTIFS(D:D,"DA",L:L,"-2;1",I:I,"S2",F:F,"ATOF")+AG515</f>
        <v>0</v>
      </c>
      <c r="AH513" s="179">
        <f>COUNTIFS(D:D,"DA",L:L,"-2;1",I:I,"S2",F:F,"ATBK")+AH515</f>
        <v>0</v>
      </c>
      <c r="AI513" s="180">
        <f>COUNTIFS(D:D,"DA",L:L,"-2;1",I:I,"S2",F:F,"WINSTAN")+AI515</f>
        <v>0</v>
      </c>
      <c r="AJ513" s="180">
        <f>COUNTIFS(D:D,"DA",L:L,"-2;1",I:I,"S2",F:F,"WINSTANTI")+AJ515</f>
        <v>0</v>
      </c>
      <c r="AK513" s="179">
        <f>COUNTIFS(D:D,"DA",L:L,"-2;1",I:I,"S2",F:F,"ENTRY")+AK515</f>
        <v>0</v>
      </c>
      <c r="AL513" s="179">
        <f>COUNTIFS(D:D,"DA",L:L,"-2;1",I:I,"S2",F:F,"KEEPOS")+AL515</f>
        <v>0</v>
      </c>
      <c r="AM513" s="219">
        <f>COUNTIFS(D:D,"DA",L:L,"-2;1",I:I,"S2")+AM515</f>
        <v>0</v>
      </c>
      <c r="AN513" s="179">
        <f>COUNTIFS(D:D,"DA",L:L,"-2;0",I:I,"S2",F:F,"ATONGOAL")</f>
        <v>0</v>
      </c>
      <c r="AO513" s="180">
        <f>COUNTIFS(D:D,"DA",L:L,"-2;0",I:I,"S2",F:F,"ATON")</f>
        <v>0</v>
      </c>
      <c r="AP513" s="180">
        <f>COUNTIFS(D:D,"DA",L:L,"-2;0",I:I,"S2",F:F,"ATOF")</f>
        <v>0</v>
      </c>
      <c r="AQ513" s="180">
        <f>COUNTIFS(D:D,"DA",L:L,"-2;0",I:I,"S2",F:F,"ATBK")</f>
        <v>0</v>
      </c>
      <c r="AR513" s="180">
        <f>COUNTIFS(D:D,"DA",L:L,"-2;0",I:I,"S2",F:F,"WINSTAN")</f>
        <v>0</v>
      </c>
      <c r="AS513" s="180">
        <f>COUNTIFS(D:D,"DA",L:L,"-2;0",I:I,"S2",F:F,"WINSTANTI")</f>
        <v>0</v>
      </c>
      <c r="AT513" s="179">
        <f>COUNTIFS(D:D,"DA",L:L,"-2;0",I:I,"S2",F:F,"ENTRY")</f>
        <v>0</v>
      </c>
      <c r="AU513" s="179">
        <f>COUNTIFS(D:D,"DA",L:L,"-2;0",I:I,"S2",F:F,"KEEPOS")</f>
        <v>0</v>
      </c>
      <c r="AV513" s="170">
        <f>COUNTIFS(D:D,"DA",L:L,"-2;0",I:I,"S2")</f>
        <v>0</v>
      </c>
      <c r="AW513" s="179">
        <f>COUNTIFS(D:D,"DA",L:L,"-2;-1",I:I,"S2",F:F,"ATONGOAL")+AW515</f>
        <v>0</v>
      </c>
      <c r="AX513" s="180">
        <f>COUNTIFS(D:D,"DA",L:L,"-2;-1",I:I,"S2",F:F,"ATON")+AX515</f>
        <v>0</v>
      </c>
      <c r="AY513" s="180">
        <f>COUNTIFS(D:D,"DA",L:L,"-2;-1",I:I,"S2",F:F,"ATOF")+AY515</f>
        <v>0</v>
      </c>
      <c r="AZ513" s="180">
        <f>COUNTIFS(D:D,"DA",L:L,"-2;-1",I:I,"S2",F:F,"ATBK")+AZ515</f>
        <v>0</v>
      </c>
      <c r="BA513" s="180">
        <f>COUNTIFS(D:D,"DA",L:L,"-2;-1",I:I,"S2",F:F,"WINSTAN")+BA515</f>
        <v>0</v>
      </c>
      <c r="BB513" s="180">
        <f>COUNTIFS(D:D,"DA",L:L,"-2;-1",I:I,"S2",F:F,"WINSTANTI")+BB515</f>
        <v>0</v>
      </c>
      <c r="BC513" s="179">
        <f>COUNTIFS(D:D,"DA",L:L,"-2;-1",I:I,"S2",F:F,"ENTRY")+BC515</f>
        <v>0</v>
      </c>
      <c r="BD513" s="179">
        <f>COUNTIFS(D:D,"DA",L:L,"-2;-1",I:I,"S2",F:F,"KEEPOS")+BD515</f>
        <v>0</v>
      </c>
      <c r="BE513" s="220">
        <f>COUNTIFS(D:D,"DA",L:L,"-2;-1",I:I,"S2")+BE515</f>
        <v>0</v>
      </c>
    </row>
    <row r="514" spans="15:57">
      <c r="O514" s="91"/>
      <c r="X514" s="115">
        <f t="shared" si="106"/>
        <v>0</v>
      </c>
      <c r="Y514" s="115">
        <f t="shared" si="107"/>
        <v>0</v>
      </c>
      <c r="Z514" s="115" t="e">
        <f t="shared" si="108"/>
        <v>#VALUE!</v>
      </c>
      <c r="AA514" s="115">
        <f t="shared" si="109"/>
        <v>0</v>
      </c>
      <c r="AE514" s="181">
        <f>COUNTIFS(D:D,"AD",L:L,"-2;1",I:I,"S2",F:F,"ATONGOAL")+AE516</f>
        <v>0</v>
      </c>
      <c r="AF514" s="181">
        <f>COUNTIFS(D:D,"AD",L:L,"-2;1",I:I,"S2",F:F,"ATON")+AF516</f>
        <v>0</v>
      </c>
      <c r="AG514" s="181">
        <f>COUNTIFS(D:D,"AD",L:L,"-2;1",I:I,"S2",F:F,"ATOF")+AG516</f>
        <v>0</v>
      </c>
      <c r="AH514" s="181">
        <f>COUNTIFS(D:D,"AD",L:L,"-2;1",I:I,"S2",F:F,"ATBK")+AH516</f>
        <v>0</v>
      </c>
      <c r="AI514" s="182">
        <f>COUNTIFS(D:D,"AD",L:L,"-2;1",I:I,"S2",F:F,"WINSTAN")+AI516</f>
        <v>0</v>
      </c>
      <c r="AJ514" s="182">
        <f>COUNTIFS(D:D,"AD",L:L,"-2;1",I:I,"S2",F:F,"WINSTANTI")+AJ516</f>
        <v>0</v>
      </c>
      <c r="AK514" s="181">
        <f>COUNTIFS(D:D,"AD",L:L,"-2;1",I:I,"S2",F:F,"ENTRY")+AK516</f>
        <v>0</v>
      </c>
      <c r="AL514" s="181">
        <f>COUNTIFS(D:D,"AD",L:L,"-2;1",I:I,"S2",F:F,"KEEPOSL")+AL516</f>
        <v>0</v>
      </c>
      <c r="AM514" s="222">
        <f>COUNTIFS(D:D,"AD",L:L,"-2;1",I:I,"S2")+AM516</f>
        <v>0</v>
      </c>
      <c r="AN514" s="181">
        <f>COUNTIFS(D:D,"AD",L:L,"-2;0",I:I,"S2",F:F,"ATONGOAL")</f>
        <v>0</v>
      </c>
      <c r="AO514" s="182">
        <f>COUNTIFS(D:D,"AD",L:L,"-2;0",I:I,"S2",F:F,"ATON")</f>
        <v>0</v>
      </c>
      <c r="AP514" s="182">
        <f>COUNTIFS(D:D,"AD",L:L,"-2;0",I:I,"S2",F:F,"ATOF")</f>
        <v>0</v>
      </c>
      <c r="AQ514" s="182">
        <f>COUNTIFS(D:D,"AD",L:L,"-2;0",I:I,"S2",F:F,"ATBK")</f>
        <v>0</v>
      </c>
      <c r="AR514" s="182">
        <f>COUNTIFS(D:D,"AD",L:L,"-2;0",I:I,"S2",F:F,"WINSTAN")</f>
        <v>0</v>
      </c>
      <c r="AS514" s="182">
        <f>COUNTIFS(D:D,"AD",L:L,"-2;0",I:I,"S2",F:F,"WINSTANTI")</f>
        <v>0</v>
      </c>
      <c r="AT514" s="181">
        <f>COUNTIFS(D:D,"AD",L:L,"-2;0",I:I,"S2",F:F,"ENTRY")</f>
        <v>0</v>
      </c>
      <c r="AU514" s="181">
        <f>COUNTIFS(D:D,"AD",L:L,"-2;0",I:I,"S2",F:F,"KEEPOS")</f>
        <v>0</v>
      </c>
      <c r="AV514" s="171">
        <f>COUNTIFS(D:D,"AD",L:L,"-2;0",I:I,"S2")</f>
        <v>0</v>
      </c>
      <c r="AW514" s="181">
        <f>COUNTIFS(D:D,"AD",L:L,"-2;-1",I:I,"S2",F:F,"ATONGOAL")+AW516</f>
        <v>0</v>
      </c>
      <c r="AX514" s="182">
        <f>COUNTIFS(D:D,"AD",L:L,"-2;-1",I:I,"S2",F:F,"ATON")+AX516</f>
        <v>0</v>
      </c>
      <c r="AY514" s="182">
        <f>COUNTIFS(D:D,"AD",L:L,"-2;-1",I:I,"S2",F:F,"ATOF")+AY516</f>
        <v>0</v>
      </c>
      <c r="AZ514" s="182">
        <f>COUNTIFS(D:D,"AD",L:L,"-2;-1",I:I,"S2",F:F,"ATBK")+AZ516</f>
        <v>0</v>
      </c>
      <c r="BA514" s="182">
        <f>COUNTIFS(D:D,"AD",L:L,"-2;-1",I:I,"S2",F:F,"WINSTAN")+BA516</f>
        <v>0</v>
      </c>
      <c r="BB514" s="182">
        <f>COUNTIFS(D:D,"AD",L:L,"-2;-1",I:I,"S2",F:F,"WINSTANTI")+BB516</f>
        <v>0</v>
      </c>
      <c r="BC514" s="181">
        <f>COUNTIFS(D:D,"AD",L:L,"-2;-1",I:I,"S2",F:F,"ENTRY")+BC516</f>
        <v>0</v>
      </c>
      <c r="BD514" s="181">
        <f>COUNTIFS(D:D,"AD",L:L,"-2;-1",I:I,"S2",F:F,"KEEPOS")+BD516</f>
        <v>0</v>
      </c>
      <c r="BE514" s="223">
        <f>COUNTIFS(D:D,"AD",L:L,"-2;-1",I:I,"S2")+BE516</f>
        <v>0</v>
      </c>
    </row>
    <row r="515" spans="15:57" ht="15.75">
      <c r="O515" s="91"/>
      <c r="X515" s="115">
        <f t="shared" ref="X515:X578" si="110">mapValues(E515,F515,"P265")</f>
        <v>0</v>
      </c>
      <c r="Y515" s="115">
        <f t="shared" ref="Y515:Y578" si="111">X514+X515</f>
        <v>0</v>
      </c>
      <c r="Z515" s="115" t="e">
        <f t="shared" ref="Z515:Z578" si="112">VALUE(MID(B515,FIND(" ",B515)+1,FIND(" ",B515,FIND(" ",B515)+1)-FIND(" ",B515)))</f>
        <v>#VALUE!</v>
      </c>
      <c r="AA515" s="115">
        <f t="shared" ref="AA515:AA578" si="113">T515/1000</f>
        <v>0</v>
      </c>
      <c r="AE515" s="179">
        <f>COUNTIFS(D:D,"DA",L:L,"-1;1",I:I,"S2",F:F,"ATONGOAL")</f>
        <v>0</v>
      </c>
      <c r="AF515" s="179">
        <f>COUNTIFS(D:D,"DA",L:L,"-1;1",I:I,"S2",F:F,"ATON")</f>
        <v>0</v>
      </c>
      <c r="AG515" s="179">
        <f>COUNTIFS(D:D,"DA",L:L,"-1;1",I:I,"S2",F:F,"ATOF")</f>
        <v>0</v>
      </c>
      <c r="AH515" s="179">
        <f>COUNTIFS(D:D,"DA",L:L,"-1;1",I:I,"S2",F:F,"ATBK")</f>
        <v>0</v>
      </c>
      <c r="AI515" s="180">
        <f>COUNTIFS(D:D,"DA",L:L,"-1;1",I:I,"S2",F:F,"WINSTAN")</f>
        <v>0</v>
      </c>
      <c r="AJ515" s="180">
        <f>COUNTIFS(D:D,"DA",L:L,"-1;1",I:I,"S2",F:F,"WINSTANTI")</f>
        <v>0</v>
      </c>
      <c r="AK515" s="179">
        <f>COUNTIFS(D:D,"DA",L:L,"-1;1",I:I,"S2",F:F,"ENTRY")</f>
        <v>0</v>
      </c>
      <c r="AL515" s="179">
        <f>COUNTIFS(D:D,"DA",L:L,"-1;1",I:I,"S2",F:F,"KEEPOS")</f>
        <v>0</v>
      </c>
      <c r="AM515" s="219">
        <f>COUNTIFS(D:D,"DA",L:L,"-1;1",I:I,"S2")</f>
        <v>0</v>
      </c>
      <c r="AN515" s="179">
        <f>COUNTIFS(D:D,"DA",L:L,"-1;0",I:I,"S2",F:F,"ATONGOAL")</f>
        <v>0</v>
      </c>
      <c r="AO515" s="180">
        <f>COUNTIFS(D:D,"DA",L:L,"-1;0",I:I,"S2",F:F,"ATON")</f>
        <v>0</v>
      </c>
      <c r="AP515" s="180">
        <f>COUNTIFS(D:D,"DA",L:L,"-1;0",I:I,"S2",F:F,"ATOF")</f>
        <v>0</v>
      </c>
      <c r="AQ515" s="180">
        <f>COUNTIFS(D:D,"DA",L:L,"-1;0",I:I,"S2",F:F,"ATBK")</f>
        <v>0</v>
      </c>
      <c r="AR515" s="180">
        <f>COUNTIFS(D:D,"DA",L:L,"-1;0",I:I,"S2",F:F,"WINSTAN")</f>
        <v>0</v>
      </c>
      <c r="AS515" s="180">
        <f>COUNTIFS(D:D,"DA",L:L,"-1;0",I:I,"S2",F:F,"WINSTANTI")</f>
        <v>0</v>
      </c>
      <c r="AT515" s="179">
        <f>COUNTIFS(D:D,"DA",L:L,"-1;0",I:I,"S2",F:F,"ENTRY")</f>
        <v>0</v>
      </c>
      <c r="AU515" s="179">
        <f>COUNTIFS(D:D,"DA",L:L,"-1;0",I:I,"S2",F:F,"KEEPOS")</f>
        <v>0</v>
      </c>
      <c r="AV515" s="170">
        <f>COUNTIFS(D:D,"DA",L:L,"-1;0",I:I,"S2")</f>
        <v>0</v>
      </c>
      <c r="AW515" s="179">
        <f>COUNTIFS(D:D,"DA",L:L,"-1;-1",I:I,"S2",F:F,"ATONGOAL")</f>
        <v>0</v>
      </c>
      <c r="AX515" s="180">
        <f>COUNTIFS(D:D,"DA",L:L,"-1;-1",I:I,"S2",F:F,"ATON")</f>
        <v>0</v>
      </c>
      <c r="AY515" s="180">
        <f>COUNTIFS(D:D,"DA",L:L,"-1;-1",I:I,"S2",F:F,"ATOF")</f>
        <v>0</v>
      </c>
      <c r="AZ515" s="180">
        <f>COUNTIFS(D:D,"DA",L:L,"-1;-1",I:I,"S2",F:F,"ATBK")</f>
        <v>0</v>
      </c>
      <c r="BA515" s="180">
        <f>COUNTIFS(D:D,"DA",L:L,"-1;-1",I:I,"S2",F:F,"WINSTAN")</f>
        <v>0</v>
      </c>
      <c r="BB515" s="180">
        <f>COUNTIFS(D:D,"DA",L:L,"-1;-1",I:I,"S2",F:F,"WINSTANTI")</f>
        <v>0</v>
      </c>
      <c r="BC515" s="179">
        <f>COUNTIFS(D:D,"DA",L:L,"-1;-1",I:I,"S2",F:F,"ENTRY")</f>
        <v>0</v>
      </c>
      <c r="BD515" s="179">
        <f>COUNTIFS(D:D,"DA",L:L,"-1;-1",I:I,"S2",F:F,"KEEPOS")</f>
        <v>0</v>
      </c>
      <c r="BE515" s="220">
        <f>COUNTIFS(D:D,"DA",L:L,"-1;-1",I:I,"S2")</f>
        <v>0</v>
      </c>
    </row>
    <row r="516" spans="15:57">
      <c r="O516" s="91"/>
      <c r="X516" s="115">
        <f t="shared" si="110"/>
        <v>0</v>
      </c>
      <c r="Y516" s="115">
        <f t="shared" si="111"/>
        <v>0</v>
      </c>
      <c r="Z516" s="115" t="e">
        <f t="shared" si="112"/>
        <v>#VALUE!</v>
      </c>
      <c r="AA516" s="115">
        <f t="shared" si="113"/>
        <v>0</v>
      </c>
      <c r="AE516" s="181">
        <f>COUNTIFS(D:D,"AD",L:L,"-1;1",I:I,"S2",F:F,"ATONGOAL")</f>
        <v>0</v>
      </c>
      <c r="AF516" s="181">
        <f>COUNTIFS(D:D,"AD",L:L,"-1;1",I:I,"S2",F:F,"ATON")</f>
        <v>0</v>
      </c>
      <c r="AG516" s="181">
        <f>COUNTIFS(D:D,"AD",L:L,"-1;1",I:I,"S2",F:F,"ATOF")</f>
        <v>0</v>
      </c>
      <c r="AH516" s="181">
        <f>COUNTIFS(D:D,"AD",L:L,"-1;1",I:I,"S2",F:F,"ATBK")</f>
        <v>0</v>
      </c>
      <c r="AI516" s="182">
        <f>COUNTIFS(D:D,"DA",L:L,"-1;1",I:I,"S2",F:F,"WINSTAN")</f>
        <v>0</v>
      </c>
      <c r="AJ516" s="182">
        <f>COUNTIFS(D:D,"DA",L:L,"-1;1",I:I,"S2",F:F,"WINSTANTI")</f>
        <v>0</v>
      </c>
      <c r="AK516" s="181">
        <f>COUNTIFS(D:D,"AD",L:L,"-1;1",I:I,"S2",F:F,"ENTRY")</f>
        <v>0</v>
      </c>
      <c r="AL516" s="181">
        <f>COUNTIFS(D:D,"AD",L:L,"-1;1",I:I,"S2",F:F,"KEEPOS")</f>
        <v>0</v>
      </c>
      <c r="AM516" s="222">
        <f>COUNTIFS(D:D,"AD",L:L,"-1;1",I:I,"S2")</f>
        <v>0</v>
      </c>
      <c r="AN516" s="181">
        <f>COUNTIFS(D:D,"AD",L:L,"-1;0",I:I,"S2",F:F,"ATONGOAL")</f>
        <v>0</v>
      </c>
      <c r="AO516" s="182">
        <f>COUNTIFS(D:D,"AD",L:L,"-1;0",I:I,"S2",F:F,"ATON")</f>
        <v>0</v>
      </c>
      <c r="AP516" s="182">
        <f>COUNTIFS(D:D,"AD",L:L,"-1;0",I:I,"S2",F:F,"ATOF")</f>
        <v>0</v>
      </c>
      <c r="AQ516" s="182">
        <f>COUNTIFS(D:D,"AD",L:L,"-1;0",I:I,"S2",F:F,"ATBK")</f>
        <v>0</v>
      </c>
      <c r="AR516" s="182">
        <f>COUNTIFS(D:D,"DA",L:L,"-1;0",I:I,"S2",F:F,"WINSTAN")</f>
        <v>0</v>
      </c>
      <c r="AS516" s="182">
        <f>COUNTIFS(D:D,"DA",L:L,"-1;0",I:I,"S2",F:F,"WINSTANTI")</f>
        <v>0</v>
      </c>
      <c r="AT516" s="181">
        <f>COUNTIFS(D:D,"AD",L:L,"-1;0",I:I,"S2",F:F,"ENTRY")</f>
        <v>0</v>
      </c>
      <c r="AU516" s="181">
        <f>COUNTIFS(D:D,"AD",L:L,"-1;0",I:I,"S2",F:F,"KEEPOS")</f>
        <v>0</v>
      </c>
      <c r="AV516" s="171">
        <f>COUNTIFS(D:D,"AD",L:L,"-1;0",I:I,"S2")</f>
        <v>0</v>
      </c>
      <c r="AW516" s="181">
        <f>COUNTIFS(D:D,"AD",L:L,"-1;-1",I:I,"S2",F:F,"ATONGOAL")</f>
        <v>0</v>
      </c>
      <c r="AX516" s="182">
        <f>COUNTIFS(D:D,"AD",L:L,"-1;-1",I:I,"S2",F:F,"ATON")</f>
        <v>0</v>
      </c>
      <c r="AY516" s="182">
        <f>COUNTIFS(D:D,"AD",L:L,"-1;-1",I:I,"S2",F:F,"ATOF")</f>
        <v>0</v>
      </c>
      <c r="AZ516" s="182">
        <f>COUNTIFS(D:D,"AD",L:L,"-1;-1",I:I,"S2",F:F,"ATBK")</f>
        <v>0</v>
      </c>
      <c r="BA516" s="182">
        <f>COUNTIFS(D:D,"DA",L:L,"-1;-1",I:I,"S2",F:F,"WINSTAN")</f>
        <v>0</v>
      </c>
      <c r="BB516" s="182">
        <f>COUNTIFS(D:D,"DA",L:L,"-1;-1",I:I,"S2",F:F,"WINSTANTI")</f>
        <v>0</v>
      </c>
      <c r="BC516" s="181">
        <f>COUNTIFS(D:D,"AD",L:L,"-1;-1",I:I,"S2",F:F,"ENTRY")</f>
        <v>0</v>
      </c>
      <c r="BD516" s="181">
        <f>COUNTIFS(D:D,"AD",L:L,"-1;-1",I:I,"S2",F:F,"KEEPOS")</f>
        <v>0</v>
      </c>
      <c r="BE516" s="223">
        <f>COUNTIFS(D:D,"AD",L:L,"-1;-1",I:I,"S2")</f>
        <v>0</v>
      </c>
    </row>
    <row r="517" spans="15:57" ht="15.75">
      <c r="O517" s="91"/>
      <c r="X517" s="115">
        <f t="shared" si="110"/>
        <v>0</v>
      </c>
      <c r="Y517" s="115">
        <f t="shared" si="111"/>
        <v>0</v>
      </c>
      <c r="Z517" s="115" t="e">
        <f t="shared" si="112"/>
        <v>#VALUE!</v>
      </c>
      <c r="AA517" s="115">
        <f t="shared" si="113"/>
        <v>0</v>
      </c>
      <c r="AE517" s="179">
        <f>COUNTIFS(D:D,"DA",L:L,"0;1",I:I,"S2",F:F,"ATONGOAL")</f>
        <v>0</v>
      </c>
      <c r="AF517" s="179">
        <f>COUNTIFS(D:D,"DA",L:L,"0;1",I:I,"S2",F:F,"ATON")</f>
        <v>0</v>
      </c>
      <c r="AG517" s="179">
        <f>COUNTIFS(D:D,"DA",L:L,"0;1",I:I,"S2",F:F,"ATOF")</f>
        <v>0</v>
      </c>
      <c r="AH517" s="179">
        <f>COUNTIFS(D:D,"DA",L:L,"0;1",I:I,"S2",F:F,"ATBK")</f>
        <v>0</v>
      </c>
      <c r="AI517" s="180">
        <f>COUNTIFS(D:D,"DA",L:L,"0;1",I:I,"S2",F:F,"WINSTAN")</f>
        <v>0</v>
      </c>
      <c r="AJ517" s="180">
        <f>COUNTIFS(D:D,"DA",L:L,"0;1",I:I,"S2",F:F,"WINSTANTI")</f>
        <v>0</v>
      </c>
      <c r="AK517" s="179">
        <f>COUNTIFS(D:D,"DA",L:L,"0;1",I:I,"S2",F:F,"ENTRY")</f>
        <v>0</v>
      </c>
      <c r="AL517" s="179">
        <f>COUNTIFS(D:D,"DA",L:L,"0;1",I:I,"S2",F:F,"KEEPOS")</f>
        <v>0</v>
      </c>
      <c r="AM517" s="219">
        <f>COUNTIFS(D:D,"DA",L:L,"0;1",I:I,"S2")</f>
        <v>0</v>
      </c>
      <c r="AN517" s="179">
        <f>COUNTIFS(D:D,"DA",L:L,"0;0",I:I,"S2",F:F,"ATONGOAL")</f>
        <v>0</v>
      </c>
      <c r="AO517" s="180">
        <f>COUNTIFS(D:D,"DA",L:L,"0;0",I:I,"S2",F:F,"ATON")</f>
        <v>0</v>
      </c>
      <c r="AP517" s="180">
        <f>COUNTIFS(D:D,"DA",L:L,"0;0",I:I,"S2",F:F,"ATOF")</f>
        <v>0</v>
      </c>
      <c r="AQ517" s="180">
        <f>COUNTIFS(D:D,"DA",L:L,"0;0",I:I,"S2",F:F,"ATBK")</f>
        <v>0</v>
      </c>
      <c r="AR517" s="180">
        <f>COUNTIFS(D:D,"DA",L:L,"0;0",I:I,"S2",F:F,"WINSTAN")</f>
        <v>0</v>
      </c>
      <c r="AS517" s="180">
        <f>COUNTIFS(D:D,"DA",L:L,"0;0",I:I,"S2",F:F,"WINSTANTI")</f>
        <v>0</v>
      </c>
      <c r="AT517" s="179">
        <f>COUNTIFS(D:D,"DA",L:L,"0;0",I:I,"S2",F:F,"ENTRY")</f>
        <v>0</v>
      </c>
      <c r="AU517" s="179">
        <f>COUNTIFS(D:D,"DA",L:L,"0;0",I:I,"S2",F:F,"KEEPOS")</f>
        <v>0</v>
      </c>
      <c r="AV517" s="170">
        <f>COUNTIFS(D:D,"DA",L:L,"0;0",I:I,"S2")</f>
        <v>0</v>
      </c>
      <c r="AW517" s="179">
        <f>COUNTIFS(D:D,"DA",L:L,"0;-1",I:I,"S2",F:F,"ATONGOAL")</f>
        <v>0</v>
      </c>
      <c r="AX517" s="180">
        <f>COUNTIFS(D:D,"DA",L:L,"0;-1",I:I,"S2",F:F,"ATON")</f>
        <v>0</v>
      </c>
      <c r="AY517" s="180">
        <f>COUNTIFS(D:D,"DA",L:L,"0;-1",I:I,"S2",F:F,"ATOF")</f>
        <v>0</v>
      </c>
      <c r="AZ517" s="180">
        <f>COUNTIFS(D:D,"DA",L:L,"0;-1",I:I,"S2",F:F,"ATBK")</f>
        <v>0</v>
      </c>
      <c r="BA517" s="180">
        <f>COUNTIFS(D:D,"DA",L:L,"0;-1",I:I,"S2",F:F,"WINSTAN")</f>
        <v>0</v>
      </c>
      <c r="BB517" s="180">
        <f>COUNTIFS(D:D,"DA",L:L,"0;-1",I:I,"S2",F:F,"WINSTANTI")</f>
        <v>0</v>
      </c>
      <c r="BC517" s="179">
        <f>COUNTIFS(D:D,"DA",L:L,"0;-1",I:I,"S2",F:F,"ENTRY")</f>
        <v>0</v>
      </c>
      <c r="BD517" s="179">
        <f>COUNTIFS(D:D,"DA",L:L,"0;-1",I:I,"S2",F:F,"KEEPOS")</f>
        <v>0</v>
      </c>
      <c r="BE517" s="220">
        <f>COUNTIFS(D:D,"DA",L:L,"0;-1",I:I,"S2")</f>
        <v>0</v>
      </c>
    </row>
    <row r="518" spans="15:57">
      <c r="O518" s="91"/>
      <c r="X518" s="115">
        <f t="shared" si="110"/>
        <v>0</v>
      </c>
      <c r="Y518" s="115">
        <f t="shared" si="111"/>
        <v>0</v>
      </c>
      <c r="Z518" s="115" t="e">
        <f t="shared" si="112"/>
        <v>#VALUE!</v>
      </c>
      <c r="AA518" s="115">
        <f t="shared" si="113"/>
        <v>0</v>
      </c>
      <c r="AE518" s="181">
        <f>COUNTIFS(D:D,"AD",L:L,"0;1",I:I,"S2",F:F,"ATONGOAL")</f>
        <v>0</v>
      </c>
      <c r="AF518" s="181">
        <f>COUNTIFS(D:D,"AD",L:L,"0;1",I:I,"S2",F:F,"ATON")</f>
        <v>0</v>
      </c>
      <c r="AG518" s="181">
        <f>COUNTIFS(D:D,"AD",L:L,"0;1",I:I,"S2",F:F,"ATOF")</f>
        <v>0</v>
      </c>
      <c r="AH518" s="181">
        <f>COUNTIFS(D:D,"AD",L:L,"0;1",I:I,"S2",F:F,"ATBK")</f>
        <v>0</v>
      </c>
      <c r="AI518" s="182">
        <f>COUNTIFS(D:D,"AD",L:L,"0;1",I:I,"S2",F:F,"WINSTAN")</f>
        <v>0</v>
      </c>
      <c r="AJ518" s="182">
        <f>COUNTIFS(D:D,"AD",L:L,"0;1",I:I,"S2",F:F,"WINSTANTI")</f>
        <v>0</v>
      </c>
      <c r="AK518" s="181">
        <f>COUNTIFS(D:D,"AD",L:L,"0;1",I:I,"S2",F:F,"ENTRY")</f>
        <v>0</v>
      </c>
      <c r="AL518" s="181">
        <f>COUNTIFS(D:D,"AD",L:L,"0;1",I:I,"S2",F:F,"KEEPOS")</f>
        <v>0</v>
      </c>
      <c r="AM518" s="222">
        <f>COUNTIFS(D:D,"AD",L:L,"0;1",I:I,"S2")</f>
        <v>0</v>
      </c>
      <c r="AN518" s="181">
        <f>COUNTIFS(D:D,"AD",L:L,"0;0",I:I,"S2",F:F,"ATONGOAL")</f>
        <v>0</v>
      </c>
      <c r="AO518" s="182">
        <f>COUNTIFS(D:D,"AD",L:L,"0;0",I:I,"S2",F:F,"ATON")</f>
        <v>0</v>
      </c>
      <c r="AP518" s="182">
        <f>COUNTIFS(D:D,"AD",L:L,"0;0",I:I,"S2",F:F,"ATOF")</f>
        <v>0</v>
      </c>
      <c r="AQ518" s="182">
        <f>COUNTIFS(D:D,"AD",L:L,"0;0",I:I,"S2",F:F,"ATBK")</f>
        <v>0</v>
      </c>
      <c r="AR518" s="182">
        <f>COUNTIFS(D:D,"AD",L:L,"0;0",I:I,"S2",F:F,"WINSTAN")</f>
        <v>0</v>
      </c>
      <c r="AS518" s="182">
        <f>COUNTIFS(D:D,"AD",L:L,"0;0",I:I,"S2",F:F,"WINSTANTI")</f>
        <v>0</v>
      </c>
      <c r="AT518" s="181">
        <f>COUNTIFS(D:D,"AD",L:L,"0;0",I:I,"S2",F:F,"ENTRY")</f>
        <v>0</v>
      </c>
      <c r="AU518" s="181">
        <f>COUNTIFS(D:D,"AD",L:L,"0;0",I:I,"S2",F:F,"KEEPOS")</f>
        <v>0</v>
      </c>
      <c r="AV518" s="171">
        <f>COUNTIFS(D:D,"AD",L:L,"0;0",I:I,"S2")</f>
        <v>0</v>
      </c>
      <c r="AW518" s="181">
        <f>COUNTIFS(D:D,"AD",L:L,"0;-1",I:I,"S2",F:F,"ATONGOAL")</f>
        <v>0</v>
      </c>
      <c r="AX518" s="182">
        <f>COUNTIFS(D:D,"AD",L:L,"0;-1",I:I,"S2",F:F,"ATON")</f>
        <v>0</v>
      </c>
      <c r="AY518" s="182">
        <f>COUNTIFS(D:D,"AD",L:L,"0;-1",I:I,"S2",F:F,"ATOF")</f>
        <v>0</v>
      </c>
      <c r="AZ518" s="182">
        <f>COUNTIFS(D:D,"AD",L:L,"0;-1",I:I,"S2",F:F,"ATBK")</f>
        <v>0</v>
      </c>
      <c r="BA518" s="182">
        <f>COUNTIFS(D:D,"AD",L:L,"0;-1",I:I,"S2",F:F,"WINSTAN")</f>
        <v>0</v>
      </c>
      <c r="BB518" s="182">
        <f>COUNTIFS(D:D,"AD",L:L,"0;-1",I:I,"S2",F:F,"WINSTANTI")</f>
        <v>0</v>
      </c>
      <c r="BC518" s="181">
        <f>COUNTIFS(D:D,"AD",L:L,"0;-1",I:I,"S2",F:F,"ENTRY")</f>
        <v>0</v>
      </c>
      <c r="BD518" s="181">
        <f>COUNTIFS(D:D,"AD",L:L,"0;-1",I:I,"S2",F:F,"KEEPOS")</f>
        <v>0</v>
      </c>
      <c r="BE518" s="223">
        <f>COUNTIFS(D:D,"AD",L:L,"0;-1",I:I,"S2")</f>
        <v>0</v>
      </c>
    </row>
    <row r="519" spans="15:57" ht="15.75">
      <c r="O519" s="91"/>
      <c r="X519" s="115">
        <f t="shared" si="110"/>
        <v>0</v>
      </c>
      <c r="Y519" s="115">
        <f t="shared" si="111"/>
        <v>0</v>
      </c>
      <c r="Z519" s="115" t="e">
        <f t="shared" si="112"/>
        <v>#VALUE!</v>
      </c>
      <c r="AA519" s="115">
        <f t="shared" si="113"/>
        <v>0</v>
      </c>
      <c r="AE519" s="179">
        <f>COUNTIFS(D:D,"DA",L:L,"1;1",I:I,"S2",F:F,"ATONGOAL")</f>
        <v>0</v>
      </c>
      <c r="AF519" s="179">
        <f>COUNTIFS(D:D,"DA",L:L,"1;1",I:I,"S2",F:F,"ATON")</f>
        <v>0</v>
      </c>
      <c r="AG519" s="179">
        <f>COUNTIFS(D:D,"DA",L:L,"1;1",I:I,"S2",F:F,"ATOF")</f>
        <v>0</v>
      </c>
      <c r="AH519" s="179">
        <f>COUNTIFS(D:D,"DA",L:L,"1;1",I:I,"S2",F:F,"ATBK")</f>
        <v>0</v>
      </c>
      <c r="AI519" s="180">
        <f>COUNTIFS(D:D,"DA",L:L,"1;1",I:I,"S2",F:F,"WINSTAN")</f>
        <v>0</v>
      </c>
      <c r="AJ519" s="180">
        <f>COUNTIFS(D:D,"DA",L:L,"1;1",I:I,"S2",F:F,"WINSTANTI")</f>
        <v>0</v>
      </c>
      <c r="AK519" s="179">
        <f>COUNTIFS(D:D,"DA",L:L,"1;1",I:I,"S2",F:F,"ENTRY")</f>
        <v>0</v>
      </c>
      <c r="AL519" s="179">
        <f>COUNTIFS(D:D,"DA",L:L,"1;1",I:I,"S2",F:F,"KEEPOS")</f>
        <v>0</v>
      </c>
      <c r="AM519" s="219">
        <f>COUNTIFS(D:D,"DA",L:L,"1;1",I:I,"S2")</f>
        <v>0</v>
      </c>
      <c r="AN519" s="179">
        <f>COUNTIFS(D:D,"DA",L:L,"1;0",I:I,"S2",F:F,"ATONGOAL")</f>
        <v>0</v>
      </c>
      <c r="AO519" s="180">
        <f>COUNTIFS(D:D,"DA",L:L,"1;0",I:I,"S2",F:F,"ATON")</f>
        <v>0</v>
      </c>
      <c r="AP519" s="180">
        <f>COUNTIFS(D:D,"DA",L:L,"1;0",I:I,"S2",F:F,"ATOF")</f>
        <v>0</v>
      </c>
      <c r="AQ519" s="180">
        <f>COUNTIFS(D:D,"DA",L:L,"1;0",I:I,"S2",F:F,"ATBK")</f>
        <v>0</v>
      </c>
      <c r="AR519" s="180">
        <f>COUNTIFS(D:D,"DA",L:L,"1;0",I:I,"S2",F:F,"WINSTAN")</f>
        <v>0</v>
      </c>
      <c r="AS519" s="180">
        <f>COUNTIFS(D:D,"DA",L:L,"1;0",I:I,"S2",F:F,"WINSTANTI")</f>
        <v>0</v>
      </c>
      <c r="AT519" s="179">
        <f>COUNTIFS(D:D,"DA",L:L,"1;0",I:I,"S2",F:F,"ENTRY")</f>
        <v>0</v>
      </c>
      <c r="AU519" s="179">
        <f>COUNTIFS(D:D,"DA",L:L,"1;0",I:I,"S2",F:F,"KEEPOS")</f>
        <v>0</v>
      </c>
      <c r="AV519" s="170">
        <f>COUNTIFS(D:D,"DA",L:L,"1;0",I:I,"S2")</f>
        <v>0</v>
      </c>
      <c r="AW519" s="179">
        <f>COUNTIFS(D:D,"DA",L:L,"1;-1",I:I,"S2",F:F,"ATONGOAL")</f>
        <v>0</v>
      </c>
      <c r="AX519" s="180">
        <f>COUNTIFS(D:D,"DA",L:L,"1;-1",I:I,"S2",F:F,"ATON")</f>
        <v>0</v>
      </c>
      <c r="AY519" s="180">
        <f>COUNTIFS(D:D,"DA",L:L,"1;-1",I:I,"S2",F:F,"ATOF")</f>
        <v>0</v>
      </c>
      <c r="AZ519" s="180">
        <f>COUNTIFS(D:D,"DA",L:L,"1;-1",I:I,"S2",F:F,"ATBK")</f>
        <v>0</v>
      </c>
      <c r="BA519" s="180">
        <f>COUNTIFS(D:D,"DA",L:L,"1;-1",I:I,"S2",F:F,"WINSTAN")</f>
        <v>0</v>
      </c>
      <c r="BB519" s="180">
        <f>COUNTIFS(D:D,"DA",L:L,"1;-1",I:I,"S2",F:F,"WINSTANTI")</f>
        <v>0</v>
      </c>
      <c r="BC519" s="179">
        <f>COUNTIFS(D:D,"DA",L:L,"1;-1",I:I,"S2",F:F,"ENTRY")</f>
        <v>0</v>
      </c>
      <c r="BD519" s="179">
        <f>COUNTIFS(D:D,"DA",L:L,"1;-1",I:I,"S2",F:F,"KEEPOS")</f>
        <v>0</v>
      </c>
      <c r="BE519" s="220">
        <f>COUNTIFS(D:D,"DA",L:L,"1;-1",I:I,"S2")</f>
        <v>0</v>
      </c>
    </row>
    <row r="520" spans="15:57">
      <c r="O520" s="91"/>
      <c r="X520" s="115">
        <f t="shared" si="110"/>
        <v>0</v>
      </c>
      <c r="Y520" s="115">
        <f t="shared" si="111"/>
        <v>0</v>
      </c>
      <c r="Z520" s="115" t="e">
        <f t="shared" si="112"/>
        <v>#VALUE!</v>
      </c>
      <c r="AA520" s="115">
        <f t="shared" si="113"/>
        <v>0</v>
      </c>
      <c r="AE520" s="181">
        <f>COUNTIFS(D:D,"AD",L:L,"1;1",I:I,"S2",F:F,"ATONGOAL")</f>
        <v>0</v>
      </c>
      <c r="AF520" s="181">
        <f>COUNTIFS(D:D,"AD",L:L,"1;1",I:I,"S2",F:F,"ATON")</f>
        <v>0</v>
      </c>
      <c r="AG520" s="181">
        <f>COUNTIFS(D:D,"AD",L:L,"1;1",I:I,"S2",F:F,"ATOF")</f>
        <v>0</v>
      </c>
      <c r="AH520" s="181">
        <f>COUNTIFS(D:D,"AD",L:L,"1;1",I:I,"S2",F:F,"ATBK")</f>
        <v>0</v>
      </c>
      <c r="AI520" s="182">
        <f>COUNTIFS(D:D,"AD",L:L,"1;1",I:I,"S2",F:F,"WINSTAN")</f>
        <v>0</v>
      </c>
      <c r="AJ520" s="182">
        <f>COUNTIFS(D:D,"AD",L:L,"1;1",I:I,"S2",F:F,"WINSTANTI")</f>
        <v>0</v>
      </c>
      <c r="AK520" s="181">
        <f>COUNTIFS(D:D,"AD",L:L,"1;1",I:I,"S2",F:F,"ENTRY")</f>
        <v>0</v>
      </c>
      <c r="AL520" s="181">
        <f>COUNTIFS(D:D,"AD",L:L,"1;1",I:I,"S2",F:F,"KEEPOS")</f>
        <v>0</v>
      </c>
      <c r="AM520" s="222">
        <f>COUNTIFS(D:D,"AD",L:L,"1;1",I:I,"S2")</f>
        <v>0</v>
      </c>
      <c r="AN520" s="181">
        <f>COUNTIFS(D:D,"AD",L:L,"1;0",I:I,"S2",F:F,"ATONGOAL")</f>
        <v>0</v>
      </c>
      <c r="AO520" s="182">
        <f>COUNTIFS(D:D,"AD",L:L,"1;0",I:I,"S2",F:F,"ATON")</f>
        <v>0</v>
      </c>
      <c r="AP520" s="182">
        <f>COUNTIFS(D:D,"AD",L:L,"1;0",I:I,"S2",F:F,"ATOF")</f>
        <v>0</v>
      </c>
      <c r="AQ520" s="182">
        <f>COUNTIFS(D:D,"AD",L:L,"1;0",I:I,"S2",F:F,"ATBK")</f>
        <v>0</v>
      </c>
      <c r="AR520" s="182">
        <f>COUNTIFS(D:D,"AD",L:L,"1;0",I:I,"S2",F:F,"WINSTAN")</f>
        <v>0</v>
      </c>
      <c r="AS520" s="182">
        <f>COUNTIFS(D:D,"AD",L:L,"1;0",I:I,"S2",F:F,"WINSTANTI")</f>
        <v>0</v>
      </c>
      <c r="AT520" s="181">
        <f>COUNTIFS(D:D,"AD",L:L,"1;0",I:I,"S2",F:F,"ENTRY")</f>
        <v>0</v>
      </c>
      <c r="AU520" s="181">
        <f>COUNTIFS(D:D,"AD",L:L,"1;0",I:I,"S2",F:F,"KEEPOS")</f>
        <v>0</v>
      </c>
      <c r="AV520" s="171">
        <f>COUNTIFS(D:D,"AD",L:L,"1;0",I:I,"S2")</f>
        <v>0</v>
      </c>
      <c r="AW520" s="181">
        <f>COUNTIFS(D:D,"AD",L:L,"1;-1",I:I,"S2",F:F,"ATONGOAL")</f>
        <v>0</v>
      </c>
      <c r="AX520" s="182">
        <f>COUNTIFS(D:D,"AD",L:L,"1;-1",I:I,"S2",F:F,"ATON")</f>
        <v>0</v>
      </c>
      <c r="AY520" s="182">
        <f>COUNTIFS(D:D,"AD",L:L,"1;-1",I:I,"S2",F:F,"ATOF")</f>
        <v>0</v>
      </c>
      <c r="AZ520" s="182">
        <f>COUNTIFS(D:D,"AD",L:L,"1;-1",I:I,"S2",F:F,"ATBK")</f>
        <v>0</v>
      </c>
      <c r="BA520" s="182">
        <f>COUNTIFS(D:D,"AD",L:L,"1;-1",I:I,"S2",F:F,"WINSTAN")</f>
        <v>0</v>
      </c>
      <c r="BB520" s="182">
        <f>COUNTIFS(D:D,"AD",L:L,"1;-1",I:I,"S2",F:F,"WINSTANTI")</f>
        <v>0</v>
      </c>
      <c r="BC520" s="181">
        <f>COUNTIFS(D:D,"AD",L:L,"1;-1",I:I,"S2",F:F,"ENTRY")</f>
        <v>0</v>
      </c>
      <c r="BD520" s="181">
        <f>COUNTIFS(D:D,"AD",L:L,"1;-1",I:I,"S2",F:F,"KEEPOS")</f>
        <v>0</v>
      </c>
      <c r="BE520" s="223">
        <f>COUNTIFS(D:D,"AD",L:L,"1;-1",I:I,"S2")</f>
        <v>0</v>
      </c>
    </row>
    <row r="521" spans="15:57" ht="15.75">
      <c r="O521" s="91"/>
      <c r="X521" s="115">
        <f t="shared" si="110"/>
        <v>0</v>
      </c>
      <c r="Y521" s="115">
        <f t="shared" si="111"/>
        <v>0</v>
      </c>
      <c r="Z521" s="115" t="e">
        <f t="shared" si="112"/>
        <v>#VALUE!</v>
      </c>
      <c r="AA521" s="115">
        <f t="shared" si="113"/>
        <v>0</v>
      </c>
      <c r="AE521" s="179">
        <f>COUNTIFS(D:D,"DA",L:L,"2;1",I:I,"S2",F:F,"ATONGOAL")</f>
        <v>0</v>
      </c>
      <c r="AF521" s="179">
        <f>COUNTIFS(D:D,"DA",L:L,"2;1",I:I,"S2",F:F,"ATON")</f>
        <v>0</v>
      </c>
      <c r="AG521" s="179">
        <f>COUNTIFS(D:D,"DA",L:L,"2;1",I:I,"S2",F:F,"ATOF")</f>
        <v>0</v>
      </c>
      <c r="AH521" s="179">
        <f>COUNTIFS(D:D,"DA",L:L,"2;1",I:I,"S2",F:F,"ATBK")</f>
        <v>0</v>
      </c>
      <c r="AI521" s="180">
        <f>COUNTIFS(D:D,"DA",L:L,"2;1",I:I,"S2",F:F,"WINSTAN")</f>
        <v>0</v>
      </c>
      <c r="AJ521" s="180">
        <f>COUNTIFS(D:D,"DA",L:L,"2;1",I:I,"S2",F:F,"WINSTANTI")</f>
        <v>0</v>
      </c>
      <c r="AK521" s="179">
        <f>COUNTIFS(D:D,"DA",L:L,"2;1",I:I,"S2",F:F,"ENTRY")</f>
        <v>0</v>
      </c>
      <c r="AL521" s="179">
        <f>COUNTIFS(D:D,"DA",L:L,"2;1",I:I,"S2",F:F,"KEEPOS")</f>
        <v>0</v>
      </c>
      <c r="AM521" s="219">
        <f>COUNTIFS(D:D,"DA",L:L,"2;1",I:I,"S2")</f>
        <v>0</v>
      </c>
      <c r="AN521" s="179">
        <f>COUNTIFS(D:D,"DA",L:L,"2;0",I:I,"S2",F:F,"ATONGOAL")</f>
        <v>0</v>
      </c>
      <c r="AO521" s="180">
        <f>COUNTIFS(D:D,"DA",L:L,"2;0",I:I,"S2",F:F,"ATON")</f>
        <v>0</v>
      </c>
      <c r="AP521" s="180">
        <f>COUNTIFS(D:D,"DA",L:L,"2;0",I:I,"S2",F:F,"ATOF")</f>
        <v>0</v>
      </c>
      <c r="AQ521" s="180">
        <f>COUNTIFS(D:D,"DA",L:L,"2;0",I:I,"S2",F:F,"ATBK")</f>
        <v>0</v>
      </c>
      <c r="AR521" s="180">
        <f>COUNTIFS(D:D,"DA",L:L,"2;0",I:I,"S2",F:F,"WINSTAN")</f>
        <v>0</v>
      </c>
      <c r="AS521" s="180">
        <f>COUNTIFS(D:D,"DA",L:L,"2;0",I:I,"S2",F:F,"WINSTANTI")</f>
        <v>0</v>
      </c>
      <c r="AT521" s="179">
        <f>COUNTIFS(D:D,"DA",L:L,"2;0",I:I,"S2",F:F,"ENTRY")</f>
        <v>0</v>
      </c>
      <c r="AU521" s="179">
        <f>COUNTIFS(D:D,"DA",L:L,"2;0",I:I,"S2",F:F,"KEEPOS")</f>
        <v>0</v>
      </c>
      <c r="AV521" s="170">
        <f>COUNTIFS(D:D,"DA",L:L,"2;0",I:I,"S2")</f>
        <v>0</v>
      </c>
      <c r="AW521" s="179">
        <f>COUNTIFS(D:D,"DA",L:L,"2;-1",I:I,"S2",F:F,"ATONGOAL")</f>
        <v>0</v>
      </c>
      <c r="AX521" s="180">
        <f>COUNTIFS(D:D,"DA",L:L,"2;-1",I:I,"S2",F:F,"ATON")</f>
        <v>0</v>
      </c>
      <c r="AY521" s="180">
        <f>COUNTIFS(D:D,"DA",L:L,"2;-1",I:I,"S2",F:F,"ATOF")</f>
        <v>0</v>
      </c>
      <c r="AZ521" s="180">
        <f>COUNTIFS(D:D,"DA",L:L,"2;-1",I:I,"S2",F:F,"ATBK")</f>
        <v>0</v>
      </c>
      <c r="BA521" s="180">
        <f>COUNTIFS(D:D,"DA",L:L,"2;-1",I:I,"S2",F:F,"WINSTAN")</f>
        <v>0</v>
      </c>
      <c r="BB521" s="180">
        <f>COUNTIFS(D:D,"DA",L:L,"2;-1",I:I,"S2",F:F,"WINSTANTI")</f>
        <v>0</v>
      </c>
      <c r="BC521" s="179">
        <f>COUNTIFS(D:D,"DA",L:L,"2;-1",I:I,"S2",F:F,"ENTRY")</f>
        <v>0</v>
      </c>
      <c r="BD521" s="179">
        <f>COUNTIFS(D:D,"DA",L:L,"2;-1",I:I,"S2",F:F,"KEEPOS")</f>
        <v>0</v>
      </c>
      <c r="BE521" s="220">
        <f>COUNTIFS(D:D,"DA",L:L,"2;-1",I:I,"S2")</f>
        <v>0</v>
      </c>
    </row>
    <row r="522" spans="15:57">
      <c r="O522" s="91"/>
      <c r="X522" s="115">
        <f t="shared" si="110"/>
        <v>0</v>
      </c>
      <c r="Y522" s="115">
        <f t="shared" si="111"/>
        <v>0</v>
      </c>
      <c r="Z522" s="115" t="e">
        <f t="shared" si="112"/>
        <v>#VALUE!</v>
      </c>
      <c r="AA522" s="115">
        <f t="shared" si="113"/>
        <v>0</v>
      </c>
      <c r="AE522" s="181">
        <f>COUNTIFS(D:D,"AD",L:L,"2;1",I:I,"S2",F:F,"ATONGOAL")</f>
        <v>0</v>
      </c>
      <c r="AF522" s="181">
        <f>COUNTIFS(D:D,"AD",L:L,"2;1",I:I,"S2",F:F,"ATON")</f>
        <v>0</v>
      </c>
      <c r="AG522" s="181">
        <f>COUNTIFS(D:D,"AD",L:L,"2;1",I:I,"S2",F:F,"ATOF")</f>
        <v>0</v>
      </c>
      <c r="AH522" s="181">
        <f>COUNTIFS(D:D,"AD",L:L,"2;1",I:I,"S2",F:F,"ATBK")</f>
        <v>0</v>
      </c>
      <c r="AI522" s="182">
        <f>COUNTIFS(D:D,"AD",L:L,"2;1",I:I,"S2",F:F,"WINSTAN")</f>
        <v>0</v>
      </c>
      <c r="AJ522" s="182">
        <f>COUNTIFS(D:D,"AD",L:L,"2;1",I:I,"S2",F:F,"WINSTANTI")</f>
        <v>0</v>
      </c>
      <c r="AK522" s="181">
        <f>COUNTIFS(D:D,"AD",L:L,"2;1",I:I,"S2",F:F,"ENTRY")</f>
        <v>0</v>
      </c>
      <c r="AL522" s="181">
        <f>COUNTIFS(D:D,"AD",L:L,"2;1",I:I,"S2",F:F,"KEEPOS")</f>
        <v>0</v>
      </c>
      <c r="AM522" s="222">
        <f>COUNTIFS(D:D,"AD",L:L,"2;1",I:I,"S2")</f>
        <v>0</v>
      </c>
      <c r="AN522" s="181">
        <f>COUNTIFS(D:D,"AD",L:L,"2;0",I:I,"S2",F:F,"ATONGOAL")</f>
        <v>0</v>
      </c>
      <c r="AO522" s="182">
        <f>COUNTIFS(D:D,"AD",L:L,"2;0",I:I,"S2",F:F,"ATON")</f>
        <v>0</v>
      </c>
      <c r="AP522" s="182">
        <f>COUNTIFS(D:D,"AD",L:L,"2;0",I:I,"S2",F:F,"ATOF")</f>
        <v>0</v>
      </c>
      <c r="AQ522" s="182">
        <f>COUNTIFS(D:D,"AD",L:L,"2;0",I:I,"S2",F:F,"ATBK")</f>
        <v>0</v>
      </c>
      <c r="AR522" s="182">
        <f>COUNTIFS(D:D,"AD",L:L,"2;0",I:I,"S2",F:F,"WINSTAN")</f>
        <v>0</v>
      </c>
      <c r="AS522" s="182">
        <f>COUNTIFS(D:D,"AD",L:L,"2;0",I:I,"S2",F:F,"WINSTANTI")</f>
        <v>0</v>
      </c>
      <c r="AT522" s="181">
        <f>COUNTIFS(D:D,"AD",L:L,"2;0",I:I,"S2",F:F,"ENTRY")</f>
        <v>0</v>
      </c>
      <c r="AU522" s="181">
        <f>COUNTIFS(D:D,"AD",L:L,"2;0",I:I,"S2",F:F,"KEEPOS")</f>
        <v>0</v>
      </c>
      <c r="AV522" s="171">
        <f>COUNTIFS(D:D,"AD",L:L,"2;0",I:I,"S2")</f>
        <v>0</v>
      </c>
      <c r="AW522" s="181">
        <f>COUNTIFS(D:D,"AD",L:L,"2;-1",I:I,"S2",F:F,"ATONGOAL")</f>
        <v>0</v>
      </c>
      <c r="AX522" s="182">
        <f>COUNTIFS(D:D,"AD",L:L,"2;-1",I:I,"S2",F:F,"ATON")</f>
        <v>0</v>
      </c>
      <c r="AY522" s="182">
        <f>COUNTIFS(D:D,"AD",L:L,"2;-1",I:I,"S2",F:F,"ATOF")</f>
        <v>0</v>
      </c>
      <c r="AZ522" s="182">
        <f>COUNTIFS(D:D,"AD",L:L,"2;-1",I:I,"S2",F:F,"ATBK")</f>
        <v>0</v>
      </c>
      <c r="BA522" s="182">
        <f>COUNTIFS(D:D,"AD",L:L,"2;-1",I:I,"S2",F:F,"WINSTAN")</f>
        <v>0</v>
      </c>
      <c r="BB522" s="182">
        <f>COUNTIFS(D:D,"AD",L:L,"2;-1",I:I,"S2",F:F,"WINSTANTI")</f>
        <v>0</v>
      </c>
      <c r="BC522" s="181">
        <f>COUNTIFS(D:D,"AD",L:L,"2;-1",I:I,"S2",F:F,"ENTRY")</f>
        <v>0</v>
      </c>
      <c r="BD522" s="181">
        <f>COUNTIFS(D:D,"AD",L:L,"2;-1",I:I,"S2",F:F,"KEEPOS")</f>
        <v>0</v>
      </c>
      <c r="BE522" s="223">
        <f>COUNTIFS(D:D,"AD",L:L,"2;-1",I:I,"S2")</f>
        <v>0</v>
      </c>
    </row>
    <row r="523" spans="15:57" ht="15.75">
      <c r="O523" s="91"/>
      <c r="X523" s="115">
        <f t="shared" si="110"/>
        <v>0</v>
      </c>
      <c r="Y523" s="115">
        <f t="shared" si="111"/>
        <v>0</v>
      </c>
      <c r="Z523" s="115" t="e">
        <f t="shared" si="112"/>
        <v>#VALUE!</v>
      </c>
      <c r="AA523" s="115">
        <f t="shared" si="113"/>
        <v>0</v>
      </c>
      <c r="AE523" s="179">
        <f>COUNTIFS(D:D,"DA",L:L,"3;1",I:I,"S2",F:F,"ATONGOAL")</f>
        <v>0</v>
      </c>
      <c r="AF523" s="179">
        <f>COUNTIFS(D:D,"DA",L:L,"3;1",I:I,"S2",F:F,"ATON")</f>
        <v>0</v>
      </c>
      <c r="AG523" s="179">
        <f>COUNTIFS(D:D,"DA",L:L,"3;1",I:I,"S2",F:F,"ATOF")</f>
        <v>0</v>
      </c>
      <c r="AH523" s="179">
        <f>COUNTIFS(D:D,"DA",L:L,"3;1",I:I,"S2",F:F,"ATBK")</f>
        <v>0</v>
      </c>
      <c r="AI523" s="180">
        <f>COUNTIFS(D:D,"DA",L:L,"3;1",I:I,"S2",F:F,"WINSTAN")</f>
        <v>0</v>
      </c>
      <c r="AJ523" s="180">
        <f>COUNTIFS(D:D,"DA",L:L,"3;1",I:I,"S2",F:F,"WINSTANTI")</f>
        <v>0</v>
      </c>
      <c r="AK523" s="179">
        <f>COUNTIFS(D:D,"DA",L:L,"3;1",I:I,"S2",F:F,"ENTRY")</f>
        <v>0</v>
      </c>
      <c r="AL523" s="179">
        <f>COUNTIFS(D:D,"DA",L:L,"3;1",I:I,"S2",F:F,"KEEPOS")</f>
        <v>0</v>
      </c>
      <c r="AM523" s="219">
        <f>COUNTIFS(D:D,"DA",L:L,"3;1",I:I,"S2")</f>
        <v>0</v>
      </c>
      <c r="AN523" s="179">
        <f>COUNTIFS(D:D,"DA",L:L,"3;0",I:I,"S2",F:F,"ATONGOAL")</f>
        <v>0</v>
      </c>
      <c r="AO523" s="180">
        <f>COUNTIFS(D:D,"DA",L:L,"3;0",I:I,"S2",F:F,"ATON")</f>
        <v>0</v>
      </c>
      <c r="AP523" s="180">
        <f>COUNTIFS(D:D,"DA",L:L,"3;0",I:I,"S2",F:F,"ATOF")</f>
        <v>0</v>
      </c>
      <c r="AQ523" s="180">
        <f>COUNTIFS(D:D,"DA",L:L,"3;0",I:I,"S2",F:F,"ATBK")</f>
        <v>0</v>
      </c>
      <c r="AR523" s="180">
        <f>COUNTIFS(D:D,"DA",L:L,"3;0",I:I,"S2",F:F,"WINSTAN")</f>
        <v>0</v>
      </c>
      <c r="AS523" s="180">
        <f>COUNTIFS(D:D,"DA",L:L,"3;0",I:I,"S2",F:F,"WINSTANTI")</f>
        <v>0</v>
      </c>
      <c r="AT523" s="179">
        <f>COUNTIFS(D:D,"DA",L:L,"3;0",I:I,"S2",F:F,"ENTRY")</f>
        <v>0</v>
      </c>
      <c r="AU523" s="179">
        <f>COUNTIFS(D:D,"DA",L:L,"3;0",I:I,"S2",F:F,"KEEPOS")</f>
        <v>0</v>
      </c>
      <c r="AV523" s="170">
        <f>COUNTIFS(D:D,"DA",L:L,"3;0",I:I,"S2")</f>
        <v>0</v>
      </c>
      <c r="AW523" s="179">
        <f>COUNTIFS(D:D,"DA",L:L,"3;-1",I:I,"S2",F:F,"ATONGOAL")</f>
        <v>0</v>
      </c>
      <c r="AX523" s="180">
        <f>COUNTIFS(D:D,"DA",L:L,"3;-1",I:I,"S2",F:F,"ATON")</f>
        <v>0</v>
      </c>
      <c r="AY523" s="180">
        <f>COUNTIFS(D:D,"DA",L:L,"3;-1",I:I,"S2",F:F,"ATOF")</f>
        <v>0</v>
      </c>
      <c r="AZ523" s="180">
        <f>COUNTIFS(D:D,"DA",L:L,"3;-1",I:I,"S2",F:F,"ATBK")</f>
        <v>0</v>
      </c>
      <c r="BA523" s="180">
        <f>COUNTIFS(D:D,"DA",L:L,"3;-1",I:I,"S2",F:F,"WINSTAN")</f>
        <v>0</v>
      </c>
      <c r="BB523" s="180">
        <f>COUNTIFS(D:D,"DA",L:L,"3;-1",I:I,"S2",F:F,"WINSTANTI")</f>
        <v>0</v>
      </c>
      <c r="BC523" s="179">
        <f>COUNTIFS(D:D,"DA",L:L,"3;-1",I:I,"S2",F:F,"ENTRY")</f>
        <v>0</v>
      </c>
      <c r="BD523" s="179">
        <f>COUNTIFS(D:D,"DA",L:L,"3;-1",I:I,"S2",F:F,"KEEPOS")</f>
        <v>0</v>
      </c>
      <c r="BE523" s="220">
        <f>COUNTIFS(D:D,"DA",L:L,"3;-1",I:I,"S2")</f>
        <v>0</v>
      </c>
    </row>
    <row r="524" spans="15:57" s="115" customFormat="1">
      <c r="O524" s="91"/>
      <c r="X524" s="115">
        <f t="shared" si="110"/>
        <v>0</v>
      </c>
      <c r="Y524" s="115">
        <f t="shared" si="111"/>
        <v>0</v>
      </c>
      <c r="Z524" s="115" t="e">
        <f t="shared" si="112"/>
        <v>#VALUE!</v>
      </c>
      <c r="AA524" s="115">
        <f t="shared" si="113"/>
        <v>0</v>
      </c>
      <c r="AB524" s="246"/>
      <c r="AE524" s="181">
        <f>COUNTIFS(D:D,"AD",L:L,"3;1",I:I,"S2",F:F,"ATONGOAL")</f>
        <v>0</v>
      </c>
      <c r="AF524" s="181">
        <f>COUNTIFS(D:D,"AD",L:L,"3;1",I:I,"S2",F:F,"ATON")</f>
        <v>0</v>
      </c>
      <c r="AG524" s="181">
        <f>COUNTIFS(D:D,"AD",L:L,"3;1",I:I,"S2",F:F,"ATOF")</f>
        <v>0</v>
      </c>
      <c r="AH524" s="181">
        <f>COUNTIFS(D:D,"AD",L:L,"3;1",I:I,"S2",F:F,"ATBK")</f>
        <v>0</v>
      </c>
      <c r="AI524" s="182">
        <f>COUNTIFS(D:D,"AD",L:L,"3;1",I:I,"S2",F:F,"WINSTAN")</f>
        <v>0</v>
      </c>
      <c r="AJ524" s="182">
        <f>COUNTIFS(D:D,"AD",L:L,"3;1",I:I,"S2",F:F,"WINSTANTI")</f>
        <v>0</v>
      </c>
      <c r="AK524" s="181">
        <f>COUNTIFS(D:D,"AD",L:L,"3;1",I:I,"S2",F:F,"ENTRY")</f>
        <v>0</v>
      </c>
      <c r="AL524" s="181">
        <f>COUNTIFS(D:D,"AD",L:L,"3;1",I:I,"S2",F:F,"KEEPOS")</f>
        <v>0</v>
      </c>
      <c r="AM524" s="222">
        <f>COUNTIFS(D:D,"AD",L:L,"3;1",I:I,"S2")</f>
        <v>0</v>
      </c>
      <c r="AN524" s="181">
        <f>COUNTIFS(D:D,"AD",L:L,"3;0",I:I,"S2",F:F,"ATONGOAL")</f>
        <v>0</v>
      </c>
      <c r="AO524" s="182">
        <f>COUNTIFS(D:D,"AD",L:L,"3;0",I:I,"S2",F:F,"ATON")</f>
        <v>0</v>
      </c>
      <c r="AP524" s="182">
        <f>COUNTIFS(D:D,"AD",L:L,"3;0",I:I,"S2",F:F,"ATOF")</f>
        <v>0</v>
      </c>
      <c r="AQ524" s="182">
        <f>COUNTIFS(D:D,"AD",L:L,"3;0",I:I,"S2",F:F,"ATBK")</f>
        <v>0</v>
      </c>
      <c r="AR524" s="182">
        <f>COUNTIFS(D:D,"AD",L:L,"3;0",I:I,"S2",F:F,"WINSTAN")</f>
        <v>0</v>
      </c>
      <c r="AS524" s="182">
        <f>COUNTIFS(D:D,"AD",L:L,"3;0",I:I,"S2",F:F,"WINSTANTI")</f>
        <v>0</v>
      </c>
      <c r="AT524" s="181">
        <f>COUNTIFS(D:D,"AD",L:L,"3;0",I:I,"S2",F:F,"ENTRY")</f>
        <v>0</v>
      </c>
      <c r="AU524" s="181">
        <f>COUNTIFS(D:D,"AD",L:L,"3;0",I:I,"S2",F:F,"KEEPOS")</f>
        <v>0</v>
      </c>
      <c r="AV524" s="171">
        <f>COUNTIFS(D:D,"AD",L:L,"3;0",I:I,"S2")</f>
        <v>0</v>
      </c>
      <c r="AW524" s="181">
        <f>COUNTIFS(D:D,"AD",L:L,"3;-1",I:I,"S2",F:F,"ATONGOAL")</f>
        <v>0</v>
      </c>
      <c r="AX524" s="182">
        <f>COUNTIFS(D:D,"AD",L:L,"3;-1",I:I,"S2",F:F,"ATON")</f>
        <v>0</v>
      </c>
      <c r="AY524" s="182">
        <f>COUNTIFS(D:D,"AD",L:L,"3;-1",I:I,"S2",F:F,"ATOF")</f>
        <v>0</v>
      </c>
      <c r="AZ524" s="182">
        <f>COUNTIFS(D:D,"AD",L:L,"3;-1",I:I,"S2",F:F,"ATBK")</f>
        <v>0</v>
      </c>
      <c r="BA524" s="182">
        <f>COUNTIFS(D:D,"AD",L:L,"3;-1",I:I,"S2",F:F,"WINSTAN")</f>
        <v>0</v>
      </c>
      <c r="BB524" s="182">
        <f>COUNTIFS(D:D,"AD",L:L,"3;-1",I:I,"S2",F:F,"WINSTANTI")</f>
        <v>0</v>
      </c>
      <c r="BC524" s="181">
        <f>COUNTIFS(D:D,"AD",L:L,"3;-1",I:I,"S2",F:F,"ENTRY")</f>
        <v>0</v>
      </c>
      <c r="BD524" s="181">
        <f>COUNTIFS(D:D,"AD",L:L,"3;-1",I:I,"S2",F:F,"KEEPOS")</f>
        <v>0</v>
      </c>
      <c r="BE524" s="223">
        <f>COUNTIFS(D:D,"AD",L:L,"3;-1",I:I,"S2")</f>
        <v>0</v>
      </c>
    </row>
    <row r="525" spans="15:57" s="115" customFormat="1" ht="15.75">
      <c r="O525" s="91"/>
      <c r="X525" s="115">
        <f t="shared" si="110"/>
        <v>0</v>
      </c>
      <c r="Y525" s="115">
        <f t="shared" si="111"/>
        <v>0</v>
      </c>
      <c r="Z525" s="115" t="e">
        <f t="shared" si="112"/>
        <v>#VALUE!</v>
      </c>
      <c r="AA525" s="115">
        <f t="shared" si="113"/>
        <v>0</v>
      </c>
      <c r="AB525" s="246"/>
      <c r="AE525" s="179">
        <f>COUNTIFS(D:D,"DA",L:L,"4;1",I:I,"S2",F:F,"ATONGOAL")</f>
        <v>0</v>
      </c>
      <c r="AF525" s="179">
        <f>COUNTIFS(D:D,"DA",L:L,"4;1",I:I,"S2",F:F,"ATON")</f>
        <v>0</v>
      </c>
      <c r="AG525" s="179">
        <f>COUNTIFS(D:D,"DA",L:L,"4;1",I:I,"S2",F:F,"ATOF")</f>
        <v>0</v>
      </c>
      <c r="AH525" s="179">
        <f>COUNTIFS(D:D,"DA",L:L,"4;1",I:I,"S2",F:F,"ATBK")</f>
        <v>0</v>
      </c>
      <c r="AI525" s="180">
        <f>COUNTIFS(D:D,"DA",L:L,"4;1",I:I,"S2",F:F,"WINSTAN")</f>
        <v>0</v>
      </c>
      <c r="AJ525" s="180">
        <f>COUNTIFS(D:D,"DA",L:L,"4;1",I:I,"S2",F:F,"WINSTANTI")</f>
        <v>0</v>
      </c>
      <c r="AK525" s="179">
        <f>COUNTIFS(D:D,"DA",L:L,"4;1",I:I,"S2",F:F,"ENTRY")</f>
        <v>0</v>
      </c>
      <c r="AL525" s="179">
        <f>COUNTIFS(D:D,"DA",L:L,"4;1",I:I,"S2",F:F,"KEEPOS")</f>
        <v>0</v>
      </c>
      <c r="AM525" s="219">
        <f>COUNTIFS(D:D,"DA",L:L,"4;1",I:I,"S2")</f>
        <v>0</v>
      </c>
      <c r="AN525" s="179">
        <f>COUNTIFS(D:D,"DA",L:L,"4;0",I:I,"S2",F:F,"ATONGOAL")</f>
        <v>0</v>
      </c>
      <c r="AO525" s="180">
        <f>COUNTIFS(D:D,"DA",L:L,"4;0",I:I,"S2",F:F,"ATON")</f>
        <v>0</v>
      </c>
      <c r="AP525" s="180">
        <f>COUNTIFS(D:D,"DA",L:L,"4;0",I:I,"S2",F:F,"ATOF")</f>
        <v>0</v>
      </c>
      <c r="AQ525" s="180">
        <f>COUNTIFS(D:D,"DA",L:L,"4;0",I:I,"S2",F:F,"ATBK")</f>
        <v>0</v>
      </c>
      <c r="AR525" s="180">
        <f>COUNTIFS(D:D,"DA",L:L,"4;0",I:I,"S2",F:F,"WINSTAN")</f>
        <v>0</v>
      </c>
      <c r="AS525" s="180">
        <f>COUNTIFS(D:D,"DA",L:L,"4;0",I:I,"S2",F:F,"WINSTANTI")</f>
        <v>0</v>
      </c>
      <c r="AT525" s="179">
        <f>COUNTIFS(D:D,"DA",L:L,"4;0",I:I,"S2",F:F,"ENTRY")</f>
        <v>0</v>
      </c>
      <c r="AU525" s="179">
        <f>COUNTIFS(D:D,"DA",L:L,"4;0",I:I,"S2",F:F,"KEEPOS")</f>
        <v>0</v>
      </c>
      <c r="AV525" s="170">
        <f>COUNTIFS(D:D,"DA",L:L,"4;0",I:I,"S2")</f>
        <v>0</v>
      </c>
      <c r="AW525" s="179">
        <f>COUNTIFS(D:D,"DA",L:L,"4;-1",I:I,"S2",F:F,"ATONGOAL")</f>
        <v>0</v>
      </c>
      <c r="AX525" s="180">
        <f>COUNTIFS(D:D,"DA",L:L,"4;-1",I:I,"S2",F:F,"ATON")</f>
        <v>0</v>
      </c>
      <c r="AY525" s="180">
        <f>COUNTIFS(D:D,"DA",L:L,"4;-1",I:I,"S2",F:F,"ATOF")</f>
        <v>0</v>
      </c>
      <c r="AZ525" s="180">
        <f>COUNTIFS(D:D,"DA",L:L,"4;-1",I:I,"S2",F:F,"ATBK")</f>
        <v>0</v>
      </c>
      <c r="BA525" s="180">
        <f>COUNTIFS(D:D,"DA",L:L,"4;-1",I:I,"S2",F:F,"WINSTAN")</f>
        <v>0</v>
      </c>
      <c r="BB525" s="180">
        <f>COUNTIFS(D:D,"DA",L:L,"4;-1",I:I,"S2",F:F,"WINSTANTI")</f>
        <v>0</v>
      </c>
      <c r="BC525" s="179">
        <f>COUNTIFS(D:D,"DA",L:L,"4;-1",I:I,"S2",F:F,"ENTRY")</f>
        <v>0</v>
      </c>
      <c r="BD525" s="179">
        <f>COUNTIFS(D:D,"DA",L:L,"4;-1",I:I,"S2",F:F,"KEEPOS")</f>
        <v>0</v>
      </c>
      <c r="BE525" s="220">
        <f>COUNTIFS(D:D,"DA",L:L,"4;-1",I:I,"S2")</f>
        <v>0</v>
      </c>
    </row>
    <row r="526" spans="15:57" s="115" customFormat="1">
      <c r="O526" s="91"/>
      <c r="X526" s="115">
        <f t="shared" si="110"/>
        <v>0</v>
      </c>
      <c r="Y526" s="115">
        <f t="shared" si="111"/>
        <v>0</v>
      </c>
      <c r="Z526" s="115" t="e">
        <f t="shared" si="112"/>
        <v>#VALUE!</v>
      </c>
      <c r="AA526" s="115">
        <f t="shared" si="113"/>
        <v>0</v>
      </c>
      <c r="AB526" s="246"/>
      <c r="AE526" s="181">
        <f>COUNTIFS(D:D,"AD",L:L,"4;1",I:I,"S2",F:F,"ATONGOAL")</f>
        <v>0</v>
      </c>
      <c r="AF526" s="181">
        <f>COUNTIFS(D:D,"AD",L:L,"4;1",I:I,"S2",F:F,"ATON")</f>
        <v>0</v>
      </c>
      <c r="AG526" s="181">
        <f>COUNTIFS(D:D,"AD",L:L,"4;1",I:I,"S2",F:F,"ATOF")</f>
        <v>0</v>
      </c>
      <c r="AH526" s="181">
        <f>COUNTIFS(D:D,"AD",L:L,"4;1",I:I,"S2",F:F,"ATBK")</f>
        <v>0</v>
      </c>
      <c r="AI526" s="182">
        <f>COUNTIFS(D:D,"AD",L:L,"4;1",I:I,"S2",F:F,"WINSTAN")</f>
        <v>0</v>
      </c>
      <c r="AJ526" s="182">
        <f>COUNTIFS(D:D,"AD",L:L,"4;1",I:I,"S2",F:F,"WINSTANTI")</f>
        <v>0</v>
      </c>
      <c r="AK526" s="181">
        <f>COUNTIFS(D:D,"AD",L:L,"4;1",I:I,"S2",F:F,"ENTRY")</f>
        <v>0</v>
      </c>
      <c r="AL526" s="181">
        <f>COUNTIFS(D:D,"AD",L:L,"4;1",I:I,"S2",F:F,"KEEPOS")</f>
        <v>0</v>
      </c>
      <c r="AM526" s="222">
        <f>COUNTIFS(D:D,"AD",L:L,"4;1",I:I,"S2")</f>
        <v>0</v>
      </c>
      <c r="AN526" s="181">
        <f>COUNTIFS(D:D,"AD",L:L,"4;0",I:I,"S2",F:F,"ATONGOAL")</f>
        <v>0</v>
      </c>
      <c r="AO526" s="182">
        <f>COUNTIFS(D:D,"AD",L:L,"4;0",I:I,"S2",F:F,"ATON")</f>
        <v>0</v>
      </c>
      <c r="AP526" s="182">
        <f>COUNTIFS(D:D,"AD",L:L,"4;0",I:I,"S2",F:F,"ATOF")</f>
        <v>0</v>
      </c>
      <c r="AQ526" s="182">
        <f>COUNTIFS(D:D,"AD",L:L,"4;0",I:I,"S2",F:F,"ATBK")</f>
        <v>0</v>
      </c>
      <c r="AR526" s="182">
        <f>COUNTIFS(D:D,"AD",L:L,"4;0",I:I,"S2",F:F,"WINSTAN")</f>
        <v>0</v>
      </c>
      <c r="AS526" s="182">
        <f>COUNTIFS(D:D,"AD",L:L,"4;0",I:I,"S2",F:F,"WINSTANTI")</f>
        <v>0</v>
      </c>
      <c r="AT526" s="181">
        <f>COUNTIFS(D:D,"AD",L:L,"4;0",I:I,"S2",F:F,"ENTRY")</f>
        <v>0</v>
      </c>
      <c r="AU526" s="181">
        <f>COUNTIFS(D:D,"AD",L:L,"4;0",I:I,"S2",F:F,"KEEPOS")</f>
        <v>0</v>
      </c>
      <c r="AV526" s="171">
        <f>COUNTIFS(D:D,"AD",L:L,"4;0",I:I,"S2")</f>
        <v>0</v>
      </c>
      <c r="AW526" s="181">
        <f>COUNTIFS(D:D,"AD",L:L,"4;-1",I:I,"S2",F:F,"ATONGOAL")</f>
        <v>0</v>
      </c>
      <c r="AX526" s="182">
        <f>COUNTIFS(D:D,"AD",L:L,"4;-1",I:I,"S2",F:F,"ATON")</f>
        <v>0</v>
      </c>
      <c r="AY526" s="182">
        <f>COUNTIFS(D:D,"AD",L:L,"4;-1",I:I,"S2",F:F,"ATOF")</f>
        <v>0</v>
      </c>
      <c r="AZ526" s="182">
        <f>COUNTIFS(D:D,"AD",L:L,"4;-1",I:I,"S2",F:F,"ATBK")</f>
        <v>0</v>
      </c>
      <c r="BA526" s="182">
        <f>COUNTIFS(D:D,"AD",L:L,"4;-1",I:I,"S2",F:F,"WINSTAN")</f>
        <v>0</v>
      </c>
      <c r="BB526" s="182">
        <f>COUNTIFS(D:D,"AD",L:L,"4;-1",I:I,"S2",F:F,"WINSTANTI")</f>
        <v>0</v>
      </c>
      <c r="BC526" s="181">
        <f>COUNTIFS(D:D,"AD",L:L,"4;-1",I:I,"S2",F:F,"ENTRY")</f>
        <v>0</v>
      </c>
      <c r="BD526" s="181">
        <f>COUNTIFS(D:D,"AD",L:L,"4;-1",I:I,"S2",F:F,"KEEPOS")</f>
        <v>0</v>
      </c>
      <c r="BE526" s="223">
        <f>COUNTIFS(D:D,"AD",L:L,"4;-1",I:I,"S2")</f>
        <v>0</v>
      </c>
    </row>
    <row r="527" spans="15:57" s="115" customFormat="1" ht="15.75">
      <c r="O527" s="91"/>
      <c r="X527" s="115">
        <f t="shared" si="110"/>
        <v>0</v>
      </c>
      <c r="Y527" s="115">
        <f t="shared" si="111"/>
        <v>0</v>
      </c>
      <c r="Z527" s="115" t="e">
        <f t="shared" si="112"/>
        <v>#VALUE!</v>
      </c>
      <c r="AA527" s="115">
        <f t="shared" si="113"/>
        <v>0</v>
      </c>
      <c r="AB527" s="246"/>
      <c r="AE527" s="179">
        <f>COUNTIFS(D:D,"DA",L:L,"5;1",I:I,"S2",F:F,"ATONGOAL")+AE525</f>
        <v>0</v>
      </c>
      <c r="AF527" s="179">
        <f>COUNTIFS(D:D,"DA",L:L,"5;1",I:I,"S2",F:F,"ATON")+AF525</f>
        <v>0</v>
      </c>
      <c r="AG527" s="179">
        <f>COUNTIFS(D:D,"DA",L:L,"5;1",I:I,"S2",F:F,"ATOF")+AG525</f>
        <v>0</v>
      </c>
      <c r="AH527" s="179">
        <f>COUNTIFS(D:D,"DA",L:L,"5;1",I:I,"S2",F:F,"ATBK")+AH525</f>
        <v>0</v>
      </c>
      <c r="AI527" s="180">
        <f>COUNTIFS(D:D,"DA",L:L,"5;1",I:I,"S2",F:F,"WINSTAN")+AI525</f>
        <v>0</v>
      </c>
      <c r="AJ527" s="180">
        <f>COUNTIFS(D:D,"DA",L:L,"5;1",I:I,"S2",F:F,"WINSTANTI")+AJ525</f>
        <v>0</v>
      </c>
      <c r="AK527" s="179">
        <f>COUNTIFS(D:D,"DA",L:L,"5;1",I:I,"S2",F:F,"ENTRY")+AK525</f>
        <v>0</v>
      </c>
      <c r="AL527" s="179">
        <f>COUNTIFS(D:D,"DA",L:L,"5;1",I:I,"S2",F:F,"KEEPOS")+AL525</f>
        <v>0</v>
      </c>
      <c r="AM527" s="219">
        <f>COUNTIFS(D:D,"DA",L:L,"5;1",I:I,"S2")+AM525</f>
        <v>0</v>
      </c>
      <c r="AN527" s="179">
        <f>COUNTIFS(D:D,"DA",L:L,"5;0",I:I,"S2",F:F,"ATONGOAL")</f>
        <v>0</v>
      </c>
      <c r="AO527" s="180">
        <f>COUNTIFS(D:D,"DA",L:L,"5;0",I:I,"S2",F:F,"ATON")</f>
        <v>0</v>
      </c>
      <c r="AP527" s="180">
        <f>COUNTIFS(D:D,"DA",L:L,"5;0",I:I,"S2",F:F,"ATOF")</f>
        <v>0</v>
      </c>
      <c r="AQ527" s="180">
        <f>COUNTIFS(D:D,"DA",L:L,"5;0",I:I,"S2",F:F,"ATBK")</f>
        <v>0</v>
      </c>
      <c r="AR527" s="180">
        <f>COUNTIFS(D:D,"DA",L:L,"5;0",I:I,"S2",F:F,"WINSTAN")</f>
        <v>0</v>
      </c>
      <c r="AS527" s="180">
        <f>COUNTIFS(D:D,"DA",L:L,"5;0",I:I,"S2",F:F,"WINSTANTI")</f>
        <v>0</v>
      </c>
      <c r="AT527" s="179">
        <f>COUNTIFS(D:D,"DA",L:L,"5;0",I:I,"S2",F:F,"ENTRY")</f>
        <v>0</v>
      </c>
      <c r="AU527" s="179">
        <f>COUNTIFS(D:D,"DA",L:L,"5;0",I:I,"S2",F:F,"KEEPOS")</f>
        <v>0</v>
      </c>
      <c r="AV527" s="170">
        <f>COUNTIFS(D:D,"DA",L:L,"5;0",I:I,"S2")</f>
        <v>0</v>
      </c>
      <c r="AW527" s="179">
        <f>COUNTIFS(D:D,"DA",L:L,"5;-1",I:I,"S2",F:F,"ATONGOAL")+AW525</f>
        <v>0</v>
      </c>
      <c r="AX527" s="180">
        <f>COUNTIFS(D:D,"DA",L:L,"5;-1",I:I,"S2",F:F,"ATON")+AX525</f>
        <v>0</v>
      </c>
      <c r="AY527" s="180">
        <f>COUNTIFS(D:D,"DA",L:L,"5;-1",I:I,"S2",F:F,"ATOF")+AY525</f>
        <v>0</v>
      </c>
      <c r="AZ527" s="180">
        <f>COUNTIFS(D:D,"DA",L:L,"5;-1",I:I,"S2",F:F,"ATBK")+AZ525</f>
        <v>0</v>
      </c>
      <c r="BA527" s="180">
        <f>COUNTIFS(D:D,"DA",L:L,"5;-1",I:I,"S2",F:F,"WINSTAN")+BA525</f>
        <v>0</v>
      </c>
      <c r="BB527" s="180">
        <f>COUNTIFS(D:D,"DA",L:L,"5;-1",I:I,"S2",F:F,"WINSTANTI")+BB525</f>
        <v>0</v>
      </c>
      <c r="BC527" s="179">
        <f>COUNTIFS(D:D,"DA",L:L,"5;-1",I:I,"S2",F:F,"ENTRY")+BC525</f>
        <v>0</v>
      </c>
      <c r="BD527" s="179">
        <f>COUNTIFS(D:D,"DA",L:L,"5;-1",I:I,"S2",F:F,"KEEPOS")+BD525</f>
        <v>0</v>
      </c>
      <c r="BE527" s="220">
        <f>COUNTIFS(D:D,"DA",L:L,"5;-1",I:I,"S2")+BE525</f>
        <v>0</v>
      </c>
    </row>
    <row r="528" spans="15:57">
      <c r="O528" s="91"/>
      <c r="X528" s="115">
        <f t="shared" si="110"/>
        <v>0</v>
      </c>
      <c r="Y528" s="115">
        <f t="shared" si="111"/>
        <v>0</v>
      </c>
      <c r="Z528" s="115" t="e">
        <f t="shared" si="112"/>
        <v>#VALUE!</v>
      </c>
      <c r="AA528" s="115">
        <f t="shared" si="113"/>
        <v>0</v>
      </c>
      <c r="AE528" s="181">
        <f>COUNTIFS(D:D,"AD",L:L,"5;1",I:I,"S2",F:F,"ATONGOAL")+AE526</f>
        <v>0</v>
      </c>
      <c r="AF528" s="181">
        <f>COUNTIFS(D:D,"AD",L:L,"5;1",I:I,"S2",F:F,"ATON")+AF526</f>
        <v>0</v>
      </c>
      <c r="AG528" s="181">
        <f>COUNTIFS(D:D,"AD",L:L,"5;1",I:I,"S2",F:F,"ATOF")+AG526</f>
        <v>0</v>
      </c>
      <c r="AH528" s="181">
        <f>COUNTIFS(D:D,"AD",L:L,"5;1",I:I,"S2",F:F,"ATBK")+AH526</f>
        <v>0</v>
      </c>
      <c r="AI528" s="182">
        <f>COUNTIFS(D:D,"AD",L:L,"5;1",I:I,"S2",F:F,"WINSTAN")+AI526</f>
        <v>0</v>
      </c>
      <c r="AJ528" s="182">
        <f>COUNTIFS(D:D,"AD",L:L,"5;1",I:I,"S2",F:F,"WINSTANTI")+AJ526</f>
        <v>0</v>
      </c>
      <c r="AK528" s="181">
        <f>COUNTIFS(D:D,"AD",L:L,"5;1",I:I,"S2",F:F,"ENTRY")+AK526</f>
        <v>0</v>
      </c>
      <c r="AL528" s="181">
        <f>COUNTIFS(D:D,"AD",L:L,"5;1",I:I,"S2",F:F,"KEEPOS")+AL526</f>
        <v>0</v>
      </c>
      <c r="AM528" s="222">
        <f>COUNTIFS(D:D,"AD",L:L,"5;1",I:I,"S2")+AM526</f>
        <v>0</v>
      </c>
      <c r="AN528" s="181">
        <f>COUNTIFS(D:D,"AD",L:L,"5;0",I:I,"S2",F:F,"ATONGOAL")</f>
        <v>0</v>
      </c>
      <c r="AO528" s="182">
        <f>COUNTIFS(D:D,"AD",L:L,"5;0",I:I,"S2",F:F,"ATON")</f>
        <v>0</v>
      </c>
      <c r="AP528" s="182">
        <f>COUNTIFS(D:D,"AD",L:L,"5;0",I:I,"S2",F:F,"ATOF")</f>
        <v>0</v>
      </c>
      <c r="AQ528" s="182">
        <f>COUNTIFS(D:D,"AD",L:L,"5;0",I:I,"S2",F:F,"ATBK")</f>
        <v>0</v>
      </c>
      <c r="AR528" s="182">
        <f>COUNTIFS(D:D,"AD",L:L,"5;0",I:I,"S2",F:F,"WINSTAN")</f>
        <v>0</v>
      </c>
      <c r="AS528" s="182">
        <f>COUNTIFS(D:D,"AD",L:L,"5;0",I:I,"S2",F:F,"WINSTANTI")</f>
        <v>0</v>
      </c>
      <c r="AT528" s="181">
        <f>COUNTIFS(D:D,"AD",L:L,"5;0",I:I,"S2",F:F,"ENTRY")</f>
        <v>0</v>
      </c>
      <c r="AU528" s="181">
        <f>COUNTIFS(D:D,"AD",L:L,"5;0",I:I,"S2",F:F,"KEEPOS")</f>
        <v>0</v>
      </c>
      <c r="AV528" s="171">
        <f>COUNTIFS(D:D,"AD",L:L,"5;0",I:I,"S2")</f>
        <v>0</v>
      </c>
      <c r="AW528" s="181">
        <f>COUNTIFS(D:D,"AD",L:L,"5;-1",I:I,"S2",F:F,"ATONGOAL")+AW526</f>
        <v>0</v>
      </c>
      <c r="AX528" s="182">
        <f>COUNTIFS(D:D,"AD",L:L,"5;-1",I:I,"S2",F:F,"ATON")+AX526</f>
        <v>0</v>
      </c>
      <c r="AY528" s="182">
        <f>COUNTIFS(D:D,"AD",L:L,"5;-1",I:I,"S2",F:F,"ATOF")+AY526</f>
        <v>0</v>
      </c>
      <c r="AZ528" s="182">
        <f>COUNTIFS(D:D,"AD",L:L,"5;-1",I:I,"S2",F:F,"ATBK")+AZ526</f>
        <v>0</v>
      </c>
      <c r="BA528" s="182">
        <f>COUNTIFS(D:D,"AD",L:L,"5;-1",I:I,"S2",F:F,"WINSTAN")+BA526</f>
        <v>0</v>
      </c>
      <c r="BB528" s="182">
        <f>COUNTIFS(D:D,"AD",L:L,"5;-1",I:I,"S2",F:F,"WINSTANTI")+BB526</f>
        <v>0</v>
      </c>
      <c r="BC528" s="181">
        <f>COUNTIFS(D:D,"AD",L:L,"5;-1",I:I,"S2",F:F,"ENTRY")+BC526</f>
        <v>0</v>
      </c>
      <c r="BD528" s="181">
        <f>COUNTIFS(D:D,"AD",L:L,"5;-1",I:I,"S2",F:F,"KEEPOS")+BD526</f>
        <v>0</v>
      </c>
      <c r="BE528" s="223">
        <f>COUNTIFS(D:D,"AD",L:L,"5;-1",I:I,"S2")+BE526</f>
        <v>0</v>
      </c>
    </row>
    <row r="529" spans="15:57">
      <c r="O529" s="91"/>
      <c r="X529" s="115">
        <f t="shared" si="110"/>
        <v>0</v>
      </c>
      <c r="Y529" s="115">
        <f t="shared" si="111"/>
        <v>0</v>
      </c>
      <c r="Z529" s="115" t="e">
        <f t="shared" si="112"/>
        <v>#VALUE!</v>
      </c>
      <c r="AA529" s="115">
        <f t="shared" si="113"/>
        <v>0</v>
      </c>
      <c r="AR529"/>
    </row>
    <row r="530" spans="15:57">
      <c r="O530" s="91"/>
      <c r="X530" s="115">
        <f t="shared" si="110"/>
        <v>0</v>
      </c>
      <c r="Y530" s="115">
        <f t="shared" si="111"/>
        <v>0</v>
      </c>
      <c r="Z530" s="115" t="e">
        <f t="shared" si="112"/>
        <v>#VALUE!</v>
      </c>
      <c r="AA530" s="115">
        <f t="shared" si="113"/>
        <v>0</v>
      </c>
      <c r="AR530"/>
    </row>
    <row r="531" spans="15:57">
      <c r="O531" s="91"/>
      <c r="X531" s="115">
        <f t="shared" si="110"/>
        <v>0</v>
      </c>
      <c r="Y531" s="115">
        <f t="shared" si="111"/>
        <v>0</v>
      </c>
      <c r="Z531" s="115" t="e">
        <f t="shared" si="112"/>
        <v>#VALUE!</v>
      </c>
      <c r="AA531" s="115">
        <f t="shared" si="113"/>
        <v>0</v>
      </c>
      <c r="AE531" s="115"/>
      <c r="AF531" s="115"/>
      <c r="AG531" s="115"/>
      <c r="AH531" s="115"/>
      <c r="AI531" s="115"/>
      <c r="AJ531" s="115"/>
      <c r="AK531" s="367" t="s">
        <v>718</v>
      </c>
      <c r="AL531" s="217"/>
      <c r="AM531" s="115"/>
      <c r="AN531" s="115"/>
      <c r="AO531" s="115"/>
      <c r="AP531" s="115"/>
      <c r="AQ531" s="115"/>
      <c r="AS531" s="115"/>
      <c r="AT531" s="115"/>
      <c r="AU531" s="115"/>
      <c r="AV531" s="115"/>
      <c r="AW531" s="115"/>
      <c r="AX531" s="115"/>
      <c r="AY531" s="115"/>
      <c r="AZ531" s="115"/>
      <c r="BA531" s="115"/>
      <c r="BB531" s="115"/>
      <c r="BC531" s="115"/>
      <c r="BD531" s="115"/>
      <c r="BE531" s="115"/>
    </row>
    <row r="532" spans="15:57">
      <c r="O532" s="91"/>
      <c r="X532" s="115">
        <f t="shared" si="110"/>
        <v>0</v>
      </c>
      <c r="Y532" s="115">
        <f t="shared" si="111"/>
        <v>0</v>
      </c>
      <c r="Z532" s="115" t="e">
        <f t="shared" si="112"/>
        <v>#VALUE!</v>
      </c>
      <c r="AA532" s="115">
        <f t="shared" si="113"/>
        <v>0</v>
      </c>
      <c r="AE532" s="115"/>
      <c r="AF532" s="115"/>
      <c r="AG532" s="115"/>
      <c r="AH532" s="115"/>
      <c r="AI532" s="115"/>
      <c r="AJ532" s="115"/>
      <c r="AK532" s="218" t="s">
        <v>220</v>
      </c>
      <c r="AL532" s="218"/>
      <c r="AM532" s="115"/>
      <c r="AN532" s="115"/>
      <c r="AO532" s="115"/>
      <c r="AP532" s="115"/>
      <c r="AQ532" s="115"/>
      <c r="AS532" s="115"/>
      <c r="AT532" s="115"/>
      <c r="AU532" s="115"/>
      <c r="AV532" s="115"/>
      <c r="AW532" s="115"/>
      <c r="AX532" s="115"/>
      <c r="AY532" s="115"/>
      <c r="AZ532" s="115"/>
      <c r="BA532" s="115"/>
      <c r="BB532" s="115"/>
      <c r="BC532" s="115"/>
      <c r="BD532" s="115"/>
      <c r="BE532" s="115"/>
    </row>
    <row r="533" spans="15:57">
      <c r="O533" s="91"/>
      <c r="X533" s="115">
        <f t="shared" si="110"/>
        <v>0</v>
      </c>
      <c r="Y533" s="115">
        <f t="shared" si="111"/>
        <v>0</v>
      </c>
      <c r="Z533" s="115" t="e">
        <f t="shared" si="112"/>
        <v>#VALUE!</v>
      </c>
      <c r="AA533" s="115">
        <f t="shared" si="113"/>
        <v>0</v>
      </c>
      <c r="AE533" s="115" t="s">
        <v>311</v>
      </c>
      <c r="AF533" s="115" t="s">
        <v>9</v>
      </c>
      <c r="AG533" s="115" t="s">
        <v>8</v>
      </c>
      <c r="AH533" s="115" t="s">
        <v>19</v>
      </c>
      <c r="AI533" s="115" t="s">
        <v>7</v>
      </c>
      <c r="AJ533" s="115" t="s">
        <v>163</v>
      </c>
      <c r="AK533" s="115" t="s">
        <v>310</v>
      </c>
      <c r="AL533" s="115" t="s">
        <v>156</v>
      </c>
      <c r="AM533" s="115" t="s">
        <v>45</v>
      </c>
      <c r="AN533" s="115" t="s">
        <v>311</v>
      </c>
      <c r="AO533" s="115" t="s">
        <v>9</v>
      </c>
      <c r="AP533" s="115" t="s">
        <v>8</v>
      </c>
      <c r="AQ533" s="115" t="s">
        <v>19</v>
      </c>
      <c r="AR533" s="115" t="s">
        <v>7</v>
      </c>
      <c r="AS533" s="115" t="s">
        <v>163</v>
      </c>
      <c r="AT533" s="115" t="s">
        <v>310</v>
      </c>
      <c r="AU533" s="115" t="s">
        <v>156</v>
      </c>
      <c r="AV533" s="115" t="s">
        <v>45</v>
      </c>
      <c r="AW533" s="115" t="s">
        <v>311</v>
      </c>
      <c r="AX533" s="115" t="s">
        <v>9</v>
      </c>
      <c r="AY533" s="115" t="s">
        <v>8</v>
      </c>
      <c r="AZ533" s="115" t="s">
        <v>19</v>
      </c>
      <c r="BA533" s="115" t="s">
        <v>7</v>
      </c>
      <c r="BB533" s="115" t="s">
        <v>163</v>
      </c>
      <c r="BC533" s="115" t="s">
        <v>310</v>
      </c>
      <c r="BD533" s="115" t="s">
        <v>156</v>
      </c>
      <c r="BE533" s="115" t="s">
        <v>45</v>
      </c>
    </row>
    <row r="534" spans="15:57" ht="15.75">
      <c r="O534" s="91"/>
      <c r="X534" s="115">
        <f t="shared" si="110"/>
        <v>0</v>
      </c>
      <c r="Y534" s="115">
        <f t="shared" si="111"/>
        <v>0</v>
      </c>
      <c r="Z534" s="115" t="e">
        <f t="shared" si="112"/>
        <v>#VALUE!</v>
      </c>
      <c r="AA534" s="115">
        <f t="shared" si="113"/>
        <v>0</v>
      </c>
      <c r="AE534" s="179">
        <f>COUNTIFS(D:D,"DA",L:L,"-2;1",I:I,"S1",F:F,"ATONGOAL")+AE536</f>
        <v>0</v>
      </c>
      <c r="AF534" s="179">
        <f>COUNTIFS(D:D,"DA",L:L,"-2;1",I:I,"S1",F:F,"ATON")+AF536</f>
        <v>0</v>
      </c>
      <c r="AG534" s="179">
        <f>COUNTIFS(D:D,"DA",L:L,"-2;1",I:I,"S1",F:F,"ATOF")+AG536</f>
        <v>0</v>
      </c>
      <c r="AH534" s="179">
        <f>COUNTIFS(D:D,"DA",L:L,"-2;1",I:I,"S1",F:F,"ATBK")+AH536</f>
        <v>0</v>
      </c>
      <c r="AI534" s="180">
        <f>COUNTIFS(D:D,"DA",L:L,"-2;1",I:I,"S1",F:F,"WINSTAN")+AI536</f>
        <v>0</v>
      </c>
      <c r="AJ534" s="180">
        <f>COUNTIFS(D:D,"DA",L:L,"-2;1",I:I,"S1",F:F,"WINSTANTI")+AJ536</f>
        <v>0</v>
      </c>
      <c r="AK534" s="179">
        <f>COUNTIFS(D:D,"DA",L:L,"-2;1",I:I,"S1",F:F,"ENTRY")+AK536</f>
        <v>0</v>
      </c>
      <c r="AL534" s="179">
        <f>COUNTIFS(D:D,"DA",L:L,"-2;1",I:I,"S1",F:F,"KEEPOS")+AL536</f>
        <v>0</v>
      </c>
      <c r="AM534" s="219">
        <f>COUNTIFS(D:D,"DA",L:L,"-2;1",I:I,"S1")+AM536</f>
        <v>0</v>
      </c>
      <c r="AN534" s="179">
        <f>COUNTIFS(D:D,"DA",L:L,"-2;0",I:I,"S1",F:F,"ATONGOAL")</f>
        <v>0</v>
      </c>
      <c r="AO534" s="180">
        <f>COUNTIFS(D:D,"DA",L:L,"-2;0",I:I,"S1",F:F,"ATON")</f>
        <v>0</v>
      </c>
      <c r="AP534" s="180">
        <f>COUNTIFS(D:D,"DA",L:L,"-2;0",I:I,"S1",F:F,"ATOF")</f>
        <v>0</v>
      </c>
      <c r="AQ534" s="180">
        <f>COUNTIFS(D:D,"DA",L:L,"-2;0",I:I,"S1",F:F,"ATBK")</f>
        <v>0</v>
      </c>
      <c r="AR534" s="180">
        <f>COUNTIFS(D:D,"DA",L:L,"-2;0",I:I,"S1",F:F,"WINSTAN")</f>
        <v>0</v>
      </c>
      <c r="AS534" s="180">
        <f>COUNTIFS(D:D,"DA",L:L,"-2;0",I:I,"S1",F:F,"WINSTANTI")</f>
        <v>0</v>
      </c>
      <c r="AT534" s="179">
        <f>COUNTIFS(D:D,"DA",L:L,"-2;0",I:I,"S1",F:F,"ENTRY")</f>
        <v>0</v>
      </c>
      <c r="AU534" s="179">
        <f>COUNTIFS(D:D,"DA",L:L,"-2;0",I:I,"S1",F:F,"KEEPOS")</f>
        <v>0</v>
      </c>
      <c r="AV534" s="170">
        <f>COUNTIFS(D:D,"DA",L:L,"-2;0",I:I,"S1")</f>
        <v>0</v>
      </c>
      <c r="AW534" s="179">
        <f>COUNTIFS(D:D,"DA",L:L,"-2;-1",I:I,"S1",F:F,"ATONGOAL")+AW536</f>
        <v>0</v>
      </c>
      <c r="AX534" s="180">
        <f>COUNTIFS(D:D,"DA",L:L,"-2;-1",I:I,"S1",F:F,"ATON")+AX536</f>
        <v>0</v>
      </c>
      <c r="AY534" s="180">
        <f>COUNTIFS(D:D,"DA",L:L,"-2;-1",I:I,"S1",F:F,"ATOF")+AY536</f>
        <v>0</v>
      </c>
      <c r="AZ534" s="180">
        <f>COUNTIFS(D:D,"DA",L:L,"-2;-1",I:I,"S1",F:F,"ATBK")+AZ536</f>
        <v>0</v>
      </c>
      <c r="BA534" s="180">
        <f>COUNTIFS(D:D,"DA",L:L,"-2;-1",I:I,"S1",F:F,"WINSTAN")+BA536</f>
        <v>0</v>
      </c>
      <c r="BB534" s="180">
        <f>COUNTIFS(D:D,"DA",L:L,"-2;-1",I:I,"S1",F:F,"WINSTANTI")+BB536</f>
        <v>0</v>
      </c>
      <c r="BC534" s="179">
        <f>COUNTIFS(D:D,"DA",L:L,"-2;-1",I:I,"S1",F:F,"ENTRY")+BC536</f>
        <v>0</v>
      </c>
      <c r="BD534" s="179">
        <f>COUNTIFS(D:D,"DA",L:L,"-2;-1",I:I,"S1",F:F,"KEEPOS")+BD536</f>
        <v>0</v>
      </c>
      <c r="BE534" s="220">
        <f>COUNTIFS(D:D,"DA",L:L,"-2;-1",I:I,"S1")+BE536</f>
        <v>0</v>
      </c>
    </row>
    <row r="535" spans="15:57">
      <c r="O535" s="91"/>
      <c r="X535" s="115">
        <f t="shared" si="110"/>
        <v>0</v>
      </c>
      <c r="Y535" s="115">
        <f t="shared" si="111"/>
        <v>0</v>
      </c>
      <c r="Z535" s="115" t="e">
        <f t="shared" si="112"/>
        <v>#VALUE!</v>
      </c>
      <c r="AA535" s="115">
        <f t="shared" si="113"/>
        <v>0</v>
      </c>
      <c r="AE535" s="181">
        <f>COUNTIFS(D:D,"AD",L:L,"-2;1",I:I,"S1",F:F,"ATONGOAL")+AE537</f>
        <v>0</v>
      </c>
      <c r="AF535" s="181">
        <f>COUNTIFS(D:D,"AD",L:L,"-2;1",I:I,"S1",F:F,"ATON")+AF537</f>
        <v>0</v>
      </c>
      <c r="AG535" s="181">
        <f>COUNTIFS(D:D,"AD",L:L,"-2;1",I:I,"S1",F:F,"ATOF")+AG537</f>
        <v>0</v>
      </c>
      <c r="AH535" s="181">
        <f>COUNTIFS(D:D,"AD",L:L,"-2;1",I:I,"S1",F:F,"ATBK")+AH537</f>
        <v>0</v>
      </c>
      <c r="AI535" s="182">
        <f>COUNTIFS(D:D,"AD",L:L,"-2;1",I:I,"S1",F:F,"WINSTAN")+AI537</f>
        <v>0</v>
      </c>
      <c r="AJ535" s="182">
        <f>COUNTIFS(D:D,"AD",L:L,"-2;1",I:I,"S1",F:F,"WINSTANTI")+AJ537</f>
        <v>0</v>
      </c>
      <c r="AK535" s="181">
        <f>COUNTIFS(D:D,"AD",L:L,"-2;1",I:I,"S1",F:F,"ENTRY")+AK537</f>
        <v>0</v>
      </c>
      <c r="AL535" s="181">
        <f>COUNTIFS(D:D,"AD",L:L,"-2;1",I:I,"S1",F:F,"KEEPOSL")+AL537</f>
        <v>0</v>
      </c>
      <c r="AM535" s="222">
        <f>COUNTIFS(D:D,"AD",L:L,"-2;1",I:I,"S1")+AM537</f>
        <v>0</v>
      </c>
      <c r="AN535" s="181">
        <f>COUNTIFS(D:D,"AD",L:L,"-2;0",I:I,"S1",F:F,"ATONGOAL")</f>
        <v>0</v>
      </c>
      <c r="AO535" s="182">
        <f>COUNTIFS(D:D,"AD",L:L,"-2;0",I:I,"S1",F:F,"ATON")</f>
        <v>0</v>
      </c>
      <c r="AP535" s="182">
        <f>COUNTIFS(D:D,"AD",L:L,"-2;0",I:I,"S1",F:F,"ATOF")</f>
        <v>0</v>
      </c>
      <c r="AQ535" s="182">
        <f>COUNTIFS(D:D,"AD",L:L,"-2;0",I:I,"S1",F:F,"ATBK")</f>
        <v>0</v>
      </c>
      <c r="AR535" s="182">
        <f>COUNTIFS(D:D,"AD",L:L,"-2;0",I:I,"S1",F:F,"WINSTAN")</f>
        <v>0</v>
      </c>
      <c r="AS535" s="182">
        <f>COUNTIFS(D:D,"AD",L:L,"-2;0",I:I,"S1",F:F,"WINSTANTI")</f>
        <v>0</v>
      </c>
      <c r="AT535" s="181">
        <f>COUNTIFS(D:D,"AD",L:L,"-2;0",I:I,"S1",F:F,"ENTRY")</f>
        <v>0</v>
      </c>
      <c r="AU535" s="181">
        <f>COUNTIFS(D:D,"AD",L:L,"-2;0",I:I,"S1",F:F,"KEEPOS")</f>
        <v>0</v>
      </c>
      <c r="AV535" s="171">
        <f>COUNTIFS(D:D,"AD",L:L,"-2;0",I:I,"S1")</f>
        <v>0</v>
      </c>
      <c r="AW535" s="181">
        <f>COUNTIFS(D:D,"AD",L:L,"-2;-1",I:I,"S1",F:F,"ATONGOAL")+AW537</f>
        <v>0</v>
      </c>
      <c r="AX535" s="182">
        <f>COUNTIFS(D:D,"AD",L:L,"-2;-1",I:I,"S1",F:F,"ATON")+AX537</f>
        <v>0</v>
      </c>
      <c r="AY535" s="182">
        <f>COUNTIFS(D:D,"AD",L:L,"-2;-1",I:I,"S1",F:F,"ATOF")+AY537</f>
        <v>0</v>
      </c>
      <c r="AZ535" s="182">
        <f>COUNTIFS(D:D,"AD",L:L,"-2;-1",I:I,"S1",F:F,"ATBK")+AZ537</f>
        <v>0</v>
      </c>
      <c r="BA535" s="182">
        <f>COUNTIFS(D:D,"AD",L:L,"-2;-1",I:I,"S1",F:F,"WINSTAN")+BA537</f>
        <v>0</v>
      </c>
      <c r="BB535" s="182">
        <f>COUNTIFS(D:D,"AD",L:L,"-2;-1",I:I,"S1",F:F,"WINSTANTI")+BB537</f>
        <v>0</v>
      </c>
      <c r="BC535" s="181">
        <f>COUNTIFS(D:D,"AD",L:L,"-2;-1",I:I,"S1",F:F,"ENTRY")+BC537</f>
        <v>0</v>
      </c>
      <c r="BD535" s="181">
        <f>COUNTIFS(D:D,"AD",L:L,"-2;-1",I:I,"S1",F:F,"KEEPOS")+BD537</f>
        <v>0</v>
      </c>
      <c r="BE535" s="223">
        <f>COUNTIFS(D:D,"AD",L:L,"-2;-1",I:I,"S1")+BE537</f>
        <v>0</v>
      </c>
    </row>
    <row r="536" spans="15:57" ht="15.75">
      <c r="O536" s="91"/>
      <c r="X536" s="115">
        <f t="shared" si="110"/>
        <v>0</v>
      </c>
      <c r="Y536" s="115">
        <f t="shared" si="111"/>
        <v>0</v>
      </c>
      <c r="Z536" s="115" t="e">
        <f t="shared" si="112"/>
        <v>#VALUE!</v>
      </c>
      <c r="AA536" s="115">
        <f t="shared" si="113"/>
        <v>0</v>
      </c>
      <c r="AE536" s="179">
        <f>COUNTIFS(D:D,"DA",L:L,"-1;1",I:I,"S1",F:F,"ATONGOAL")</f>
        <v>0</v>
      </c>
      <c r="AF536" s="179">
        <f>COUNTIFS(D:D,"DA",L:L,"-1;1",I:I,"S1",F:F,"ATON")</f>
        <v>0</v>
      </c>
      <c r="AG536" s="179">
        <f>COUNTIFS(D:D,"DA",L:L,"-1;1",I:I,"S1",F:F,"ATOF")</f>
        <v>0</v>
      </c>
      <c r="AH536" s="179">
        <f>COUNTIFS(D:D,"DA",L:L,"-1;1",I:I,"S1",F:F,"ATBK")</f>
        <v>0</v>
      </c>
      <c r="AI536" s="180">
        <f>COUNTIFS(D:D,"DA",L:L,"-1;1",I:I,"S1",F:F,"WINSTAN")</f>
        <v>0</v>
      </c>
      <c r="AJ536" s="180">
        <f>COUNTIFS(D:D,"DA",L:L,"-1;1",I:I,"S1",F:F,"WINSTANTI")</f>
        <v>0</v>
      </c>
      <c r="AK536" s="179">
        <f>COUNTIFS(D:D,"DA",L:L,"-1;1",I:I,"S1",F:F,"ENTRY")</f>
        <v>0</v>
      </c>
      <c r="AL536" s="179">
        <f>COUNTIFS(D:D,"DA",L:L,"-1;1",I:I,"S1",F:F,"KEEPOS")</f>
        <v>0</v>
      </c>
      <c r="AM536" s="219">
        <f>COUNTIFS(D:D,"DA",L:L,"-1;1",I:I,"S1")</f>
        <v>0</v>
      </c>
      <c r="AN536" s="179">
        <f>COUNTIFS(D:D,"DA",L:L,"-1;0",I:I,"S1",F:F,"ATONGOAL")</f>
        <v>0</v>
      </c>
      <c r="AO536" s="180">
        <f>COUNTIFS(D:D,"DA",L:L,"-1;0",I:I,"S1",F:F,"ATON")</f>
        <v>0</v>
      </c>
      <c r="AP536" s="180">
        <f>COUNTIFS(D:D,"DA",L:L,"-1;0",I:I,"S1",F:F,"ATOF")</f>
        <v>0</v>
      </c>
      <c r="AQ536" s="180">
        <f>COUNTIFS(D:D,"DA",L:L,"-1;0",I:I,"S1",F:F,"ATBK")</f>
        <v>0</v>
      </c>
      <c r="AR536" s="180">
        <f>COUNTIFS(D:D,"DA",L:L,"-1;0",I:I,"S1",F:F,"WINSTAN")</f>
        <v>0</v>
      </c>
      <c r="AS536" s="180">
        <f>COUNTIFS(D:D,"DA",L:L,"-1;0",I:I,"S1",F:F,"WINSTANTI")</f>
        <v>0</v>
      </c>
      <c r="AT536" s="179">
        <f>COUNTIFS(D:D,"DA",L:L,"-1;0",I:I,"S1",F:F,"ENTRY")</f>
        <v>0</v>
      </c>
      <c r="AU536" s="179">
        <f>COUNTIFS(D:D,"DA",L:L,"-1;0",I:I,"S1",F:F,"KEEPOS")</f>
        <v>0</v>
      </c>
      <c r="AV536" s="170">
        <f>COUNTIFS(D:D,"DA",L:L,"-1;0",I:I,"S1")</f>
        <v>0</v>
      </c>
      <c r="AW536" s="179">
        <f>COUNTIFS(D:D,"DA",L:L,"-1;-1",I:I,"S1",F:F,"ATONGOAL")</f>
        <v>0</v>
      </c>
      <c r="AX536" s="180">
        <f>COUNTIFS(D:D,"DA",L:L,"-1;-1",I:I,"S1",F:F,"ATON")</f>
        <v>0</v>
      </c>
      <c r="AY536" s="180">
        <f>COUNTIFS(D:D,"DA",L:L,"-1;-1",I:I,"S1",F:F,"ATOF")</f>
        <v>0</v>
      </c>
      <c r="AZ536" s="180">
        <f>COUNTIFS(D:D,"DA",L:L,"-1;-1",I:I,"S1",F:F,"ATBK")</f>
        <v>0</v>
      </c>
      <c r="BA536" s="180">
        <f>COUNTIFS(D:D,"DA",L:L,"-1;-1",I:I,"S1",F:F,"WINSTAN")</f>
        <v>0</v>
      </c>
      <c r="BB536" s="180">
        <f>COUNTIFS(D:D,"DA",L:L,"-1;-1",I:I,"S1",F:F,"WINSTANTI")</f>
        <v>0</v>
      </c>
      <c r="BC536" s="179">
        <f>COUNTIFS(D:D,"DA",L:L,"-1;-1",I:I,"S1",F:F,"ENTRY")</f>
        <v>0</v>
      </c>
      <c r="BD536" s="179">
        <f>COUNTIFS(D:D,"DA",L:L,"-1;-1",I:I,"S1",F:F,"KEEPOS")</f>
        <v>0</v>
      </c>
      <c r="BE536" s="220">
        <f>COUNTIFS(D:D,"DA",L:L,"-1;-1",I:I,"S1")</f>
        <v>0</v>
      </c>
    </row>
    <row r="537" spans="15:57">
      <c r="O537" s="91"/>
      <c r="X537" s="115">
        <f t="shared" si="110"/>
        <v>0</v>
      </c>
      <c r="Y537" s="115">
        <f t="shared" si="111"/>
        <v>0</v>
      </c>
      <c r="Z537" s="115" t="e">
        <f t="shared" si="112"/>
        <v>#VALUE!</v>
      </c>
      <c r="AA537" s="115">
        <f t="shared" si="113"/>
        <v>0</v>
      </c>
      <c r="AE537" s="181">
        <f>COUNTIFS(D:D,"AD",L:L,"-1;1",I:I,"S1",F:F,"ATONGOAL")</f>
        <v>0</v>
      </c>
      <c r="AF537" s="181">
        <f>COUNTIFS(D:D,"AD",L:L,"-1;1",I:I,"S1",F:F,"ATON")</f>
        <v>0</v>
      </c>
      <c r="AG537" s="181">
        <f>COUNTIFS(D:D,"AD",L:L,"-1;1",I:I,"S1",F:F,"ATOF")</f>
        <v>0</v>
      </c>
      <c r="AH537" s="181">
        <f>COUNTIFS(D:D,"AD",L:L,"-1;1",I:I,"S1",F:F,"ATBK")</f>
        <v>0</v>
      </c>
      <c r="AI537" s="182">
        <f>COUNTIFS(D:D,"DA",L:L,"-1;1",I:I,"S1",F:F,"WINSTAN")</f>
        <v>0</v>
      </c>
      <c r="AJ537" s="182">
        <f>COUNTIFS(D:D,"DA",L:L,"-1;1",I:I,"S1",F:F,"WINSTANTI")</f>
        <v>0</v>
      </c>
      <c r="AK537" s="181">
        <f>COUNTIFS(D:D,"AD",L:L,"-1;1",I:I,"S1",F:F,"ENTRY")</f>
        <v>0</v>
      </c>
      <c r="AL537" s="181">
        <f>COUNTIFS(D:D,"AD",L:L,"-1;1",I:I,"S1",F:F,"KEEPOS")</f>
        <v>0</v>
      </c>
      <c r="AM537" s="222">
        <f>COUNTIFS(D:D,"AD",L:L,"-1;1",I:I,"S1")</f>
        <v>0</v>
      </c>
      <c r="AN537" s="181">
        <f>COUNTIFS(D:D,"AD",L:L,"-1;0",I:I,"S1",F:F,"ATONGOAL")</f>
        <v>0</v>
      </c>
      <c r="AO537" s="182">
        <f>COUNTIFS(D:D,"AD",L:L,"-1;0",I:I,"S1",F:F,"ATON")</f>
        <v>0</v>
      </c>
      <c r="AP537" s="182">
        <f>COUNTIFS(D:D,"AD",L:L,"-1;0",I:I,"S1",F:F,"ATOF")</f>
        <v>0</v>
      </c>
      <c r="AQ537" s="182">
        <f>COUNTIFS(D:D,"AD",L:L,"-1;0",I:I,"S1",F:F,"ATBK")</f>
        <v>0</v>
      </c>
      <c r="AR537" s="182">
        <f>COUNTIFS(D:D,"DA",L:L,"-1;0",I:I,"S1",F:F,"WINSTAN")</f>
        <v>0</v>
      </c>
      <c r="AS537" s="182">
        <f>COUNTIFS(D:D,"DA",L:L,"-1;0",I:I,"S1",F:F,"WINSTANTI")</f>
        <v>0</v>
      </c>
      <c r="AT537" s="181">
        <f>COUNTIFS(D:D,"AD",L:L,"-1;0",I:I,"S1",F:F,"ENTRY")</f>
        <v>0</v>
      </c>
      <c r="AU537" s="181">
        <f>COUNTIFS(D:D,"AD",L:L,"-1;0",I:I,"S1",F:F,"KEEPOS")</f>
        <v>0</v>
      </c>
      <c r="AV537" s="171">
        <f>COUNTIFS(D:D,"AD",L:L,"-1;0",I:I,"S1")</f>
        <v>0</v>
      </c>
      <c r="AW537" s="181">
        <f>COUNTIFS(D:D,"AD",L:L,"-1;-1",I:I,"S1",F:F,"ATONGOAL")</f>
        <v>0</v>
      </c>
      <c r="AX537" s="182">
        <f>COUNTIFS(D:D,"AD",L:L,"-1;-1",I:I,"S1",F:F,"ATON")</f>
        <v>0</v>
      </c>
      <c r="AY537" s="182">
        <f>COUNTIFS(D:D,"AD",L:L,"-1;-1",I:I,"S1",F:F,"ATOF")</f>
        <v>0</v>
      </c>
      <c r="AZ537" s="182">
        <f>COUNTIFS(D:D,"AD",L:L,"-1;-1",I:I,"S1",F:F,"ATBK")</f>
        <v>0</v>
      </c>
      <c r="BA537" s="182">
        <f>COUNTIFS(D:D,"DA",L:L,"-1;-1",I:I,"S1",F:F,"WINSTAN")</f>
        <v>0</v>
      </c>
      <c r="BB537" s="182">
        <f>COUNTIFS(D:D,"DA",L:L,"-1;-1",I:I,"S1",F:F,"WINSTANTI")</f>
        <v>0</v>
      </c>
      <c r="BC537" s="181">
        <f>COUNTIFS(D:D,"AD",L:L,"-1;-1",I:I,"S1",F:F,"ENTRY")</f>
        <v>0</v>
      </c>
      <c r="BD537" s="181">
        <f>COUNTIFS(D:D,"AD",L:L,"-1;-1",I:I,"S1",F:F,"KEEPOS")</f>
        <v>0</v>
      </c>
      <c r="BE537" s="223">
        <f>COUNTIFS(D:D,"AD",L:L,"-1;-1",I:I,"S1")</f>
        <v>0</v>
      </c>
    </row>
    <row r="538" spans="15:57" ht="15.75">
      <c r="O538" s="91"/>
      <c r="X538" s="115">
        <f t="shared" si="110"/>
        <v>0</v>
      </c>
      <c r="Y538" s="115">
        <f t="shared" si="111"/>
        <v>0</v>
      </c>
      <c r="Z538" s="115" t="e">
        <f t="shared" si="112"/>
        <v>#VALUE!</v>
      </c>
      <c r="AA538" s="115">
        <f t="shared" si="113"/>
        <v>0</v>
      </c>
      <c r="AE538" s="179">
        <f>COUNTIFS(D:D,"DA",L:L,"0;1",I:I,"S1",F:F,"ATONGOAL")</f>
        <v>0</v>
      </c>
      <c r="AF538" s="179">
        <f>COUNTIFS(D:D,"DA",L:L,"0;1",I:I,"S1",F:F,"ATON")</f>
        <v>0</v>
      </c>
      <c r="AG538" s="179">
        <f>COUNTIFS(D:D,"DA",L:L,"0;1",I:I,"S1",F:F,"ATOF")</f>
        <v>0</v>
      </c>
      <c r="AH538" s="179">
        <f>COUNTIFS(D:D,"DA",L:L,"0;1",I:I,"S1",F:F,"ATBK")</f>
        <v>0</v>
      </c>
      <c r="AI538" s="180">
        <f>COUNTIFS(D:D,"DA",L:L,"0;1",I:I,"S1",F:F,"WINSTAN")</f>
        <v>0</v>
      </c>
      <c r="AJ538" s="180">
        <f>COUNTIFS(D:D,"DA",L:L,"0;1",I:I,"S1",F:F,"WINSTANTI")</f>
        <v>0</v>
      </c>
      <c r="AK538" s="179">
        <f>COUNTIFS(D:D,"DA",L:L,"0;1",I:I,"S1",F:F,"ENTRY")</f>
        <v>0</v>
      </c>
      <c r="AL538" s="179">
        <f>COUNTIFS(D:D,"DA",L:L,"0;1",I:I,"S1",F:F,"KEEPOS")</f>
        <v>0</v>
      </c>
      <c r="AM538" s="219">
        <f>COUNTIFS(D:D,"DA",L:L,"0;1",I:I,"S1")</f>
        <v>0</v>
      </c>
      <c r="AN538" s="179">
        <f>COUNTIFS(D:D,"DA",L:L,"0;0",I:I,"S1",F:F,"ATONGOAL")</f>
        <v>0</v>
      </c>
      <c r="AO538" s="180">
        <f>COUNTIFS(D:D,"DA",L:L,"0;0",I:I,"S1",F:F,"ATON")</f>
        <v>0</v>
      </c>
      <c r="AP538" s="180">
        <f>COUNTIFS(D:D,"DA",L:L,"0;0",I:I,"S1",F:F,"ATOF")</f>
        <v>0</v>
      </c>
      <c r="AQ538" s="180">
        <f>COUNTIFS(D:D,"DA",L:L,"0;0",I:I,"S1",F:F,"ATBK")</f>
        <v>0</v>
      </c>
      <c r="AR538" s="180">
        <f>COUNTIFS(D:D,"DA",L:L,"0;0",I:I,"S1",F:F,"WINSTAN")</f>
        <v>0</v>
      </c>
      <c r="AS538" s="180">
        <f>COUNTIFS(D:D,"DA",L:L,"0;0",I:I,"S1",F:F,"WINSTANTI")</f>
        <v>0</v>
      </c>
      <c r="AT538" s="179">
        <f>COUNTIFS(D:D,"DA",L:L,"0;0",I:I,"S1",F:F,"ENTRY")</f>
        <v>0</v>
      </c>
      <c r="AU538" s="179">
        <f>COUNTIFS(D:D,"DA",L:L,"0;0",I:I,"S1",F:F,"KEEPOS")</f>
        <v>0</v>
      </c>
      <c r="AV538" s="170">
        <f>COUNTIFS(D:D,"DA",L:L,"0;0",I:I,"S1")</f>
        <v>0</v>
      </c>
      <c r="AW538" s="179">
        <f>COUNTIFS(D:D,"DA",L:L,"0;-1",I:I,"S1",F:F,"ATONGOAL")</f>
        <v>0</v>
      </c>
      <c r="AX538" s="180">
        <f>COUNTIFS(D:D,"DA",L:L,"0;-1",I:I,"S1",F:F,"ATON")</f>
        <v>0</v>
      </c>
      <c r="AY538" s="180">
        <f>COUNTIFS(D:D,"DA",L:L,"0;-1",I:I,"S1",F:F,"ATOF")</f>
        <v>0</v>
      </c>
      <c r="AZ538" s="180">
        <f>COUNTIFS(D:D,"DA",L:L,"0;-1",I:I,"S1",F:F,"ATBK")</f>
        <v>0</v>
      </c>
      <c r="BA538" s="180">
        <f>COUNTIFS(D:D,"DA",L:L,"0;-1",I:I,"S1",F:F,"WINSTAN")</f>
        <v>0</v>
      </c>
      <c r="BB538" s="180">
        <f>COUNTIFS(D:D,"DA",L:L,"0;-1",I:I,"S1",F:F,"WINSTANTI")</f>
        <v>0</v>
      </c>
      <c r="BC538" s="179">
        <f>COUNTIFS(D:D,"DA",L:L,"0;-1",I:I,"S1",F:F,"ENTRY")</f>
        <v>0</v>
      </c>
      <c r="BD538" s="179">
        <f>COUNTIFS(D:D,"DA",L:L,"0;-1",I:I,"S1",F:F,"KEEPOS")</f>
        <v>0</v>
      </c>
      <c r="BE538" s="220">
        <f>COUNTIFS(D:D,"DA",L:L,"0;-1",I:I,"S1")</f>
        <v>0</v>
      </c>
    </row>
    <row r="539" spans="15:57">
      <c r="O539" s="91"/>
      <c r="X539" s="115">
        <f t="shared" si="110"/>
        <v>0</v>
      </c>
      <c r="Y539" s="115">
        <f t="shared" si="111"/>
        <v>0</v>
      </c>
      <c r="Z539" s="115" t="e">
        <f t="shared" si="112"/>
        <v>#VALUE!</v>
      </c>
      <c r="AA539" s="115">
        <f t="shared" si="113"/>
        <v>0</v>
      </c>
      <c r="AE539" s="181">
        <f>COUNTIFS(D:D,"AD",L:L,"0;1",I:I,"S1",F:F,"ATONGOAL")</f>
        <v>0</v>
      </c>
      <c r="AF539" s="181">
        <f>COUNTIFS(D:D,"AD",L:L,"0;1",I:I,"S1",F:F,"ATON")</f>
        <v>0</v>
      </c>
      <c r="AG539" s="181">
        <f>COUNTIFS(D:D,"AD",L:L,"0;1",I:I,"S1",F:F,"ATOF")</f>
        <v>0</v>
      </c>
      <c r="AH539" s="181">
        <f>COUNTIFS(D:D,"AD",L:L,"0;1",I:I,"S1",F:F,"ATBK")</f>
        <v>0</v>
      </c>
      <c r="AI539" s="182">
        <f>COUNTIFS(D:D,"AD",L:L,"0;1",I:I,"S1",F:F,"WINSTAN")</f>
        <v>0</v>
      </c>
      <c r="AJ539" s="182">
        <f>COUNTIFS(D:D,"AD",L:L,"0;1",I:I,"S1",F:F,"WINSTANTI")</f>
        <v>0</v>
      </c>
      <c r="AK539" s="181">
        <f>COUNTIFS(D:D,"AD",L:L,"0;1",I:I,"S1",F:F,"ENTRY")</f>
        <v>0</v>
      </c>
      <c r="AL539" s="181">
        <f>COUNTIFS(D:D,"AD",L:L,"0;1",I:I,"S1",F:F,"KEEPOS")</f>
        <v>0</v>
      </c>
      <c r="AM539" s="222">
        <f>COUNTIFS(D:D,"AD",L:L,"0;1",I:I,"S1")</f>
        <v>0</v>
      </c>
      <c r="AN539" s="181">
        <f>COUNTIFS(D:D,"AD",L:L,"0;0",I:I,"S1",F:F,"ATONGOAL")</f>
        <v>0</v>
      </c>
      <c r="AO539" s="182">
        <f>COUNTIFS(D:D,"AD",L:L,"0;0",I:I,"S1",F:F,"ATON")</f>
        <v>0</v>
      </c>
      <c r="AP539" s="182">
        <f>COUNTIFS(D:D,"AD",L:L,"0;0",I:I,"S1",F:F,"ATOF")</f>
        <v>0</v>
      </c>
      <c r="AQ539" s="182">
        <f>COUNTIFS(D:D,"AD",L:L,"0;0",I:I,"S1",F:F,"ATBK")</f>
        <v>0</v>
      </c>
      <c r="AR539" s="182">
        <f>COUNTIFS(D:D,"AD",L:L,"0;0",I:I,"S1",F:F,"WINSTAN")</f>
        <v>0</v>
      </c>
      <c r="AS539" s="182">
        <f>COUNTIFS(D:D,"AD",L:L,"0;0",I:I,"S1",F:F,"WINSTANTI")</f>
        <v>0</v>
      </c>
      <c r="AT539" s="181">
        <f>COUNTIFS(D:D,"AD",L:L,"0;0",I:I,"S1",F:F,"ENTRY")</f>
        <v>0</v>
      </c>
      <c r="AU539" s="181">
        <f>COUNTIFS(D:D,"AD",L:L,"0;0",I:I,"S1",F:F,"KEEPOS")</f>
        <v>0</v>
      </c>
      <c r="AV539" s="171">
        <f>COUNTIFS(D:D,"AD",L:L,"0;0",I:I,"S1")</f>
        <v>0</v>
      </c>
      <c r="AW539" s="181">
        <f>COUNTIFS(D:D,"AD",L:L,"0;-1",I:I,"S1",F:F,"ATONGOAL")</f>
        <v>0</v>
      </c>
      <c r="AX539" s="182">
        <f>COUNTIFS(D:D,"AD",L:L,"0;-1",I:I,"S1",F:F,"ATON")</f>
        <v>0</v>
      </c>
      <c r="AY539" s="182">
        <f>COUNTIFS(D:D,"AD",L:L,"0;-1",I:I,"S1",F:F,"ATOF")</f>
        <v>0</v>
      </c>
      <c r="AZ539" s="182">
        <f>COUNTIFS(D:D,"AD",L:L,"0;-1",I:I,"S1",F:F,"ATBK")</f>
        <v>0</v>
      </c>
      <c r="BA539" s="182">
        <f>COUNTIFS(D:D,"AD",L:L,"0;-1",I:I,"S1",F:F,"WINSTAN")</f>
        <v>0</v>
      </c>
      <c r="BB539" s="182">
        <f>COUNTIFS(D:D,"AD",L:L,"0;-1",I:I,"S1",F:F,"WINSTANTI")</f>
        <v>0</v>
      </c>
      <c r="BC539" s="181">
        <f>COUNTIFS(D:D,"AD",L:L,"0;-1",I:I,"S1",F:F,"ENTRY")</f>
        <v>0</v>
      </c>
      <c r="BD539" s="181">
        <f>COUNTIFS(D:D,"AD",L:L,"0;-1",I:I,"S1",F:F,"KEEPOS")</f>
        <v>0</v>
      </c>
      <c r="BE539" s="223">
        <f>COUNTIFS(D:D,"AD",L:L,"0;-1",I:I,"S1")</f>
        <v>0</v>
      </c>
    </row>
    <row r="540" spans="15:57" ht="15.75">
      <c r="O540" s="91"/>
      <c r="X540" s="115">
        <f t="shared" si="110"/>
        <v>0</v>
      </c>
      <c r="Y540" s="115">
        <f t="shared" si="111"/>
        <v>0</v>
      </c>
      <c r="Z540" s="115" t="e">
        <f t="shared" si="112"/>
        <v>#VALUE!</v>
      </c>
      <c r="AA540" s="115">
        <f t="shared" si="113"/>
        <v>0</v>
      </c>
      <c r="AE540" s="179">
        <f>COUNTIFS(D:D,"DA",L:L,"1;1",I:I,"S1",F:F,"ATONGOAL")</f>
        <v>0</v>
      </c>
      <c r="AF540" s="179">
        <f>COUNTIFS(D:D,"DA",L:L,"1;1",I:I,"S1",F:F,"ATON")</f>
        <v>0</v>
      </c>
      <c r="AG540" s="179">
        <f>COUNTIFS(D:D,"DA",L:L,"1;1",I:I,"S1",F:F,"ATOF")</f>
        <v>0</v>
      </c>
      <c r="AH540" s="179">
        <f>COUNTIFS(D:D,"DA",L:L,"1;1",I:I,"S1",F:F,"ATBK")</f>
        <v>0</v>
      </c>
      <c r="AI540" s="180">
        <f>COUNTIFS(D:D,"DA",L:L,"1;1",I:I,"S1",F:F,"WINSTAN")</f>
        <v>0</v>
      </c>
      <c r="AJ540" s="180">
        <f>COUNTIFS(D:D,"DA",L:L,"1;1",I:I,"S1",F:F,"WINSTANTI")</f>
        <v>0</v>
      </c>
      <c r="AK540" s="179">
        <f>COUNTIFS(D:D,"DA",L:L,"1;1",I:I,"S1",F:F,"ENTRY")</f>
        <v>0</v>
      </c>
      <c r="AL540" s="179">
        <f>COUNTIFS(D:D,"DA",L:L,"1;1",I:I,"S1",F:F,"KEEPOS")</f>
        <v>0</v>
      </c>
      <c r="AM540" s="219">
        <f>COUNTIFS(D:D,"DA",L:L,"1;1",I:I,"S1")</f>
        <v>0</v>
      </c>
      <c r="AN540" s="179">
        <f>COUNTIFS(D:D,"DA",L:L,"1;0",I:I,"S1",F:F,"ATONGOAL")</f>
        <v>0</v>
      </c>
      <c r="AO540" s="180">
        <f>COUNTIFS(D:D,"DA",L:L,"1;0",I:I,"S1",F:F,"ATON")</f>
        <v>0</v>
      </c>
      <c r="AP540" s="180">
        <f>COUNTIFS(D:D,"DA",L:L,"1;0",I:I,"S1",F:F,"ATOF")</f>
        <v>0</v>
      </c>
      <c r="AQ540" s="180">
        <f>COUNTIFS(D:D,"DA",L:L,"1;0",I:I,"S1",F:F,"ATBK")</f>
        <v>0</v>
      </c>
      <c r="AR540" s="180">
        <f>COUNTIFS(D:D,"DA",L:L,"1;0",I:I,"S1",F:F,"WINSTAN")</f>
        <v>0</v>
      </c>
      <c r="AS540" s="180">
        <f>COUNTIFS(D:D,"DA",L:L,"1;0",I:I,"S1",F:F,"WINSTANTI")</f>
        <v>0</v>
      </c>
      <c r="AT540" s="179">
        <f>COUNTIFS(D:D,"DA",L:L,"1;0",I:I,"S1",F:F,"ENTRY")</f>
        <v>0</v>
      </c>
      <c r="AU540" s="179">
        <f>COUNTIFS(D:D,"DA",L:L,"1;0",I:I,"S1",F:F,"KEEPOS")</f>
        <v>0</v>
      </c>
      <c r="AV540" s="170">
        <f>COUNTIFS(D:D,"DA",L:L,"1;0",I:I,"S1")</f>
        <v>0</v>
      </c>
      <c r="AW540" s="179">
        <f>COUNTIFS(D:D,"DA",L:L,"1;-1",I:I,"S1",F:F,"ATONGOAL")</f>
        <v>0</v>
      </c>
      <c r="AX540" s="180">
        <f>COUNTIFS(D:D,"DA",L:L,"1;-1",I:I,"S1",F:F,"ATON")</f>
        <v>0</v>
      </c>
      <c r="AY540" s="180">
        <f>COUNTIFS(D:D,"DA",L:L,"1;-1",I:I,"S1",F:F,"ATOF")</f>
        <v>0</v>
      </c>
      <c r="AZ540" s="180">
        <f>COUNTIFS(D:D,"DA",L:L,"1;-1",I:I,"S1",F:F,"ATBK")</f>
        <v>0</v>
      </c>
      <c r="BA540" s="180">
        <f>COUNTIFS(D:D,"DA",L:L,"1;-1",I:I,"S1",F:F,"WINSTAN")</f>
        <v>0</v>
      </c>
      <c r="BB540" s="180">
        <f>COUNTIFS(D:D,"DA",L:L,"1;-1",I:I,"S1",F:F,"WINSTANTI")</f>
        <v>0</v>
      </c>
      <c r="BC540" s="179">
        <f>COUNTIFS(D:D,"DA",L:L,"1;-1",I:I,"S1",F:F,"ENTRY")</f>
        <v>0</v>
      </c>
      <c r="BD540" s="179">
        <f>COUNTIFS(D:D,"DA",L:L,"1;-1",I:I,"S1",F:F,"KEEPOS")</f>
        <v>0</v>
      </c>
      <c r="BE540" s="220">
        <f>COUNTIFS(D:D,"DA",L:L,"1;-1",I:I,"S1")</f>
        <v>0</v>
      </c>
    </row>
    <row r="541" spans="15:57">
      <c r="O541" s="91"/>
      <c r="X541" s="115">
        <f t="shared" si="110"/>
        <v>0</v>
      </c>
      <c r="Y541" s="115">
        <f t="shared" si="111"/>
        <v>0</v>
      </c>
      <c r="Z541" s="115" t="e">
        <f t="shared" si="112"/>
        <v>#VALUE!</v>
      </c>
      <c r="AA541" s="115">
        <f t="shared" si="113"/>
        <v>0</v>
      </c>
      <c r="AE541" s="181">
        <f>COUNTIFS(D:D,"AD",L:L,"1;1",I:I,"S1",F:F,"ATONGOAL")</f>
        <v>0</v>
      </c>
      <c r="AF541" s="181">
        <f>COUNTIFS(D:D,"AD",L:L,"1;1",I:I,"S1",F:F,"ATON")</f>
        <v>0</v>
      </c>
      <c r="AG541" s="181">
        <f>COUNTIFS(D:D,"AD",L:L,"1;1",I:I,"S1",F:F,"ATOF")</f>
        <v>0</v>
      </c>
      <c r="AH541" s="181">
        <f>COUNTIFS(D:D,"AD",L:L,"1;1",I:I,"S1",F:F,"ATBK")</f>
        <v>0</v>
      </c>
      <c r="AI541" s="182">
        <f>COUNTIFS(D:D,"AD",L:L,"1;1",I:I,"S1",F:F,"WINSTAN")</f>
        <v>0</v>
      </c>
      <c r="AJ541" s="182">
        <f>COUNTIFS(D:D,"AD",L:L,"1;1",I:I,"S1",F:F,"WINSTANTI")</f>
        <v>0</v>
      </c>
      <c r="AK541" s="181">
        <f>COUNTIFS(D:D,"AD",L:L,"1;1",I:I,"S1",F:F,"ENTRY")</f>
        <v>0</v>
      </c>
      <c r="AL541" s="181">
        <f>COUNTIFS(D:D,"AD",L:L,"1;1",I:I,"S1",F:F,"KEEPOS")</f>
        <v>0</v>
      </c>
      <c r="AM541" s="222">
        <f>COUNTIFS(D:D,"AD",L:L,"1;1",I:I,"S1")</f>
        <v>0</v>
      </c>
      <c r="AN541" s="181">
        <f>COUNTIFS(D:D,"AD",L:L,"1;0",I:I,"S1",F:F,"ATONGOAL")</f>
        <v>0</v>
      </c>
      <c r="AO541" s="182">
        <f>COUNTIFS(D:D,"AD",L:L,"1;0",I:I,"S1",F:F,"ATON")</f>
        <v>0</v>
      </c>
      <c r="AP541" s="182">
        <f>COUNTIFS(D:D,"AD",L:L,"1;0",I:I,"S1",F:F,"ATOF")</f>
        <v>0</v>
      </c>
      <c r="AQ541" s="182">
        <f>COUNTIFS(D:D,"AD",L:L,"1;0",I:I,"S1",F:F,"ATBK")</f>
        <v>0</v>
      </c>
      <c r="AR541" s="182">
        <f>COUNTIFS(D:D,"AD",L:L,"1;0",I:I,"S1",F:F,"WINSTAN")</f>
        <v>0</v>
      </c>
      <c r="AS541" s="182">
        <f>COUNTIFS(D:D,"AD",L:L,"1;0",I:I,"S1",F:F,"WINSTANTI")</f>
        <v>0</v>
      </c>
      <c r="AT541" s="181">
        <f>COUNTIFS(D:D,"AD",L:L,"1;0",I:I,"S1",F:F,"ENTRY")</f>
        <v>0</v>
      </c>
      <c r="AU541" s="181">
        <f>COUNTIFS(D:D,"AD",L:L,"1;0",I:I,"S1",F:F,"KEEPOS")</f>
        <v>0</v>
      </c>
      <c r="AV541" s="171">
        <f>COUNTIFS(D:D,"AD",L:L,"1;0",I:I,"S1")</f>
        <v>0</v>
      </c>
      <c r="AW541" s="181">
        <f>COUNTIFS(D:D,"AD",L:L,"1;-1",I:I,"S1",F:F,"ATONGOAL")</f>
        <v>0</v>
      </c>
      <c r="AX541" s="182">
        <f>COUNTIFS(D:D,"AD",L:L,"1;-1",I:I,"S1",F:F,"ATON")</f>
        <v>0</v>
      </c>
      <c r="AY541" s="182">
        <f>COUNTIFS(D:D,"AD",L:L,"1;-1",I:I,"S1",F:F,"ATOF")</f>
        <v>0</v>
      </c>
      <c r="AZ541" s="182">
        <f>COUNTIFS(D:D,"AD",L:L,"1;-1",I:I,"S1",F:F,"ATBK")</f>
        <v>0</v>
      </c>
      <c r="BA541" s="182">
        <f>COUNTIFS(D:D,"AD",L:L,"1;-1",I:I,"S1",F:F,"WINSTAN")</f>
        <v>0</v>
      </c>
      <c r="BB541" s="182">
        <f>COUNTIFS(D:D,"AD",L:L,"1;-1",I:I,"S1",F:F,"WINSTANTI")</f>
        <v>0</v>
      </c>
      <c r="BC541" s="181">
        <f>COUNTIFS(D:D,"AD",L:L,"1;-1",I:I,"S1",F:F,"ENTRY")</f>
        <v>0</v>
      </c>
      <c r="BD541" s="181">
        <f>COUNTIFS(D:D,"AD",L:L,"1;-1",I:I,"S1",F:F,"KEEPOS")</f>
        <v>0</v>
      </c>
      <c r="BE541" s="223">
        <f>COUNTIFS(D:D,"AD",L:L,"1;-1",I:I,"S1")</f>
        <v>0</v>
      </c>
    </row>
    <row r="542" spans="15:57" ht="15.75">
      <c r="O542" s="91"/>
      <c r="X542" s="115">
        <f t="shared" si="110"/>
        <v>0</v>
      </c>
      <c r="Y542" s="115">
        <f t="shared" si="111"/>
        <v>0</v>
      </c>
      <c r="Z542" s="115" t="e">
        <f t="shared" si="112"/>
        <v>#VALUE!</v>
      </c>
      <c r="AA542" s="115">
        <f t="shared" si="113"/>
        <v>0</v>
      </c>
      <c r="AE542" s="179">
        <f>COUNTIFS(D:D,"DA",L:L,"2;1",I:I,"S1",F:F,"ATONGOAL")</f>
        <v>0</v>
      </c>
      <c r="AF542" s="179">
        <f>COUNTIFS(D:D,"DA",L:L,"2;1",I:I,"S1",F:F,"ATON")</f>
        <v>0</v>
      </c>
      <c r="AG542" s="179">
        <f>COUNTIFS(D:D,"DA",L:L,"2;1",I:I,"S1",F:F,"ATOF")</f>
        <v>0</v>
      </c>
      <c r="AH542" s="179">
        <f>COUNTIFS(D:D,"DA",L:L,"2;1",I:I,"S1",F:F,"ATBK")</f>
        <v>0</v>
      </c>
      <c r="AI542" s="180">
        <f>COUNTIFS(D:D,"DA",L:L,"2;1",I:I,"S1",F:F,"WINSTAN")</f>
        <v>0</v>
      </c>
      <c r="AJ542" s="180">
        <f>COUNTIFS(D:D,"DA",L:L,"2;1",I:I,"S1",F:F,"WINSTANTI")</f>
        <v>0</v>
      </c>
      <c r="AK542" s="179">
        <f>COUNTIFS(D:D,"DA",L:L,"2;1",I:I,"S1",F:F,"ENTRY")</f>
        <v>0</v>
      </c>
      <c r="AL542" s="179">
        <f>COUNTIFS(D:D,"DA",L:L,"2;1",I:I,"S1",F:F,"KEEPOS")</f>
        <v>0</v>
      </c>
      <c r="AM542" s="219">
        <f>COUNTIFS(D:D,"DA",L:L,"2;1",I:I,"S1")</f>
        <v>0</v>
      </c>
      <c r="AN542" s="179">
        <f>COUNTIFS(D:D,"DA",L:L,"2;0",I:I,"S1",F:F,"ATONGOAL")</f>
        <v>0</v>
      </c>
      <c r="AO542" s="180">
        <f>COUNTIFS(D:D,"DA",L:L,"2;0",I:I,"S1",F:F,"ATON")</f>
        <v>0</v>
      </c>
      <c r="AP542" s="180">
        <f>COUNTIFS(D:D,"DA",L:L,"2;0",I:I,"S1",F:F,"ATOF")</f>
        <v>0</v>
      </c>
      <c r="AQ542" s="180">
        <f>COUNTIFS(D:D,"DA",L:L,"2;0",I:I,"S1",F:F,"ATBK")</f>
        <v>0</v>
      </c>
      <c r="AR542" s="180">
        <f>COUNTIFS(D:D,"DA",L:L,"2;0",I:I,"S1",F:F,"WINSTAN")</f>
        <v>0</v>
      </c>
      <c r="AS542" s="180">
        <f>COUNTIFS(D:D,"DA",L:L,"2;0",I:I,"S1",F:F,"WINSTANTI")</f>
        <v>0</v>
      </c>
      <c r="AT542" s="179">
        <f>COUNTIFS(D:D,"DA",L:L,"2;0",I:I,"S1",F:F,"ENTRY")</f>
        <v>0</v>
      </c>
      <c r="AU542" s="179">
        <f>COUNTIFS(D:D,"DA",L:L,"2;0",I:I,"S1",F:F,"KEEPOS")</f>
        <v>0</v>
      </c>
      <c r="AV542" s="170">
        <f>COUNTIFS(D:D,"DA",L:L,"2;0",I:I,"S1")</f>
        <v>0</v>
      </c>
      <c r="AW542" s="179">
        <f>COUNTIFS(D:D,"DA",L:L,"2;-1",I:I,"S1",F:F,"ATONGOAL")</f>
        <v>0</v>
      </c>
      <c r="AX542" s="180">
        <f>COUNTIFS(D:D,"DA",L:L,"2;-1",I:I,"S1",F:F,"ATON")</f>
        <v>0</v>
      </c>
      <c r="AY542" s="180">
        <f>COUNTIFS(D:D,"DA",L:L,"2;-1",I:I,"S1",F:F,"ATOF")</f>
        <v>0</v>
      </c>
      <c r="AZ542" s="180">
        <f>COUNTIFS(D:D,"DA",L:L,"2;-1",I:I,"S1",F:F,"ATBK")</f>
        <v>0</v>
      </c>
      <c r="BA542" s="180">
        <f>COUNTIFS(D:D,"DA",L:L,"2;-1",I:I,"S1",F:F,"WINSTAN")</f>
        <v>0</v>
      </c>
      <c r="BB542" s="180">
        <f>COUNTIFS(D:D,"DA",L:L,"2;-1",I:I,"S1",F:F,"WINSTANTI")</f>
        <v>0</v>
      </c>
      <c r="BC542" s="179">
        <f>COUNTIFS(D:D,"DA",L:L,"2;-1",I:I,"S1",F:F,"ENTRY")</f>
        <v>0</v>
      </c>
      <c r="BD542" s="179">
        <f>COUNTIFS(D:D,"DA",L:L,"2;-1",I:I,"S1",F:F,"KEEPOS")</f>
        <v>0</v>
      </c>
      <c r="BE542" s="220">
        <f>COUNTIFS(D:D,"DA",L:L,"2;-1",I:I,"S1")</f>
        <v>0</v>
      </c>
    </row>
    <row r="543" spans="15:57">
      <c r="O543" s="91"/>
      <c r="X543" s="115">
        <f t="shared" si="110"/>
        <v>0</v>
      </c>
      <c r="Y543" s="115">
        <f t="shared" si="111"/>
        <v>0</v>
      </c>
      <c r="Z543" s="115" t="e">
        <f t="shared" si="112"/>
        <v>#VALUE!</v>
      </c>
      <c r="AA543" s="115">
        <f t="shared" si="113"/>
        <v>0</v>
      </c>
      <c r="AE543" s="181">
        <f>COUNTIFS(D:D,"AD",L:L,"2;1",I:I,"S1",F:F,"ATONGOAL")</f>
        <v>0</v>
      </c>
      <c r="AF543" s="181">
        <f>COUNTIFS(D:D,"AD",L:L,"2;1",I:I,"S1",F:F,"ATON")</f>
        <v>0</v>
      </c>
      <c r="AG543" s="181">
        <f>COUNTIFS(D:D,"AD",L:L,"2;1",I:I,"S1",F:F,"ATOF")</f>
        <v>0</v>
      </c>
      <c r="AH543" s="181">
        <f>COUNTIFS(D:D,"AD",L:L,"2;1",I:I,"S1",F:F,"ATBK")</f>
        <v>0</v>
      </c>
      <c r="AI543" s="182">
        <f>COUNTIFS(D:D,"AD",L:L,"2;1",I:I,"S1",F:F,"WINSTAN")</f>
        <v>0</v>
      </c>
      <c r="AJ543" s="182">
        <f>COUNTIFS(D:D,"AD",L:L,"2;1",I:I,"S1",F:F,"WINSTANTI")</f>
        <v>0</v>
      </c>
      <c r="AK543" s="181">
        <f>COUNTIFS(D:D,"AD",L:L,"2;1",I:I,"S1",F:F,"ENTRY")</f>
        <v>0</v>
      </c>
      <c r="AL543" s="181">
        <f>COUNTIFS(D:D,"AD",L:L,"2;1",I:I,"S1",F:F,"KEEPOS")</f>
        <v>0</v>
      </c>
      <c r="AM543" s="222">
        <f>COUNTIFS(D:D,"AD",L:L,"2;1",I:I,"S1")</f>
        <v>0</v>
      </c>
      <c r="AN543" s="181">
        <f>COUNTIFS(D:D,"AD",L:L,"2;0",I:I,"S1",F:F,"ATONGOAL")</f>
        <v>0</v>
      </c>
      <c r="AO543" s="182">
        <f>COUNTIFS(D:D,"AD",L:L,"2;0",I:I,"S1",F:F,"ATON")</f>
        <v>0</v>
      </c>
      <c r="AP543" s="182">
        <f>COUNTIFS(D:D,"AD",L:L,"2;0",I:I,"S1",F:F,"ATOF")</f>
        <v>0</v>
      </c>
      <c r="AQ543" s="182">
        <f>COUNTIFS(D:D,"AD",L:L,"2;0",I:I,"S1",F:F,"ATBK")</f>
        <v>0</v>
      </c>
      <c r="AR543" s="182">
        <f>COUNTIFS(D:D,"AD",L:L,"2;0",I:I,"S1",F:F,"WINSTAN")</f>
        <v>0</v>
      </c>
      <c r="AS543" s="182">
        <f>COUNTIFS(D:D,"AD",L:L,"2;0",I:I,"S1",F:F,"WINSTANTI")</f>
        <v>0</v>
      </c>
      <c r="AT543" s="181">
        <f>COUNTIFS(D:D,"AD",L:L,"2;0",I:I,"S1",F:F,"ENTRY")</f>
        <v>0</v>
      </c>
      <c r="AU543" s="181">
        <f>COUNTIFS(D:D,"AD",L:L,"2;0",I:I,"S1",F:F,"KEEPOS")</f>
        <v>0</v>
      </c>
      <c r="AV543" s="171">
        <f>COUNTIFS(D:D,"AD",L:L,"2;0",I:I,"S1")</f>
        <v>0</v>
      </c>
      <c r="AW543" s="181">
        <f>COUNTIFS(D:D,"AD",L:L,"2;-1",I:I,"S1",F:F,"ATONGOAL")</f>
        <v>0</v>
      </c>
      <c r="AX543" s="182">
        <f>COUNTIFS(D:D,"AD",L:L,"2;-1",I:I,"S1",F:F,"ATON")</f>
        <v>0</v>
      </c>
      <c r="AY543" s="182">
        <f>COUNTIFS(D:D,"AD",L:L,"2;-1",I:I,"S1",F:F,"ATOF")</f>
        <v>0</v>
      </c>
      <c r="AZ543" s="182">
        <f>COUNTIFS(D:D,"AD",L:L,"2;-1",I:I,"S1",F:F,"ATBK")</f>
        <v>0</v>
      </c>
      <c r="BA543" s="182">
        <f>COUNTIFS(D:D,"AD",L:L,"2;-1",I:I,"S1",F:F,"WINSTAN")</f>
        <v>0</v>
      </c>
      <c r="BB543" s="182">
        <f>COUNTIFS(D:D,"AD",L:L,"2;-1",I:I,"S1",F:F,"WINSTANTI")</f>
        <v>0</v>
      </c>
      <c r="BC543" s="181">
        <f>COUNTIFS(D:D,"AD",L:L,"2;-1",I:I,"S1",F:F,"ENTRY")</f>
        <v>0</v>
      </c>
      <c r="BD543" s="181">
        <f>COUNTIFS(D:D,"AD",L:L,"2;-1",I:I,"S1",F:F,"KEEPOS")</f>
        <v>0</v>
      </c>
      <c r="BE543" s="223">
        <f>COUNTIFS(D:D,"AD",L:L,"2;-1",I:I,"S1")</f>
        <v>0</v>
      </c>
    </row>
    <row r="544" spans="15:57" ht="15.75">
      <c r="O544" s="91"/>
      <c r="X544" s="115">
        <f t="shared" si="110"/>
        <v>0</v>
      </c>
      <c r="Y544" s="115">
        <f t="shared" si="111"/>
        <v>0</v>
      </c>
      <c r="Z544" s="115" t="e">
        <f t="shared" si="112"/>
        <v>#VALUE!</v>
      </c>
      <c r="AA544" s="115">
        <f t="shared" si="113"/>
        <v>0</v>
      </c>
      <c r="AE544" s="179">
        <f>COUNTIFS(D:D,"DA",L:L,"3;1",I:I,"S1",F:F,"ATONGOAL")</f>
        <v>0</v>
      </c>
      <c r="AF544" s="179">
        <f>COUNTIFS(D:D,"DA",L:L,"3;1",I:I,"S1",F:F,"ATON")</f>
        <v>0</v>
      </c>
      <c r="AG544" s="179">
        <f>COUNTIFS(D:D,"DA",L:L,"3;1",I:I,"S1",F:F,"ATOF")</f>
        <v>0</v>
      </c>
      <c r="AH544" s="179">
        <f>COUNTIFS(D:D,"DA",L:L,"3;1",I:I,"S1",F:F,"ATBK")</f>
        <v>0</v>
      </c>
      <c r="AI544" s="180">
        <f>COUNTIFS(D:D,"DA",L:L,"3;1",I:I,"S1",F:F,"WINSTAN")</f>
        <v>0</v>
      </c>
      <c r="AJ544" s="180">
        <f>COUNTIFS(D:D,"DA",L:L,"3;1",I:I,"S1",F:F,"WINSTANTI")</f>
        <v>0</v>
      </c>
      <c r="AK544" s="179">
        <f>COUNTIFS(D:D,"DA",L:L,"3;1",I:I,"S1",F:F,"ENTRY")</f>
        <v>0</v>
      </c>
      <c r="AL544" s="179">
        <f>COUNTIFS(D:D,"DA",L:L,"3;1",I:I,"S1",F:F,"KEEPOS")</f>
        <v>0</v>
      </c>
      <c r="AM544" s="219">
        <f>COUNTIFS(D:D,"DA",L:L,"3;1",I:I,"S1")</f>
        <v>0</v>
      </c>
      <c r="AN544" s="179">
        <f>COUNTIFS(D:D,"DA",L:L,"3;0",I:I,"S1",F:F,"ATONGOAL")</f>
        <v>0</v>
      </c>
      <c r="AO544" s="180">
        <f>COUNTIFS(D:D,"DA",L:L,"3;0",I:I,"S1",F:F,"ATON")</f>
        <v>0</v>
      </c>
      <c r="AP544" s="180">
        <f>COUNTIFS(D:D,"DA",L:L,"3;0",I:I,"S1",F:F,"ATOF")</f>
        <v>0</v>
      </c>
      <c r="AQ544" s="180">
        <f>COUNTIFS(D:D,"DA",L:L,"3;0",I:I,"S1",F:F,"ATBK")</f>
        <v>0</v>
      </c>
      <c r="AR544" s="180">
        <f>COUNTIFS(D:D,"DA",L:L,"3;0",I:I,"S1",F:F,"WINSTAN")</f>
        <v>0</v>
      </c>
      <c r="AS544" s="180">
        <f>COUNTIFS(D:D,"DA",L:L,"3;0",I:I,"S1",F:F,"WINSTANTI")</f>
        <v>0</v>
      </c>
      <c r="AT544" s="179">
        <f>COUNTIFS(D:D,"DA",L:L,"3;0",I:I,"S1",F:F,"ENTRY")</f>
        <v>0</v>
      </c>
      <c r="AU544" s="179">
        <f>COUNTIFS(D:D,"DA",L:L,"3;0",I:I,"S1",F:F,"KEEPOS")</f>
        <v>0</v>
      </c>
      <c r="AV544" s="170">
        <f>COUNTIFS(D:D,"DA",L:L,"3;0",I:I,"S1")</f>
        <v>0</v>
      </c>
      <c r="AW544" s="179">
        <f>COUNTIFS(D:D,"DA",L:L,"3;-1",I:I,"S1",F:F,"ATONGOAL")</f>
        <v>0</v>
      </c>
      <c r="AX544" s="180">
        <f>COUNTIFS(D:D,"DA",L:L,"3;-1",I:I,"S1",F:F,"ATON")</f>
        <v>0</v>
      </c>
      <c r="AY544" s="180">
        <f>COUNTIFS(D:D,"DA",L:L,"3;-1",I:I,"S1",F:F,"ATOF")</f>
        <v>0</v>
      </c>
      <c r="AZ544" s="180">
        <f>COUNTIFS(D:D,"DA",L:L,"3;-1",I:I,"S1",F:F,"ATBK")</f>
        <v>0</v>
      </c>
      <c r="BA544" s="180">
        <f>COUNTIFS(D:D,"DA",L:L,"3;-1",I:I,"S1",F:F,"WINSTAN")</f>
        <v>0</v>
      </c>
      <c r="BB544" s="180">
        <f>COUNTIFS(D:D,"DA",L:L,"3;-1",I:I,"S1",F:F,"WINSTANTI")</f>
        <v>0</v>
      </c>
      <c r="BC544" s="179">
        <f>COUNTIFS(D:D,"DA",L:L,"3;-1",I:I,"S1",F:F,"ENTRY")</f>
        <v>0</v>
      </c>
      <c r="BD544" s="179">
        <f>COUNTIFS(D:D,"DA",L:L,"3;-1",I:I,"S1",F:F,"KEEPOS")</f>
        <v>0</v>
      </c>
      <c r="BE544" s="220">
        <f>COUNTIFS(D:D,"DA",L:L,"3;-1",I:I,"S1")</f>
        <v>0</v>
      </c>
    </row>
    <row r="545" spans="15:57" s="115" customFormat="1">
      <c r="O545" s="91"/>
      <c r="X545" s="115">
        <f t="shared" si="110"/>
        <v>0</v>
      </c>
      <c r="Y545" s="115">
        <f t="shared" si="111"/>
        <v>0</v>
      </c>
      <c r="Z545" s="115" t="e">
        <f t="shared" si="112"/>
        <v>#VALUE!</v>
      </c>
      <c r="AA545" s="115">
        <f t="shared" si="113"/>
        <v>0</v>
      </c>
      <c r="AB545" s="246"/>
      <c r="AE545" s="181">
        <f>COUNTIFS(D:D,"AD",L:L,"3;1",I:I,"S1",F:F,"ATONGOAL")</f>
        <v>0</v>
      </c>
      <c r="AF545" s="181">
        <f>COUNTIFS(D:D,"AD",L:L,"3;1",I:I,"S1",F:F,"ATON")</f>
        <v>0</v>
      </c>
      <c r="AG545" s="181">
        <f>COUNTIFS(D:D,"AD",L:L,"3;1",I:I,"S1",F:F,"ATOF")</f>
        <v>0</v>
      </c>
      <c r="AH545" s="181">
        <f>COUNTIFS(D:D,"AD",L:L,"3;1",I:I,"S1",F:F,"ATBK")</f>
        <v>0</v>
      </c>
      <c r="AI545" s="182">
        <f>COUNTIFS(D:D,"AD",L:L,"3;1",I:I,"S1",F:F,"WINSTAN")</f>
        <v>0</v>
      </c>
      <c r="AJ545" s="182">
        <f>COUNTIFS(D:D,"AD",L:L,"3;1",I:I,"S1",F:F,"WINSTANTI")</f>
        <v>0</v>
      </c>
      <c r="AK545" s="181">
        <f>COUNTIFS(D:D,"AD",L:L,"3;1",I:I,"S1",F:F,"ENTRY")</f>
        <v>0</v>
      </c>
      <c r="AL545" s="181">
        <f>COUNTIFS(D:D,"AD",L:L,"3;1",I:I,"S1",F:F,"KEEPOS")</f>
        <v>0</v>
      </c>
      <c r="AM545" s="222">
        <f>COUNTIFS(D:D,"AD",L:L,"3;1",I:I,"S1")</f>
        <v>0</v>
      </c>
      <c r="AN545" s="181">
        <f>COUNTIFS(D:D,"AD",L:L,"3;0",I:I,"S1",F:F,"ATONGOAL")</f>
        <v>0</v>
      </c>
      <c r="AO545" s="182">
        <f>COUNTIFS(D:D,"AD",L:L,"3;0",I:I,"S1",F:F,"ATON")</f>
        <v>0</v>
      </c>
      <c r="AP545" s="182">
        <f>COUNTIFS(D:D,"AD",L:L,"3;0",I:I,"S1",F:F,"ATOF")</f>
        <v>0</v>
      </c>
      <c r="AQ545" s="182">
        <f>COUNTIFS(D:D,"AD",L:L,"3;0",I:I,"S1",F:F,"ATBK")</f>
        <v>0</v>
      </c>
      <c r="AR545" s="182">
        <f>COUNTIFS(D:D,"AD",L:L,"3;0",I:I,"S1",F:F,"WINSTAN")</f>
        <v>0</v>
      </c>
      <c r="AS545" s="182">
        <f>COUNTIFS(D:D,"AD",L:L,"3;0",I:I,"S1",F:F,"WINSTANTI")</f>
        <v>0</v>
      </c>
      <c r="AT545" s="181">
        <f>COUNTIFS(D:D,"AD",L:L,"3;0",I:I,"S1",F:F,"ENTRY")</f>
        <v>0</v>
      </c>
      <c r="AU545" s="181">
        <f>COUNTIFS(D:D,"AD",L:L,"3;0",I:I,"S1",F:F,"KEEPOS")</f>
        <v>0</v>
      </c>
      <c r="AV545" s="171">
        <f>COUNTIFS(D:D,"AD",L:L,"3;0",I:I,"S1")</f>
        <v>0</v>
      </c>
      <c r="AW545" s="181">
        <f>COUNTIFS(D:D,"AD",L:L,"3;-1",I:I,"S1",F:F,"ATONGOAL")</f>
        <v>0</v>
      </c>
      <c r="AX545" s="182">
        <f>COUNTIFS(D:D,"AD",L:L,"3;-1",I:I,"S1",F:F,"ATON")</f>
        <v>0</v>
      </c>
      <c r="AY545" s="182">
        <f>COUNTIFS(D:D,"AD",L:L,"3;-1",I:I,"S1",F:F,"ATOF")</f>
        <v>0</v>
      </c>
      <c r="AZ545" s="182">
        <f>COUNTIFS(D:D,"AD",L:L,"3;-1",I:I,"S1",F:F,"ATBK")</f>
        <v>0</v>
      </c>
      <c r="BA545" s="182">
        <f>COUNTIFS(D:D,"AD",L:L,"3;-1",I:I,"S1",F:F,"WINSTAN")</f>
        <v>0</v>
      </c>
      <c r="BB545" s="182">
        <f>COUNTIFS(D:D,"AD",L:L,"3;-1",I:I,"S1",F:F,"WINSTANTI")</f>
        <v>0</v>
      </c>
      <c r="BC545" s="181">
        <f>COUNTIFS(D:D,"AD",L:L,"3;-1",I:I,"S1",F:F,"ENTRY")</f>
        <v>0</v>
      </c>
      <c r="BD545" s="181">
        <f>COUNTIFS(D:D,"AD",L:L,"3;-1",I:I,"S1",F:F,"KEEPOS")</f>
        <v>0</v>
      </c>
      <c r="BE545" s="223">
        <f>COUNTIFS(D:D,"AD",L:L,"3;-1",I:I,"S1")</f>
        <v>0</v>
      </c>
    </row>
    <row r="546" spans="15:57" s="115" customFormat="1" ht="15.75">
      <c r="O546" s="91"/>
      <c r="X546" s="115">
        <f t="shared" si="110"/>
        <v>0</v>
      </c>
      <c r="Y546" s="115">
        <f t="shared" si="111"/>
        <v>0</v>
      </c>
      <c r="Z546" s="115" t="e">
        <f t="shared" si="112"/>
        <v>#VALUE!</v>
      </c>
      <c r="AA546" s="115">
        <f t="shared" si="113"/>
        <v>0</v>
      </c>
      <c r="AB546" s="246"/>
      <c r="AE546" s="179">
        <f>COUNTIFS(D:D,"DA",L:L,"4;1",I:I,"S1",F:F,"ATONGOAL")</f>
        <v>0</v>
      </c>
      <c r="AF546" s="179">
        <f>COUNTIFS(D:D,"DA",L:L,"4;1",I:I,"S1",F:F,"ATON")</f>
        <v>0</v>
      </c>
      <c r="AG546" s="179">
        <f>COUNTIFS(D:D,"DA",L:L,"4;1",I:I,"S1",F:F,"ATOF")</f>
        <v>0</v>
      </c>
      <c r="AH546" s="179">
        <f>COUNTIFS(D:D,"DA",L:L,"4;1",I:I,"S1",F:F,"ATBK")</f>
        <v>0</v>
      </c>
      <c r="AI546" s="180">
        <f>COUNTIFS(D:D,"DA",L:L,"4;1",I:I,"S1",F:F,"WINSTAN")</f>
        <v>0</v>
      </c>
      <c r="AJ546" s="180">
        <f>COUNTIFS(D:D,"DA",L:L,"4;1",I:I,"S1",F:F,"WINSTANTI")</f>
        <v>0</v>
      </c>
      <c r="AK546" s="179">
        <f>COUNTIFS(D:D,"DA",L:L,"4;1",I:I,"S1",F:F,"ENTRY")</f>
        <v>0</v>
      </c>
      <c r="AL546" s="179">
        <f>COUNTIFS(D:D,"DA",L:L,"4;1",I:I,"S1",F:F,"KEEPOS")</f>
        <v>0</v>
      </c>
      <c r="AM546" s="219">
        <f>COUNTIFS(D:D,"DA",L:L,"4;1",I:I,"S1")</f>
        <v>0</v>
      </c>
      <c r="AN546" s="179">
        <f>COUNTIFS(D:D,"DA",L:L,"4;0",I:I,"S1",F:F,"ATONGOAL")</f>
        <v>0</v>
      </c>
      <c r="AO546" s="180">
        <f>COUNTIFS(D:D,"DA",L:L,"4;0",I:I,"S1",F:F,"ATON")</f>
        <v>0</v>
      </c>
      <c r="AP546" s="180">
        <f>COUNTIFS(D:D,"DA",L:L,"4;0",I:I,"S1",F:F,"ATOF")</f>
        <v>0</v>
      </c>
      <c r="AQ546" s="180">
        <f>COUNTIFS(D:D,"DA",L:L,"4;0",I:I,"S1",F:F,"ATBK")</f>
        <v>0</v>
      </c>
      <c r="AR546" s="180">
        <f>COUNTIFS(D:D,"DA",L:L,"4;0",I:I,"S1",F:F,"WINSTAN")</f>
        <v>0</v>
      </c>
      <c r="AS546" s="180">
        <f>COUNTIFS(D:D,"DA",L:L,"4;0",I:I,"S1",F:F,"WINSTANTI")</f>
        <v>0</v>
      </c>
      <c r="AT546" s="179">
        <f>COUNTIFS(D:D,"DA",L:L,"4;0",I:I,"S1",F:F,"ENTRY")</f>
        <v>0</v>
      </c>
      <c r="AU546" s="179">
        <f>COUNTIFS(D:D,"DA",L:L,"4;0",I:I,"S1",F:F,"KEEPOS")</f>
        <v>0</v>
      </c>
      <c r="AV546" s="170">
        <f>COUNTIFS(D:D,"DA",L:L,"4;0",I:I,"S1")</f>
        <v>0</v>
      </c>
      <c r="AW546" s="179">
        <f>COUNTIFS(D:D,"DA",L:L,"4;-1",I:I,"S1",F:F,"ATONGOAL")</f>
        <v>0</v>
      </c>
      <c r="AX546" s="180">
        <f>COUNTIFS(D:D,"DA",L:L,"4;-1",I:I,"S1",F:F,"ATON")</f>
        <v>0</v>
      </c>
      <c r="AY546" s="180">
        <f>COUNTIFS(D:D,"DA",L:L,"4;-1",I:I,"S1",F:F,"ATOF")</f>
        <v>0</v>
      </c>
      <c r="AZ546" s="180">
        <f>COUNTIFS(D:D,"DA",L:L,"4;-1",I:I,"S1",F:F,"ATBK")</f>
        <v>0</v>
      </c>
      <c r="BA546" s="180">
        <f>COUNTIFS(D:D,"DA",L:L,"4;-1",I:I,"S1",F:F,"WINSTAN")</f>
        <v>0</v>
      </c>
      <c r="BB546" s="180">
        <f>COUNTIFS(D:D,"DA",L:L,"4;-1",I:I,"S1",F:F,"WINSTANTI")</f>
        <v>0</v>
      </c>
      <c r="BC546" s="179">
        <f>COUNTIFS(D:D,"DA",L:L,"4;-1",I:I,"S1",F:F,"ENTRY")</f>
        <v>0</v>
      </c>
      <c r="BD546" s="179">
        <f>COUNTIFS(D:D,"DA",L:L,"4;-1",I:I,"S1",F:F,"KEEPOS")</f>
        <v>0</v>
      </c>
      <c r="BE546" s="220">
        <f>COUNTIFS(D:D,"DA",L:L,"4;-1",I:I,"S1")</f>
        <v>0</v>
      </c>
    </row>
    <row r="547" spans="15:57" s="115" customFormat="1">
      <c r="O547" s="91"/>
      <c r="X547" s="115">
        <f t="shared" si="110"/>
        <v>0</v>
      </c>
      <c r="Y547" s="115">
        <f t="shared" si="111"/>
        <v>0</v>
      </c>
      <c r="Z547" s="115" t="e">
        <f t="shared" si="112"/>
        <v>#VALUE!</v>
      </c>
      <c r="AA547" s="115">
        <f t="shared" si="113"/>
        <v>0</v>
      </c>
      <c r="AB547" s="246"/>
      <c r="AE547" s="181">
        <f>COUNTIFS(D:D,"AD",L:L,"4;1",I:I,"S1",F:F,"ATONGOAL")</f>
        <v>0</v>
      </c>
      <c r="AF547" s="181">
        <f>COUNTIFS(D:D,"AD",L:L,"4;1",I:I,"S1",F:F,"ATON")</f>
        <v>0</v>
      </c>
      <c r="AG547" s="181">
        <f>COUNTIFS(D:D,"AD",L:L,"4;1",I:I,"S1",F:F,"ATOF")</f>
        <v>0</v>
      </c>
      <c r="AH547" s="181">
        <f>COUNTIFS(D:D,"AD",L:L,"4;1",I:I,"S1",F:F,"ATBK")</f>
        <v>0</v>
      </c>
      <c r="AI547" s="182">
        <f>COUNTIFS(D:D,"AD",L:L,"4;1",I:I,"S1",F:F,"WINSTAN")</f>
        <v>0</v>
      </c>
      <c r="AJ547" s="182">
        <f>COUNTIFS(D:D,"AD",L:L,"4;1",I:I,"S1",F:F,"WINSTANTI")</f>
        <v>0</v>
      </c>
      <c r="AK547" s="181">
        <f>COUNTIFS(D:D,"AD",L:L,"4;1",I:I,"S1",F:F,"ENTRY")</f>
        <v>0</v>
      </c>
      <c r="AL547" s="181">
        <f>COUNTIFS(D:D,"AD",L:L,"4;1",I:I,"S1",F:F,"KEEPOS")</f>
        <v>0</v>
      </c>
      <c r="AM547" s="222">
        <f>COUNTIFS(D:D,"AD",L:L,"4;1",I:I,"S1")</f>
        <v>0</v>
      </c>
      <c r="AN547" s="181">
        <f>COUNTIFS(D:D,"AD",L:L,"4;0",I:I,"S1",F:F,"ATONGOAL")</f>
        <v>0</v>
      </c>
      <c r="AO547" s="182">
        <f>COUNTIFS(D:D,"AD",L:L,"4;0",I:I,"S1",F:F,"ATON")</f>
        <v>0</v>
      </c>
      <c r="AP547" s="182">
        <f>COUNTIFS(D:D,"AD",L:L,"4;0",I:I,"S1",F:F,"ATOF")</f>
        <v>0</v>
      </c>
      <c r="AQ547" s="182">
        <f>COUNTIFS(D:D,"AD",L:L,"4;0",I:I,"S1",F:F,"ATBK")</f>
        <v>0</v>
      </c>
      <c r="AR547" s="182">
        <f>COUNTIFS(D:D,"AD",L:L,"4;0",I:I,"S1",F:F,"WINSTAN")</f>
        <v>0</v>
      </c>
      <c r="AS547" s="182">
        <f>COUNTIFS(D:D,"AD",L:L,"4;0",I:I,"S1",F:F,"WINSTANTI")</f>
        <v>0</v>
      </c>
      <c r="AT547" s="181">
        <f>COUNTIFS(D:D,"AD",L:L,"4;0",I:I,"S1",F:F,"ENTRY")</f>
        <v>0</v>
      </c>
      <c r="AU547" s="181">
        <f>COUNTIFS(D:D,"AD",L:L,"4;0",I:I,"S1",F:F,"KEEPOS")</f>
        <v>0</v>
      </c>
      <c r="AV547" s="171">
        <f>COUNTIFS(D:D,"AD",L:L,"4;0",I:I,"S1")</f>
        <v>0</v>
      </c>
      <c r="AW547" s="181">
        <f>COUNTIFS(D:D,"AD",L:L,"4;-1",I:I,"S1",F:F,"ATONGOAL")</f>
        <v>0</v>
      </c>
      <c r="AX547" s="182">
        <f>COUNTIFS(D:D,"AD",L:L,"4;-1",I:I,"S1",F:F,"ATON")</f>
        <v>0</v>
      </c>
      <c r="AY547" s="182">
        <f>COUNTIFS(D:D,"AD",L:L,"4;-1",I:I,"S1",F:F,"ATOF")</f>
        <v>0</v>
      </c>
      <c r="AZ547" s="182">
        <f>COUNTIFS(D:D,"AD",L:L,"4;-1",I:I,"S1",F:F,"ATBK")</f>
        <v>0</v>
      </c>
      <c r="BA547" s="182">
        <f>COUNTIFS(D:D,"AD",L:L,"4;-1",I:I,"S1",F:F,"WINSTAN")</f>
        <v>0</v>
      </c>
      <c r="BB547" s="182">
        <f>COUNTIFS(D:D,"AD",L:L,"4;-1",I:I,"S1",F:F,"WINSTANTI")</f>
        <v>0</v>
      </c>
      <c r="BC547" s="181">
        <f>COUNTIFS(D:D,"AD",L:L,"4;-1",I:I,"S1",F:F,"ENTRY")</f>
        <v>0</v>
      </c>
      <c r="BD547" s="181">
        <f>COUNTIFS(D:D,"AD",L:L,"4;-1",I:I,"S1",F:F,"KEEPOS")</f>
        <v>0</v>
      </c>
      <c r="BE547" s="223">
        <f>COUNTIFS(D:D,"AD",L:L,"4;-1",I:I,"S1")</f>
        <v>0</v>
      </c>
    </row>
    <row r="548" spans="15:57" s="115" customFormat="1" ht="15.75">
      <c r="O548" s="91"/>
      <c r="X548" s="115">
        <f t="shared" si="110"/>
        <v>0</v>
      </c>
      <c r="Y548" s="115">
        <f t="shared" si="111"/>
        <v>0</v>
      </c>
      <c r="Z548" s="115" t="e">
        <f t="shared" si="112"/>
        <v>#VALUE!</v>
      </c>
      <c r="AA548" s="115">
        <f t="shared" si="113"/>
        <v>0</v>
      </c>
      <c r="AB548" s="246"/>
      <c r="AE548" s="179">
        <f>COUNTIFS(D:D,"DA",L:L,"5;1",I:I,"S1",F:F,"ATONGOAL")+AE546</f>
        <v>0</v>
      </c>
      <c r="AF548" s="179">
        <f>COUNTIFS(D:D,"DA",L:L,"5;1",I:I,"S1",F:F,"ATON")+AF546</f>
        <v>0</v>
      </c>
      <c r="AG548" s="179">
        <f>COUNTIFS(D:D,"DA",L:L,"5;1",I:I,"S1",F:F,"ATOF")+AG546</f>
        <v>0</v>
      </c>
      <c r="AH548" s="179">
        <f>COUNTIFS(D:D,"DA",L:L,"5;1",I:I,"S1",F:F,"ATBK")+AH546</f>
        <v>0</v>
      </c>
      <c r="AI548" s="180">
        <f>COUNTIFS(D:D,"DA",L:L,"5;1",I:I,"S1",F:F,"WINSTAN")+AI546</f>
        <v>0</v>
      </c>
      <c r="AJ548" s="180">
        <f>COUNTIFS(D:D,"DA",L:L,"5;1",I:I,"S1",F:F,"WINSTANTI")+AJ546</f>
        <v>0</v>
      </c>
      <c r="AK548" s="179">
        <f>COUNTIFS(D:D,"DA",L:L,"5;1",I:I,"S1",F:F,"ENTRY")+AK546</f>
        <v>0</v>
      </c>
      <c r="AL548" s="179">
        <f>COUNTIFS(D:D,"DA",L:L,"5;1",I:I,"S1",F:F,"KEEPOS")+AL546</f>
        <v>0</v>
      </c>
      <c r="AM548" s="219">
        <f>COUNTIFS(D:D,"DA",L:L,"5;1",I:I,"S1")+AM546</f>
        <v>0</v>
      </c>
      <c r="AN548" s="179">
        <f>COUNTIFS(D:D,"DA",L:L,"5;0",I:I,"S1",F:F,"ATONGOAL")</f>
        <v>0</v>
      </c>
      <c r="AO548" s="180">
        <f>COUNTIFS(D:D,"DA",L:L,"5;0",I:I,"S1",F:F,"ATON")</f>
        <v>0</v>
      </c>
      <c r="AP548" s="180">
        <f>COUNTIFS(D:D,"DA",L:L,"5;0",I:I,"S1",F:F,"ATOF")</f>
        <v>0</v>
      </c>
      <c r="AQ548" s="180">
        <f>COUNTIFS(D:D,"DA",L:L,"5;0",I:I,"S1",F:F,"ATBK")</f>
        <v>0</v>
      </c>
      <c r="AR548" s="180">
        <f>COUNTIFS(D:D,"DA",L:L,"5;0",I:I,"S1",F:F,"WINSTAN")</f>
        <v>0</v>
      </c>
      <c r="AS548" s="180">
        <f>COUNTIFS(D:D,"DA",L:L,"5;0",I:I,"S1",F:F,"WINSTANTI")</f>
        <v>0</v>
      </c>
      <c r="AT548" s="179">
        <f>COUNTIFS(D:D,"DA",L:L,"5;0",I:I,"S1",F:F,"ENTRY")</f>
        <v>0</v>
      </c>
      <c r="AU548" s="179">
        <f>COUNTIFS(D:D,"DA",L:L,"5;0",I:I,"S1",F:F,"KEEPOS")</f>
        <v>0</v>
      </c>
      <c r="AV548" s="170">
        <f>COUNTIFS(D:D,"DA",L:L,"5;0",I:I,"S1")</f>
        <v>0</v>
      </c>
      <c r="AW548" s="179">
        <f>COUNTIFS(D:D,"DA",L:L,"5;-1",I:I,"S1",F:F,"ATONGOAL")+AW546</f>
        <v>0</v>
      </c>
      <c r="AX548" s="180">
        <f>COUNTIFS(D:D,"DA",L:L,"5;-1",I:I,"S1",F:F,"ATON")+AX546</f>
        <v>0</v>
      </c>
      <c r="AY548" s="180">
        <f>COUNTIFS(D:D,"DA",L:L,"5;-1",I:I,"S1",F:F,"ATOF")+AY546</f>
        <v>0</v>
      </c>
      <c r="AZ548" s="180">
        <f>COUNTIFS(D:D,"DA",L:L,"5;-1",I:I,"S1",F:F,"ATBK")+AZ546</f>
        <v>0</v>
      </c>
      <c r="BA548" s="180">
        <f>COUNTIFS(D:D,"DA",L:L,"5;-1",I:I,"S1",F:F,"WINSTAN")+BA546</f>
        <v>0</v>
      </c>
      <c r="BB548" s="180">
        <f>COUNTIFS(D:D,"DA",L:L,"5;-1",I:I,"S1",F:F,"WINSTANTI")+BB546</f>
        <v>0</v>
      </c>
      <c r="BC548" s="179">
        <f>COUNTIFS(D:D,"DA",L:L,"5;-1",I:I,"S1",F:F,"ENTRY")+BC546</f>
        <v>0</v>
      </c>
      <c r="BD548" s="179">
        <f>COUNTIFS(D:D,"DA",L:L,"5;-1",I:I,"S1",F:F,"KEEPOS")+BD546</f>
        <v>0</v>
      </c>
      <c r="BE548" s="220">
        <f>COUNTIFS(D:D,"DA",L:L,"5;-1",I:I,"S1")+BE546</f>
        <v>0</v>
      </c>
    </row>
    <row r="549" spans="15:57">
      <c r="O549" s="91"/>
      <c r="X549" s="115">
        <f t="shared" si="110"/>
        <v>0</v>
      </c>
      <c r="Y549" s="115">
        <f t="shared" si="111"/>
        <v>0</v>
      </c>
      <c r="Z549" s="115" t="e">
        <f t="shared" si="112"/>
        <v>#VALUE!</v>
      </c>
      <c r="AA549" s="115">
        <f t="shared" si="113"/>
        <v>0</v>
      </c>
      <c r="AE549" s="181">
        <f>COUNTIFS(D:D,"AD",L:L,"5;1",I:I,"S1",F:F,"ATONGOAL")+AE547</f>
        <v>0</v>
      </c>
      <c r="AF549" s="181">
        <f>COUNTIFS(D:D,"AD",L:L,"5;1",I:I,"S1",F:F,"ATON")+AF547</f>
        <v>0</v>
      </c>
      <c r="AG549" s="181">
        <f>COUNTIFS(D:D,"AD",L:L,"5;1",I:I,"S1",F:F,"ATOF")+AG547</f>
        <v>0</v>
      </c>
      <c r="AH549" s="181">
        <f>COUNTIFS(D:D,"AD",L:L,"5;1",I:I,"S1",F:F,"ATBK")+AH547</f>
        <v>0</v>
      </c>
      <c r="AI549" s="182">
        <f>COUNTIFS(D:D,"AD",L:L,"5;1",I:I,"S1",F:F,"WINSTAN")+AI547</f>
        <v>0</v>
      </c>
      <c r="AJ549" s="182">
        <f>COUNTIFS(D:D,"AD",L:L,"5;1",I:I,"S1",F:F,"WINSTANTI")+AJ547</f>
        <v>0</v>
      </c>
      <c r="AK549" s="181">
        <f>COUNTIFS(D:D,"AD",L:L,"5;1",I:I,"S1",F:F,"ENTRY")+AK547</f>
        <v>0</v>
      </c>
      <c r="AL549" s="181">
        <f>COUNTIFS(D:D,"AD",L:L,"5;1",I:I,"S1",F:F,"KEEPOS")+AL547</f>
        <v>0</v>
      </c>
      <c r="AM549" s="222">
        <f>COUNTIFS(D:D,"AD",L:L,"5;1",I:I,"S1")+AM547</f>
        <v>0</v>
      </c>
      <c r="AN549" s="181">
        <f>COUNTIFS(D:D,"AD",L:L,"5;0",I:I,"S1",F:F,"ATONGOAL")</f>
        <v>0</v>
      </c>
      <c r="AO549" s="182">
        <f>COUNTIFS(D:D,"AD",L:L,"5;0",I:I,"S1",F:F,"ATON")</f>
        <v>0</v>
      </c>
      <c r="AP549" s="182">
        <f>COUNTIFS(D:D,"AD",L:L,"5;0",I:I,"S1",F:F,"ATOF")</f>
        <v>0</v>
      </c>
      <c r="AQ549" s="182">
        <f>COUNTIFS(D:D,"AD",L:L,"5;0",I:I,"S1",F:F,"ATBK")</f>
        <v>0</v>
      </c>
      <c r="AR549" s="182">
        <f>COUNTIFS(D:D,"AD",L:L,"5;0",I:I,"S1",F:F,"WINSTAN")</f>
        <v>0</v>
      </c>
      <c r="AS549" s="182">
        <f>COUNTIFS(D:D,"AD",L:L,"5;0",I:I,"S1",F:F,"WINSTANTI")</f>
        <v>0</v>
      </c>
      <c r="AT549" s="181">
        <f>COUNTIFS(D:D,"AD",L:L,"5;0",I:I,"S1",F:F,"ENTRY")</f>
        <v>0</v>
      </c>
      <c r="AU549" s="181">
        <f>COUNTIFS(D:D,"AD",L:L,"5;0",I:I,"S1",F:F,"KEEPOS")</f>
        <v>0</v>
      </c>
      <c r="AV549" s="171">
        <f>COUNTIFS(D:D,"AD",L:L,"5;0",I:I,"S1")</f>
        <v>0</v>
      </c>
      <c r="AW549" s="181">
        <f>COUNTIFS(D:D,"AD",L:L,"5;-1",I:I,"S1",F:F,"ATONGOAL")+AW547</f>
        <v>0</v>
      </c>
      <c r="AX549" s="182">
        <f>COUNTIFS(D:D,"AD",L:L,"5;-1",I:I,"S1",F:F,"ATON")+AX547</f>
        <v>0</v>
      </c>
      <c r="AY549" s="182">
        <f>COUNTIFS(D:D,"AD",L:L,"5;-1",I:I,"S1",F:F,"ATOF")+AY547</f>
        <v>0</v>
      </c>
      <c r="AZ549" s="182">
        <f>COUNTIFS(D:D,"AD",L:L,"5;-1",I:I,"S1",F:F,"ATBK")+AZ547</f>
        <v>0</v>
      </c>
      <c r="BA549" s="182">
        <f>COUNTIFS(D:D,"AD",L:L,"5;-1",I:I,"S1",F:F,"WINSTAN")+BA547</f>
        <v>0</v>
      </c>
      <c r="BB549" s="182">
        <f>COUNTIFS(D:D,"AD",L:L,"5;-1",I:I,"S1",F:F,"WINSTANTI")+BB547</f>
        <v>0</v>
      </c>
      <c r="BC549" s="181">
        <f>COUNTIFS(D:D,"AD",L:L,"5;-1",I:I,"S1",F:F,"ENTRY")+BC547</f>
        <v>0</v>
      </c>
      <c r="BD549" s="181">
        <f>COUNTIFS(D:D,"AD",L:L,"5;-1",I:I,"S1",F:F,"KEEPOS")+BD547</f>
        <v>0</v>
      </c>
      <c r="BE549" s="223">
        <f>COUNTIFS(D:D,"AD",L:L,"5;-1",I:I,"S1")+BE547</f>
        <v>0</v>
      </c>
    </row>
    <row r="550" spans="15:57" s="115" customFormat="1">
      <c r="O550" s="91"/>
      <c r="X550" s="115">
        <f t="shared" si="110"/>
        <v>0</v>
      </c>
      <c r="Y550" s="115">
        <f t="shared" si="111"/>
        <v>0</v>
      </c>
      <c r="Z550" s="115" t="e">
        <f t="shared" si="112"/>
        <v>#VALUE!</v>
      </c>
      <c r="AA550" s="115">
        <f t="shared" si="113"/>
        <v>0</v>
      </c>
      <c r="AB550" s="246"/>
      <c r="AE550" s="201"/>
      <c r="AF550" s="201"/>
      <c r="AG550" s="201"/>
      <c r="AH550" s="201"/>
      <c r="AI550" s="201"/>
      <c r="AJ550" s="201"/>
      <c r="AK550" s="201"/>
      <c r="AL550" s="201"/>
      <c r="AM550" s="225"/>
      <c r="AN550" s="201"/>
      <c r="AO550" s="201"/>
      <c r="AP550" s="201"/>
      <c r="AQ550" s="201"/>
      <c r="AR550" s="201"/>
      <c r="AS550" s="201"/>
      <c r="AT550" s="201"/>
      <c r="AU550" s="201"/>
      <c r="AV550" s="225"/>
      <c r="AW550" s="201"/>
      <c r="AX550" s="201"/>
      <c r="AY550" s="201"/>
      <c r="AZ550" s="201"/>
      <c r="BA550" s="201"/>
      <c r="BB550" s="201"/>
      <c r="BC550" s="201"/>
      <c r="BD550" s="201"/>
      <c r="BE550" s="225"/>
    </row>
    <row r="551" spans="15:57">
      <c r="O551" s="91"/>
      <c r="X551" s="115">
        <f t="shared" si="110"/>
        <v>0</v>
      </c>
      <c r="Y551" s="115">
        <f t="shared" si="111"/>
        <v>0</v>
      </c>
      <c r="Z551" s="115" t="e">
        <f t="shared" si="112"/>
        <v>#VALUE!</v>
      </c>
      <c r="AA551" s="115">
        <f t="shared" si="113"/>
        <v>0</v>
      </c>
    </row>
    <row r="552" spans="15:57" ht="21">
      <c r="O552" s="91"/>
      <c r="X552" s="115">
        <f t="shared" si="110"/>
        <v>0</v>
      </c>
      <c r="Y552" s="115">
        <f t="shared" si="111"/>
        <v>0</v>
      </c>
      <c r="Z552" s="115" t="e">
        <f t="shared" si="112"/>
        <v>#VALUE!</v>
      </c>
      <c r="AA552" s="115">
        <f t="shared" si="113"/>
        <v>0</v>
      </c>
      <c r="AD552" s="380" t="s">
        <v>259</v>
      </c>
      <c r="AE552" s="380"/>
      <c r="AF552" s="380"/>
      <c r="AG552" s="380"/>
      <c r="AH552" s="380"/>
    </row>
    <row r="553" spans="15:57">
      <c r="O553" s="91"/>
      <c r="X553" s="115">
        <f t="shared" si="110"/>
        <v>0</v>
      </c>
      <c r="Y553" s="115">
        <f t="shared" si="111"/>
        <v>0</v>
      </c>
      <c r="Z553" s="115" t="e">
        <f t="shared" si="112"/>
        <v>#VALUE!</v>
      </c>
      <c r="AA553" s="115">
        <f t="shared" si="113"/>
        <v>0</v>
      </c>
      <c r="AD553" s="115"/>
      <c r="AE553" s="374" t="s">
        <v>102</v>
      </c>
      <c r="AF553" s="374"/>
      <c r="AG553" s="115"/>
    </row>
    <row r="554" spans="15:57">
      <c r="O554" s="91"/>
      <c r="X554" s="115">
        <f t="shared" si="110"/>
        <v>0</v>
      </c>
      <c r="Y554" s="115">
        <f t="shared" si="111"/>
        <v>0</v>
      </c>
      <c r="Z554" s="115" t="e">
        <f t="shared" si="112"/>
        <v>#VALUE!</v>
      </c>
      <c r="AA554" s="115">
        <f t="shared" si="113"/>
        <v>0</v>
      </c>
      <c r="AD554" s="115"/>
      <c r="AE554" s="115" t="s">
        <v>98</v>
      </c>
      <c r="AF554" s="115"/>
      <c r="AG554" s="115"/>
      <c r="AU554" s="115"/>
      <c r="AV554" s="374" t="s">
        <v>102</v>
      </c>
      <c r="AW554" s="374"/>
    </row>
    <row r="555" spans="15:57">
      <c r="O555" s="91"/>
      <c r="X555" s="115">
        <f t="shared" si="110"/>
        <v>0</v>
      </c>
      <c r="Y555" s="115">
        <f t="shared" si="111"/>
        <v>0</v>
      </c>
      <c r="Z555" s="115" t="e">
        <f t="shared" si="112"/>
        <v>#VALUE!</v>
      </c>
      <c r="AA555" s="115">
        <f t="shared" si="113"/>
        <v>0</v>
      </c>
      <c r="AD555" s="115" t="s">
        <v>97</v>
      </c>
      <c r="AE555" s="115">
        <f>COUNTIFS(D:D,"AA",F:F,"ATONGOAL",M:M,"STANCO")+COUNTIFS(D:D,"AA",F:F,"ATONGOAL",M:M,"STANTI")+COUNTIFS(D:D,"AA",F:F,"ATONGOAL",M:M,"STANFK")+COUNTIFS(D:D,"AA",F:F,"ATONGOAL",M:M,"STANGK")+COUNTIFS(D:D,"AA",F:F,"ATONGOAL",M:M,"STANGS")+COUNTIFS(D:D,"AA",F:F,"ATONGOAL",M:M,"STANPEN")+COUNTIFS(D:D,"AA",F:F,"ATONGOAL",M:M,"STANFK DIRECT")+COUNTIFS(D:D,"AA",F:F,"ATON",M:M,"STANCO")+COUNTIFS(D:D,"AA",F:F,"ATON",M:M,"STANTI")+COUNTIFS(D:D,"AA",F:F,"ATON",M:M,"STANFK")+COUNTIFS(D:D,"AA",F:F,"ATON",M:M,"STANGK")+COUNTIFS(D:D,"AA",F:F,"ATON",M:M,"STANGS")+COUNTIFS(D:D,"AA",F:F,"ATON",M:M,"STANPEN")+COUNTIFS(D:D,"AA",F:F,"ATON",M:M,"STANFK DIRECT")+COUNTIFS(D:D,"AA",F:F,"ATOF",M:M,"STANCO")+COUNTIFS(D:D,"AA",F:F,"ATOF",M:M,"STANTI")+COUNTIFS(D:D,"AA",F:F,"ATOF",M:M,"STANFK")+COUNTIFS(D:D,"AA",F:F,"ATOF",M:M,"STANGK")+COUNTIFS(D:D,"AA",F:F,"ATOF",M:M,"STANGS")+COUNTIFS(D:D,"AA",F:F,"ATOF",M:M,"STANPEN")+COUNTIFS(D:D,"AA",F:F,"ATOF",M:M,"STANFK DIRECT")+COUNTIFS(D:D,"AA",F:F,"ATBK",M:M,"STANCO")+COUNTIFS(D:D,"AA",F:F,"ATBK",M:M,"STANTI")+COUNTIFS(D:D,"AA",F:F,"ATBK",M:M,"STANFK")+COUNTIFS(D:D,"AA",F:F,"ATBK",M:M,"STANGK")+COUNTIFS(D:D,"AA",F:F,"ATBK",M:M,"STANGS")+COUNTIFS(D:D,"AA",F:F,"ATBK",M:M,"STANFK DIRECT")+COUNTIFS(D:D,"AA",F:F,"ATBK",M:M,"STANPEN")</f>
        <v>4</v>
      </c>
      <c r="AF555" s="115"/>
      <c r="AG555" s="115"/>
      <c r="AU555" s="115"/>
      <c r="AV555" s="115" t="s">
        <v>98</v>
      </c>
      <c r="AW555" s="115"/>
    </row>
    <row r="556" spans="15:57">
      <c r="O556" s="91"/>
      <c r="X556" s="115">
        <f t="shared" si="110"/>
        <v>0</v>
      </c>
      <c r="Y556" s="115">
        <f t="shared" si="111"/>
        <v>0</v>
      </c>
      <c r="Z556" s="115" t="e">
        <f t="shared" si="112"/>
        <v>#VALUE!</v>
      </c>
      <c r="AA556" s="115">
        <f t="shared" si="113"/>
        <v>0</v>
      </c>
      <c r="AD556" s="115"/>
      <c r="AE556" s="115"/>
      <c r="AF556" s="115"/>
      <c r="AG556" s="115"/>
      <c r="AU556" s="115" t="s">
        <v>260</v>
      </c>
      <c r="AV556" s="115">
        <f>AV561+AW561+AX561+AY561+AZ561</f>
        <v>6</v>
      </c>
      <c r="AW556" s="115"/>
    </row>
    <row r="557" spans="15:57">
      <c r="O557" s="91"/>
      <c r="X557" s="115">
        <f t="shared" si="110"/>
        <v>0</v>
      </c>
      <c r="Y557" s="115">
        <f t="shared" si="111"/>
        <v>0</v>
      </c>
      <c r="Z557" s="115" t="e">
        <f t="shared" si="112"/>
        <v>#VALUE!</v>
      </c>
      <c r="AA557" s="115">
        <f t="shared" si="113"/>
        <v>0</v>
      </c>
      <c r="AD557" s="115"/>
      <c r="AE557" s="115"/>
      <c r="AF557" s="115"/>
      <c r="AG557" s="115"/>
    </row>
    <row r="558" spans="15:57">
      <c r="O558" s="91"/>
      <c r="X558" s="115">
        <f t="shared" si="110"/>
        <v>0</v>
      </c>
      <c r="Y558" s="115">
        <f t="shared" si="111"/>
        <v>0</v>
      </c>
      <c r="Z558" s="115" t="e">
        <f t="shared" si="112"/>
        <v>#VALUE!</v>
      </c>
      <c r="AA558" s="115">
        <f t="shared" si="113"/>
        <v>0</v>
      </c>
      <c r="AD558" s="115"/>
      <c r="AE558" s="374" t="s">
        <v>102</v>
      </c>
      <c r="AF558" s="374"/>
      <c r="AG558" s="115"/>
      <c r="AH558" s="115"/>
      <c r="AI558" s="115"/>
      <c r="AJ558" s="115"/>
      <c r="AT558" s="115"/>
      <c r="AU558" s="115"/>
      <c r="AV558" s="374" t="s">
        <v>102</v>
      </c>
      <c r="AW558" s="374"/>
      <c r="AX558" s="115"/>
      <c r="AY558" s="115"/>
      <c r="AZ558" s="115"/>
      <c r="BA558" s="115"/>
      <c r="BB558" s="115"/>
    </row>
    <row r="559" spans="15:57">
      <c r="O559" s="91"/>
      <c r="X559" s="115">
        <f t="shared" si="110"/>
        <v>0</v>
      </c>
      <c r="Y559" s="115">
        <f t="shared" si="111"/>
        <v>0</v>
      </c>
      <c r="Z559" s="115" t="e">
        <f t="shared" si="112"/>
        <v>#VALUE!</v>
      </c>
      <c r="AA559" s="115">
        <f t="shared" si="113"/>
        <v>0</v>
      </c>
      <c r="AD559" s="374" t="s">
        <v>104</v>
      </c>
      <c r="AE559" s="374"/>
      <c r="AF559" s="374"/>
      <c r="AG559" s="374"/>
      <c r="AH559" s="115"/>
      <c r="AI559" s="115"/>
      <c r="AT559" s="115"/>
      <c r="AU559" s="374" t="s">
        <v>104</v>
      </c>
      <c r="AV559" s="374"/>
      <c r="AW559" s="374"/>
      <c r="AX559" s="374"/>
      <c r="AY559" s="115"/>
      <c r="AZ559" s="115"/>
      <c r="BA559" s="115"/>
      <c r="BB559" s="115"/>
    </row>
    <row r="560" spans="15:57">
      <c r="O560" s="91"/>
      <c r="X560" s="115">
        <f t="shared" si="110"/>
        <v>0</v>
      </c>
      <c r="Y560" s="115">
        <f t="shared" si="111"/>
        <v>0</v>
      </c>
      <c r="Z560" s="115" t="e">
        <f t="shared" si="112"/>
        <v>#VALUE!</v>
      </c>
      <c r="AA560" s="115">
        <f t="shared" si="113"/>
        <v>0</v>
      </c>
      <c r="AD560" s="115"/>
      <c r="AE560" s="115" t="s">
        <v>4</v>
      </c>
      <c r="AF560" s="115" t="s">
        <v>29</v>
      </c>
      <c r="AG560" s="115" t="s">
        <v>10</v>
      </c>
      <c r="AH560" s="175" t="s">
        <v>127</v>
      </c>
      <c r="AI560" s="115" t="s">
        <v>164</v>
      </c>
      <c r="AJ560" t="s">
        <v>45</v>
      </c>
      <c r="AT560" s="115"/>
      <c r="AU560" s="115"/>
      <c r="AV560" s="115" t="s">
        <v>4</v>
      </c>
      <c r="AW560" s="115" t="s">
        <v>29</v>
      </c>
      <c r="AX560" s="115" t="s">
        <v>10</v>
      </c>
      <c r="AY560" s="175" t="s">
        <v>127</v>
      </c>
      <c r="AZ560" s="115" t="s">
        <v>164</v>
      </c>
      <c r="BA560" t="s">
        <v>45</v>
      </c>
    </row>
    <row r="561" spans="15:53">
      <c r="O561" s="91"/>
      <c r="X561" s="115">
        <f t="shared" si="110"/>
        <v>0</v>
      </c>
      <c r="Y561" s="115">
        <f t="shared" si="111"/>
        <v>0</v>
      </c>
      <c r="Z561" s="115" t="e">
        <f t="shared" si="112"/>
        <v>#VALUE!</v>
      </c>
      <c r="AA561" s="115">
        <f t="shared" si="113"/>
        <v>0</v>
      </c>
      <c r="AD561" s="115" t="s">
        <v>5</v>
      </c>
      <c r="AE561" s="115">
        <f>COUNTIFS(D:D,"AA",F:F,"ATONGOAL",M:M,"STANCO")+COUNTIFS(D:D,"AA",F:F,"ATON",M:M,"STANCO")+COUNTIFS(D:D,"AA",F:F,"ATOF",M:M,"STANCO")+COUNTIFS(D:D,"AA",F:F,"ATBK",M:M,"STANCO")</f>
        <v>2</v>
      </c>
      <c r="AF561" s="115">
        <f>COUNTIFS(D:D,"AA",F:F,"ATONGOAL",M:M,"STANTI")+COUNTIFS(D:D,"AA",F:F,"ATON",M:M,"STANTI")+COUNTIFS(D:D,"AA",F:F,"ATOF",M:M,"STANTI")+COUNTIFS(D:D,"AA",F:F,"ATBK",M:M,"STANTI")</f>
        <v>0</v>
      </c>
      <c r="AG561" s="115">
        <f>COUNTIFS(D:D,"AA",F:F,"ATONGOAL",M:M,"STANFK")+COUNTIFS(D:D,"AA",F:F,"ATON",M:M,"STANFK")+COUNTIFS(D:D,"AA",F:F,"ATOF",M:M,"STANFK")+COUNTIFS(D:D,"AA",F:F,"ATBK",M:M,"STANFK")</f>
        <v>1</v>
      </c>
      <c r="AH561" s="115">
        <f>COUNTIFS(D:D,"AA",F:F,"ATONGOAL",M:M,"STANPEN")+COUNTIFS(D:D,"AA",F:F,"ATON",M:M,"STANPEN")+COUNTIFS(D:D,"AA",F:F,"ATOF",M:M,"STANPEN")+COUNTIFS(D:D,"AA",F:F,"ATBK",M:M,"STANPEN")</f>
        <v>0</v>
      </c>
      <c r="AI561" s="115">
        <f>COUNTIFS(D:D,"AA",F:F,"ATONGOAL",M:M,"STANFK DIRECT")+COUNTIFS(D:D,"AA",F:F,"ATON",M:M,"STANFK DIRECT")+COUNTIFS(D:D,"AA",F:F,"ATOF",M:M,"STANFK DIRECT")+COUNTIFS(D:D,"AA",F:F,"ATBK",M:M,"STANFK DIRECT")</f>
        <v>1</v>
      </c>
      <c r="AJ561">
        <f>AE561+AF561+AG561+AH561+AI561</f>
        <v>4</v>
      </c>
      <c r="AT561" s="115"/>
      <c r="AU561" s="115" t="s">
        <v>1</v>
      </c>
      <c r="AV561" s="115">
        <f>COUNTIFS(D:D,"DD",F:F,"ATONGOAL",M:M,"STANCO")+COUNTIFS(D:D,"DD",F:F,"ATON",M:M,"STANCO")+COUNTIFS(D:D,"DD",F:F,"ATOF",M:M,"STANCO")+COUNTIFS(D:D,"DD",F:F,"ATBK",M:M,"STANCO")</f>
        <v>3</v>
      </c>
      <c r="AW561" s="115">
        <f>COUNTIFS(D:D,"DD",F:F,"ATONGOAL",M:M,"STANTI")+COUNTIFS(D:D,"DD",F:F,"ATON",M:M,"STANTI")+COUNTIFS(D:D,"DD",F:F,"ATOF",M:M,"STANTI")+COUNTIFS(D:D,"DD",F:F,"ATBK",M:M,"STANTI")</f>
        <v>0</v>
      </c>
      <c r="AX561" s="115">
        <f>COUNTIFS(D:D,"DD",F:F,"ATONGOAL",M:M,"STANFK")+COUNTIFS(D:D,"DD",F:F,"ATON",M:M,"STANFK")+COUNTIFS(D:D,"DD",F:F,"ATOF",M:M,"STANFK")+COUNTIFS(D:D,"DD",F:F,"ATBK",M:M,"STANFK")</f>
        <v>2</v>
      </c>
      <c r="AY561" s="115">
        <f>COUNTIFS(D:D,"DD",F:F,"ATONGOAL",M:M,"STANPEN")+COUNTIFS(D:D,"DD",F:F,"ATON",M:M,"STANPEN")+COUNTIFS(D:D,"DD",F:F,"ATOF",M:M,"STANPEN")+COUNTIFS(D:D,"DD",F:F,"ATBK",M:M,"STANPEN")</f>
        <v>0</v>
      </c>
      <c r="AZ561" s="115">
        <f>COUNTIFS(D:D,"DD",F:F,"ATONGOAL",M:M,"STANFK DIRECT")+COUNTIFS(D:D,"DD",F:F,"ATON",M:M,"STANFK DIRECT")+COUNTIFS(D:D,"DD",F:F,"ATOF",M:M,"STANFK DIRECT")+COUNTIFS(D:D,"DD",F:F,"ATBK",M:M,"STANFK DIRECT")</f>
        <v>1</v>
      </c>
      <c r="BA561">
        <f>AV561+AW561+AX561+AY561+AZ561</f>
        <v>6</v>
      </c>
    </row>
    <row r="562" spans="15:53">
      <c r="O562" s="91"/>
      <c r="X562" s="115">
        <f t="shared" si="110"/>
        <v>0</v>
      </c>
      <c r="Y562" s="115">
        <f t="shared" si="111"/>
        <v>0</v>
      </c>
      <c r="Z562" s="115" t="e">
        <f t="shared" si="112"/>
        <v>#VALUE!</v>
      </c>
      <c r="AA562" s="115">
        <f t="shared" si="113"/>
        <v>0</v>
      </c>
      <c r="AE562" s="151">
        <f>AE561/$AJ$561</f>
        <v>0.5</v>
      </c>
      <c r="AF562" s="151">
        <f>AF561/$AJ$561</f>
        <v>0</v>
      </c>
      <c r="AG562" s="151">
        <f>AG561/$AJ$561</f>
        <v>0.25</v>
      </c>
      <c r="AH562" s="151">
        <f>AH561/$AJ$561</f>
        <v>0</v>
      </c>
      <c r="AI562" s="151">
        <f>AI561/$AJ$561</f>
        <v>0.25</v>
      </c>
      <c r="AJ562" s="115"/>
      <c r="AV562" s="151">
        <f>AV561/$BA$561</f>
        <v>0.5</v>
      </c>
      <c r="AW562" s="151">
        <f>AW561/$BA$561</f>
        <v>0</v>
      </c>
      <c r="AX562" s="151">
        <f>AX561/$BA$561</f>
        <v>0.33333333333333331</v>
      </c>
      <c r="AY562" s="151">
        <f>AY561/$BA$561</f>
        <v>0</v>
      </c>
      <c r="AZ562" s="151">
        <f>AZ561/$BA$561</f>
        <v>0.16666666666666666</v>
      </c>
      <c r="BA562" s="115"/>
    </row>
    <row r="563" spans="15:53" s="115" customFormat="1">
      <c r="O563" s="91"/>
      <c r="X563" s="115">
        <f t="shared" si="110"/>
        <v>0</v>
      </c>
      <c r="Y563" s="115">
        <f t="shared" si="111"/>
        <v>0</v>
      </c>
      <c r="Z563" s="115" t="e">
        <f t="shared" si="112"/>
        <v>#VALUE!</v>
      </c>
      <c r="AA563" s="115">
        <f t="shared" si="113"/>
        <v>0</v>
      </c>
      <c r="AB563" s="246"/>
      <c r="AD563" s="115" t="s">
        <v>45</v>
      </c>
      <c r="AE563" s="178">
        <f>COUNTIFS(M:M,"STANCO",D:D,"AA")</f>
        <v>2</v>
      </c>
      <c r="AF563" s="178">
        <f>COUNTIFS(M:M,"STANTI",D:D,"AA")</f>
        <v>2</v>
      </c>
      <c r="AG563" s="178">
        <f>COUNTIFS(M:M,"STANFK",D:D,"AA")</f>
        <v>1</v>
      </c>
      <c r="AH563" s="178">
        <f>COUNTIFS(M:M,"STANPEN",D:D,"AA")</f>
        <v>0</v>
      </c>
      <c r="AI563" s="178">
        <f>COUNTIFS(M:M,"STANFK DIRECT",D:D,"AA")</f>
        <v>1</v>
      </c>
      <c r="AJ563" s="115">
        <f>AE563+AF563+AG563+AH563+AI563</f>
        <v>6</v>
      </c>
      <c r="AV563" s="178">
        <f>COUNTIFS(M:M,"STANCO",D:D,"DD")</f>
        <v>5</v>
      </c>
      <c r="AW563" s="178">
        <f>COUNTIFS(M:M,"STANTI",D:D,"DD")</f>
        <v>3</v>
      </c>
      <c r="AX563" s="178">
        <f>COUNTIFS(M:M,"STANFK",D:D,"DD")</f>
        <v>4</v>
      </c>
      <c r="AY563" s="178">
        <f>COUNTIFS(M:M,"STANPEN",D:D,"DD")</f>
        <v>0</v>
      </c>
      <c r="AZ563" s="178">
        <f>COUNTIFS(M:M,"STANFK DIRECT",D:D,"DD")</f>
        <v>1</v>
      </c>
      <c r="BA563" s="115">
        <f t="shared" ref="BA563" si="114">AV563+AW563+AX563+AY563+AZ563</f>
        <v>13</v>
      </c>
    </row>
    <row r="564" spans="15:53" s="115" customFormat="1">
      <c r="O564" s="91"/>
      <c r="X564" s="115">
        <f t="shared" si="110"/>
        <v>0</v>
      </c>
      <c r="Y564" s="115">
        <f t="shared" si="111"/>
        <v>0</v>
      </c>
      <c r="Z564" s="115" t="e">
        <f t="shared" si="112"/>
        <v>#VALUE!</v>
      </c>
      <c r="AA564" s="115">
        <f t="shared" si="113"/>
        <v>0</v>
      </c>
      <c r="AB564" s="246"/>
      <c r="AD564" s="115" t="s">
        <v>265</v>
      </c>
      <c r="AE564" s="151">
        <f t="shared" ref="AE564:AJ564" si="115">AE561/AE563</f>
        <v>1</v>
      </c>
      <c r="AF564" s="151">
        <f t="shared" si="115"/>
        <v>0</v>
      </c>
      <c r="AG564" s="151">
        <f t="shared" si="115"/>
        <v>1</v>
      </c>
      <c r="AH564" s="151" t="e">
        <f t="shared" si="115"/>
        <v>#DIV/0!</v>
      </c>
      <c r="AI564" s="151">
        <f t="shared" si="115"/>
        <v>1</v>
      </c>
      <c r="AJ564" s="151">
        <f t="shared" si="115"/>
        <v>0.66666666666666663</v>
      </c>
      <c r="AK564" s="151"/>
      <c r="AL564" s="151"/>
      <c r="AM564" s="151"/>
      <c r="AN564" s="151"/>
      <c r="AO564" s="151"/>
      <c r="AP564" s="151"/>
      <c r="AQ564" s="151"/>
      <c r="AR564" s="151"/>
      <c r="AS564" s="151"/>
      <c r="AT564" s="151"/>
      <c r="AU564" s="151"/>
      <c r="AV564" s="151">
        <f>AV561/AV563</f>
        <v>0.6</v>
      </c>
      <c r="AW564" s="151">
        <f>AW561/AW563</f>
        <v>0</v>
      </c>
      <c r="AX564" s="151">
        <f>AX561/AX563</f>
        <v>0.5</v>
      </c>
      <c r="AY564" s="151" t="e">
        <f>AY561/AY563</f>
        <v>#DIV/0!</v>
      </c>
      <c r="AZ564" s="151">
        <f>AZ561/AZ563</f>
        <v>1</v>
      </c>
    </row>
    <row r="565" spans="15:53" s="115" customFormat="1">
      <c r="O565" s="91"/>
      <c r="X565" s="115">
        <f t="shared" si="110"/>
        <v>0</v>
      </c>
      <c r="Y565" s="115">
        <f t="shared" si="111"/>
        <v>0</v>
      </c>
      <c r="Z565" s="115" t="e">
        <f t="shared" si="112"/>
        <v>#VALUE!</v>
      </c>
      <c r="AA565" s="115">
        <f t="shared" si="113"/>
        <v>0</v>
      </c>
      <c r="AB565" s="246"/>
      <c r="AE565" s="151"/>
      <c r="AF565" s="151"/>
      <c r="AG565" s="151"/>
      <c r="AH565" s="151"/>
      <c r="AI565" s="151"/>
      <c r="AJ565" s="151"/>
      <c r="AV565" s="151"/>
      <c r="AW565" s="151"/>
      <c r="AX565" s="151"/>
      <c r="AY565" s="151"/>
      <c r="AZ565" s="151"/>
    </row>
    <row r="566" spans="15:53">
      <c r="O566" s="91"/>
      <c r="X566" s="115">
        <f t="shared" si="110"/>
        <v>0</v>
      </c>
      <c r="Y566" s="115">
        <f t="shared" si="111"/>
        <v>0</v>
      </c>
      <c r="Z566" s="115" t="e">
        <f t="shared" si="112"/>
        <v>#VALUE!</v>
      </c>
      <c r="AA566" s="115">
        <f t="shared" si="113"/>
        <v>0</v>
      </c>
      <c r="AK566" s="115"/>
    </row>
    <row r="567" spans="15:53">
      <c r="O567" s="91"/>
      <c r="X567" s="115">
        <f t="shared" si="110"/>
        <v>0</v>
      </c>
      <c r="Y567" s="115">
        <f t="shared" si="111"/>
        <v>0</v>
      </c>
      <c r="Z567" s="115" t="e">
        <f t="shared" si="112"/>
        <v>#VALUE!</v>
      </c>
      <c r="AA567" s="115">
        <f t="shared" si="113"/>
        <v>0</v>
      </c>
      <c r="AD567" s="115"/>
      <c r="AE567" s="374" t="s">
        <v>261</v>
      </c>
      <c r="AF567" s="374"/>
      <c r="AG567" s="115"/>
      <c r="AH567" s="115"/>
      <c r="AI567" s="115"/>
      <c r="AJ567" s="115"/>
      <c r="AK567" s="115"/>
      <c r="AL567" s="115"/>
      <c r="AM567" s="115"/>
      <c r="AN567" s="115"/>
      <c r="AO567" s="115"/>
      <c r="AP567" s="115"/>
      <c r="AQ567" s="115"/>
      <c r="AS567" s="115"/>
      <c r="AT567" s="115"/>
      <c r="AU567" s="115"/>
      <c r="AV567" s="115"/>
      <c r="AW567" s="115"/>
      <c r="AX567" s="115"/>
      <c r="AY567" s="115"/>
      <c r="AZ567" s="115"/>
    </row>
    <row r="568" spans="15:53">
      <c r="O568" s="91"/>
      <c r="X568" s="115">
        <f t="shared" si="110"/>
        <v>0</v>
      </c>
      <c r="Y568" s="115">
        <f t="shared" si="111"/>
        <v>0</v>
      </c>
      <c r="Z568" s="115" t="e">
        <f t="shared" si="112"/>
        <v>#VALUE!</v>
      </c>
      <c r="AA568" s="115">
        <f t="shared" si="113"/>
        <v>0</v>
      </c>
      <c r="AD568" s="115"/>
      <c r="AE568" s="115" t="s">
        <v>98</v>
      </c>
      <c r="AF568" s="115"/>
      <c r="AG568" s="115"/>
      <c r="AH568" s="115"/>
      <c r="AI568" s="115"/>
      <c r="AJ568" s="115"/>
      <c r="AK568" s="115"/>
      <c r="AL568" s="115"/>
      <c r="AM568" s="115"/>
      <c r="AN568" s="115"/>
      <c r="AO568" s="115"/>
      <c r="AP568" s="115"/>
      <c r="AQ568" s="115"/>
      <c r="AS568" s="115"/>
      <c r="AT568" s="115"/>
      <c r="AU568" s="115"/>
      <c r="AV568" s="374" t="s">
        <v>261</v>
      </c>
      <c r="AW568" s="374"/>
      <c r="AX568" s="115"/>
      <c r="AY568" s="115"/>
      <c r="AZ568" s="115"/>
    </row>
    <row r="569" spans="15:53">
      <c r="O569" s="91"/>
      <c r="X569" s="115">
        <f t="shared" si="110"/>
        <v>0</v>
      </c>
      <c r="Y569" s="115">
        <f t="shared" si="111"/>
        <v>0</v>
      </c>
      <c r="Z569" s="115" t="e">
        <f t="shared" si="112"/>
        <v>#VALUE!</v>
      </c>
      <c r="AA569" s="115">
        <f t="shared" si="113"/>
        <v>0</v>
      </c>
      <c r="AD569" s="115" t="s">
        <v>97</v>
      </c>
      <c r="AE569" s="115">
        <f>AE575+AF575+AG575+AH575+AI575</f>
        <v>0</v>
      </c>
      <c r="AF569" s="115"/>
      <c r="AG569" s="115"/>
      <c r="AH569" s="115"/>
      <c r="AI569" s="115"/>
      <c r="AJ569" s="115"/>
      <c r="AK569" s="115"/>
      <c r="AL569" s="115"/>
      <c r="AM569" s="115"/>
      <c r="AN569" s="115"/>
      <c r="AO569" s="115"/>
      <c r="AP569" s="115"/>
      <c r="AQ569" s="115"/>
      <c r="AS569" s="115"/>
      <c r="AT569" s="115"/>
      <c r="AU569" s="115"/>
      <c r="AV569" s="115" t="s">
        <v>98</v>
      </c>
      <c r="AW569" s="115"/>
      <c r="AX569" s="115"/>
      <c r="AY569" s="115"/>
      <c r="AZ569" s="115"/>
    </row>
    <row r="570" spans="15:53">
      <c r="O570" s="91"/>
      <c r="X570" s="115">
        <f t="shared" si="110"/>
        <v>0</v>
      </c>
      <c r="Y570" s="115">
        <f t="shared" si="111"/>
        <v>0</v>
      </c>
      <c r="Z570" s="115" t="e">
        <f t="shared" si="112"/>
        <v>#VALUE!</v>
      </c>
      <c r="AA570" s="115">
        <f t="shared" si="113"/>
        <v>0</v>
      </c>
      <c r="AD570" s="115"/>
      <c r="AE570" s="115"/>
      <c r="AF570" s="115"/>
      <c r="AG570" s="115"/>
      <c r="AH570" s="115"/>
      <c r="AI570" s="115"/>
      <c r="AJ570" s="115"/>
      <c r="AK570" s="115"/>
      <c r="AL570" s="115"/>
      <c r="AM570" s="115"/>
      <c r="AN570" s="115"/>
      <c r="AO570" s="115"/>
      <c r="AP570" s="115"/>
      <c r="AQ570" s="115"/>
      <c r="AS570" s="115"/>
      <c r="AT570" s="115"/>
      <c r="AU570" s="115" t="s">
        <v>260</v>
      </c>
      <c r="AV570" s="115">
        <f>AV575+AW575+AX575+AY575+AZ575</f>
        <v>1</v>
      </c>
      <c r="AW570" s="115"/>
      <c r="AX570" s="115"/>
      <c r="AY570" s="115"/>
      <c r="AZ570" s="115"/>
    </row>
    <row r="571" spans="15:53">
      <c r="O571" s="91"/>
      <c r="X571" s="115">
        <f t="shared" si="110"/>
        <v>0</v>
      </c>
      <c r="Y571" s="115">
        <f t="shared" si="111"/>
        <v>0</v>
      </c>
      <c r="Z571" s="115" t="e">
        <f t="shared" si="112"/>
        <v>#VALUE!</v>
      </c>
      <c r="AA571" s="115">
        <f t="shared" si="113"/>
        <v>0</v>
      </c>
      <c r="AD571" s="115"/>
      <c r="AE571" s="115"/>
      <c r="AF571" s="115"/>
      <c r="AG571" s="115"/>
      <c r="AH571" s="115"/>
      <c r="AI571" s="115"/>
      <c r="AJ571" s="115"/>
      <c r="AK571" s="115"/>
      <c r="AL571" s="115"/>
      <c r="AM571" s="115"/>
      <c r="AN571" s="115"/>
      <c r="AO571" s="115"/>
      <c r="AP571" s="115"/>
      <c r="AQ571" s="115"/>
      <c r="AS571" s="115"/>
      <c r="AT571" s="115"/>
      <c r="AU571" s="115"/>
      <c r="AV571" s="115"/>
      <c r="AW571" s="115"/>
      <c r="AX571" s="115"/>
      <c r="AY571" s="115"/>
      <c r="AZ571" s="115"/>
    </row>
    <row r="572" spans="15:53">
      <c r="O572" s="91"/>
      <c r="X572" s="115">
        <f t="shared" si="110"/>
        <v>0</v>
      </c>
      <c r="Y572" s="115">
        <f t="shared" si="111"/>
        <v>0</v>
      </c>
      <c r="Z572" s="115" t="e">
        <f t="shared" si="112"/>
        <v>#VALUE!</v>
      </c>
      <c r="AA572" s="115">
        <f t="shared" si="113"/>
        <v>0</v>
      </c>
      <c r="AD572" s="115"/>
      <c r="AE572" s="374" t="s">
        <v>102</v>
      </c>
      <c r="AF572" s="374"/>
      <c r="AG572" s="115"/>
      <c r="AH572" s="115"/>
      <c r="AI572" s="115"/>
      <c r="AJ572" s="115"/>
      <c r="AK572" s="115"/>
      <c r="AL572" s="115"/>
      <c r="AM572" s="115"/>
      <c r="AN572" s="115"/>
      <c r="AO572" s="115"/>
      <c r="AP572" s="115"/>
      <c r="AQ572" s="115"/>
      <c r="AS572" s="115"/>
      <c r="AT572" s="115"/>
      <c r="AU572" s="115"/>
      <c r="AV572" s="374" t="s">
        <v>102</v>
      </c>
      <c r="AW572" s="374"/>
      <c r="AX572" s="115"/>
      <c r="AY572" s="115"/>
      <c r="AZ572" s="115"/>
    </row>
    <row r="573" spans="15:53">
      <c r="O573" s="91"/>
      <c r="X573" s="115">
        <f t="shared" si="110"/>
        <v>0</v>
      </c>
      <c r="Y573" s="115">
        <f t="shared" si="111"/>
        <v>0</v>
      </c>
      <c r="Z573" s="115" t="e">
        <f t="shared" si="112"/>
        <v>#VALUE!</v>
      </c>
      <c r="AA573" s="115">
        <f t="shared" si="113"/>
        <v>0</v>
      </c>
      <c r="AD573" s="374" t="s">
        <v>104</v>
      </c>
      <c r="AE573" s="374"/>
      <c r="AF573" s="374"/>
      <c r="AG573" s="374"/>
      <c r="AH573" s="115"/>
      <c r="AI573" s="115"/>
      <c r="AJ573" s="115"/>
      <c r="AK573" s="115"/>
      <c r="AL573" s="115"/>
      <c r="AM573" s="115"/>
      <c r="AN573" s="115"/>
      <c r="AO573" s="115"/>
      <c r="AP573" s="115"/>
      <c r="AQ573" s="115"/>
      <c r="AS573" s="115"/>
      <c r="AT573" s="115"/>
      <c r="AU573" s="374" t="s">
        <v>104</v>
      </c>
      <c r="AV573" s="374"/>
      <c r="AW573" s="374"/>
      <c r="AX573" s="374"/>
      <c r="AY573" s="115"/>
      <c r="AZ573" s="115"/>
    </row>
    <row r="574" spans="15:53">
      <c r="O574" s="91"/>
      <c r="X574" s="115">
        <f t="shared" si="110"/>
        <v>0</v>
      </c>
      <c r="Y574" s="115">
        <f t="shared" si="111"/>
        <v>0</v>
      </c>
      <c r="Z574" s="115" t="e">
        <f t="shared" si="112"/>
        <v>#VALUE!</v>
      </c>
      <c r="AA574" s="115">
        <f t="shared" si="113"/>
        <v>0</v>
      </c>
      <c r="AD574" s="115"/>
      <c r="AE574" s="115" t="s">
        <v>4</v>
      </c>
      <c r="AF574" s="115" t="s">
        <v>29</v>
      </c>
      <c r="AG574" s="115" t="s">
        <v>10</v>
      </c>
      <c r="AH574" s="175" t="s">
        <v>127</v>
      </c>
      <c r="AI574" s="115" t="s">
        <v>164</v>
      </c>
      <c r="AJ574" s="115" t="s">
        <v>45</v>
      </c>
      <c r="AK574" s="115"/>
      <c r="AL574" s="115"/>
      <c r="AM574" s="115"/>
      <c r="AN574" s="115"/>
      <c r="AO574" s="115"/>
      <c r="AP574" s="115"/>
      <c r="AQ574" s="115"/>
      <c r="AS574" s="115"/>
      <c r="AT574" s="115"/>
      <c r="AU574" s="115"/>
      <c r="AV574" s="115" t="s">
        <v>4</v>
      </c>
      <c r="AW574" s="115" t="s">
        <v>29</v>
      </c>
      <c r="AX574" s="115" t="s">
        <v>10</v>
      </c>
      <c r="AY574" s="175" t="s">
        <v>127</v>
      </c>
      <c r="AZ574" s="115" t="s">
        <v>164</v>
      </c>
    </row>
    <row r="575" spans="15:53">
      <c r="O575" s="91"/>
      <c r="X575" s="115">
        <f t="shared" si="110"/>
        <v>0</v>
      </c>
      <c r="Y575" s="115">
        <f t="shared" si="111"/>
        <v>0</v>
      </c>
      <c r="Z575" s="115" t="e">
        <f t="shared" si="112"/>
        <v>#VALUE!</v>
      </c>
      <c r="AA575" s="115">
        <f t="shared" si="113"/>
        <v>0</v>
      </c>
      <c r="AD575" s="115" t="s">
        <v>5</v>
      </c>
      <c r="AE575" s="115">
        <f>COUNTIFS(D:D,"AA",F:F,"ATONGOAL",M:M,"STANCO")</f>
        <v>0</v>
      </c>
      <c r="AF575" s="115">
        <f>COUNTIFS(D:D,"AA",F:F,"ATONGOAL",M:M,"STANTI")</f>
        <v>0</v>
      </c>
      <c r="AG575" s="115">
        <f>COUNTIFS(D:D,"AA",F:F,"ATONGOAL",M:M,"STANFK")</f>
        <v>0</v>
      </c>
      <c r="AH575" s="115">
        <f>COUNTIFS(D:D,"AA",F:F,"ATONGOAL",M:M,"STANPEN")</f>
        <v>0</v>
      </c>
      <c r="AI575" s="115">
        <f>COUNTIFS(D:D,"AA",F:F,"ATONGOAL",M:M,"STANFK DIRECT")</f>
        <v>0</v>
      </c>
      <c r="AJ575" s="115">
        <f>AE575+AF575+AG575+AH575+AI575</f>
        <v>0</v>
      </c>
      <c r="AK575" s="115"/>
      <c r="AL575" s="115"/>
      <c r="AM575" s="115"/>
      <c r="AN575" s="115"/>
      <c r="AO575" s="115"/>
      <c r="AP575" s="115"/>
      <c r="AQ575" s="115"/>
      <c r="AS575" s="115"/>
      <c r="AT575" s="115"/>
      <c r="AU575" s="115" t="s">
        <v>1</v>
      </c>
      <c r="AV575" s="115">
        <f>COUNTIFS(D:D,"DD",F:F,"ATONGOAL",M:M,"STANCO")</f>
        <v>1</v>
      </c>
      <c r="AW575" s="115">
        <f>COUNTIFS(D:D,"DD",F:F,"ATONGOAL",M:M,"STANTI")</f>
        <v>0</v>
      </c>
      <c r="AX575" s="115">
        <f>COUNTIFS(D:D,"DD",F:F,"ATONGOAL",M:M,"STANFK")</f>
        <v>0</v>
      </c>
      <c r="AY575" s="115">
        <f>COUNTIFS(D:D,"DD",F:F,"ATONGOAL",M:M,"STANPEN")</f>
        <v>0</v>
      </c>
      <c r="AZ575" s="115">
        <f>COUNTIFS(D:D,"DD",F:F,"ATONGOAL",M:M,"STANFK DIRECT")</f>
        <v>0</v>
      </c>
      <c r="BA575">
        <f>AV575+AW575+AX575+AY575+AZ575</f>
        <v>1</v>
      </c>
    </row>
    <row r="576" spans="15:53">
      <c r="O576" s="91"/>
      <c r="X576" s="115">
        <f t="shared" si="110"/>
        <v>0</v>
      </c>
      <c r="Y576" s="115">
        <f t="shared" si="111"/>
        <v>0</v>
      </c>
      <c r="Z576" s="115" t="e">
        <f t="shared" si="112"/>
        <v>#VALUE!</v>
      </c>
      <c r="AA576" s="115">
        <f t="shared" si="113"/>
        <v>0</v>
      </c>
      <c r="AE576" s="151" t="e">
        <f>AE575/$AJ$575</f>
        <v>#DIV/0!</v>
      </c>
      <c r="AF576" s="151" t="e">
        <f>AF575/$AJ$575</f>
        <v>#DIV/0!</v>
      </c>
      <c r="AG576" s="151" t="e">
        <f>AG575/$AJ$575</f>
        <v>#DIV/0!</v>
      </c>
      <c r="AH576" s="151" t="e">
        <f>AH575/$AJ$575</f>
        <v>#DIV/0!</v>
      </c>
      <c r="AI576" s="151" t="e">
        <f>AI575/$AJ$575</f>
        <v>#DIV/0!</v>
      </c>
      <c r="AV576" s="151">
        <f>AV575/$BA$575</f>
        <v>1</v>
      </c>
      <c r="AW576" s="151">
        <f>AW575/$BA$575</f>
        <v>0</v>
      </c>
      <c r="AX576" s="151">
        <f>AX575/$BA$575</f>
        <v>0</v>
      </c>
      <c r="AY576" s="151">
        <f>AY575/$BA$575</f>
        <v>0</v>
      </c>
      <c r="AZ576" s="151">
        <f>AZ575/$BA$575</f>
        <v>0</v>
      </c>
    </row>
    <row r="577" spans="15:53" s="115" customFormat="1">
      <c r="O577" s="91"/>
      <c r="X577" s="115">
        <f t="shared" si="110"/>
        <v>0</v>
      </c>
      <c r="Y577" s="115">
        <f t="shared" si="111"/>
        <v>0</v>
      </c>
      <c r="Z577" s="115" t="e">
        <f t="shared" si="112"/>
        <v>#VALUE!</v>
      </c>
      <c r="AA577" s="115">
        <f t="shared" si="113"/>
        <v>0</v>
      </c>
      <c r="AB577" s="246"/>
      <c r="AD577" s="115" t="s">
        <v>265</v>
      </c>
      <c r="AE577" s="151">
        <f>AE575/AE563</f>
        <v>0</v>
      </c>
      <c r="AF577" s="151">
        <f>AF575/AF563</f>
        <v>0</v>
      </c>
      <c r="AG577" s="151">
        <f>AG575/AG563</f>
        <v>0</v>
      </c>
      <c r="AH577" s="151" t="e">
        <f>AH575/AH563</f>
        <v>#DIV/0!</v>
      </c>
      <c r="AI577" s="151">
        <f>AI575/AI563</f>
        <v>0</v>
      </c>
      <c r="AJ577" s="151"/>
      <c r="AK577" s="151"/>
      <c r="AL577" s="151"/>
      <c r="AM577" s="151"/>
      <c r="AN577" s="151"/>
      <c r="AO577" s="151"/>
      <c r="AP577" s="151"/>
      <c r="AQ577" s="151"/>
      <c r="AR577" s="151"/>
      <c r="AS577" s="151"/>
      <c r="AT577" s="151"/>
      <c r="AU577" s="151"/>
      <c r="AV577" s="151">
        <f>AV575/AV563</f>
        <v>0.2</v>
      </c>
      <c r="AW577" s="151">
        <f>AW575/AW563</f>
        <v>0</v>
      </c>
      <c r="AX577" s="151">
        <f>AX575/AX563</f>
        <v>0</v>
      </c>
      <c r="AY577" s="151" t="e">
        <f>AY575/AY563</f>
        <v>#DIV/0!</v>
      </c>
      <c r="AZ577" s="151">
        <f>AZ575/AZ563</f>
        <v>0</v>
      </c>
    </row>
    <row r="578" spans="15:53" s="115" customFormat="1">
      <c r="O578" s="91"/>
      <c r="X578" s="115">
        <f t="shared" si="110"/>
        <v>0</v>
      </c>
      <c r="Y578" s="115">
        <f t="shared" si="111"/>
        <v>0</v>
      </c>
      <c r="Z578" s="115" t="e">
        <f t="shared" si="112"/>
        <v>#VALUE!</v>
      </c>
      <c r="AA578" s="115">
        <f t="shared" si="113"/>
        <v>0</v>
      </c>
      <c r="AB578" s="246"/>
      <c r="AE578" s="151"/>
      <c r="AF578" s="151"/>
      <c r="AG578" s="151"/>
      <c r="AH578" s="151"/>
      <c r="AI578" s="151"/>
    </row>
    <row r="579" spans="15:53">
      <c r="O579" s="91"/>
      <c r="X579" s="115">
        <f t="shared" ref="X579:X642" si="116">mapValues(E579,F579,"P265")</f>
        <v>0</v>
      </c>
      <c r="Y579" s="115">
        <f t="shared" ref="Y579:Y642" si="117">X578+X579</f>
        <v>0</v>
      </c>
      <c r="Z579" s="115" t="e">
        <f t="shared" ref="Z579:Z642" si="118">VALUE(MID(B579,FIND(" ",B579)+1,FIND(" ",B579,FIND(" ",B579)+1)-FIND(" ",B579)))</f>
        <v>#VALUE!</v>
      </c>
      <c r="AA579" s="115">
        <f t="shared" ref="AA579:AA642" si="119">T579/1000</f>
        <v>0</v>
      </c>
    </row>
    <row r="580" spans="15:53">
      <c r="O580" s="91"/>
      <c r="X580" s="115">
        <f t="shared" si="116"/>
        <v>0</v>
      </c>
      <c r="Y580" s="115">
        <f t="shared" si="117"/>
        <v>0</v>
      </c>
      <c r="Z580" s="115" t="e">
        <f t="shared" si="118"/>
        <v>#VALUE!</v>
      </c>
      <c r="AA580" s="115">
        <f t="shared" si="119"/>
        <v>0</v>
      </c>
      <c r="AD580" s="115"/>
      <c r="AE580" s="374" t="s">
        <v>2</v>
      </c>
      <c r="AF580" s="374"/>
      <c r="AG580" s="115"/>
      <c r="AH580" s="115"/>
      <c r="AI580" s="115"/>
      <c r="AJ580" s="115"/>
      <c r="AK580" s="115"/>
      <c r="AL580" s="115"/>
      <c r="AM580" s="115"/>
      <c r="AN580" s="115"/>
      <c r="AO580" s="115"/>
      <c r="AP580" s="115"/>
      <c r="AQ580" s="115"/>
      <c r="AS580" s="115"/>
      <c r="AT580" s="374" t="s">
        <v>6</v>
      </c>
      <c r="AU580" s="374"/>
      <c r="AV580" s="115"/>
      <c r="AW580" s="115"/>
      <c r="AX580" s="115"/>
      <c r="AY580" s="115"/>
      <c r="AZ580" s="115"/>
      <c r="BA580" s="115"/>
    </row>
    <row r="581" spans="15:53">
      <c r="O581" s="91"/>
      <c r="X581" s="115">
        <f t="shared" si="116"/>
        <v>0</v>
      </c>
      <c r="Y581" s="115">
        <f t="shared" si="117"/>
        <v>0</v>
      </c>
      <c r="Z581" s="115" t="e">
        <f t="shared" si="118"/>
        <v>#VALUE!</v>
      </c>
      <c r="AA581" s="115">
        <f t="shared" si="119"/>
        <v>0</v>
      </c>
      <c r="AD581" s="374" t="s">
        <v>104</v>
      </c>
      <c r="AE581" s="374"/>
      <c r="AF581" s="374"/>
      <c r="AG581" s="374"/>
      <c r="AH581" s="115"/>
      <c r="AI581" s="115"/>
      <c r="AJ581" s="115"/>
      <c r="AK581" s="115"/>
      <c r="AL581" s="115"/>
      <c r="AM581" s="115"/>
      <c r="AN581" s="115"/>
      <c r="AO581" s="115"/>
      <c r="AP581" s="115"/>
      <c r="AQ581" s="115"/>
      <c r="AS581" s="374" t="s">
        <v>104</v>
      </c>
      <c r="AT581" s="374"/>
      <c r="AU581" s="374"/>
      <c r="AV581" s="374"/>
      <c r="AW581" s="115"/>
      <c r="AX581" s="115"/>
      <c r="AY581" s="115"/>
      <c r="AZ581" s="115"/>
      <c r="BA581" s="115"/>
    </row>
    <row r="582" spans="15:53">
      <c r="O582" s="91"/>
      <c r="X582" s="115">
        <f t="shared" si="116"/>
        <v>0</v>
      </c>
      <c r="Y582" s="115">
        <f t="shared" si="117"/>
        <v>0</v>
      </c>
      <c r="Z582" s="115" t="e">
        <f t="shared" si="118"/>
        <v>#VALUE!</v>
      </c>
      <c r="AA582" s="115">
        <f t="shared" si="119"/>
        <v>0</v>
      </c>
      <c r="AD582" s="115"/>
      <c r="AE582" s="115" t="s">
        <v>4</v>
      </c>
      <c r="AF582" s="115" t="s">
        <v>29</v>
      </c>
      <c r="AG582" s="115" t="s">
        <v>10</v>
      </c>
      <c r="AH582" s="175" t="s">
        <v>127</v>
      </c>
      <c r="AI582" s="115" t="s">
        <v>164</v>
      </c>
      <c r="AL582" s="115"/>
      <c r="AM582" s="115"/>
      <c r="AN582" s="115"/>
      <c r="AO582" s="115"/>
      <c r="AP582" s="115"/>
      <c r="AQ582" s="115"/>
      <c r="AS582" s="115"/>
      <c r="AT582" s="115" t="s">
        <v>4</v>
      </c>
      <c r="AU582" s="115" t="s">
        <v>29</v>
      </c>
      <c r="AV582" s="115" t="s">
        <v>10</v>
      </c>
      <c r="AW582" s="175" t="s">
        <v>127</v>
      </c>
      <c r="AX582" s="115" t="s">
        <v>164</v>
      </c>
      <c r="BA582" s="115"/>
    </row>
    <row r="583" spans="15:53">
      <c r="O583" s="91"/>
      <c r="X583" s="115">
        <f t="shared" si="116"/>
        <v>0</v>
      </c>
      <c r="Y583" s="115">
        <f t="shared" si="117"/>
        <v>0</v>
      </c>
      <c r="Z583" s="115" t="e">
        <f t="shared" si="118"/>
        <v>#VALUE!</v>
      </c>
      <c r="AA583" s="115">
        <f t="shared" si="119"/>
        <v>0</v>
      </c>
      <c r="AD583" s="115" t="s">
        <v>5</v>
      </c>
      <c r="AE583" s="115">
        <f>COUNTIFS(D:D,"AA",E:E,"POS",M:M,"STANCO")</f>
        <v>1</v>
      </c>
      <c r="AF583" s="115">
        <f>COUNTIFS(D:D,"AA",E:E,"POS",M:M,"STANTI")</f>
        <v>0</v>
      </c>
      <c r="AG583" s="115">
        <f>COUNTIFS(D:D,"AA",E:E,"POS",M:M,"STANFK")</f>
        <v>1</v>
      </c>
      <c r="AH583" s="115">
        <f>COUNTIFS(D:D,"AA",E:E,"POS",M:M,"STANPEN")</f>
        <v>0</v>
      </c>
      <c r="AI583" s="115">
        <f>COUNTIFS(D:D,"AA",E:E,"POS",M:M,"STANFK DIRECT")</f>
        <v>1</v>
      </c>
      <c r="AL583" s="115"/>
      <c r="AM583" s="115"/>
      <c r="AN583" s="115"/>
      <c r="AO583" s="115"/>
      <c r="AP583" s="115"/>
      <c r="AQ583" s="115"/>
      <c r="AS583" s="115" t="s">
        <v>1</v>
      </c>
      <c r="AT583" s="115">
        <f>COUNTIFS(D:D,"DD",E:E,"NEG",M:M,"STANCO")</f>
        <v>3</v>
      </c>
      <c r="AU583" s="115">
        <f>COUNTIFS(D:D,"DD",E:E,"NEG",M:M,"STANTI")</f>
        <v>2</v>
      </c>
      <c r="AV583" s="115">
        <f>COUNTIFS(D:D,"DD",E:E,"NEG",M:M,"STANFK")</f>
        <v>2</v>
      </c>
      <c r="AW583" s="115">
        <f>COUNTIFS(D:D,"DD",E:E,"NEG",M:M,"STANPEN")</f>
        <v>0</v>
      </c>
      <c r="AX583" s="115">
        <f>COUNTIFS(D:D,"DD",E:E,"NEG",M:M,"STANFK DIRECT")</f>
        <v>1</v>
      </c>
      <c r="BA583" s="115"/>
    </row>
    <row r="584" spans="15:53">
      <c r="O584" s="91"/>
      <c r="X584" s="115">
        <f t="shared" si="116"/>
        <v>0</v>
      </c>
      <c r="Y584" s="115">
        <f t="shared" si="117"/>
        <v>0</v>
      </c>
      <c r="Z584" s="115" t="e">
        <f t="shared" si="118"/>
        <v>#VALUE!</v>
      </c>
      <c r="AA584" s="115">
        <f t="shared" si="119"/>
        <v>0</v>
      </c>
    </row>
    <row r="585" spans="15:53">
      <c r="O585" s="91"/>
      <c r="X585" s="115">
        <f t="shared" si="116"/>
        <v>0</v>
      </c>
      <c r="Y585" s="115">
        <f t="shared" si="117"/>
        <v>0</v>
      </c>
      <c r="Z585" s="115" t="e">
        <f t="shared" si="118"/>
        <v>#VALUE!</v>
      </c>
      <c r="AA585" s="115">
        <f t="shared" si="119"/>
        <v>0</v>
      </c>
    </row>
    <row r="586" spans="15:53">
      <c r="O586" s="91"/>
      <c r="X586" s="115">
        <f t="shared" si="116"/>
        <v>0</v>
      </c>
      <c r="Y586" s="115">
        <f t="shared" si="117"/>
        <v>0</v>
      </c>
      <c r="Z586" s="115" t="e">
        <f t="shared" si="118"/>
        <v>#VALUE!</v>
      </c>
      <c r="AA586" s="115">
        <f t="shared" si="119"/>
        <v>0</v>
      </c>
      <c r="AD586" s="115"/>
      <c r="AE586" s="374" t="s">
        <v>2</v>
      </c>
      <c r="AF586" s="374"/>
      <c r="AG586" s="115"/>
      <c r="AH586" s="115"/>
      <c r="AI586" s="115"/>
      <c r="AJ586" s="115"/>
      <c r="AK586" s="115"/>
      <c r="AL586" s="115"/>
      <c r="AM586" s="115"/>
      <c r="AN586" s="115"/>
      <c r="AO586" s="115"/>
      <c r="AP586" s="115"/>
      <c r="AQ586" s="115"/>
      <c r="AS586" s="115"/>
      <c r="AT586" s="115"/>
      <c r="AU586" s="115"/>
      <c r="AV586" s="115"/>
      <c r="AW586" s="115"/>
    </row>
    <row r="587" spans="15:53">
      <c r="O587" s="91"/>
      <c r="X587" s="115">
        <f t="shared" si="116"/>
        <v>0</v>
      </c>
      <c r="Y587" s="115">
        <f t="shared" si="117"/>
        <v>0</v>
      </c>
      <c r="Z587" s="115" t="e">
        <f t="shared" si="118"/>
        <v>#VALUE!</v>
      </c>
      <c r="AA587" s="115">
        <f t="shared" si="119"/>
        <v>0</v>
      </c>
      <c r="AD587" s="115"/>
      <c r="AE587" s="115" t="s">
        <v>98</v>
      </c>
      <c r="AF587" s="115"/>
      <c r="AG587" s="115"/>
      <c r="AH587" s="115"/>
      <c r="AI587" s="115"/>
      <c r="AJ587" s="115"/>
      <c r="AK587" s="115"/>
      <c r="AL587" s="115"/>
      <c r="AM587" s="115"/>
      <c r="AN587" s="115"/>
      <c r="AO587" s="115"/>
      <c r="AP587" s="115"/>
      <c r="AQ587" s="115"/>
      <c r="AS587" s="115"/>
      <c r="AT587" s="115"/>
      <c r="AU587" s="115"/>
      <c r="AV587" s="374" t="s">
        <v>261</v>
      </c>
      <c r="AW587" s="374"/>
    </row>
    <row r="588" spans="15:53">
      <c r="O588" s="91"/>
      <c r="X588" s="115">
        <f t="shared" si="116"/>
        <v>0</v>
      </c>
      <c r="Y588" s="115">
        <f t="shared" si="117"/>
        <v>0</v>
      </c>
      <c r="Z588" s="115" t="e">
        <f t="shared" si="118"/>
        <v>#VALUE!</v>
      </c>
      <c r="AA588" s="115">
        <f t="shared" si="119"/>
        <v>0</v>
      </c>
      <c r="AD588" s="115" t="s">
        <v>97</v>
      </c>
      <c r="AE588" s="115">
        <f>AE583+AF583+AG583+AH583+AI583</f>
        <v>3</v>
      </c>
      <c r="AF588" s="115"/>
      <c r="AG588" s="115"/>
      <c r="AH588" s="115"/>
      <c r="AI588" s="115"/>
      <c r="AJ588" s="115"/>
      <c r="AK588" s="115"/>
      <c r="AL588" s="115"/>
      <c r="AM588" s="115"/>
      <c r="AN588" s="115"/>
      <c r="AO588" s="115"/>
      <c r="AP588" s="115"/>
      <c r="AQ588" s="115"/>
      <c r="AS588" s="115"/>
      <c r="AT588" s="115"/>
      <c r="AU588" s="115"/>
      <c r="AV588" s="115" t="s">
        <v>98</v>
      </c>
      <c r="AW588" s="115"/>
    </row>
    <row r="589" spans="15:53">
      <c r="O589" s="91"/>
      <c r="X589" s="115">
        <f t="shared" si="116"/>
        <v>0</v>
      </c>
      <c r="Y589" s="115">
        <f t="shared" si="117"/>
        <v>0</v>
      </c>
      <c r="Z589" s="115" t="e">
        <f t="shared" si="118"/>
        <v>#VALUE!</v>
      </c>
      <c r="AA589" s="115">
        <f t="shared" si="119"/>
        <v>0</v>
      </c>
      <c r="AD589" s="115"/>
      <c r="AE589" s="115"/>
      <c r="AF589" s="115"/>
      <c r="AG589" s="115"/>
      <c r="AH589" s="115"/>
      <c r="AI589" s="115"/>
      <c r="AJ589" s="115"/>
      <c r="AK589" s="115"/>
      <c r="AL589" s="115"/>
      <c r="AM589" s="115"/>
      <c r="AN589" s="115"/>
      <c r="AO589" s="115"/>
      <c r="AP589" s="115"/>
      <c r="AQ589" s="115"/>
      <c r="AS589" s="115"/>
      <c r="AT589" s="115"/>
      <c r="AU589" s="115" t="s">
        <v>260</v>
      </c>
      <c r="AV589" s="115">
        <f>AT583+AU583+AV583+AW583+AX583</f>
        <v>8</v>
      </c>
      <c r="AW589" s="115"/>
    </row>
    <row r="590" spans="15:53">
      <c r="O590" s="91"/>
      <c r="X590" s="115">
        <f t="shared" si="116"/>
        <v>0</v>
      </c>
      <c r="Y590" s="115">
        <f t="shared" si="117"/>
        <v>0</v>
      </c>
      <c r="Z590" s="115" t="e">
        <f t="shared" si="118"/>
        <v>#VALUE!</v>
      </c>
      <c r="AA590" s="115">
        <f t="shared" si="119"/>
        <v>0</v>
      </c>
    </row>
    <row r="591" spans="15:53">
      <c r="O591" s="91"/>
      <c r="X591" s="115">
        <f t="shared" si="116"/>
        <v>0</v>
      </c>
      <c r="Y591" s="115">
        <f t="shared" si="117"/>
        <v>0</v>
      </c>
      <c r="Z591" s="115" t="e">
        <f t="shared" si="118"/>
        <v>#VALUE!</v>
      </c>
      <c r="AA591" s="115">
        <f t="shared" si="119"/>
        <v>0</v>
      </c>
    </row>
    <row r="592" spans="15:53">
      <c r="O592" s="91"/>
      <c r="X592" s="115">
        <f t="shared" si="116"/>
        <v>0</v>
      </c>
      <c r="Y592" s="115">
        <f t="shared" si="117"/>
        <v>0</v>
      </c>
      <c r="Z592" s="115" t="e">
        <f t="shared" si="118"/>
        <v>#VALUE!</v>
      </c>
      <c r="AA592" s="115">
        <f t="shared" si="119"/>
        <v>0</v>
      </c>
    </row>
    <row r="593" spans="15:55" ht="21">
      <c r="O593" s="91"/>
      <c r="X593" s="115">
        <f t="shared" si="116"/>
        <v>0</v>
      </c>
      <c r="Y593" s="115">
        <f t="shared" si="117"/>
        <v>0</v>
      </c>
      <c r="Z593" s="115" t="e">
        <f t="shared" si="118"/>
        <v>#VALUE!</v>
      </c>
      <c r="AA593" s="115">
        <f t="shared" si="119"/>
        <v>0</v>
      </c>
      <c r="AD593" s="380" t="s">
        <v>264</v>
      </c>
      <c r="AE593" s="380"/>
      <c r="AF593" s="380"/>
      <c r="AG593" s="380"/>
      <c r="AH593" s="380"/>
      <c r="AI593" s="115"/>
      <c r="AJ593" s="115"/>
      <c r="AK593" s="115"/>
      <c r="AL593" s="115"/>
      <c r="AM593" s="115"/>
      <c r="AN593" s="115"/>
      <c r="AO593" s="115"/>
      <c r="AP593" s="115"/>
      <c r="AQ593" s="115"/>
      <c r="AS593" s="115"/>
      <c r="AT593" s="115"/>
      <c r="AU593" s="115"/>
      <c r="AV593" s="115"/>
      <c r="AW593" s="115"/>
      <c r="AX593" s="115"/>
      <c r="AY593" s="115"/>
      <c r="AZ593" s="115"/>
      <c r="BA593" s="115"/>
      <c r="BB593" s="115"/>
      <c r="BC593" s="115"/>
    </row>
    <row r="594" spans="15:55">
      <c r="O594" s="91"/>
      <c r="X594" s="115">
        <f t="shared" si="116"/>
        <v>0</v>
      </c>
      <c r="Y594" s="115">
        <f t="shared" si="117"/>
        <v>0</v>
      </c>
      <c r="Z594" s="115" t="e">
        <f t="shared" si="118"/>
        <v>#VALUE!</v>
      </c>
      <c r="AA594" s="115">
        <f t="shared" si="119"/>
        <v>0</v>
      </c>
      <c r="AD594" s="115"/>
      <c r="AE594" s="374" t="s">
        <v>102</v>
      </c>
      <c r="AF594" s="374"/>
      <c r="AG594" s="115"/>
      <c r="AH594" s="115"/>
      <c r="AI594" s="115"/>
      <c r="AJ594" s="115"/>
      <c r="AK594" s="115"/>
      <c r="AL594" s="115"/>
      <c r="AM594" s="115"/>
      <c r="AN594" s="115"/>
      <c r="AO594" s="115"/>
      <c r="AP594" s="115"/>
      <c r="AQ594" s="115"/>
      <c r="AS594" s="115"/>
      <c r="AT594" s="115"/>
      <c r="AU594" s="115"/>
      <c r="AV594" s="115"/>
      <c r="AW594" s="115"/>
      <c r="AX594" s="115"/>
      <c r="AY594" s="115"/>
      <c r="AZ594" s="115"/>
      <c r="BA594" s="115"/>
      <c r="BB594" s="115"/>
      <c r="BC594" s="115"/>
    </row>
    <row r="595" spans="15:55">
      <c r="O595" s="91"/>
      <c r="X595" s="115">
        <f t="shared" si="116"/>
        <v>0</v>
      </c>
      <c r="Y595" s="115">
        <f t="shared" si="117"/>
        <v>0</v>
      </c>
      <c r="Z595" s="115" t="e">
        <f t="shared" si="118"/>
        <v>#VALUE!</v>
      </c>
      <c r="AA595" s="115">
        <f t="shared" si="119"/>
        <v>0</v>
      </c>
      <c r="AD595" s="115"/>
      <c r="AE595" s="115" t="s">
        <v>98</v>
      </c>
      <c r="AF595" s="115"/>
      <c r="AG595" s="115"/>
      <c r="AH595" s="115"/>
      <c r="AI595" s="115"/>
      <c r="AJ595" s="115"/>
      <c r="AK595" s="115"/>
      <c r="AL595" s="115"/>
      <c r="AM595" s="115"/>
      <c r="AN595" s="115"/>
      <c r="AO595" s="115"/>
      <c r="AP595" s="115"/>
      <c r="AQ595" s="115"/>
      <c r="AS595" s="115"/>
      <c r="AT595" s="115"/>
      <c r="AU595" s="115"/>
      <c r="AV595" s="374" t="s">
        <v>102</v>
      </c>
      <c r="AW595" s="374"/>
      <c r="AX595" s="115"/>
      <c r="AY595" s="115"/>
      <c r="AZ595" s="115"/>
      <c r="BA595" s="115"/>
      <c r="BB595" s="115"/>
      <c r="BC595" s="115"/>
    </row>
    <row r="596" spans="15:55">
      <c r="O596" s="91"/>
      <c r="X596" s="115">
        <f t="shared" si="116"/>
        <v>0</v>
      </c>
      <c r="Y596" s="115">
        <f t="shared" si="117"/>
        <v>0</v>
      </c>
      <c r="Z596" s="115" t="e">
        <f t="shared" si="118"/>
        <v>#VALUE!</v>
      </c>
      <c r="AA596" s="115">
        <f t="shared" si="119"/>
        <v>0</v>
      </c>
      <c r="AD596" s="115" t="s">
        <v>97</v>
      </c>
      <c r="AE596" s="115">
        <f>COUNTIFS(D:D,"AA",F:F,"ATONGOAL",G:G,"STANTI")+COUNTIFS(D:D,"AA",F:F,"ATONGOAL",G:G,"STANFK")+COUNTIFS(D:D,"AA",F:F,"ATONGOAL",G:G,"STANGK")+COUNTIFS(D:D,"AA",F:F,"ATONGOAL",G:G,"STANGS")+COUNTIFS(D:D,"AA",F:F,"ATON",G:G,"STANTI")+COUNTIFS(D:D,"AA",F:F,"ATON",G:G,"STANFK")+COUNTIFS(D:D,"AA",F:F,"ATON",G:G,"STANGK")+COUNTIFS(D:D,"AA",F:F,"ATON",G:G,"STANGS")+COUNTIFS(D:D,"AA",F:F,"ATOF",G:G,"STANTI")+COUNTIFS(D:D,"AA",F:F,"ATOF",G:G,"STANFK")+COUNTIFS(D:D,"AA",F:F,"ATOF",G:G,"STANGK")+COUNTIFS(D:D,"AA",F:F,"ATOF",G:G,"STANGS")+COUNTIFS(D:D,"AA",F:F,"ATBK",G:G,"STANTI")+COUNTIFS(D:D,"AA",F:F,"ATBK",G:G,"STANFK")+COUNTIFS(D:D,"AA",F:F,"ATBK",G:G,"STANGK")+COUNTIFS(D:D,"AA",F:F,"ATBK",G:G,"STANGS")</f>
        <v>1</v>
      </c>
      <c r="AF596" s="115"/>
      <c r="AG596" s="115"/>
      <c r="AH596" s="115"/>
      <c r="AI596" s="115"/>
      <c r="AJ596" s="115"/>
      <c r="AK596" s="115"/>
      <c r="AL596" s="115"/>
      <c r="AM596" s="115"/>
      <c r="AN596" s="115"/>
      <c r="AO596" s="115"/>
      <c r="AP596" s="115"/>
      <c r="AQ596" s="115"/>
      <c r="AS596" s="115"/>
      <c r="AT596" s="115"/>
      <c r="AU596" s="115"/>
      <c r="AV596" s="115" t="s">
        <v>98</v>
      </c>
      <c r="AW596" s="115"/>
      <c r="AX596" s="115"/>
      <c r="AY596" s="115"/>
      <c r="AZ596" s="115"/>
      <c r="BA596" s="115"/>
      <c r="BB596" s="115"/>
      <c r="BC596" s="115"/>
    </row>
    <row r="597" spans="15:55">
      <c r="O597" s="91"/>
      <c r="X597" s="115">
        <f t="shared" si="116"/>
        <v>0</v>
      </c>
      <c r="Y597" s="115">
        <f t="shared" si="117"/>
        <v>0</v>
      </c>
      <c r="Z597" s="115" t="e">
        <f t="shared" si="118"/>
        <v>#VALUE!</v>
      </c>
      <c r="AA597" s="115">
        <f t="shared" si="119"/>
        <v>0</v>
      </c>
      <c r="AD597" s="115"/>
      <c r="AE597" s="115"/>
      <c r="AF597" s="115"/>
      <c r="AG597" s="115"/>
      <c r="AH597" s="115"/>
      <c r="AI597" s="115"/>
      <c r="AJ597" s="115"/>
      <c r="AK597" s="115"/>
      <c r="AL597" s="115"/>
      <c r="AM597" s="115"/>
      <c r="AN597" s="115"/>
      <c r="AO597" s="115"/>
      <c r="AP597" s="115"/>
      <c r="AQ597" s="115"/>
      <c r="AS597" s="115"/>
      <c r="AT597" s="115"/>
      <c r="AU597" s="115" t="s">
        <v>260</v>
      </c>
      <c r="AV597" s="115">
        <f>AV602+AW602+AX602+AY602+AZ602</f>
        <v>4</v>
      </c>
      <c r="AW597" s="115"/>
      <c r="AX597" s="115"/>
      <c r="AY597" s="115"/>
      <c r="AZ597" s="115"/>
      <c r="BA597" s="115"/>
      <c r="BB597" s="115"/>
      <c r="BC597" s="115"/>
    </row>
    <row r="598" spans="15:55">
      <c r="O598" s="91"/>
      <c r="X598" s="115">
        <f t="shared" si="116"/>
        <v>0</v>
      </c>
      <c r="Y598" s="115">
        <f t="shared" si="117"/>
        <v>0</v>
      </c>
      <c r="Z598" s="115" t="e">
        <f t="shared" si="118"/>
        <v>#VALUE!</v>
      </c>
      <c r="AA598" s="115">
        <f t="shared" si="119"/>
        <v>0</v>
      </c>
      <c r="AD598" s="115"/>
      <c r="AE598" s="115"/>
      <c r="AF598" s="115"/>
      <c r="AG598" s="115"/>
      <c r="AH598" s="115"/>
      <c r="AI598" s="115"/>
      <c r="AJ598" s="115"/>
      <c r="AK598" s="115"/>
      <c r="AL598" s="115"/>
      <c r="AM598" s="115"/>
      <c r="AN598" s="115"/>
      <c r="AO598" s="115"/>
      <c r="AP598" s="115"/>
      <c r="AQ598" s="115"/>
      <c r="AS598" s="115"/>
      <c r="AT598" s="115"/>
      <c r="AU598" s="115"/>
      <c r="AV598" s="115"/>
      <c r="AW598" s="115"/>
      <c r="AX598" s="115"/>
      <c r="AY598" s="115"/>
      <c r="AZ598" s="115"/>
      <c r="BA598" s="115"/>
      <c r="BB598" s="115"/>
      <c r="BC598" s="115"/>
    </row>
    <row r="599" spans="15:55">
      <c r="O599" s="91"/>
      <c r="X599" s="115">
        <f t="shared" si="116"/>
        <v>0</v>
      </c>
      <c r="Y599" s="115">
        <f t="shared" si="117"/>
        <v>0</v>
      </c>
      <c r="Z599" s="115" t="e">
        <f t="shared" si="118"/>
        <v>#VALUE!</v>
      </c>
      <c r="AA599" s="115">
        <f t="shared" si="119"/>
        <v>0</v>
      </c>
      <c r="AD599" s="115"/>
      <c r="AE599" s="374" t="s">
        <v>102</v>
      </c>
      <c r="AF599" s="374"/>
      <c r="AG599" s="115"/>
      <c r="AH599" s="115"/>
      <c r="AI599" s="115"/>
      <c r="AJ599" s="115"/>
      <c r="AK599" s="115"/>
      <c r="AL599" s="115"/>
      <c r="AM599" s="115"/>
      <c r="AN599" s="115"/>
      <c r="AO599" s="115"/>
      <c r="AP599" s="115"/>
      <c r="AQ599" s="115"/>
      <c r="AS599" s="115"/>
      <c r="AT599" s="115"/>
      <c r="AU599" s="115"/>
      <c r="AV599" s="374" t="s">
        <v>102</v>
      </c>
      <c r="AW599" s="374"/>
      <c r="AX599" s="115"/>
      <c r="AY599" s="115"/>
      <c r="AZ599" s="115"/>
      <c r="BA599" s="115"/>
      <c r="BB599" s="115"/>
      <c r="BC599" s="115"/>
    </row>
    <row r="600" spans="15:55">
      <c r="O600" s="91"/>
      <c r="X600" s="115">
        <f t="shared" si="116"/>
        <v>0</v>
      </c>
      <c r="Y600" s="115">
        <f t="shared" si="117"/>
        <v>0</v>
      </c>
      <c r="Z600" s="115" t="e">
        <f t="shared" si="118"/>
        <v>#VALUE!</v>
      </c>
      <c r="AA600" s="115">
        <f t="shared" si="119"/>
        <v>0</v>
      </c>
      <c r="AD600" s="374" t="s">
        <v>104</v>
      </c>
      <c r="AE600" s="374"/>
      <c r="AF600" s="374"/>
      <c r="AG600" s="374"/>
      <c r="AH600" s="115"/>
      <c r="AI600" s="115"/>
      <c r="AJ600" s="115"/>
      <c r="AK600" s="115"/>
      <c r="AL600" s="115"/>
      <c r="AM600" s="115"/>
      <c r="AN600" s="115"/>
      <c r="AO600" s="115"/>
      <c r="AP600" s="115"/>
      <c r="AQ600" s="115"/>
      <c r="AS600" s="115"/>
      <c r="AT600" s="115"/>
      <c r="AU600" s="374" t="s">
        <v>104</v>
      </c>
      <c r="AV600" s="374"/>
      <c r="AW600" s="374"/>
      <c r="AX600" s="374"/>
      <c r="AY600" s="115"/>
      <c r="AZ600" s="115"/>
      <c r="BA600" s="115"/>
      <c r="BB600" s="115"/>
      <c r="BC600" s="115"/>
    </row>
    <row r="601" spans="15:55">
      <c r="O601" s="91"/>
      <c r="X601" s="115">
        <f t="shared" si="116"/>
        <v>0</v>
      </c>
      <c r="Y601" s="115">
        <f t="shared" si="117"/>
        <v>0</v>
      </c>
      <c r="Z601" s="115" t="e">
        <f t="shared" si="118"/>
        <v>#VALUE!</v>
      </c>
      <c r="AA601" s="115">
        <f t="shared" si="119"/>
        <v>0</v>
      </c>
      <c r="AD601" s="115"/>
      <c r="AE601" s="115" t="s">
        <v>10</v>
      </c>
      <c r="AF601" s="115" t="s">
        <v>29</v>
      </c>
      <c r="AG601" s="115" t="s">
        <v>25</v>
      </c>
      <c r="AH601" s="175" t="s">
        <v>27</v>
      </c>
      <c r="AI601" s="115" t="s">
        <v>45</v>
      </c>
      <c r="AK601" s="115"/>
      <c r="AL601" s="115"/>
      <c r="AM601" s="115"/>
      <c r="AN601" s="115"/>
      <c r="AO601" s="115"/>
      <c r="AP601" s="115"/>
      <c r="AQ601" s="115"/>
      <c r="AS601" s="115"/>
      <c r="AT601" s="115"/>
      <c r="AU601" s="115"/>
      <c r="AV601" s="115" t="s">
        <v>10</v>
      </c>
      <c r="AW601" s="115" t="s">
        <v>29</v>
      </c>
      <c r="AX601" s="115" t="s">
        <v>25</v>
      </c>
      <c r="AY601" s="175" t="s">
        <v>27</v>
      </c>
      <c r="AZ601" s="115" t="s">
        <v>45</v>
      </c>
      <c r="BA601" s="115"/>
      <c r="BB601" s="115"/>
      <c r="BC601" s="115"/>
    </row>
    <row r="602" spans="15:55">
      <c r="O602" s="91"/>
      <c r="X602" s="115">
        <f t="shared" si="116"/>
        <v>0</v>
      </c>
      <c r="Y602" s="115">
        <f t="shared" si="117"/>
        <v>0</v>
      </c>
      <c r="Z602" s="115" t="e">
        <f t="shared" si="118"/>
        <v>#VALUE!</v>
      </c>
      <c r="AA602" s="115">
        <f t="shared" si="119"/>
        <v>0</v>
      </c>
      <c r="AD602" s="115" t="s">
        <v>5</v>
      </c>
      <c r="AE602" s="115">
        <f>COUNTIFS(D:D,"AA",F:F,"ATONGOAL",G:G,"STANFK")+COUNTIFS(D:D,"AA",F:F,"ATON",G:G,"STANFK")+COUNTIFS(D:D,"AA",F:F,"ATOF",G:G,"STANFK")+COUNTIFS(D:D,"AA",F:F,"ATBK",G:G,"STANFK")</f>
        <v>1</v>
      </c>
      <c r="AF602" s="115">
        <f>COUNTIFS(D:D,"AA",F:F,"ATONGOAL",G:G,"STANTI")+COUNTIFS(D:D,"AA",F:F,"ATON",G:G,"STANTI")+COUNTIFS(D:D,"AA",F:F,"ATOF",G:G,"STANTI")+COUNTIFS(D:D,"AA",F:F,"ATBK",G:G,"STANTI")</f>
        <v>0</v>
      </c>
      <c r="AG602" s="115">
        <f>COUNTIFS(D:D,"AA",F:F,"ATONGOAL",G:G,"STANGK")+COUNTIFS(D:D,"AA",F:F,"ATON",G:G,"STANGK")+COUNTIFS(D:D,"AA",F:F,"ATOF",G:G,"STANGK")+COUNTIFS(D:D,"AA",F:F,"ATBK",G:G,"STANGK")</f>
        <v>0</v>
      </c>
      <c r="AH602" s="115">
        <f>COUNTIFS(D:D,"AA",F:F,"ATONGOAL",G:G,"STANGS")+COUNTIFS(D:D,"AA",F:F,"ATON",G:G,"STANGS")+COUNTIFS(D:D,"AA",F:F,"ATOF",G:G,"STANGS")+COUNTIFS(D:D,"AA",F:F,"ATBK",G:G,"STANGS")</f>
        <v>0</v>
      </c>
      <c r="AI602" s="115">
        <f>AE602+AF602+AG602+AH602</f>
        <v>1</v>
      </c>
      <c r="AK602" s="115"/>
      <c r="AL602" s="115"/>
      <c r="AM602" s="115"/>
      <c r="AN602" s="115"/>
      <c r="AO602" s="115"/>
      <c r="AP602" s="115"/>
      <c r="AQ602" s="115"/>
      <c r="AS602" s="115"/>
      <c r="AT602" s="115"/>
      <c r="AU602" s="115" t="s">
        <v>1</v>
      </c>
      <c r="AV602" s="115">
        <f>COUNTIFS(D:D,"DD",F:F,"ATONGOAL",G:G,"STANFK")+COUNTIFS(D:D,"DD",F:F,"ATON",G:G,"STANFK")+COUNTIFS(D:D,"DD",F:F,"ATOF",G:G,"STANFK")+COUNTIFS(D:D,"DD",F:F,"ATBK",G:G,"STANFK")</f>
        <v>0</v>
      </c>
      <c r="AW602" s="115">
        <f>COUNTIFS(D:D,"DD",F:F,"ATONGOAL",G:G,"STANTI")+COUNTIFS(D:D,"DD",F:F,"ATON",G:G,"STANTI")+COUNTIFS(D:D,"DD",F:F,"ATOF",G:G,"STANTI")+COUNTIFS(D:D,"DD",F:F,"ATBK",G:G,"STANTI")</f>
        <v>2</v>
      </c>
      <c r="AX602" s="115">
        <f>COUNTIFS(D:D,"DD",F:F,"ATONGOAL",G:G,"STANGK")+COUNTIFS(D:D,"DD",F:F,"ATON",G:G,"STANGK")+COUNTIFS(D:D,"DD",F:F,"ATOF",G:G,"STANGK")+COUNTIFS(D:D,"DD",F:F,"ATBK",G:G,"STANGK")</f>
        <v>0</v>
      </c>
      <c r="AY602" s="115">
        <f>COUNTIFS(D:D,"DD",F:F,"ATONGOAL",G:G,"STANGS")+COUNTIFS(D:D,"DD",F:F,"ATON",G:G,"STANGS")+COUNTIFS(D:D,"DD",F:F,"ATOF",G:G,"STANGS")+COUNTIFS(D:D,"DD",F:F,"ATBK",G:G,"STANGS")</f>
        <v>0</v>
      </c>
      <c r="AZ602" s="115">
        <f>AV602+AW602+AX602+AY602</f>
        <v>2</v>
      </c>
      <c r="BA602" s="115"/>
      <c r="BB602" s="115"/>
      <c r="BC602" s="115"/>
    </row>
    <row r="603" spans="15:55">
      <c r="O603" s="91"/>
      <c r="X603" s="115">
        <f t="shared" si="116"/>
        <v>0</v>
      </c>
      <c r="Y603" s="115">
        <f t="shared" si="117"/>
        <v>0</v>
      </c>
      <c r="Z603" s="115" t="e">
        <f t="shared" si="118"/>
        <v>#VALUE!</v>
      </c>
      <c r="AA603" s="115">
        <f t="shared" si="119"/>
        <v>0</v>
      </c>
      <c r="AD603" s="115"/>
      <c r="AE603" s="151">
        <f>AE602/$AI$602</f>
        <v>1</v>
      </c>
      <c r="AF603" s="151">
        <f>AF602/$AI$602</f>
        <v>0</v>
      </c>
      <c r="AG603" s="151">
        <f>AG602/$AI$602</f>
        <v>0</v>
      </c>
      <c r="AH603" s="151">
        <f>AH602/$AI$602</f>
        <v>0</v>
      </c>
      <c r="AI603" s="115"/>
      <c r="AJ603" s="151"/>
      <c r="AK603" s="115"/>
      <c r="AL603" s="115"/>
      <c r="AM603" s="115"/>
      <c r="AN603" s="115"/>
      <c r="AO603" s="115"/>
      <c r="AP603" s="115"/>
      <c r="AQ603" s="115"/>
      <c r="AS603" s="115"/>
      <c r="AT603" s="115"/>
      <c r="AU603" s="115"/>
      <c r="AV603" s="151">
        <f>AV602/$AZ602</f>
        <v>0</v>
      </c>
      <c r="AW603" s="151">
        <f t="shared" ref="AW603:AY603" si="120">AW602/$AZ602</f>
        <v>1</v>
      </c>
      <c r="AX603" s="151">
        <f t="shared" si="120"/>
        <v>0</v>
      </c>
      <c r="AY603" s="151">
        <f t="shared" si="120"/>
        <v>0</v>
      </c>
      <c r="AZ603" s="115">
        <f t="shared" ref="AZ603:AZ604" si="121">AV603+AW603+AX603+AY603</f>
        <v>1</v>
      </c>
      <c r="BA603" s="115"/>
      <c r="BB603" s="115"/>
      <c r="BC603" s="115"/>
    </row>
    <row r="604" spans="15:55" s="115" customFormat="1">
      <c r="O604" s="91"/>
      <c r="X604" s="115">
        <f t="shared" si="116"/>
        <v>0</v>
      </c>
      <c r="Y604" s="115">
        <f t="shared" si="117"/>
        <v>0</v>
      </c>
      <c r="Z604" s="115" t="e">
        <f t="shared" si="118"/>
        <v>#VALUE!</v>
      </c>
      <c r="AA604" s="115">
        <f t="shared" si="119"/>
        <v>0</v>
      </c>
      <c r="AB604" s="246"/>
      <c r="AD604" s="115" t="s">
        <v>45</v>
      </c>
      <c r="AE604" s="178">
        <f>COUNTIFS(D:D,"AA",G:G,"STANFK")</f>
        <v>10</v>
      </c>
      <c r="AF604" s="178">
        <f>COUNTIFS(D:D,"AA",G:G,"STANTI")</f>
        <v>17</v>
      </c>
      <c r="AG604" s="178">
        <f>COUNTIFS(D:D,"AA",G:G,"STANGK")</f>
        <v>6</v>
      </c>
      <c r="AH604" s="178">
        <f>COUNTIFS(D:D,"AA",G:G,"STANGS")</f>
        <v>9</v>
      </c>
      <c r="AI604" s="115">
        <f t="shared" ref="AI604" si="122">AE604+AF604+AG604+AH604</f>
        <v>42</v>
      </c>
      <c r="AJ604" s="151"/>
      <c r="AV604" s="178">
        <f>COUNTIFS(D:D,"DD",G:G,"STANFK")</f>
        <v>4</v>
      </c>
      <c r="AW604" s="178">
        <f>COUNTIFS(D:D,"DD",G:G,"STANTI")</f>
        <v>19</v>
      </c>
      <c r="AX604" s="178">
        <f>COUNTIFS(D:D,"DD",G:G,"STANGK")</f>
        <v>5</v>
      </c>
      <c r="AY604" s="178">
        <f>COUNTIFS(D:D,"DD",G:G,"STANGS")</f>
        <v>4</v>
      </c>
      <c r="AZ604" s="115">
        <f t="shared" si="121"/>
        <v>32</v>
      </c>
    </row>
    <row r="605" spans="15:55" s="115" customFormat="1">
      <c r="O605" s="91"/>
      <c r="X605" s="115">
        <f t="shared" si="116"/>
        <v>0</v>
      </c>
      <c r="Y605" s="115">
        <f t="shared" si="117"/>
        <v>0</v>
      </c>
      <c r="Z605" s="115" t="e">
        <f t="shared" si="118"/>
        <v>#VALUE!</v>
      </c>
      <c r="AA605" s="115">
        <f t="shared" si="119"/>
        <v>0</v>
      </c>
      <c r="AB605" s="246"/>
      <c r="AD605" s="115" t="s">
        <v>265</v>
      </c>
      <c r="AE605" s="151">
        <f>AE602/AE604</f>
        <v>0.1</v>
      </c>
      <c r="AF605" s="151">
        <f>AF602/AF604</f>
        <v>0</v>
      </c>
      <c r="AG605" s="151">
        <f>AG602/AG604</f>
        <v>0</v>
      </c>
      <c r="AH605" s="151">
        <f>AH602/AH604</f>
        <v>0</v>
      </c>
      <c r="AI605" s="151"/>
      <c r="AJ605" s="151"/>
      <c r="AV605" s="151">
        <f>AV602/AV604</f>
        <v>0</v>
      </c>
      <c r="AW605" s="151">
        <f>AW602/AW604</f>
        <v>0.10526315789473684</v>
      </c>
      <c r="AX605" s="151">
        <f>AX602/AX604</f>
        <v>0</v>
      </c>
      <c r="AY605" s="151">
        <f>AY602/AY604</f>
        <v>0</v>
      </c>
      <c r="AZ605" s="151"/>
    </row>
    <row r="606" spans="15:55" s="115" customFormat="1">
      <c r="O606" s="91"/>
      <c r="X606" s="115">
        <f t="shared" si="116"/>
        <v>0</v>
      </c>
      <c r="Y606" s="115">
        <f t="shared" si="117"/>
        <v>0</v>
      </c>
      <c r="Z606" s="115" t="e">
        <f t="shared" si="118"/>
        <v>#VALUE!</v>
      </c>
      <c r="AA606" s="115">
        <f t="shared" si="119"/>
        <v>0</v>
      </c>
      <c r="AB606" s="246"/>
      <c r="AE606" s="151"/>
      <c r="AF606" s="151"/>
      <c r="AG606" s="151"/>
      <c r="AH606" s="151"/>
      <c r="AI606" s="151"/>
      <c r="AJ606" s="151"/>
      <c r="AV606" s="151"/>
      <c r="AW606" s="151"/>
      <c r="AX606" s="151"/>
      <c r="AY606" s="151"/>
      <c r="AZ606" s="151"/>
    </row>
    <row r="607" spans="15:55">
      <c r="O607" s="91"/>
      <c r="X607" s="115">
        <f t="shared" si="116"/>
        <v>0</v>
      </c>
      <c r="Y607" s="115">
        <f t="shared" si="117"/>
        <v>0</v>
      </c>
      <c r="Z607" s="115" t="e">
        <f t="shared" si="118"/>
        <v>#VALUE!</v>
      </c>
      <c r="AA607" s="115">
        <f t="shared" si="119"/>
        <v>0</v>
      </c>
      <c r="AD607" s="115"/>
      <c r="AE607" s="115"/>
      <c r="AF607" s="115"/>
      <c r="AG607" s="115"/>
      <c r="AH607" s="115"/>
      <c r="AI607" s="115"/>
      <c r="AJ607" s="115"/>
      <c r="AK607" s="115"/>
      <c r="AL607" s="115"/>
      <c r="AM607" s="115"/>
      <c r="AN607" s="115"/>
      <c r="AO607" s="115"/>
      <c r="AP607" s="115"/>
      <c r="AQ607" s="115"/>
      <c r="AS607" s="115"/>
      <c r="AT607" s="115"/>
      <c r="AU607" s="115"/>
      <c r="AV607" s="115"/>
      <c r="AW607" s="115"/>
      <c r="AX607" s="115"/>
      <c r="AY607" s="115"/>
      <c r="AZ607" s="115"/>
      <c r="BA607" s="115"/>
      <c r="BB607" s="115"/>
      <c r="BC607" s="115"/>
    </row>
    <row r="608" spans="15:55">
      <c r="O608" s="91"/>
      <c r="X608" s="115">
        <f t="shared" si="116"/>
        <v>0</v>
      </c>
      <c r="Y608" s="115">
        <f t="shared" si="117"/>
        <v>0</v>
      </c>
      <c r="Z608" s="115" t="e">
        <f t="shared" si="118"/>
        <v>#VALUE!</v>
      </c>
      <c r="AA608" s="115">
        <f t="shared" si="119"/>
        <v>0</v>
      </c>
      <c r="AD608" s="115"/>
      <c r="AE608" s="374" t="s">
        <v>261</v>
      </c>
      <c r="AF608" s="374"/>
      <c r="AG608" s="115"/>
      <c r="AH608" s="115"/>
      <c r="AI608" s="115"/>
      <c r="AJ608" s="115"/>
      <c r="AK608" s="115"/>
      <c r="AL608" s="115"/>
      <c r="AM608" s="115"/>
      <c r="AN608" s="115"/>
      <c r="AO608" s="115"/>
      <c r="AP608" s="115"/>
      <c r="AQ608" s="115"/>
      <c r="AS608" s="115"/>
      <c r="AT608" s="115"/>
      <c r="AU608" s="115"/>
      <c r="AV608" s="115"/>
      <c r="AW608" s="115"/>
      <c r="AX608" s="115"/>
      <c r="AY608" s="115"/>
      <c r="AZ608" s="115"/>
      <c r="BA608" s="115"/>
      <c r="BB608" s="115"/>
      <c r="BC608" s="115"/>
    </row>
    <row r="609" spans="15:55">
      <c r="O609" s="91"/>
      <c r="X609" s="115">
        <f t="shared" si="116"/>
        <v>0</v>
      </c>
      <c r="Y609" s="115">
        <f t="shared" si="117"/>
        <v>0</v>
      </c>
      <c r="Z609" s="115" t="e">
        <f t="shared" si="118"/>
        <v>#VALUE!</v>
      </c>
      <c r="AA609" s="115">
        <f t="shared" si="119"/>
        <v>0</v>
      </c>
      <c r="AD609" s="115"/>
      <c r="AE609" s="115" t="s">
        <v>98</v>
      </c>
      <c r="AF609" s="115"/>
      <c r="AG609" s="115"/>
      <c r="AH609" s="115"/>
      <c r="AI609" s="115"/>
      <c r="AJ609" s="115"/>
      <c r="AK609" s="115"/>
      <c r="AL609" s="115"/>
      <c r="AM609" s="115"/>
      <c r="AN609" s="115"/>
      <c r="AO609" s="115"/>
      <c r="AP609" s="115"/>
      <c r="AQ609" s="115"/>
      <c r="AS609" s="115"/>
      <c r="AT609" s="115"/>
      <c r="AU609" s="115"/>
      <c r="AV609" s="374" t="s">
        <v>261</v>
      </c>
      <c r="AW609" s="374"/>
      <c r="AX609" s="115"/>
      <c r="AY609" s="115"/>
      <c r="AZ609" s="115"/>
      <c r="BA609" s="115"/>
      <c r="BB609" s="115"/>
      <c r="BC609" s="115"/>
    </row>
    <row r="610" spans="15:55">
      <c r="O610" s="91"/>
      <c r="X610" s="115">
        <f t="shared" si="116"/>
        <v>0</v>
      </c>
      <c r="Y610" s="115">
        <f t="shared" si="117"/>
        <v>0</v>
      </c>
      <c r="Z610" s="115" t="e">
        <f t="shared" si="118"/>
        <v>#VALUE!</v>
      </c>
      <c r="AA610" s="115">
        <f t="shared" si="119"/>
        <v>0</v>
      </c>
      <c r="AD610" s="115" t="s">
        <v>97</v>
      </c>
      <c r="AE610" s="115">
        <f>AE616+AF616+AG616+AH616+AI616</f>
        <v>0</v>
      </c>
      <c r="AF610" s="115"/>
      <c r="AG610" s="115"/>
      <c r="AH610" s="115"/>
      <c r="AI610" s="115"/>
      <c r="AJ610" s="115"/>
      <c r="AK610" s="115"/>
      <c r="AL610" s="115"/>
      <c r="AM610" s="115"/>
      <c r="AN610" s="115"/>
      <c r="AO610" s="115"/>
      <c r="AP610" s="115"/>
      <c r="AQ610" s="115"/>
      <c r="AS610" s="115"/>
      <c r="AT610" s="115"/>
      <c r="AU610" s="115"/>
      <c r="AV610" s="115" t="s">
        <v>98</v>
      </c>
      <c r="AW610" s="115"/>
      <c r="AX610" s="115"/>
      <c r="AY610" s="115"/>
      <c r="AZ610" s="115"/>
      <c r="BA610" s="115"/>
      <c r="BB610" s="115"/>
      <c r="BC610" s="115"/>
    </row>
    <row r="611" spans="15:55">
      <c r="O611" s="91"/>
      <c r="X611" s="115">
        <f t="shared" si="116"/>
        <v>0</v>
      </c>
      <c r="Y611" s="115">
        <f t="shared" si="117"/>
        <v>0</v>
      </c>
      <c r="Z611" s="115" t="e">
        <f t="shared" si="118"/>
        <v>#VALUE!</v>
      </c>
      <c r="AA611" s="115">
        <f t="shared" si="119"/>
        <v>0</v>
      </c>
      <c r="AD611" s="115"/>
      <c r="AE611" s="115"/>
      <c r="AF611" s="115"/>
      <c r="AG611" s="115"/>
      <c r="AH611" s="115"/>
      <c r="AI611" s="115"/>
      <c r="AJ611" s="115"/>
      <c r="AK611" s="115"/>
      <c r="AL611" s="115"/>
      <c r="AM611" s="115"/>
      <c r="AN611" s="115"/>
      <c r="AO611" s="115"/>
      <c r="AP611" s="115"/>
      <c r="AQ611" s="115"/>
      <c r="AS611" s="115"/>
      <c r="AT611" s="115"/>
      <c r="AU611" s="115" t="s">
        <v>260</v>
      </c>
      <c r="AV611" s="115">
        <f>AV616+AW616+AX616+AY616+AZ616</f>
        <v>0</v>
      </c>
      <c r="AW611" s="115"/>
      <c r="AX611" s="115"/>
      <c r="AY611" s="115"/>
      <c r="AZ611" s="115"/>
      <c r="BA611" s="115"/>
      <c r="BB611" s="115"/>
      <c r="BC611" s="115"/>
    </row>
    <row r="612" spans="15:55">
      <c r="O612" s="91"/>
      <c r="X612" s="115">
        <f t="shared" si="116"/>
        <v>0</v>
      </c>
      <c r="Y612" s="115">
        <f t="shared" si="117"/>
        <v>0</v>
      </c>
      <c r="Z612" s="115" t="e">
        <f t="shared" si="118"/>
        <v>#VALUE!</v>
      </c>
      <c r="AA612" s="115">
        <f t="shared" si="119"/>
        <v>0</v>
      </c>
      <c r="AD612" s="115"/>
      <c r="AE612" s="115"/>
      <c r="AF612" s="115"/>
      <c r="AG612" s="115"/>
      <c r="AH612" s="115"/>
      <c r="AI612" s="115"/>
      <c r="AJ612" s="115"/>
      <c r="AK612" s="115"/>
      <c r="AL612" s="115"/>
      <c r="AM612" s="115"/>
      <c r="AN612" s="115"/>
      <c r="AO612" s="115"/>
      <c r="AP612" s="115"/>
      <c r="AQ612" s="115"/>
      <c r="AS612" s="115"/>
      <c r="AT612" s="115"/>
      <c r="AU612" s="115"/>
      <c r="AV612" s="115"/>
      <c r="AW612" s="115"/>
      <c r="AX612" s="115"/>
      <c r="AY612" s="115"/>
      <c r="AZ612" s="115"/>
      <c r="BA612" s="115"/>
      <c r="BB612" s="115"/>
      <c r="BC612" s="115"/>
    </row>
    <row r="613" spans="15:55">
      <c r="O613" s="91"/>
      <c r="X613" s="115">
        <f t="shared" si="116"/>
        <v>0</v>
      </c>
      <c r="Y613" s="115">
        <f t="shared" si="117"/>
        <v>0</v>
      </c>
      <c r="Z613" s="115" t="e">
        <f t="shared" si="118"/>
        <v>#VALUE!</v>
      </c>
      <c r="AA613" s="115">
        <f t="shared" si="119"/>
        <v>0</v>
      </c>
      <c r="AD613" s="115"/>
      <c r="AE613" s="374" t="s">
        <v>261</v>
      </c>
      <c r="AF613" s="374"/>
      <c r="AG613" s="115"/>
      <c r="AH613" s="115"/>
      <c r="AI613" s="115"/>
      <c r="AJ613" s="115"/>
      <c r="AK613" s="115"/>
      <c r="AL613" s="115"/>
      <c r="AM613" s="115"/>
      <c r="AN613" s="115"/>
      <c r="AO613" s="115"/>
      <c r="AP613" s="115"/>
      <c r="AQ613" s="115"/>
      <c r="AS613" s="115"/>
      <c r="AT613" s="115"/>
      <c r="AU613" s="115"/>
      <c r="AV613" s="374" t="s">
        <v>261</v>
      </c>
      <c r="AW613" s="374"/>
      <c r="AX613" s="115"/>
      <c r="AY613" s="115"/>
      <c r="AZ613" s="115"/>
      <c r="BA613" s="115"/>
      <c r="BB613" s="115"/>
      <c r="BC613" s="115"/>
    </row>
    <row r="614" spans="15:55">
      <c r="O614" s="91"/>
      <c r="X614" s="115">
        <f t="shared" si="116"/>
        <v>0</v>
      </c>
      <c r="Y614" s="115">
        <f t="shared" si="117"/>
        <v>0</v>
      </c>
      <c r="Z614" s="115" t="e">
        <f t="shared" si="118"/>
        <v>#VALUE!</v>
      </c>
      <c r="AA614" s="115">
        <f t="shared" si="119"/>
        <v>0</v>
      </c>
      <c r="AD614" s="374" t="s">
        <v>104</v>
      </c>
      <c r="AE614" s="374"/>
      <c r="AF614" s="374"/>
      <c r="AG614" s="374"/>
      <c r="AH614" s="115"/>
      <c r="AI614" s="115"/>
      <c r="AJ614" s="115"/>
      <c r="AK614" s="115"/>
      <c r="AL614" s="115"/>
      <c r="AM614" s="115"/>
      <c r="AN614" s="115"/>
      <c r="AO614" s="115"/>
      <c r="AP614" s="115"/>
      <c r="AQ614" s="115"/>
      <c r="AS614" s="115"/>
      <c r="AT614" s="115"/>
      <c r="AU614" s="374" t="s">
        <v>104</v>
      </c>
      <c r="AV614" s="374"/>
      <c r="AW614" s="374"/>
      <c r="AX614" s="374"/>
      <c r="AY614" s="115"/>
      <c r="AZ614" s="115"/>
      <c r="BA614" s="115"/>
      <c r="BB614" s="115"/>
      <c r="BC614" s="115"/>
    </row>
    <row r="615" spans="15:55">
      <c r="O615" s="91"/>
      <c r="X615" s="115">
        <f t="shared" si="116"/>
        <v>0</v>
      </c>
      <c r="Y615" s="115">
        <f t="shared" si="117"/>
        <v>0</v>
      </c>
      <c r="Z615" s="115" t="e">
        <f t="shared" si="118"/>
        <v>#VALUE!</v>
      </c>
      <c r="AA615" s="115">
        <f t="shared" si="119"/>
        <v>0</v>
      </c>
      <c r="AD615" s="115"/>
      <c r="AE615" s="115" t="s">
        <v>10</v>
      </c>
      <c r="AF615" s="115" t="s">
        <v>29</v>
      </c>
      <c r="AG615" s="115" t="s">
        <v>25</v>
      </c>
      <c r="AH615" s="175" t="s">
        <v>27</v>
      </c>
      <c r="AI615" s="115" t="s">
        <v>45</v>
      </c>
      <c r="AJ615" s="115"/>
      <c r="AK615" s="115"/>
      <c r="AL615" s="115"/>
      <c r="AM615" s="115"/>
      <c r="AN615" s="115"/>
      <c r="AO615" s="115"/>
      <c r="AP615" s="115"/>
      <c r="AQ615" s="115"/>
      <c r="AS615" s="115"/>
      <c r="AT615" s="115"/>
      <c r="AU615" s="115"/>
      <c r="AV615" s="115" t="s">
        <v>10</v>
      </c>
      <c r="AW615" s="115" t="s">
        <v>29</v>
      </c>
      <c r="AX615" s="115" t="s">
        <v>25</v>
      </c>
      <c r="AY615" s="175" t="s">
        <v>27</v>
      </c>
      <c r="AZ615" s="115" t="s">
        <v>45</v>
      </c>
      <c r="BA615" s="115"/>
      <c r="BB615" s="115"/>
      <c r="BC615" s="115"/>
    </row>
    <row r="616" spans="15:55">
      <c r="O616" s="91"/>
      <c r="X616" s="115">
        <f t="shared" si="116"/>
        <v>0</v>
      </c>
      <c r="Y616" s="115">
        <f t="shared" si="117"/>
        <v>0</v>
      </c>
      <c r="Z616" s="115" t="e">
        <f t="shared" si="118"/>
        <v>#VALUE!</v>
      </c>
      <c r="AA616" s="115">
        <f t="shared" si="119"/>
        <v>0</v>
      </c>
      <c r="AD616" s="115" t="s">
        <v>5</v>
      </c>
      <c r="AE616" s="115">
        <f>COUNTIFS(D:D,"AA",F:F,"ATONGOAL",G:G,"STANFK")</f>
        <v>0</v>
      </c>
      <c r="AF616" s="115">
        <f>COUNTIFS(D:D,"AA",F:F,"ATONGOAL",G:G,"STANTI")</f>
        <v>0</v>
      </c>
      <c r="AG616" s="115">
        <f>COUNTIFS(D:D,"AA",F:F,"ATONGOAL",G:G,"STANGK")</f>
        <v>0</v>
      </c>
      <c r="AH616" s="115">
        <f>COUNTIFS(D:D,"AA",F:F,"ATONGOAL",G:G,"STANGS")</f>
        <v>0</v>
      </c>
      <c r="AI616" s="115">
        <f>AE616+AF616+AG616+AH616</f>
        <v>0</v>
      </c>
      <c r="AJ616" s="115"/>
      <c r="AK616" s="115"/>
      <c r="AL616" s="115"/>
      <c r="AM616" s="115"/>
      <c r="AN616" s="115"/>
      <c r="AO616" s="115"/>
      <c r="AP616" s="115"/>
      <c r="AQ616" s="115"/>
      <c r="AS616" s="115"/>
      <c r="AT616" s="115"/>
      <c r="AU616" s="115" t="s">
        <v>1</v>
      </c>
      <c r="AV616" s="115">
        <f>COUNTIFS(D:D,"DD",F:F,"ATONGOAL",G:G,"STANFK")</f>
        <v>0</v>
      </c>
      <c r="AW616" s="115">
        <f>COUNTIFS(D:D,"DD",F:F,"ATONGOAL",G:G,"STANTI")</f>
        <v>0</v>
      </c>
      <c r="AX616" s="115">
        <f>COUNTIFS(D:D,"DD",F:F,"ATONGOAL",G:G,"STANGK")</f>
        <v>0</v>
      </c>
      <c r="AY616" s="115">
        <f>COUNTIFS(D:D,"DD",F:F,"ATONGOAL",G:G,"STANGS")</f>
        <v>0</v>
      </c>
      <c r="AZ616" s="115">
        <f>AV616+AW616+AX616+AY616</f>
        <v>0</v>
      </c>
      <c r="BA616" s="115"/>
      <c r="BB616" s="115"/>
      <c r="BC616" s="115"/>
    </row>
    <row r="617" spans="15:55">
      <c r="O617" s="91"/>
      <c r="X617" s="115">
        <f t="shared" si="116"/>
        <v>0</v>
      </c>
      <c r="Y617" s="115">
        <f t="shared" si="117"/>
        <v>0</v>
      </c>
      <c r="Z617" s="115" t="e">
        <f t="shared" si="118"/>
        <v>#VALUE!</v>
      </c>
      <c r="AA617" s="115">
        <f t="shared" si="119"/>
        <v>0</v>
      </c>
      <c r="AD617" s="115"/>
      <c r="AE617" s="151" t="e">
        <f>AE616/$AI$616</f>
        <v>#DIV/0!</v>
      </c>
      <c r="AF617" s="151" t="e">
        <f>AF616/$AI$616</f>
        <v>#DIV/0!</v>
      </c>
      <c r="AG617" s="151" t="e">
        <f>AG616/$AI$616</f>
        <v>#DIV/0!</v>
      </c>
      <c r="AH617" s="151" t="e">
        <f>AH616/$AI$616</f>
        <v>#DIV/0!</v>
      </c>
      <c r="AI617" s="151"/>
      <c r="AJ617" s="115"/>
      <c r="AK617" s="115"/>
      <c r="AL617" s="115"/>
      <c r="AM617" s="115"/>
      <c r="AN617" s="115"/>
      <c r="AO617" s="115"/>
      <c r="AP617" s="115"/>
      <c r="AQ617" s="115"/>
      <c r="AS617" s="115"/>
      <c r="AT617" s="115"/>
      <c r="AU617" s="115"/>
      <c r="AV617" s="151" t="e">
        <f>AV616/$AZ$616</f>
        <v>#DIV/0!</v>
      </c>
      <c r="AW617" s="151" t="e">
        <f>AW616/$AZ$616</f>
        <v>#DIV/0!</v>
      </c>
      <c r="AX617" s="151" t="e">
        <f>AX616/$AZ$616</f>
        <v>#DIV/0!</v>
      </c>
      <c r="AY617" s="151" t="e">
        <f>AY616/$AZ$616</f>
        <v>#DIV/0!</v>
      </c>
      <c r="AZ617" s="115"/>
      <c r="BA617" s="115"/>
      <c r="BB617" s="115"/>
      <c r="BC617" s="115"/>
    </row>
    <row r="618" spans="15:55">
      <c r="O618" s="91"/>
      <c r="X618" s="115">
        <f t="shared" si="116"/>
        <v>0</v>
      </c>
      <c r="Y618" s="115">
        <f t="shared" si="117"/>
        <v>0</v>
      </c>
      <c r="Z618" s="115" t="e">
        <f t="shared" si="118"/>
        <v>#VALUE!</v>
      </c>
      <c r="AA618" s="115">
        <f t="shared" si="119"/>
        <v>0</v>
      </c>
      <c r="AE618" s="151">
        <f>AE616/AE604</f>
        <v>0</v>
      </c>
      <c r="AF618" s="151">
        <f>AF616/AF604</f>
        <v>0</v>
      </c>
      <c r="AG618" s="151">
        <f>AG616/AG604</f>
        <v>0</v>
      </c>
      <c r="AH618" s="151">
        <f>AH616/AH604</f>
        <v>0</v>
      </c>
      <c r="AI618" s="115"/>
      <c r="AJ618" s="115"/>
      <c r="AK618" s="115"/>
      <c r="AL618" s="115"/>
      <c r="AM618" s="115"/>
      <c r="AN618" s="115"/>
      <c r="AO618" s="115"/>
      <c r="AP618" s="115"/>
      <c r="AQ618" s="115"/>
      <c r="AS618" s="115"/>
      <c r="AT618" s="115"/>
      <c r="AU618" s="115"/>
      <c r="AV618" s="151">
        <f>AV616/AV604</f>
        <v>0</v>
      </c>
      <c r="AW618" s="151">
        <f>AW616/AW604</f>
        <v>0</v>
      </c>
      <c r="AX618" s="151">
        <f>AX616/AX604</f>
        <v>0</v>
      </c>
      <c r="AY618" s="151">
        <f>AY616/AY604</f>
        <v>0</v>
      </c>
    </row>
    <row r="619" spans="15:55">
      <c r="O619" s="91"/>
      <c r="X619" s="115">
        <f t="shared" si="116"/>
        <v>0</v>
      </c>
      <c r="Y619" s="115">
        <f t="shared" si="117"/>
        <v>0</v>
      </c>
      <c r="Z619" s="115" t="e">
        <f t="shared" si="118"/>
        <v>#VALUE!</v>
      </c>
      <c r="AA619" s="115">
        <f t="shared" si="119"/>
        <v>0</v>
      </c>
    </row>
    <row r="620" spans="15:55">
      <c r="O620" s="91"/>
      <c r="X620" s="115">
        <f t="shared" si="116"/>
        <v>0</v>
      </c>
      <c r="Y620" s="115">
        <f t="shared" si="117"/>
        <v>0</v>
      </c>
      <c r="Z620" s="115" t="e">
        <f t="shared" si="118"/>
        <v>#VALUE!</v>
      </c>
      <c r="AA620" s="115">
        <f t="shared" si="119"/>
        <v>0</v>
      </c>
      <c r="AG620" s="381" t="s">
        <v>277</v>
      </c>
      <c r="AH620" s="381"/>
      <c r="AI620" s="381"/>
      <c r="AJ620" s="381"/>
      <c r="AK620" s="381"/>
      <c r="AL620" s="381"/>
      <c r="AM620" s="381"/>
    </row>
    <row r="621" spans="15:55">
      <c r="O621" s="91"/>
      <c r="X621" s="115">
        <f t="shared" si="116"/>
        <v>0</v>
      </c>
      <c r="Y621" s="115">
        <f t="shared" si="117"/>
        <v>0</v>
      </c>
      <c r="Z621" s="115" t="e">
        <f t="shared" si="118"/>
        <v>#VALUE!</v>
      </c>
      <c r="AA621" s="115">
        <f t="shared" si="119"/>
        <v>0</v>
      </c>
      <c r="AG621" s="381"/>
      <c r="AH621" s="381"/>
      <c r="AI621" s="381"/>
      <c r="AJ621" s="381"/>
      <c r="AK621" s="381"/>
      <c r="AL621" s="381"/>
      <c r="AM621" s="381"/>
    </row>
    <row r="622" spans="15:55">
      <c r="O622" s="91"/>
      <c r="X622" s="115">
        <f t="shared" si="116"/>
        <v>0</v>
      </c>
      <c r="Y622" s="115">
        <f t="shared" si="117"/>
        <v>0</v>
      </c>
      <c r="Z622" s="115" t="e">
        <f t="shared" si="118"/>
        <v>#VALUE!</v>
      </c>
      <c r="AA622" s="115">
        <f t="shared" si="119"/>
        <v>0</v>
      </c>
      <c r="AD622" s="115"/>
      <c r="AE622" s="115"/>
      <c r="AF622" s="115"/>
      <c r="AG622" s="374" t="s">
        <v>267</v>
      </c>
      <c r="AH622" s="374"/>
      <c r="AI622" s="374"/>
      <c r="AJ622" s="115"/>
      <c r="AK622" s="115"/>
      <c r="AL622" s="115"/>
      <c r="AM622" s="115"/>
      <c r="AN622" s="115"/>
      <c r="AO622" s="115"/>
      <c r="AP622" s="115"/>
      <c r="AQ622" s="115"/>
    </row>
    <row r="623" spans="15:55">
      <c r="O623" s="91"/>
      <c r="X623" s="115">
        <f t="shared" si="116"/>
        <v>0</v>
      </c>
      <c r="Y623" s="115">
        <f t="shared" si="117"/>
        <v>0</v>
      </c>
      <c r="Z623" s="115" t="e">
        <f t="shared" si="118"/>
        <v>#VALUE!</v>
      </c>
      <c r="AA623" s="115">
        <f t="shared" si="119"/>
        <v>0</v>
      </c>
      <c r="AD623" s="374" t="s">
        <v>269</v>
      </c>
      <c r="AE623" s="374"/>
      <c r="AF623" s="374"/>
      <c r="AG623" s="115">
        <f>COUNTIFS(D:D,"AA",M:M,"STANCO",R:R,"Parem")</f>
        <v>0</v>
      </c>
      <c r="AH623" s="115"/>
      <c r="AI623" s="115"/>
      <c r="AJ623" s="115"/>
      <c r="AK623" s="115"/>
      <c r="AL623" s="115"/>
      <c r="AM623" s="115"/>
      <c r="AN623" s="115"/>
      <c r="AO623" s="115"/>
      <c r="AP623" s="115"/>
      <c r="AQ623" s="115"/>
    </row>
    <row r="624" spans="15:55">
      <c r="O624" s="91"/>
      <c r="X624" s="115">
        <f t="shared" si="116"/>
        <v>0</v>
      </c>
      <c r="Y624" s="115">
        <f t="shared" si="117"/>
        <v>0</v>
      </c>
      <c r="Z624" s="115" t="e">
        <f t="shared" si="118"/>
        <v>#VALUE!</v>
      </c>
      <c r="AA624" s="115">
        <f t="shared" si="119"/>
        <v>0</v>
      </c>
      <c r="AD624" s="183"/>
      <c r="AE624" s="183"/>
      <c r="AF624" s="115"/>
      <c r="AG624" s="115"/>
      <c r="AH624" s="115"/>
      <c r="AI624" s="115"/>
      <c r="AJ624" s="115"/>
      <c r="AK624" s="115"/>
      <c r="AL624" s="115"/>
      <c r="AM624" s="115"/>
      <c r="AN624" s="115"/>
      <c r="AO624" s="115"/>
      <c r="AP624" s="115"/>
      <c r="AQ624" s="115"/>
    </row>
    <row r="625" spans="15:44">
      <c r="O625" s="91"/>
      <c r="X625" s="115">
        <f t="shared" si="116"/>
        <v>0</v>
      </c>
      <c r="Y625" s="115">
        <f t="shared" si="117"/>
        <v>0</v>
      </c>
      <c r="Z625" s="115" t="e">
        <f t="shared" si="118"/>
        <v>#VALUE!</v>
      </c>
      <c r="AA625" s="115">
        <f t="shared" si="119"/>
        <v>0</v>
      </c>
      <c r="AD625" s="374" t="s">
        <v>270</v>
      </c>
      <c r="AE625" s="374"/>
      <c r="AF625" s="374"/>
      <c r="AG625" s="115">
        <f>COUNTIFS(D:D,"AA",M:M,"STANCO",R:R,"Parem",Q:Q,"6")</f>
        <v>0</v>
      </c>
      <c r="AH625" s="115"/>
      <c r="AI625" s="374" t="s">
        <v>270</v>
      </c>
      <c r="AJ625" s="374"/>
      <c r="AK625" s="374"/>
      <c r="AL625" s="115">
        <f>COUNTIFS(D:D,"AA",M:M,"STANCO",R:R,"Parem",Q:Q,"3")</f>
        <v>0</v>
      </c>
      <c r="AM625" s="115"/>
      <c r="AN625" s="374" t="s">
        <v>270</v>
      </c>
      <c r="AO625" s="374"/>
      <c r="AP625" s="374"/>
      <c r="AQ625" s="115">
        <f>COUNTIFS(D:D,"AA",M:M,"STANCO",R:R,"Parem",Q:Q,"1")</f>
        <v>0</v>
      </c>
    </row>
    <row r="626" spans="15:44">
      <c r="O626" s="91"/>
      <c r="X626" s="115">
        <f t="shared" si="116"/>
        <v>0</v>
      </c>
      <c r="Y626" s="115">
        <f t="shared" si="117"/>
        <v>0</v>
      </c>
      <c r="Z626" s="115" t="e">
        <f t="shared" si="118"/>
        <v>#VALUE!</v>
      </c>
      <c r="AA626" s="115">
        <f t="shared" si="119"/>
        <v>0</v>
      </c>
      <c r="AD626" s="374" t="s">
        <v>271</v>
      </c>
      <c r="AE626" s="374"/>
      <c r="AF626" s="374"/>
      <c r="AG626" s="115">
        <f>COUNTIFS(D:D,"AA",M:M,"STANCO",R:R,"Parem",P:P,"JAH",Q:Q,"6")</f>
        <v>0</v>
      </c>
      <c r="AH626" s="115"/>
      <c r="AI626" s="374" t="s">
        <v>271</v>
      </c>
      <c r="AJ626" s="374"/>
      <c r="AK626" s="374"/>
      <c r="AL626" s="115">
        <f>COUNTIFS(D:D,"AA",M:M,"STANCO",R:R,"Parem",P:P,"JAH",Q:Q,"3")</f>
        <v>0</v>
      </c>
      <c r="AM626" s="115"/>
      <c r="AN626" s="374" t="s">
        <v>271</v>
      </c>
      <c r="AO626" s="374"/>
      <c r="AP626" s="374"/>
      <c r="AQ626" s="115">
        <f>COUNTIFS(D:D,"AA",M:M,"STANCO",R:R,"Parem",P:P,"JAH",Q:Q,"1")</f>
        <v>0</v>
      </c>
    </row>
    <row r="627" spans="15:44">
      <c r="O627" s="91"/>
      <c r="X627" s="115">
        <f t="shared" si="116"/>
        <v>0</v>
      </c>
      <c r="Y627" s="115">
        <f t="shared" si="117"/>
        <v>0</v>
      </c>
      <c r="Z627" s="115" t="e">
        <f t="shared" si="118"/>
        <v>#VALUE!</v>
      </c>
      <c r="AA627" s="115">
        <f t="shared" si="119"/>
        <v>0</v>
      </c>
      <c r="AD627" s="374" t="s">
        <v>272</v>
      </c>
      <c r="AE627" s="374"/>
      <c r="AF627" s="374"/>
      <c r="AG627" s="260" t="e">
        <f>AG626/AG625</f>
        <v>#DIV/0!</v>
      </c>
      <c r="AH627" s="115"/>
      <c r="AI627" s="374" t="s">
        <v>272</v>
      </c>
      <c r="AJ627" s="374"/>
      <c r="AK627" s="374"/>
      <c r="AL627" s="260" t="e">
        <f>AL626/AL625</f>
        <v>#DIV/0!</v>
      </c>
      <c r="AM627" s="115"/>
      <c r="AN627" s="374" t="s">
        <v>272</v>
      </c>
      <c r="AO627" s="374"/>
      <c r="AP627" s="374"/>
      <c r="AQ627" s="260" t="e">
        <f>AQ626/AQ625</f>
        <v>#DIV/0!</v>
      </c>
      <c r="AR627" s="151"/>
    </row>
    <row r="628" spans="15:44">
      <c r="O628" s="91"/>
      <c r="X628" s="115">
        <f t="shared" si="116"/>
        <v>0</v>
      </c>
      <c r="Y628" s="115">
        <f t="shared" si="117"/>
        <v>0</v>
      </c>
      <c r="Z628" s="115" t="e">
        <f t="shared" si="118"/>
        <v>#VALUE!</v>
      </c>
      <c r="AA628" s="115">
        <f t="shared" si="119"/>
        <v>0</v>
      </c>
      <c r="AD628" s="374" t="s">
        <v>724</v>
      </c>
      <c r="AE628" s="374"/>
      <c r="AF628" s="374"/>
      <c r="AG628" s="115">
        <f>COUNTIFS(D:D,"AA",M:M,"STANCO",R:R,"Parem",F:F,"ATONGOAL",Q:Q,"6")</f>
        <v>0</v>
      </c>
      <c r="AH628" s="115"/>
      <c r="AI628" s="374" t="s">
        <v>724</v>
      </c>
      <c r="AJ628" s="374"/>
      <c r="AK628" s="374"/>
      <c r="AL628" s="115">
        <f>COUNTIFS(D:D,"AA",M:M,"STANCO",R:R,"Parem",F:F,"ATONGOAL",Q:Q,"3")</f>
        <v>0</v>
      </c>
      <c r="AM628" s="115"/>
      <c r="AN628" s="374" t="s">
        <v>724</v>
      </c>
      <c r="AO628" s="374"/>
      <c r="AP628" s="374"/>
      <c r="AQ628" s="115">
        <f>COUNTIFS(D:D,"AA",M:M,"STANCO",R:R,"Parem",F:F,"ATONGOAL",Q:Q,"1")</f>
        <v>0</v>
      </c>
    </row>
    <row r="629" spans="15:44">
      <c r="O629" s="91"/>
      <c r="X629" s="115">
        <f t="shared" si="116"/>
        <v>0</v>
      </c>
      <c r="Y629" s="115">
        <f t="shared" si="117"/>
        <v>0</v>
      </c>
      <c r="Z629" s="115" t="e">
        <f t="shared" si="118"/>
        <v>#VALUE!</v>
      </c>
      <c r="AA629" s="115">
        <f t="shared" si="119"/>
        <v>0</v>
      </c>
      <c r="AD629" s="374" t="s">
        <v>313</v>
      </c>
      <c r="AE629" s="374"/>
      <c r="AF629" s="374"/>
      <c r="AG629" s="115">
        <f>COUNTIFS(D:D,"AA",M:M,"STANCO",R:R,"Parem",F:F,"ATON",Q:Q,"6")+COUNTIFS(D:D,"AA",M:M,"STANCO",R:R,"Parem",F:F,"ATOF",Q:Q,"6")+COUNTIFS(D:D,"AA",M:M,"STANCO",R:R,"Parem",F:F,"ATBK",Q:Q,"6")</f>
        <v>0</v>
      </c>
      <c r="AH629" s="115"/>
      <c r="AI629" s="374" t="s">
        <v>313</v>
      </c>
      <c r="AJ629" s="374"/>
      <c r="AK629" s="374"/>
      <c r="AL629" s="115">
        <f>COUNTIFS(D:D,"AA",M:M,"STANCO",R:R,"Parem",F:F,"ATON",Q:Q,"3")+COUNTIFS(D:D,"AA",M:M,"STANCO",R:R,"Parem",F:F,"ATOF",Q:Q,"3")+COUNTIFS(D:D,"AA",M:M,"STANCO",R:R,"Parem",F:F,"ATBK",Q:Q,"3")</f>
        <v>0</v>
      </c>
      <c r="AM629" s="115"/>
      <c r="AN629" s="374" t="s">
        <v>313</v>
      </c>
      <c r="AO629" s="374"/>
      <c r="AP629" s="374"/>
      <c r="AQ629" s="115">
        <f>COUNTIFS(D:D,"AA",M:M,"STANCO",R:R,"Parem",F:F,"ATON",Q:Q,"1")+COUNTIFS(D:D,"AA",M:M,"STANCO",R:R,"Parem",F:F,"ATOF",Q:Q,"1")+COUNTIFS(D:D,"AA",M:M,"STANCO",R:R,"Parem",F:F,"ATBK",Q:Q,"1")</f>
        <v>0</v>
      </c>
    </row>
    <row r="630" spans="15:44">
      <c r="O630" s="91"/>
      <c r="X630" s="115">
        <f t="shared" si="116"/>
        <v>0</v>
      </c>
      <c r="Y630" s="115">
        <f t="shared" si="117"/>
        <v>0</v>
      </c>
      <c r="Z630" s="115" t="e">
        <f t="shared" si="118"/>
        <v>#VALUE!</v>
      </c>
      <c r="AA630" s="115">
        <f t="shared" si="119"/>
        <v>0</v>
      </c>
      <c r="AD630" s="374"/>
      <c r="AE630" s="374"/>
      <c r="AF630" s="374"/>
      <c r="AG630" s="115"/>
      <c r="AH630" s="115"/>
      <c r="AI630" s="374"/>
      <c r="AJ630" s="374"/>
      <c r="AK630" s="374"/>
      <c r="AL630" s="115"/>
      <c r="AM630" s="115"/>
      <c r="AN630" s="374"/>
      <c r="AO630" s="374"/>
      <c r="AP630" s="374"/>
      <c r="AQ630" s="115"/>
    </row>
    <row r="631" spans="15:44">
      <c r="O631" s="91"/>
      <c r="X631" s="115">
        <f t="shared" si="116"/>
        <v>0</v>
      </c>
      <c r="Y631" s="115">
        <f t="shared" si="117"/>
        <v>0</v>
      </c>
      <c r="Z631" s="115" t="e">
        <f t="shared" si="118"/>
        <v>#VALUE!</v>
      </c>
      <c r="AA631" s="115">
        <f t="shared" si="119"/>
        <v>0</v>
      </c>
      <c r="AD631" s="183"/>
      <c r="AE631" s="183"/>
      <c r="AF631" s="115"/>
      <c r="AG631" s="115"/>
      <c r="AH631" s="115"/>
      <c r="AI631" s="115"/>
      <c r="AJ631" s="115"/>
      <c r="AK631" s="115"/>
      <c r="AL631" s="115"/>
      <c r="AM631" s="115"/>
      <c r="AN631" s="115"/>
      <c r="AO631" s="115"/>
      <c r="AP631" s="115"/>
      <c r="AQ631" s="115"/>
    </row>
    <row r="632" spans="15:44">
      <c r="O632" s="91"/>
      <c r="X632" s="115">
        <f t="shared" si="116"/>
        <v>0</v>
      </c>
      <c r="Y632" s="115">
        <f t="shared" si="117"/>
        <v>0</v>
      </c>
      <c r="Z632" s="115" t="e">
        <f t="shared" si="118"/>
        <v>#VALUE!</v>
      </c>
      <c r="AA632" s="115">
        <f t="shared" si="119"/>
        <v>0</v>
      </c>
      <c r="AD632" s="374" t="s">
        <v>270</v>
      </c>
      <c r="AE632" s="374"/>
      <c r="AF632" s="374"/>
      <c r="AG632" s="115">
        <f>COUNTIFS(D:D,"AA",M:M,"STANCO",R:R,"Parem",Q:Q,"5")</f>
        <v>0</v>
      </c>
      <c r="AH632" s="115"/>
      <c r="AI632" s="374" t="s">
        <v>270</v>
      </c>
      <c r="AJ632" s="374"/>
      <c r="AK632" s="374"/>
      <c r="AL632" s="115">
        <f>COUNTIFS(D:D,"AA",M:M,"STANCO",R:R,"Parem",Q:Q,"4")</f>
        <v>0</v>
      </c>
      <c r="AM632" s="115"/>
      <c r="AN632" s="374" t="s">
        <v>270</v>
      </c>
      <c r="AO632" s="374"/>
      <c r="AP632" s="374"/>
      <c r="AQ632" s="115">
        <f>COUNTIFS(D:D,"AA",M:M,"STANCO",R:R,"Parem",Q:Q,"2")</f>
        <v>0</v>
      </c>
    </row>
    <row r="633" spans="15:44">
      <c r="O633" s="91"/>
      <c r="X633" s="115">
        <f t="shared" si="116"/>
        <v>0</v>
      </c>
      <c r="Y633" s="115">
        <f t="shared" si="117"/>
        <v>0</v>
      </c>
      <c r="Z633" s="115" t="e">
        <f t="shared" si="118"/>
        <v>#VALUE!</v>
      </c>
      <c r="AA633" s="115">
        <f t="shared" si="119"/>
        <v>0</v>
      </c>
      <c r="AD633" s="374" t="s">
        <v>271</v>
      </c>
      <c r="AE633" s="374"/>
      <c r="AF633" s="374"/>
      <c r="AG633" s="115">
        <f>COUNTIFS(D:D,"AA",M:M,"STANCO",R:R,"Parem",P:P,"JAH",Q:Q,"5")</f>
        <v>0</v>
      </c>
      <c r="AH633" s="115"/>
      <c r="AI633" s="374" t="s">
        <v>271</v>
      </c>
      <c r="AJ633" s="374"/>
      <c r="AK633" s="374"/>
      <c r="AL633" s="115">
        <f>COUNTIFS(D:D,"AA",M:M,"STANCO",R:R,"Parem",P:P,"JAH",Q:Q,"4")</f>
        <v>0</v>
      </c>
      <c r="AM633" s="115"/>
      <c r="AN633" s="374" t="s">
        <v>271</v>
      </c>
      <c r="AO633" s="374"/>
      <c r="AP633" s="374"/>
      <c r="AQ633" s="115">
        <f>COUNTIFS(D:D,"AA",M:M,"STANCO",R:R,"Parem",P:P,"JAH",Q:Q,"2")</f>
        <v>0</v>
      </c>
    </row>
    <row r="634" spans="15:44">
      <c r="O634" s="91"/>
      <c r="X634" s="115">
        <f t="shared" si="116"/>
        <v>0</v>
      </c>
      <c r="Y634" s="115">
        <f t="shared" si="117"/>
        <v>0</v>
      </c>
      <c r="Z634" s="115" t="e">
        <f t="shared" si="118"/>
        <v>#VALUE!</v>
      </c>
      <c r="AA634" s="115">
        <f t="shared" si="119"/>
        <v>0</v>
      </c>
      <c r="AD634" s="374" t="s">
        <v>272</v>
      </c>
      <c r="AE634" s="374"/>
      <c r="AF634" s="374"/>
      <c r="AG634" s="260" t="e">
        <f>AG633/AG632</f>
        <v>#DIV/0!</v>
      </c>
      <c r="AH634" s="115"/>
      <c r="AI634" s="374" t="s">
        <v>272</v>
      </c>
      <c r="AJ634" s="374"/>
      <c r="AK634" s="374"/>
      <c r="AL634" s="260" t="e">
        <f>AL633/AL632</f>
        <v>#DIV/0!</v>
      </c>
      <c r="AM634" s="115"/>
      <c r="AN634" s="374" t="s">
        <v>272</v>
      </c>
      <c r="AO634" s="374"/>
      <c r="AP634" s="374"/>
      <c r="AQ634" s="260" t="e">
        <f>AQ633/AQ632</f>
        <v>#DIV/0!</v>
      </c>
      <c r="AR634" s="151"/>
    </row>
    <row r="635" spans="15:44">
      <c r="O635" s="91"/>
      <c r="X635" s="115">
        <f t="shared" si="116"/>
        <v>0</v>
      </c>
      <c r="Y635" s="115">
        <f t="shared" si="117"/>
        <v>0</v>
      </c>
      <c r="Z635" s="115" t="e">
        <f t="shared" si="118"/>
        <v>#VALUE!</v>
      </c>
      <c r="AA635" s="115">
        <f t="shared" si="119"/>
        <v>0</v>
      </c>
      <c r="AD635" s="374" t="s">
        <v>724</v>
      </c>
      <c r="AE635" s="374"/>
      <c r="AF635" s="374"/>
      <c r="AG635" s="115">
        <f>COUNTIFS(D:D,"AA",M:M,"STANCO",R:R,"Parem",F:F,"ATONGOAL",Q:Q,"5")</f>
        <v>0</v>
      </c>
      <c r="AH635" s="115"/>
      <c r="AI635" s="374" t="s">
        <v>724</v>
      </c>
      <c r="AJ635" s="374"/>
      <c r="AK635" s="374"/>
      <c r="AL635" s="115">
        <f>COUNTIFS(D:D,"AA",M:M,"STANCO",R:R,"Parem",F:F,"ATONGOAL",Q:Q,"4")</f>
        <v>0</v>
      </c>
      <c r="AM635" s="115"/>
      <c r="AN635" s="374" t="s">
        <v>724</v>
      </c>
      <c r="AO635" s="374"/>
      <c r="AP635" s="374"/>
      <c r="AQ635" s="115">
        <f>COUNTIFS(D:D,"AA",M:M,"STANCO",R:R,"Parem",F:F,"ATONGOAL",Q:Q,"2")</f>
        <v>0</v>
      </c>
    </row>
    <row r="636" spans="15:44">
      <c r="O636" s="91"/>
      <c r="X636" s="115">
        <f t="shared" si="116"/>
        <v>0</v>
      </c>
      <c r="Y636" s="115">
        <f t="shared" si="117"/>
        <v>0</v>
      </c>
      <c r="Z636" s="115" t="e">
        <f t="shared" si="118"/>
        <v>#VALUE!</v>
      </c>
      <c r="AA636" s="115">
        <f t="shared" si="119"/>
        <v>0</v>
      </c>
      <c r="AD636" s="374" t="s">
        <v>313</v>
      </c>
      <c r="AE636" s="374"/>
      <c r="AF636" s="374"/>
      <c r="AG636" s="115">
        <f>COUNTIFS(D:D,"AA",M:M,"STANCO",R:R,"Parem",F:F,"ATON",Q:Q,"5")+COUNTIFS(D:D,"AA",M:M,"STANCO",R:R,"Parem",F:F,"ATOF",Q:Q,"5")+COUNTIFS(D:D,"AA",M:M,"STANCO",R:R,"Parem",F:F,"ATBK",Q:Q,"5")</f>
        <v>0</v>
      </c>
      <c r="AH636" s="115"/>
      <c r="AI636" s="374" t="s">
        <v>313</v>
      </c>
      <c r="AJ636" s="374"/>
      <c r="AK636" s="374"/>
      <c r="AL636" s="115">
        <f>COUNTIFS(D:D,"AA",M:M,"STANCO",R:R,"Parem",F:F,"ATON",Q:Q,"4")+COUNTIFS(D:D,"AA",M:M,"STANCO",R:R,"Parem",F:F,"ATOF",Q:Q,"4")+COUNTIFS(D:D,"AA",M:M,"STANCO",R:R,"Parem",F:F,"ATBK",Q:Q,"4")</f>
        <v>0</v>
      </c>
      <c r="AM636" s="115"/>
      <c r="AN636" s="374" t="s">
        <v>313</v>
      </c>
      <c r="AO636" s="374"/>
      <c r="AP636" s="374"/>
      <c r="AQ636" s="115">
        <f>COUNTIFS(D:D,"AA",M:M,"STANCO",R:R,"Parem",F:F,"ATON",Q:Q,"2")+COUNTIFS(D:D,"AA",M:M,"STANCO",R:R,"Parem",F:F,"ATOF",Q:Q,"2")+COUNTIFS(D:D,"AA",M:M,"STANCO",R:R,"Parem",F:F,"ATBK",Q:Q,"2")</f>
        <v>0</v>
      </c>
    </row>
    <row r="637" spans="15:44">
      <c r="O637" s="91"/>
      <c r="X637" s="115">
        <f t="shared" si="116"/>
        <v>0</v>
      </c>
      <c r="Y637" s="115">
        <f t="shared" si="117"/>
        <v>0</v>
      </c>
      <c r="Z637" s="115" t="e">
        <f t="shared" si="118"/>
        <v>#VALUE!</v>
      </c>
      <c r="AA637" s="115">
        <f t="shared" si="119"/>
        <v>0</v>
      </c>
      <c r="AD637" s="374"/>
      <c r="AE637" s="374"/>
      <c r="AF637" s="374"/>
      <c r="AG637" s="115"/>
      <c r="AH637" s="115"/>
      <c r="AI637" s="374"/>
      <c r="AJ637" s="374"/>
      <c r="AK637" s="374"/>
      <c r="AL637" s="115"/>
      <c r="AM637" s="115"/>
      <c r="AN637" s="374"/>
      <c r="AO637" s="374"/>
      <c r="AP637" s="374"/>
      <c r="AQ637" s="115"/>
    </row>
    <row r="638" spans="15:44">
      <c r="O638" s="91"/>
      <c r="X638" s="115">
        <f t="shared" si="116"/>
        <v>0</v>
      </c>
      <c r="Y638" s="115">
        <f t="shared" si="117"/>
        <v>0</v>
      </c>
      <c r="Z638" s="115" t="e">
        <f t="shared" si="118"/>
        <v>#VALUE!</v>
      </c>
      <c r="AA638" s="115">
        <f t="shared" si="119"/>
        <v>0</v>
      </c>
      <c r="AD638" s="183"/>
      <c r="AE638" s="183"/>
      <c r="AF638" s="115"/>
      <c r="AG638" s="115"/>
      <c r="AH638" s="115"/>
      <c r="AI638" s="115"/>
      <c r="AJ638" s="115"/>
      <c r="AK638" s="115"/>
      <c r="AL638" s="115"/>
      <c r="AM638" s="115"/>
      <c r="AN638" s="115"/>
      <c r="AO638" s="115"/>
      <c r="AP638" s="115"/>
      <c r="AQ638" s="115"/>
    </row>
    <row r="639" spans="15:44">
      <c r="O639" s="91"/>
      <c r="X639" s="115">
        <f t="shared" si="116"/>
        <v>0</v>
      </c>
      <c r="Y639" s="115">
        <f t="shared" si="117"/>
        <v>0</v>
      </c>
      <c r="Z639" s="115" t="e">
        <f t="shared" si="118"/>
        <v>#VALUE!</v>
      </c>
      <c r="AA639" s="115">
        <f t="shared" si="119"/>
        <v>0</v>
      </c>
      <c r="AD639" s="183"/>
      <c r="AE639" s="183"/>
      <c r="AF639" s="115"/>
      <c r="AG639" s="115"/>
      <c r="AH639" s="260"/>
      <c r="AI639" s="115"/>
      <c r="AJ639" s="115"/>
      <c r="AK639" s="115"/>
      <c r="AL639" s="115"/>
      <c r="AM639" s="115"/>
      <c r="AN639" s="115"/>
      <c r="AO639" s="115"/>
      <c r="AP639" s="115"/>
      <c r="AQ639" s="115"/>
    </row>
    <row r="640" spans="15:44">
      <c r="O640" s="91"/>
      <c r="X640" s="115">
        <f t="shared" si="116"/>
        <v>0</v>
      </c>
      <c r="Y640" s="115">
        <f t="shared" si="117"/>
        <v>0</v>
      </c>
      <c r="Z640" s="115" t="e">
        <f t="shared" si="118"/>
        <v>#VALUE!</v>
      </c>
      <c r="AA640" s="115">
        <f t="shared" si="119"/>
        <v>0</v>
      </c>
      <c r="AD640" s="374" t="s">
        <v>273</v>
      </c>
      <c r="AE640" s="374"/>
      <c r="AF640" s="374"/>
      <c r="AG640" s="115">
        <f>COUNTIFS(D:D,"AA",M:M,"STANCO",R:R,"Vasak")</f>
        <v>0</v>
      </c>
      <c r="AH640" s="115"/>
      <c r="AI640" s="115"/>
      <c r="AJ640" s="115"/>
      <c r="AK640" s="115"/>
      <c r="AL640" s="115"/>
      <c r="AM640" s="115"/>
      <c r="AN640" s="115"/>
      <c r="AO640" s="115"/>
      <c r="AP640" s="115"/>
      <c r="AQ640" s="115"/>
    </row>
    <row r="641" spans="15:44">
      <c r="O641" s="91"/>
      <c r="X641" s="115">
        <f t="shared" si="116"/>
        <v>0</v>
      </c>
      <c r="Y641" s="115">
        <f t="shared" si="117"/>
        <v>0</v>
      </c>
      <c r="Z641" s="115" t="e">
        <f t="shared" si="118"/>
        <v>#VALUE!</v>
      </c>
      <c r="AA641" s="115">
        <f t="shared" si="119"/>
        <v>0</v>
      </c>
      <c r="AD641" s="183"/>
      <c r="AE641" s="183"/>
      <c r="AF641" s="115"/>
      <c r="AG641" s="115"/>
      <c r="AH641" s="115"/>
      <c r="AI641" s="115"/>
      <c r="AJ641" s="115"/>
      <c r="AK641" s="115"/>
      <c r="AL641" s="115"/>
      <c r="AM641" s="115"/>
      <c r="AN641" s="115"/>
      <c r="AO641" s="115"/>
      <c r="AP641" s="115"/>
      <c r="AQ641" s="115"/>
    </row>
    <row r="642" spans="15:44">
      <c r="O642" s="91"/>
      <c r="X642" s="115">
        <f t="shared" si="116"/>
        <v>0</v>
      </c>
      <c r="Y642" s="115">
        <f t="shared" si="117"/>
        <v>0</v>
      </c>
      <c r="Z642" s="115" t="e">
        <f t="shared" si="118"/>
        <v>#VALUE!</v>
      </c>
      <c r="AA642" s="115">
        <f t="shared" si="119"/>
        <v>0</v>
      </c>
      <c r="AD642" s="374" t="s">
        <v>270</v>
      </c>
      <c r="AE642" s="374"/>
      <c r="AF642" s="374"/>
      <c r="AG642" s="115">
        <f>COUNTIFS(D:D,"AA",M:M,"STANCO",R:R,"Vasak",Q:Q,"6")</f>
        <v>0</v>
      </c>
      <c r="AH642" s="115"/>
      <c r="AI642" s="374" t="s">
        <v>270</v>
      </c>
      <c r="AJ642" s="374"/>
      <c r="AK642" s="374"/>
      <c r="AL642" s="115">
        <f>COUNTIFS(D:D,"AA",M:M,"STANCO",R:R,"Vasak",Q:Q,"3")</f>
        <v>0</v>
      </c>
      <c r="AM642" s="115"/>
      <c r="AN642" s="374" t="s">
        <v>270</v>
      </c>
      <c r="AO642" s="374"/>
      <c r="AP642" s="374"/>
      <c r="AQ642" s="115">
        <f>COUNTIFS(D:D,"AA",M:M,"STANCO",R:R,"Vasak",Q:Q,"1")</f>
        <v>0</v>
      </c>
    </row>
    <row r="643" spans="15:44">
      <c r="O643" s="91"/>
      <c r="X643" s="115">
        <f t="shared" ref="X643:X706" si="123">mapValues(E643,F643,"P265")</f>
        <v>0</v>
      </c>
      <c r="Y643" s="115">
        <f t="shared" ref="Y643:Y706" si="124">X642+X643</f>
        <v>0</v>
      </c>
      <c r="Z643" s="115" t="e">
        <f t="shared" ref="Z643:Z706" si="125">VALUE(MID(B643,FIND(" ",B643)+1,FIND(" ",B643,FIND(" ",B643)+1)-FIND(" ",B643)))</f>
        <v>#VALUE!</v>
      </c>
      <c r="AA643" s="115">
        <f t="shared" ref="AA643:AA706" si="126">T643/1000</f>
        <v>0</v>
      </c>
      <c r="AD643" s="374" t="s">
        <v>271</v>
      </c>
      <c r="AE643" s="374"/>
      <c r="AF643" s="374"/>
      <c r="AG643" s="115">
        <f>COUNTIFS(D:D,"AA",M:M,"STANCO",R:R,"Vasak",P:P,"JAH",Q:Q,"6")</f>
        <v>0</v>
      </c>
      <c r="AH643" s="115"/>
      <c r="AI643" s="374" t="s">
        <v>271</v>
      </c>
      <c r="AJ643" s="374"/>
      <c r="AK643" s="374"/>
      <c r="AL643" s="115">
        <f>COUNTIFS(D:D,"AA",M:M,"STANCO",R:R,"Vasak",P:P,"JAH",Q:Q,"3")</f>
        <v>0</v>
      </c>
      <c r="AM643" s="115"/>
      <c r="AN643" s="374" t="s">
        <v>271</v>
      </c>
      <c r="AO643" s="374"/>
      <c r="AP643" s="374"/>
      <c r="AQ643" s="115">
        <f>COUNTIFS(D:D,"AA",M:M,"STANCO",R:R,"Vasak",P:P,"JAH",Q:Q,"1")</f>
        <v>0</v>
      </c>
    </row>
    <row r="644" spans="15:44">
      <c r="O644" s="91"/>
      <c r="X644" s="115">
        <f t="shared" si="123"/>
        <v>0</v>
      </c>
      <c r="Y644" s="115">
        <f t="shared" si="124"/>
        <v>0</v>
      </c>
      <c r="Z644" s="115" t="e">
        <f t="shared" si="125"/>
        <v>#VALUE!</v>
      </c>
      <c r="AA644" s="115">
        <f t="shared" si="126"/>
        <v>0</v>
      </c>
      <c r="AD644" s="374" t="s">
        <v>272</v>
      </c>
      <c r="AE644" s="374"/>
      <c r="AF644" s="374"/>
      <c r="AG644" s="260" t="e">
        <f>AG643/AG642</f>
        <v>#DIV/0!</v>
      </c>
      <c r="AH644" s="115"/>
      <c r="AI644" s="374" t="s">
        <v>272</v>
      </c>
      <c r="AJ644" s="374"/>
      <c r="AK644" s="374"/>
      <c r="AL644" s="260" t="e">
        <f>AL643/AL642</f>
        <v>#DIV/0!</v>
      </c>
      <c r="AM644" s="115"/>
      <c r="AN644" s="374" t="s">
        <v>272</v>
      </c>
      <c r="AO644" s="374"/>
      <c r="AP644" s="374"/>
      <c r="AQ644" s="260" t="e">
        <f>AQ643/AQ642</f>
        <v>#DIV/0!</v>
      </c>
      <c r="AR644" s="151"/>
    </row>
    <row r="645" spans="15:44">
      <c r="O645" s="91"/>
      <c r="X645" s="115">
        <f t="shared" si="123"/>
        <v>0</v>
      </c>
      <c r="Y645" s="115">
        <f t="shared" si="124"/>
        <v>0</v>
      </c>
      <c r="Z645" s="115" t="e">
        <f t="shared" si="125"/>
        <v>#VALUE!</v>
      </c>
      <c r="AA645" s="115">
        <f t="shared" si="126"/>
        <v>0</v>
      </c>
      <c r="AD645" s="374" t="s">
        <v>724</v>
      </c>
      <c r="AE645" s="374"/>
      <c r="AF645" s="374"/>
      <c r="AG645" s="115">
        <f>COUNTIFS(D:D,"AA",M:M,"STANCO",R:R,"Vasak",F:F,"ATONGOAL",Q:Q,"6")</f>
        <v>0</v>
      </c>
      <c r="AH645" s="115"/>
      <c r="AI645" s="374" t="s">
        <v>724</v>
      </c>
      <c r="AJ645" s="374"/>
      <c r="AK645" s="374"/>
      <c r="AL645" s="115">
        <f>COUNTIFS(D:D,"AA",M:M,"STANCO",R:R,"Vasak",F:F,"ATONGOAL",Q:Q,"3")</f>
        <v>0</v>
      </c>
      <c r="AM645" s="115"/>
      <c r="AN645" s="374" t="s">
        <v>724</v>
      </c>
      <c r="AO645" s="374"/>
      <c r="AP645" s="374"/>
      <c r="AQ645" s="115">
        <f>COUNTIFS(D:D,"AA",M:M,"STANCO",R:R,"Vasak",F:F,"ATONGOAL",Q:Q,"1")</f>
        <v>0</v>
      </c>
    </row>
    <row r="646" spans="15:44">
      <c r="O646" s="91"/>
      <c r="X646" s="115">
        <f t="shared" si="123"/>
        <v>0</v>
      </c>
      <c r="Y646" s="115">
        <f t="shared" si="124"/>
        <v>0</v>
      </c>
      <c r="Z646" s="115" t="e">
        <f t="shared" si="125"/>
        <v>#VALUE!</v>
      </c>
      <c r="AA646" s="115">
        <f t="shared" si="126"/>
        <v>0</v>
      </c>
      <c r="AD646" s="374" t="s">
        <v>313</v>
      </c>
      <c r="AE646" s="374"/>
      <c r="AF646" s="374"/>
      <c r="AG646" s="115">
        <f>COUNTIFS(D:D,"AA",M:M,"STANCO",R:R,"Vasak",F:F,"ATON",Q:Q,"6")+COUNTIFS(D:D,"AA",M:M,"STANCO",R:R,"Vasak",F:F,"ATOF",Q:Q,"6")+COUNTIFS(D:D,"AA",M:M,"STANCO",R:R,"Vasak",F:F,"ATBK",Q:Q,"6")</f>
        <v>0</v>
      </c>
      <c r="AH646" s="115"/>
      <c r="AI646" s="374" t="s">
        <v>313</v>
      </c>
      <c r="AJ646" s="374"/>
      <c r="AK646" s="374"/>
      <c r="AL646" s="115">
        <f>COUNTIFS(D:D,"AA",M:M,"STANCO",R:R,"Vasak",F:F,"ATON",Q:Q,"3")+COUNTIFS(D:D,"AA",M:M,"STANCO",R:R,"Vasak",F:F,"ATOF",Q:Q,"3")+COUNTIFS(D:D,"AA",M:M,"STANCO",R:R,"Vasak",F:F,"ATBK",Q:Q,"3")</f>
        <v>0</v>
      </c>
      <c r="AM646" s="115"/>
      <c r="AN646" s="374" t="s">
        <v>313</v>
      </c>
      <c r="AO646" s="374"/>
      <c r="AP646" s="374"/>
      <c r="AQ646" s="115">
        <f>COUNTIFS(D:D,"AA",M:M,"STANCO",R:R,"Vasak",F:F,"ATON",Q:Q,"1")+COUNTIFS(D:D,"AA",M:M,"STANCO",R:R,"Vasak",F:F,"ATOF",Q:Q,"1")+COUNTIFS(D:D,"AA",M:M,"STANCO",R:R,"Vasak",F:F,"ATBK",Q:Q,"1")</f>
        <v>0</v>
      </c>
    </row>
    <row r="647" spans="15:44">
      <c r="O647" s="91"/>
      <c r="X647" s="115">
        <f t="shared" si="123"/>
        <v>0</v>
      </c>
      <c r="Y647" s="115">
        <f t="shared" si="124"/>
        <v>0</v>
      </c>
      <c r="Z647" s="115" t="e">
        <f t="shared" si="125"/>
        <v>#VALUE!</v>
      </c>
      <c r="AA647" s="115">
        <f t="shared" si="126"/>
        <v>0</v>
      </c>
      <c r="AD647" s="374"/>
      <c r="AE647" s="374"/>
      <c r="AF647" s="374"/>
      <c r="AG647" s="115"/>
      <c r="AH647" s="115"/>
      <c r="AI647" s="374"/>
      <c r="AJ647" s="374"/>
      <c r="AK647" s="374"/>
      <c r="AL647" s="115"/>
      <c r="AM647" s="115"/>
      <c r="AN647" s="374"/>
      <c r="AO647" s="374"/>
      <c r="AP647" s="374"/>
      <c r="AQ647" s="115"/>
    </row>
    <row r="648" spans="15:44">
      <c r="O648" s="91"/>
      <c r="X648" s="115">
        <f t="shared" si="123"/>
        <v>0</v>
      </c>
      <c r="Y648" s="115">
        <f t="shared" si="124"/>
        <v>0</v>
      </c>
      <c r="Z648" s="115" t="e">
        <f t="shared" si="125"/>
        <v>#VALUE!</v>
      </c>
      <c r="AA648" s="115">
        <f t="shared" si="126"/>
        <v>0</v>
      </c>
      <c r="AD648" s="183"/>
      <c r="AE648" s="183"/>
      <c r="AF648" s="115"/>
      <c r="AG648" s="115"/>
      <c r="AH648" s="115"/>
      <c r="AI648" s="115"/>
      <c r="AJ648" s="115"/>
      <c r="AK648" s="115"/>
      <c r="AL648" s="115"/>
      <c r="AM648" s="115"/>
      <c r="AN648" s="115"/>
      <c r="AO648" s="115"/>
      <c r="AP648" s="115"/>
      <c r="AQ648" s="115"/>
    </row>
    <row r="649" spans="15:44">
      <c r="O649" s="91"/>
      <c r="X649" s="115">
        <f t="shared" si="123"/>
        <v>0</v>
      </c>
      <c r="Y649" s="115">
        <f t="shared" si="124"/>
        <v>0</v>
      </c>
      <c r="Z649" s="115" t="e">
        <f t="shared" si="125"/>
        <v>#VALUE!</v>
      </c>
      <c r="AA649" s="115">
        <f t="shared" si="126"/>
        <v>0</v>
      </c>
      <c r="AD649" s="374" t="s">
        <v>270</v>
      </c>
      <c r="AE649" s="374"/>
      <c r="AF649" s="374"/>
      <c r="AG649" s="115">
        <f>COUNTIFS(D:D,"AA",M:M,"STANCO",R:R,"Vasak",Q:Q,"5")</f>
        <v>0</v>
      </c>
      <c r="AH649" s="115"/>
      <c r="AI649" s="374" t="s">
        <v>270</v>
      </c>
      <c r="AJ649" s="374"/>
      <c r="AK649" s="374"/>
      <c r="AL649" s="115">
        <f>COUNTIFS(D:D,"AA",M:M,"STANCO",R:R,"Vasak",Q:Q,"4")</f>
        <v>0</v>
      </c>
      <c r="AM649" s="115"/>
      <c r="AN649" s="374" t="s">
        <v>270</v>
      </c>
      <c r="AO649" s="374"/>
      <c r="AP649" s="374"/>
      <c r="AQ649" s="115">
        <f>COUNTIFS(D:D,"AA",M:M,"STANCO",R:R,"Vasak",Q:Q,"2")</f>
        <v>0</v>
      </c>
    </row>
    <row r="650" spans="15:44">
      <c r="O650" s="91"/>
      <c r="X650" s="115">
        <f t="shared" si="123"/>
        <v>0</v>
      </c>
      <c r="Y650" s="115">
        <f t="shared" si="124"/>
        <v>0</v>
      </c>
      <c r="Z650" s="115" t="e">
        <f t="shared" si="125"/>
        <v>#VALUE!</v>
      </c>
      <c r="AA650" s="115">
        <f t="shared" si="126"/>
        <v>0</v>
      </c>
      <c r="AD650" s="374" t="s">
        <v>271</v>
      </c>
      <c r="AE650" s="374"/>
      <c r="AF650" s="374"/>
      <c r="AG650" s="115">
        <f>COUNTIFS(D:D,"AA",M:M,"STANCO",R:R,"Vasak",P:P,"JAH",Q:Q,"5")</f>
        <v>0</v>
      </c>
      <c r="AH650" s="115"/>
      <c r="AI650" s="374" t="s">
        <v>271</v>
      </c>
      <c r="AJ650" s="374"/>
      <c r="AK650" s="374"/>
      <c r="AL650" s="115">
        <f>COUNTIFS(D:D,"AA",M:M,"STANCO",R:R,"Vasak",P:P,"JAH",Q:Q,"4")</f>
        <v>0</v>
      </c>
      <c r="AM650" s="115"/>
      <c r="AN650" s="374" t="s">
        <v>271</v>
      </c>
      <c r="AO650" s="374"/>
      <c r="AP650" s="374"/>
      <c r="AQ650" s="115">
        <f>COUNTIFS(D:D,"AA",M:M,"STANCO",R:R,"Vasak",P:P,"JAH",Q:Q,"2")</f>
        <v>0</v>
      </c>
    </row>
    <row r="651" spans="15:44">
      <c r="O651" s="91"/>
      <c r="X651" s="115">
        <f t="shared" si="123"/>
        <v>0</v>
      </c>
      <c r="Y651" s="115">
        <f t="shared" si="124"/>
        <v>0</v>
      </c>
      <c r="Z651" s="115" t="e">
        <f t="shared" si="125"/>
        <v>#VALUE!</v>
      </c>
      <c r="AA651" s="115">
        <f t="shared" si="126"/>
        <v>0</v>
      </c>
      <c r="AD651" s="374" t="s">
        <v>272</v>
      </c>
      <c r="AE651" s="374"/>
      <c r="AF651" s="374"/>
      <c r="AG651" s="260" t="e">
        <f>AG650/AG649</f>
        <v>#DIV/0!</v>
      </c>
      <c r="AH651" s="115"/>
      <c r="AI651" s="374" t="s">
        <v>272</v>
      </c>
      <c r="AJ651" s="374"/>
      <c r="AK651" s="374"/>
      <c r="AL651" s="260" t="e">
        <f>AL650/AL649</f>
        <v>#DIV/0!</v>
      </c>
      <c r="AM651" s="115"/>
      <c r="AN651" s="374" t="s">
        <v>272</v>
      </c>
      <c r="AO651" s="374"/>
      <c r="AP651" s="374"/>
      <c r="AQ651" s="260" t="e">
        <f>AQ650/AQ649</f>
        <v>#DIV/0!</v>
      </c>
      <c r="AR651" s="151"/>
    </row>
    <row r="652" spans="15:44">
      <c r="O652" s="91"/>
      <c r="X652" s="115">
        <f t="shared" si="123"/>
        <v>0</v>
      </c>
      <c r="Y652" s="115">
        <f t="shared" si="124"/>
        <v>0</v>
      </c>
      <c r="Z652" s="115" t="e">
        <f t="shared" si="125"/>
        <v>#VALUE!</v>
      </c>
      <c r="AA652" s="115">
        <f t="shared" si="126"/>
        <v>0</v>
      </c>
      <c r="AD652" s="374" t="s">
        <v>724</v>
      </c>
      <c r="AE652" s="374"/>
      <c r="AF652" s="374"/>
      <c r="AG652" s="115">
        <f>COUNTIFS(D:D,"AA",M:M,"STANCO",R:R,"Vasak",F:F,"ATONGOAL",Q:Q,"5")</f>
        <v>0</v>
      </c>
      <c r="AH652" s="115"/>
      <c r="AI652" s="374" t="s">
        <v>724</v>
      </c>
      <c r="AJ652" s="374"/>
      <c r="AK652" s="374"/>
      <c r="AL652" s="115">
        <f>COUNTIFS(D:D,"AA",M:M,"STANCO",R:R,"Vasak",F:F,"ATONGOAL",Q:Q,"4")</f>
        <v>0</v>
      </c>
      <c r="AM652" s="115"/>
      <c r="AN652" s="374" t="s">
        <v>724</v>
      </c>
      <c r="AO652" s="374"/>
      <c r="AP652" s="374"/>
      <c r="AQ652" s="115">
        <f>COUNTIFS(D:D,"AA",M:M,"STANCO",R:R,"Vasak",F:F,"ATONGOAL",Q:Q,"2")</f>
        <v>0</v>
      </c>
    </row>
    <row r="653" spans="15:44">
      <c r="O653" s="91"/>
      <c r="X653" s="115">
        <f t="shared" si="123"/>
        <v>0</v>
      </c>
      <c r="Y653" s="115">
        <f t="shared" si="124"/>
        <v>0</v>
      </c>
      <c r="Z653" s="115" t="e">
        <f t="shared" si="125"/>
        <v>#VALUE!</v>
      </c>
      <c r="AA653" s="115">
        <f t="shared" si="126"/>
        <v>0</v>
      </c>
      <c r="AD653" s="374" t="s">
        <v>313</v>
      </c>
      <c r="AE653" s="374"/>
      <c r="AF653" s="374"/>
      <c r="AG653" s="115">
        <f>COUNTIFS(D:D,"AA",M:M,"STANCO",R:R,"Vasak",F:F,"ATON",Q:Q,"5")+COUNTIFS(D:D,"AA",M:M,"STANCO",R:R,"Vasak",F:F,"ATOF",Q:Q,"5")+COUNTIFS(D:D,"AA",M:M,"STANCO",R:R,"Vasak",F:F,"ATBK",Q:Q,"5")</f>
        <v>0</v>
      </c>
      <c r="AH653" s="115"/>
      <c r="AI653" s="374" t="s">
        <v>313</v>
      </c>
      <c r="AJ653" s="374"/>
      <c r="AK653" s="374"/>
      <c r="AL653" s="115">
        <f>COUNTIFS(D:D,"AA",M:M,"STANCO",R:R,"Vasak",F:F,"ATON",Q:Q,"4")+COUNTIFS(D:D,"AA",M:M,"STANCO",R:R,"Vasak",F:F,"ATOF",Q:Q,"4")+COUNTIFS(D:D,"AA",M:M,"STANCO",R:R,"Vasak",F:F,"ATBK",Q:Q,"4")</f>
        <v>0</v>
      </c>
      <c r="AM653" s="115"/>
      <c r="AN653" s="374" t="s">
        <v>313</v>
      </c>
      <c r="AO653" s="374"/>
      <c r="AP653" s="374"/>
      <c r="AQ653" s="115">
        <f>COUNTIFS(D:D,"AA",M:M,"STANCO",R:R,"Vasak",F:F,"ATON",Q:Q,"2")+COUNTIFS(D:D,"AA",M:M,"STANCO",R:R,"Vasak",F:F,"ATOF",Q:Q,"2")+COUNTIFS(D:D,"AA",M:M,"STANCO",R:R,"Vasak",F:F,"ATBK",Q:Q,"2")</f>
        <v>0</v>
      </c>
    </row>
    <row r="654" spans="15:44">
      <c r="O654" s="91"/>
      <c r="X654" s="115">
        <f t="shared" si="123"/>
        <v>0</v>
      </c>
      <c r="Y654" s="115">
        <f t="shared" si="124"/>
        <v>0</v>
      </c>
      <c r="Z654" s="115" t="e">
        <f t="shared" si="125"/>
        <v>#VALUE!</v>
      </c>
      <c r="AA654" s="115">
        <f t="shared" si="126"/>
        <v>0</v>
      </c>
      <c r="AD654" s="374"/>
      <c r="AE654" s="374"/>
      <c r="AF654" s="374"/>
      <c r="AG654" s="115"/>
      <c r="AH654" s="115"/>
      <c r="AI654" s="374"/>
      <c r="AJ654" s="374"/>
      <c r="AK654" s="374"/>
      <c r="AL654" s="115"/>
      <c r="AM654" s="115"/>
      <c r="AN654" s="374"/>
      <c r="AO654" s="374"/>
      <c r="AP654" s="374"/>
      <c r="AQ654" s="115"/>
    </row>
    <row r="655" spans="15:44">
      <c r="O655" s="91"/>
      <c r="X655" s="115">
        <f t="shared" si="123"/>
        <v>0</v>
      </c>
      <c r="Y655" s="115">
        <f t="shared" si="124"/>
        <v>0</v>
      </c>
      <c r="Z655" s="115" t="e">
        <f t="shared" si="125"/>
        <v>#VALUE!</v>
      </c>
      <c r="AA655" s="115">
        <f t="shared" si="126"/>
        <v>0</v>
      </c>
      <c r="AD655" s="183"/>
      <c r="AE655" s="183"/>
      <c r="AF655" s="115"/>
      <c r="AG655" s="115"/>
      <c r="AH655" s="115"/>
      <c r="AI655" s="115"/>
      <c r="AJ655" s="115"/>
      <c r="AK655" s="115"/>
      <c r="AL655" s="115"/>
      <c r="AM655" s="115"/>
      <c r="AN655" s="115"/>
      <c r="AO655" s="115"/>
      <c r="AP655" s="115"/>
      <c r="AQ655" s="115"/>
    </row>
    <row r="656" spans="15:44" s="115" customFormat="1">
      <c r="O656" s="91"/>
      <c r="X656" s="115">
        <f t="shared" si="123"/>
        <v>0</v>
      </c>
      <c r="Y656" s="115">
        <f t="shared" si="124"/>
        <v>0</v>
      </c>
      <c r="Z656" s="115" t="e">
        <f t="shared" si="125"/>
        <v>#VALUE!</v>
      </c>
      <c r="AA656" s="115">
        <f t="shared" si="126"/>
        <v>0</v>
      </c>
      <c r="AB656" s="246"/>
      <c r="AG656" s="374" t="s">
        <v>299</v>
      </c>
      <c r="AH656" s="374"/>
      <c r="AI656" s="374"/>
    </row>
    <row r="657" spans="15:43" s="115" customFormat="1">
      <c r="O657" s="91"/>
      <c r="X657" s="115">
        <f t="shared" si="123"/>
        <v>0</v>
      </c>
      <c r="Y657" s="115">
        <f t="shared" si="124"/>
        <v>0</v>
      </c>
      <c r="Z657" s="115" t="e">
        <f t="shared" si="125"/>
        <v>#VALUE!</v>
      </c>
      <c r="AA657" s="115">
        <f t="shared" si="126"/>
        <v>0</v>
      </c>
      <c r="AB657" s="246"/>
      <c r="AD657" s="374" t="s">
        <v>269</v>
      </c>
      <c r="AE657" s="374"/>
      <c r="AF657" s="374"/>
      <c r="AG657" s="115">
        <f>COUNTIFS(D:D,"AA",M:M,"STANCO",R:R,"Parem",S:S,"Sissekeriv")</f>
        <v>0</v>
      </c>
    </row>
    <row r="658" spans="15:43" s="115" customFormat="1">
      <c r="O658" s="91"/>
      <c r="X658" s="115">
        <f t="shared" si="123"/>
        <v>0</v>
      </c>
      <c r="Y658" s="115">
        <f t="shared" si="124"/>
        <v>0</v>
      </c>
      <c r="Z658" s="115" t="e">
        <f t="shared" si="125"/>
        <v>#VALUE!</v>
      </c>
      <c r="AA658" s="115">
        <f t="shared" si="126"/>
        <v>0</v>
      </c>
      <c r="AB658" s="246"/>
      <c r="AD658" s="188"/>
      <c r="AE658" s="188"/>
    </row>
    <row r="659" spans="15:43" s="115" customFormat="1">
      <c r="O659" s="91"/>
      <c r="X659" s="115">
        <f t="shared" si="123"/>
        <v>0</v>
      </c>
      <c r="Y659" s="115">
        <f t="shared" si="124"/>
        <v>0</v>
      </c>
      <c r="Z659" s="115" t="e">
        <f t="shared" si="125"/>
        <v>#VALUE!</v>
      </c>
      <c r="AA659" s="115">
        <f t="shared" si="126"/>
        <v>0</v>
      </c>
      <c r="AB659" s="246"/>
      <c r="AD659" s="374" t="s">
        <v>270</v>
      </c>
      <c r="AE659" s="374"/>
      <c r="AF659" s="374"/>
      <c r="AG659" s="115">
        <f>COUNTIFS(D:D,"AA",M:M,"STANCO",R:R,"Parem",Q:Q,"6",S:S,"Sissekeriv")</f>
        <v>0</v>
      </c>
      <c r="AI659" s="374" t="s">
        <v>270</v>
      </c>
      <c r="AJ659" s="374"/>
      <c r="AK659" s="374"/>
      <c r="AL659" s="115">
        <f>COUNTIFS(D:D,"AA",M:M,"STANCO",R:R,"Parem",Q:Q,"3")</f>
        <v>0</v>
      </c>
      <c r="AN659" s="374" t="s">
        <v>270</v>
      </c>
      <c r="AO659" s="374"/>
      <c r="AP659" s="374"/>
      <c r="AQ659" s="115">
        <f>COUNTIFS(D:D,"AA",M:M,"STANCO",R:R,"Parem",Q:Q,"1")</f>
        <v>0</v>
      </c>
    </row>
    <row r="660" spans="15:43" s="115" customFormat="1">
      <c r="O660" s="91"/>
      <c r="X660" s="115">
        <f t="shared" si="123"/>
        <v>0</v>
      </c>
      <c r="Y660" s="115">
        <f t="shared" si="124"/>
        <v>0</v>
      </c>
      <c r="Z660" s="115" t="e">
        <f t="shared" si="125"/>
        <v>#VALUE!</v>
      </c>
      <c r="AA660" s="115">
        <f t="shared" si="126"/>
        <v>0</v>
      </c>
      <c r="AB660" s="246"/>
      <c r="AD660" s="374" t="s">
        <v>271</v>
      </c>
      <c r="AE660" s="374"/>
      <c r="AF660" s="374"/>
      <c r="AG660" s="115">
        <f>COUNTIFS(D:D,"AA",M:M,"STANCO",R:R,"Parem",P:P,"JAH",Q:Q,"6",S:S,"Sissekeriv")</f>
        <v>0</v>
      </c>
      <c r="AI660" s="374" t="s">
        <v>271</v>
      </c>
      <c r="AJ660" s="374"/>
      <c r="AK660" s="374"/>
      <c r="AL660" s="115">
        <f>COUNTIFS(D:D,"AA",M:M,"STANCO",R:R,"Parem",P:P,"JAH",Q:Q,"3")</f>
        <v>0</v>
      </c>
      <c r="AN660" s="374" t="s">
        <v>271</v>
      </c>
      <c r="AO660" s="374"/>
      <c r="AP660" s="374"/>
      <c r="AQ660" s="115">
        <f>COUNTIFS(D:D,"AA",M:M,"STANCO",R:R,"Parem",P:P,"JAH",Q:Q,"1")</f>
        <v>0</v>
      </c>
    </row>
    <row r="661" spans="15:43" s="115" customFormat="1">
      <c r="O661" s="91"/>
      <c r="X661" s="115">
        <f t="shared" si="123"/>
        <v>0</v>
      </c>
      <c r="Y661" s="115">
        <f t="shared" si="124"/>
        <v>0</v>
      </c>
      <c r="Z661" s="115" t="e">
        <f t="shared" si="125"/>
        <v>#VALUE!</v>
      </c>
      <c r="AA661" s="115">
        <f t="shared" si="126"/>
        <v>0</v>
      </c>
      <c r="AB661" s="246"/>
      <c r="AD661" s="374" t="s">
        <v>272</v>
      </c>
      <c r="AE661" s="374"/>
      <c r="AF661" s="374"/>
      <c r="AG661" s="151" t="e">
        <f>AG660/AG659</f>
        <v>#DIV/0!</v>
      </c>
      <c r="AI661" s="374" t="s">
        <v>272</v>
      </c>
      <c r="AJ661" s="374"/>
      <c r="AK661" s="374"/>
      <c r="AL661" s="151" t="e">
        <f>AL660/AL659</f>
        <v>#DIV/0!</v>
      </c>
      <c r="AN661" s="374" t="s">
        <v>272</v>
      </c>
      <c r="AO661" s="374"/>
      <c r="AP661" s="374"/>
      <c r="AQ661" s="151" t="e">
        <f>AQ660/AQ659</f>
        <v>#DIV/0!</v>
      </c>
    </row>
    <row r="662" spans="15:43" s="115" customFormat="1">
      <c r="O662" s="91"/>
      <c r="X662" s="115">
        <f t="shared" si="123"/>
        <v>0</v>
      </c>
      <c r="Y662" s="115">
        <f t="shared" si="124"/>
        <v>0</v>
      </c>
      <c r="Z662" s="115" t="e">
        <f t="shared" si="125"/>
        <v>#VALUE!</v>
      </c>
      <c r="AA662" s="115">
        <f t="shared" si="126"/>
        <v>0</v>
      </c>
      <c r="AB662" s="246"/>
      <c r="AD662" s="374" t="s">
        <v>724</v>
      </c>
      <c r="AE662" s="374"/>
      <c r="AF662" s="374"/>
      <c r="AG662" s="115">
        <f>COUNTIFS(D:D,"AA",M:M,"STANCO",R:R,"Parem",F:F,"ATONGOAL",Q:Q,"6",S:S,"Sissekeriv")</f>
        <v>0</v>
      </c>
      <c r="AI662" s="374" t="s">
        <v>724</v>
      </c>
      <c r="AJ662" s="374"/>
      <c r="AK662" s="374"/>
      <c r="AL662" s="115">
        <f>COUNTIFS(D:D,"AA",M:M,"STANCO",R:R,"Parem",F:F,"ATONGOAL",Q:Q,"3")</f>
        <v>0</v>
      </c>
      <c r="AN662" s="374" t="s">
        <v>724</v>
      </c>
      <c r="AO662" s="374"/>
      <c r="AP662" s="374"/>
      <c r="AQ662" s="115">
        <f>COUNTIFS(D:D,"AA",M:M,"STANCO",R:R,"Parem",F:F,"ATONGOAL",Q:Q,"1")</f>
        <v>0</v>
      </c>
    </row>
    <row r="663" spans="15:43" s="115" customFormat="1">
      <c r="O663" s="91"/>
      <c r="X663" s="115">
        <f t="shared" si="123"/>
        <v>0</v>
      </c>
      <c r="Y663" s="115">
        <f t="shared" si="124"/>
        <v>0</v>
      </c>
      <c r="Z663" s="115" t="e">
        <f t="shared" si="125"/>
        <v>#VALUE!</v>
      </c>
      <c r="AA663" s="115">
        <f t="shared" si="126"/>
        <v>0</v>
      </c>
      <c r="AB663" s="246"/>
      <c r="AD663" s="374" t="s">
        <v>313</v>
      </c>
      <c r="AE663" s="374"/>
      <c r="AF663" s="374"/>
      <c r="AG663" s="115">
        <f>COUNTIFS(D:D,"AA",M:M,"STANCO",R:R,"Parem",F:F,"ATONGOAL",Q:Q,"6",S:S,"Sissekeriv")+COUNTIFS(D:D,"AA",M:M,"STANCO",R:R,"Parem",F:F,"ATON",Q:Q,"6",S:S,"Sissekeriv")+COUNTIFS(D:D,"AA",M:M,"STANCO",R:R,"Parem",F:F,"ATOF",Q:Q,"6",S:S,"Sissekeriv")+COUNTIFS(D:D,"AA",M:M,"STANCO",R:R,"Parem",F:F,"ATBK",Q:Q,"6",S:S,"Sissekeriv")</f>
        <v>0</v>
      </c>
      <c r="AI663" s="374" t="s">
        <v>313</v>
      </c>
      <c r="AJ663" s="374"/>
      <c r="AK663" s="374"/>
      <c r="AL663" s="115">
        <f>COUNTIFS(D:D,"AA",M:M,"STANCO",R:R,"Parem",F:F,"ATONGOAL",Q:Q,"3",S:S,"Sissekeriv")+COUNTIFS(D:D,"AA",M:M,"STANCO",R:R,"Parem",F:F,"ATON",Q:Q,"3",S:S,"Sissekeriv")+COUNTIFS(D:D,"AA",M:M,"STANCO",R:R,"Parem",F:F,"ATOF",Q:Q,"3",S:S,"Sissekeriv")+COUNTIFS(D:D,"AA",M:M,"STANCO",R:R,"Parem",F:F,"ATBK",Q:Q,"3",S:S,"Sissekeriv")</f>
        <v>0</v>
      </c>
      <c r="AN663" s="374" t="s">
        <v>313</v>
      </c>
      <c r="AO663" s="374"/>
      <c r="AP663" s="374"/>
      <c r="AQ663" s="115">
        <f>COUNTIFS(D:D,"AA",M:M,"STANCO",R:R,"Parem",F:F,"ATONGOAL",Q:Q,"1",S:S,"Sissekeriv")+COUNTIFS(D:D,"AA",M:M,"STANCO",R:R,"Parem",F:F,"ATON",Q:Q,"1",S:S,"Sissekeriv")+COUNTIFS(D:D,"AA",M:M,"STANCO",R:R,"Parem",F:F,"ATOF",Q:Q,"1",S:S,"Sissekeriv")+COUNTIFS(D:D,"AA",M:M,"STANCO",R:R,"Parem",F:F,"ATBK",Q:Q,"1",S:S,"Sissekeriv")</f>
        <v>0</v>
      </c>
    </row>
    <row r="664" spans="15:43" s="115" customFormat="1">
      <c r="O664" s="91"/>
      <c r="X664" s="115">
        <f t="shared" si="123"/>
        <v>0</v>
      </c>
      <c r="Y664" s="115">
        <f t="shared" si="124"/>
        <v>0</v>
      </c>
      <c r="Z664" s="115" t="e">
        <f t="shared" si="125"/>
        <v>#VALUE!</v>
      </c>
      <c r="AA664" s="115">
        <f t="shared" si="126"/>
        <v>0</v>
      </c>
      <c r="AB664" s="246"/>
      <c r="AD664" s="374"/>
      <c r="AE664" s="374"/>
      <c r="AF664" s="374"/>
      <c r="AI664" s="374"/>
      <c r="AJ664" s="374"/>
      <c r="AK664" s="374"/>
      <c r="AN664" s="374"/>
      <c r="AO664" s="374"/>
      <c r="AP664" s="374"/>
    </row>
    <row r="665" spans="15:43" s="115" customFormat="1">
      <c r="O665" s="91"/>
      <c r="X665" s="115">
        <f t="shared" si="123"/>
        <v>0</v>
      </c>
      <c r="Y665" s="115">
        <f t="shared" si="124"/>
        <v>0</v>
      </c>
      <c r="Z665" s="115" t="e">
        <f t="shared" si="125"/>
        <v>#VALUE!</v>
      </c>
      <c r="AA665" s="115">
        <f t="shared" si="126"/>
        <v>0</v>
      </c>
      <c r="AB665" s="246"/>
      <c r="AD665" s="188"/>
      <c r="AE665" s="188"/>
    </row>
    <row r="666" spans="15:43" s="115" customFormat="1">
      <c r="O666" s="91"/>
      <c r="X666" s="115">
        <f t="shared" si="123"/>
        <v>0</v>
      </c>
      <c r="Y666" s="115">
        <f t="shared" si="124"/>
        <v>0</v>
      </c>
      <c r="Z666" s="115" t="e">
        <f t="shared" si="125"/>
        <v>#VALUE!</v>
      </c>
      <c r="AA666" s="115">
        <f t="shared" si="126"/>
        <v>0</v>
      </c>
      <c r="AB666" s="246"/>
      <c r="AD666" s="374" t="s">
        <v>270</v>
      </c>
      <c r="AE666" s="374"/>
      <c r="AF666" s="374"/>
      <c r="AG666" s="115">
        <f>COUNTIFS(D:D,"AA",M:M,"STANCO",R:R,"Parem",Q:Q,"5",S:S,"Sissekeriv")</f>
        <v>0</v>
      </c>
      <c r="AI666" s="374" t="s">
        <v>270</v>
      </c>
      <c r="AJ666" s="374"/>
      <c r="AK666" s="374"/>
      <c r="AL666" s="115">
        <f>COUNTIFS(D:D,"AA",M:M,"STANCO",R:R,"Parem",Q:Q,"4",S:S,"Sissekeriv")</f>
        <v>0</v>
      </c>
      <c r="AN666" s="374" t="s">
        <v>270</v>
      </c>
      <c r="AO666" s="374"/>
      <c r="AP666" s="374"/>
      <c r="AQ666" s="115">
        <f>COUNTIFS(D:D,"AA",M:M,"STANCO",R:R,"Parem",Q:Q,"2")</f>
        <v>0</v>
      </c>
    </row>
    <row r="667" spans="15:43" s="115" customFormat="1">
      <c r="O667" s="91"/>
      <c r="X667" s="115">
        <f t="shared" si="123"/>
        <v>0</v>
      </c>
      <c r="Y667" s="115">
        <f t="shared" si="124"/>
        <v>0</v>
      </c>
      <c r="Z667" s="115" t="e">
        <f t="shared" si="125"/>
        <v>#VALUE!</v>
      </c>
      <c r="AA667" s="115">
        <f t="shared" si="126"/>
        <v>0</v>
      </c>
      <c r="AB667" s="246"/>
      <c r="AD667" s="374" t="s">
        <v>271</v>
      </c>
      <c r="AE667" s="374"/>
      <c r="AF667" s="374"/>
      <c r="AG667" s="115">
        <f>COUNTIFS(D:D,"AA",M:M,"STANCO",R:R,"Parem",P:P,"JAH",Q:Q,"5",S:S,"Sissekeriv")</f>
        <v>0</v>
      </c>
      <c r="AI667" s="374" t="s">
        <v>271</v>
      </c>
      <c r="AJ667" s="374"/>
      <c r="AK667" s="374"/>
      <c r="AL667" s="115">
        <f>COUNTIFS(D:D,"AA",M:M,"STANCO",R:R,"Parem",P:P,"JAH",Q:Q,"4",S:S,"Sissekeriv")</f>
        <v>0</v>
      </c>
      <c r="AN667" s="374" t="s">
        <v>271</v>
      </c>
      <c r="AO667" s="374"/>
      <c r="AP667" s="374"/>
      <c r="AQ667" s="115">
        <f>COUNTIFS(D:D,"AA",M:M,"STANCO",R:R,"Parem",P:P,"JAH",Q:Q,"2")</f>
        <v>0</v>
      </c>
    </row>
    <row r="668" spans="15:43" s="115" customFormat="1">
      <c r="O668" s="91"/>
      <c r="X668" s="115">
        <f t="shared" si="123"/>
        <v>0</v>
      </c>
      <c r="Y668" s="115">
        <f t="shared" si="124"/>
        <v>0</v>
      </c>
      <c r="Z668" s="115" t="e">
        <f t="shared" si="125"/>
        <v>#VALUE!</v>
      </c>
      <c r="AA668" s="115">
        <f t="shared" si="126"/>
        <v>0</v>
      </c>
      <c r="AB668" s="246"/>
      <c r="AD668" s="374" t="s">
        <v>272</v>
      </c>
      <c r="AE668" s="374"/>
      <c r="AF668" s="374"/>
      <c r="AG668" s="151" t="e">
        <f>AG667/AG666</f>
        <v>#DIV/0!</v>
      </c>
      <c r="AI668" s="374" t="s">
        <v>272</v>
      </c>
      <c r="AJ668" s="374"/>
      <c r="AK668" s="374"/>
      <c r="AL668" s="151" t="e">
        <f>AL667/AL666</f>
        <v>#DIV/0!</v>
      </c>
      <c r="AN668" s="374" t="s">
        <v>272</v>
      </c>
      <c r="AO668" s="374"/>
      <c r="AP668" s="374"/>
      <c r="AQ668" s="151" t="e">
        <f>AQ667/AQ666</f>
        <v>#DIV/0!</v>
      </c>
    </row>
    <row r="669" spans="15:43" s="115" customFormat="1">
      <c r="O669" s="91"/>
      <c r="X669" s="115">
        <f t="shared" si="123"/>
        <v>0</v>
      </c>
      <c r="Y669" s="115">
        <f t="shared" si="124"/>
        <v>0</v>
      </c>
      <c r="Z669" s="115" t="e">
        <f t="shared" si="125"/>
        <v>#VALUE!</v>
      </c>
      <c r="AA669" s="115">
        <f t="shared" si="126"/>
        <v>0</v>
      </c>
      <c r="AB669" s="246"/>
      <c r="AD669" s="374" t="s">
        <v>724</v>
      </c>
      <c r="AE669" s="374"/>
      <c r="AF669" s="374"/>
      <c r="AG669" s="115">
        <f>COUNTIFS(D:D,"AA",M:M,"STANCO",R:R,"Parem",F:F,"ATONGOAL",Q:Q,"5",S:S,"Sissekeriv")</f>
        <v>0</v>
      </c>
      <c r="AI669" s="374" t="s">
        <v>724</v>
      </c>
      <c r="AJ669" s="374"/>
      <c r="AK669" s="374"/>
      <c r="AL669" s="115">
        <f>COUNTIFS(D:D,"AA",M:M,"STANCO",R:R,"Parem",F:F,"ATONGOAL",Q:Q,"4",S:S,"Sissekeriv")</f>
        <v>0</v>
      </c>
      <c r="AN669" s="374" t="s">
        <v>724</v>
      </c>
      <c r="AO669" s="374"/>
      <c r="AP669" s="374"/>
      <c r="AQ669" s="115">
        <f>COUNTIFS(D:D,"AA",M:M,"STANCO",R:R,"Parem",F:F,"ATONGOAL",Q:Q,"2",S:S,"Sissekeriv")</f>
        <v>0</v>
      </c>
    </row>
    <row r="670" spans="15:43" s="115" customFormat="1">
      <c r="O670" s="91"/>
      <c r="X670" s="115">
        <f t="shared" si="123"/>
        <v>0</v>
      </c>
      <c r="Y670" s="115">
        <f t="shared" si="124"/>
        <v>0</v>
      </c>
      <c r="Z670" s="115" t="e">
        <f t="shared" si="125"/>
        <v>#VALUE!</v>
      </c>
      <c r="AA670" s="115">
        <f t="shared" si="126"/>
        <v>0</v>
      </c>
      <c r="AB670" s="246"/>
      <c r="AD670" s="374" t="s">
        <v>313</v>
      </c>
      <c r="AE670" s="374"/>
      <c r="AF670" s="374"/>
      <c r="AG670" s="115">
        <f>COUNTIFS(D:D,"AA",M:M,"STANCO",R:R,"Parem",F:F,"ATONGOAL",Q:Q,"5",S:S,"Sissekeriv")+COUNTIFS(D:D,"AA",M:M,"STANCO",R:R,"Parem",F:F,"ATON",Q:Q,"5",S:S,"Sissekeriv")+COUNTIFS(D:D,"AA",M:M,"STANCO",R:R,"Parem",F:F,"ATOF",Q:Q,"5",S:S,"Sissekeriv")+COUNTIFS(D:D,"AA",M:M,"STANCO",R:R,"Parem",F:F,"ATBK",Q:Q,"5",S:S,"Sissekeriv")</f>
        <v>0</v>
      </c>
      <c r="AI670" s="374" t="s">
        <v>313</v>
      </c>
      <c r="AJ670" s="374"/>
      <c r="AK670" s="374"/>
      <c r="AL670" s="115">
        <f>COUNTIFS(D:D,"AA",M:M,"STANCO",R:R,"Parem",F:F,"ATONGOAL",Q:Q,"4",S:S,"Sissekeriv")+COUNTIFS(D:D,"AA",M:M,"STANCO",R:R,"Parem",F:F,"ATON",Q:Q,"4",S:S,"Sissekeriv")+COUNTIFS(D:D,"AA",M:M,"STANCO",R:R,"Parem",F:F,"ATOF",Q:Q,"4",S:S,"Sissekeriv")+COUNTIFS(D:D,"AA",M:M,"STANCO",R:R,"Parem",F:F,"ATBK",Q:Q,"4",S:S,"Sissekeriv")</f>
        <v>0</v>
      </c>
      <c r="AN670" s="374" t="s">
        <v>313</v>
      </c>
      <c r="AO670" s="374"/>
      <c r="AP670" s="374"/>
      <c r="AQ670" s="115">
        <f>COUNTIFS(D:D,"AA",M:M,"STANCO",R:R,"Parem",F:F,"ATONGOAL",Q:Q,"2",S:S,"Sissekeriv")+COUNTIFS(D:D,"AA",M:M,"STANCO",R:R,"Parem",F:F,"ATON",Q:Q,"2",S:S,"Sissekeriv")+COUNTIFS(D:D,"AA",M:M,"STANCO",R:R,"Parem",F:F,"ATOF",Q:Q,"2",S:S,"Sissekeriv")+COUNTIFS(D:D,"AA",M:M,"STANCO",R:R,"Parem",F:F,"ATBK",Q:Q,"2",S:S,"Sissekeriv")</f>
        <v>0</v>
      </c>
    </row>
    <row r="671" spans="15:43" s="115" customFormat="1">
      <c r="O671" s="91"/>
      <c r="X671" s="115">
        <f t="shared" si="123"/>
        <v>0</v>
      </c>
      <c r="Y671" s="115">
        <f t="shared" si="124"/>
        <v>0</v>
      </c>
      <c r="Z671" s="115" t="e">
        <f t="shared" si="125"/>
        <v>#VALUE!</v>
      </c>
      <c r="AA671" s="115">
        <f t="shared" si="126"/>
        <v>0</v>
      </c>
      <c r="AB671" s="246"/>
      <c r="AD671" s="374"/>
      <c r="AE671" s="374"/>
      <c r="AF671" s="374"/>
      <c r="AI671" s="374"/>
      <c r="AJ671" s="374"/>
      <c r="AK671" s="374"/>
      <c r="AN671" s="374"/>
      <c r="AO671" s="374"/>
      <c r="AP671" s="374"/>
    </row>
    <row r="672" spans="15:43" s="115" customFormat="1">
      <c r="O672" s="91"/>
      <c r="X672" s="115">
        <f t="shared" si="123"/>
        <v>0</v>
      </c>
      <c r="Y672" s="115">
        <f t="shared" si="124"/>
        <v>0</v>
      </c>
      <c r="Z672" s="115" t="e">
        <f t="shared" si="125"/>
        <v>#VALUE!</v>
      </c>
      <c r="AA672" s="115">
        <f t="shared" si="126"/>
        <v>0</v>
      </c>
      <c r="AB672" s="246"/>
      <c r="AD672" s="188"/>
      <c r="AE672" s="188"/>
    </row>
    <row r="673" spans="15:43" s="115" customFormat="1">
      <c r="O673" s="91"/>
      <c r="X673" s="115">
        <f t="shared" si="123"/>
        <v>0</v>
      </c>
      <c r="Y673" s="115">
        <f t="shared" si="124"/>
        <v>0</v>
      </c>
      <c r="Z673" s="115" t="e">
        <f t="shared" si="125"/>
        <v>#VALUE!</v>
      </c>
      <c r="AA673" s="115">
        <f t="shared" si="126"/>
        <v>0</v>
      </c>
      <c r="AB673" s="246"/>
      <c r="AD673" s="188"/>
      <c r="AE673" s="188"/>
    </row>
    <row r="674" spans="15:43" s="115" customFormat="1">
      <c r="O674" s="91"/>
      <c r="X674" s="115">
        <f t="shared" si="123"/>
        <v>0</v>
      </c>
      <c r="Y674" s="115">
        <f t="shared" si="124"/>
        <v>0</v>
      </c>
      <c r="Z674" s="115" t="e">
        <f t="shared" si="125"/>
        <v>#VALUE!</v>
      </c>
      <c r="AA674" s="115">
        <f t="shared" si="126"/>
        <v>0</v>
      </c>
      <c r="AB674" s="246"/>
      <c r="AD674" s="374" t="s">
        <v>273</v>
      </c>
      <c r="AE674" s="374"/>
      <c r="AF674" s="374"/>
      <c r="AG674" s="115">
        <f>COUNTIFS(D:D,"AA",M:M,"STANCO",R:R,"Vasak",S:S,"Sissekeriv")</f>
        <v>0</v>
      </c>
    </row>
    <row r="675" spans="15:43" s="115" customFormat="1">
      <c r="O675" s="91"/>
      <c r="X675" s="115">
        <f t="shared" si="123"/>
        <v>0</v>
      </c>
      <c r="Y675" s="115">
        <f t="shared" si="124"/>
        <v>0</v>
      </c>
      <c r="Z675" s="115" t="e">
        <f t="shared" si="125"/>
        <v>#VALUE!</v>
      </c>
      <c r="AA675" s="115">
        <f t="shared" si="126"/>
        <v>0</v>
      </c>
      <c r="AB675" s="246"/>
      <c r="AD675" s="188"/>
      <c r="AE675" s="188"/>
    </row>
    <row r="676" spans="15:43" s="115" customFormat="1">
      <c r="O676" s="91"/>
      <c r="X676" s="115">
        <f t="shared" si="123"/>
        <v>0</v>
      </c>
      <c r="Y676" s="115">
        <f t="shared" si="124"/>
        <v>0</v>
      </c>
      <c r="Z676" s="115" t="e">
        <f t="shared" si="125"/>
        <v>#VALUE!</v>
      </c>
      <c r="AA676" s="115">
        <f t="shared" si="126"/>
        <v>0</v>
      </c>
      <c r="AB676" s="246"/>
      <c r="AD676" s="374" t="s">
        <v>270</v>
      </c>
      <c r="AE676" s="374"/>
      <c r="AF676" s="374"/>
      <c r="AG676" s="115">
        <f>COUNTIFS(D:D,"AA",M:M,"STANCO",R:R,"Vasak",Q:Q,"6",S:S,"Sissekeriv")</f>
        <v>0</v>
      </c>
      <c r="AI676" s="374" t="s">
        <v>270</v>
      </c>
      <c r="AJ676" s="374"/>
      <c r="AK676" s="374"/>
      <c r="AL676" s="115">
        <f>COUNTIFS(D:D,"AA",M:M,"STANCO",R:R,"Vasak",Q:Q,"3",S:S,"Sissekeriv")</f>
        <v>0</v>
      </c>
      <c r="AN676" s="374" t="s">
        <v>270</v>
      </c>
      <c r="AO676" s="374"/>
      <c r="AP676" s="374"/>
      <c r="AQ676" s="115">
        <f>COUNTIFS(D:D,"AA",M:M,"STANCO",R:R,"Vasak",Q:Q,"1")</f>
        <v>0</v>
      </c>
    </row>
    <row r="677" spans="15:43" s="115" customFormat="1">
      <c r="O677" s="91"/>
      <c r="X677" s="115">
        <f t="shared" si="123"/>
        <v>0</v>
      </c>
      <c r="Y677" s="115">
        <f t="shared" si="124"/>
        <v>0</v>
      </c>
      <c r="Z677" s="115" t="e">
        <f t="shared" si="125"/>
        <v>#VALUE!</v>
      </c>
      <c r="AA677" s="115">
        <f t="shared" si="126"/>
        <v>0</v>
      </c>
      <c r="AB677" s="246"/>
      <c r="AD677" s="374" t="s">
        <v>271</v>
      </c>
      <c r="AE677" s="374"/>
      <c r="AF677" s="374"/>
      <c r="AG677" s="115">
        <f>COUNTIFS(D:D,"AA",M:M,"STANCO",R:R,"Vasak",P:P,"JAH",Q:Q,"6",S:S,"Sissekeriv")</f>
        <v>0</v>
      </c>
      <c r="AI677" s="374" t="s">
        <v>271</v>
      </c>
      <c r="AJ677" s="374"/>
      <c r="AK677" s="374"/>
      <c r="AL677" s="115">
        <f>COUNTIFS(D:D,"AA",M:M,"STANCO",R:R,"Vasak",P:P,"JAH",Q:Q,"3",S:S,"Sissekeriv")</f>
        <v>0</v>
      </c>
      <c r="AN677" s="374" t="s">
        <v>271</v>
      </c>
      <c r="AO677" s="374"/>
      <c r="AP677" s="374"/>
      <c r="AQ677" s="115">
        <f>COUNTIFS(D:D,"AA",M:M,"STANCO",R:R,"Vasak",P:P,"JAH",Q:Q,"1")</f>
        <v>0</v>
      </c>
    </row>
    <row r="678" spans="15:43" s="115" customFormat="1">
      <c r="O678" s="91"/>
      <c r="X678" s="115">
        <f t="shared" si="123"/>
        <v>0</v>
      </c>
      <c r="Y678" s="115">
        <f t="shared" si="124"/>
        <v>0</v>
      </c>
      <c r="Z678" s="115" t="e">
        <f t="shared" si="125"/>
        <v>#VALUE!</v>
      </c>
      <c r="AA678" s="115">
        <f t="shared" si="126"/>
        <v>0</v>
      </c>
      <c r="AB678" s="246"/>
      <c r="AD678" s="374" t="s">
        <v>272</v>
      </c>
      <c r="AE678" s="374"/>
      <c r="AF678" s="374"/>
      <c r="AG678" s="151" t="e">
        <f>AG677/AG676</f>
        <v>#DIV/0!</v>
      </c>
      <c r="AI678" s="374" t="s">
        <v>272</v>
      </c>
      <c r="AJ678" s="374"/>
      <c r="AK678" s="374"/>
      <c r="AL678" s="151" t="e">
        <f>AL677/AL676</f>
        <v>#DIV/0!</v>
      </c>
      <c r="AN678" s="374" t="s">
        <v>272</v>
      </c>
      <c r="AO678" s="374"/>
      <c r="AP678" s="374"/>
      <c r="AQ678" s="151" t="e">
        <f>AQ677/AQ676</f>
        <v>#DIV/0!</v>
      </c>
    </row>
    <row r="679" spans="15:43" s="115" customFormat="1">
      <c r="O679" s="91"/>
      <c r="X679" s="115">
        <f t="shared" si="123"/>
        <v>0</v>
      </c>
      <c r="Y679" s="115">
        <f t="shared" si="124"/>
        <v>0</v>
      </c>
      <c r="Z679" s="115" t="e">
        <f t="shared" si="125"/>
        <v>#VALUE!</v>
      </c>
      <c r="AA679" s="115">
        <f t="shared" si="126"/>
        <v>0</v>
      </c>
      <c r="AB679" s="246"/>
      <c r="AD679" s="374" t="s">
        <v>724</v>
      </c>
      <c r="AE679" s="374"/>
      <c r="AF679" s="374"/>
      <c r="AG679" s="115">
        <f>COUNTIFS(D:D,"AA",M:M,"STANCO",R:R,"Vasak",F:F,"ATONGOAL",Q:Q,"6",S:S,"Sissekeriv")</f>
        <v>0</v>
      </c>
      <c r="AI679" s="374" t="s">
        <v>724</v>
      </c>
      <c r="AJ679" s="374"/>
      <c r="AK679" s="374"/>
      <c r="AL679" s="115">
        <f>COUNTIFS(D:D,"AA",M:M,"STANCO",R:R,"Vasak",F:F,"ATONGOAL",Q:Q,"3",S:S,"Sissekeriv")</f>
        <v>0</v>
      </c>
      <c r="AN679" s="374" t="s">
        <v>724</v>
      </c>
      <c r="AO679" s="374"/>
      <c r="AP679" s="374"/>
      <c r="AQ679" s="115">
        <f>COUNTIFS(D:D,"AA",M:M,"STANCO",R:R,"Vasak",F:F,"ATONGOAL",Q:Q,"1")</f>
        <v>0</v>
      </c>
    </row>
    <row r="680" spans="15:43" s="115" customFormat="1">
      <c r="O680" s="91"/>
      <c r="X680" s="115">
        <f t="shared" si="123"/>
        <v>0</v>
      </c>
      <c r="Y680" s="115">
        <f t="shared" si="124"/>
        <v>0</v>
      </c>
      <c r="Z680" s="115" t="e">
        <f t="shared" si="125"/>
        <v>#VALUE!</v>
      </c>
      <c r="AA680" s="115">
        <f t="shared" si="126"/>
        <v>0</v>
      </c>
      <c r="AB680" s="246"/>
      <c r="AD680" s="374" t="s">
        <v>313</v>
      </c>
      <c r="AE680" s="374"/>
      <c r="AF680" s="374"/>
      <c r="AG680" s="115">
        <f>COUNTIFS(D:D,"AA",M:M,"STANCO",R:R,"Vasak",F:F,"ATONGOAL",Q:Q,"6",S:S,"Sissekeriv")+COUNTIFS(D:D,"AA",M:M,"STANCO",R:R,"Vasak",F:F,"ATON",Q:Q,"6",S:S,"Sissekeriv")+COUNTIFS(D:D,"AA",M:M,"STANCO",R:R,"Vasak",F:F,"ATOF",Q:Q,"6",S:S,"Sissekeriv")+COUNTIFS(D:D,"AA",M:M,"STANCO",R:R,"Vasak",F:F,"ATBK",Q:Q,"6",S:S,"Sissekeriv")</f>
        <v>0</v>
      </c>
      <c r="AI680" s="374" t="s">
        <v>313</v>
      </c>
      <c r="AJ680" s="374"/>
      <c r="AK680" s="374"/>
      <c r="AL680" s="115">
        <f>COUNTIFS(D:D,"AA",M:M,"STANCO",R:R,"Vasak",F:F,"ATONGOAL",Q:Q,"3",S:S,"Sissekeriv")+COUNTIFS(D:D,"AA",M:M,"STANCO",R:R,"Vasak",F:F,"ATON",Q:Q,"3",S:S,"Sissekeriv")+COUNTIFS(D:D,"AA",M:M,"STANCO",R:R,"Vasak",F:F,"ATOF",Q:Q,"3",S:S,"Sissekeriv")+COUNTIFS(D:D,"AA",M:M,"STANCO",R:R,"Vasak",F:F,"ATBK",Q:Q,"3",S:S,"Sissekeriv")</f>
        <v>0</v>
      </c>
      <c r="AN680" s="374" t="s">
        <v>313</v>
      </c>
      <c r="AO680" s="374"/>
      <c r="AP680" s="374"/>
      <c r="AQ680" s="115">
        <f>COUNTIFS(D:D,"AA",M:M,"STANCO",R:R,"Vasak",F:F,"ATONGOAL",Q:Q,"1",S:S,"Sissekeriv")+COUNTIFS(D:D,"AA",M:M,"STANCO",R:R,"Vasak",F:F,"ATON",Q:Q,"1",S:S,"Sissekeriv")+COUNTIFS(D:D,"AA",M:M,"STANCO",R:R,"Vasak",F:F,"ATOF",Q:Q,"1",S:S,"Sissekeriv")+COUNTIFS(D:D,"AA",M:M,"STANCO",R:R,"Vasak",F:F,"ATBK",Q:Q,"1",S:S,"Sissekeriv")</f>
        <v>0</v>
      </c>
    </row>
    <row r="681" spans="15:43" s="115" customFormat="1">
      <c r="O681" s="91"/>
      <c r="X681" s="115">
        <f t="shared" si="123"/>
        <v>0</v>
      </c>
      <c r="Y681" s="115">
        <f t="shared" si="124"/>
        <v>0</v>
      </c>
      <c r="Z681" s="115" t="e">
        <f t="shared" si="125"/>
        <v>#VALUE!</v>
      </c>
      <c r="AA681" s="115">
        <f t="shared" si="126"/>
        <v>0</v>
      </c>
      <c r="AB681" s="246"/>
      <c r="AD681" s="374"/>
      <c r="AE681" s="374"/>
      <c r="AF681" s="374"/>
      <c r="AI681" s="374"/>
      <c r="AJ681" s="374"/>
      <c r="AK681" s="374"/>
      <c r="AN681" s="374"/>
      <c r="AO681" s="374"/>
      <c r="AP681" s="374"/>
    </row>
    <row r="682" spans="15:43" s="115" customFormat="1">
      <c r="O682" s="91"/>
      <c r="X682" s="115">
        <f t="shared" si="123"/>
        <v>0</v>
      </c>
      <c r="Y682" s="115">
        <f t="shared" si="124"/>
        <v>0</v>
      </c>
      <c r="Z682" s="115" t="e">
        <f t="shared" si="125"/>
        <v>#VALUE!</v>
      </c>
      <c r="AA682" s="115">
        <f t="shared" si="126"/>
        <v>0</v>
      </c>
      <c r="AB682" s="246"/>
      <c r="AD682" s="188"/>
      <c r="AE682" s="188"/>
    </row>
    <row r="683" spans="15:43" s="115" customFormat="1">
      <c r="O683" s="91"/>
      <c r="X683" s="115">
        <f t="shared" si="123"/>
        <v>0</v>
      </c>
      <c r="Y683" s="115">
        <f t="shared" si="124"/>
        <v>0</v>
      </c>
      <c r="Z683" s="115" t="e">
        <f t="shared" si="125"/>
        <v>#VALUE!</v>
      </c>
      <c r="AA683" s="115">
        <f t="shared" si="126"/>
        <v>0</v>
      </c>
      <c r="AB683" s="246"/>
      <c r="AD683" s="374" t="s">
        <v>270</v>
      </c>
      <c r="AE683" s="374"/>
      <c r="AF683" s="374"/>
      <c r="AG683" s="115">
        <f>COUNTIFS(D:D,"AA",M:M,"STANCO",R:R,"Vasak",Q:Q,"5",S:S,"Sissekeriv")</f>
        <v>0</v>
      </c>
      <c r="AI683" s="374" t="s">
        <v>270</v>
      </c>
      <c r="AJ683" s="374"/>
      <c r="AK683" s="374"/>
      <c r="AL683" s="115">
        <f>COUNTIFS(D:D,"AA",M:M,"STANCO",R:R,"Vasak",Q:Q,"4",S:S,"Sissekeriv")</f>
        <v>0</v>
      </c>
      <c r="AN683" s="374" t="s">
        <v>270</v>
      </c>
      <c r="AO683" s="374"/>
      <c r="AP683" s="374"/>
      <c r="AQ683" s="115">
        <f>COUNTIFS(D:D,"AA",M:M,"STANCO",R:R,"Vasak",Q:Q,"2",S:S,"Sissekeriv")</f>
        <v>0</v>
      </c>
    </row>
    <row r="684" spans="15:43" s="115" customFormat="1">
      <c r="O684" s="91"/>
      <c r="X684" s="115">
        <f t="shared" si="123"/>
        <v>0</v>
      </c>
      <c r="Y684" s="115">
        <f t="shared" si="124"/>
        <v>0</v>
      </c>
      <c r="Z684" s="115" t="e">
        <f t="shared" si="125"/>
        <v>#VALUE!</v>
      </c>
      <c r="AA684" s="115">
        <f t="shared" si="126"/>
        <v>0</v>
      </c>
      <c r="AB684" s="246"/>
      <c r="AD684" s="374" t="s">
        <v>271</v>
      </c>
      <c r="AE684" s="374"/>
      <c r="AF684" s="374"/>
      <c r="AG684" s="115">
        <f>COUNTIFS(D:D,"AA",M:M,"STANCO",R:R,"Vasak",P:P,"JAH",Q:Q,"5",S:S,"Sissekeriv")</f>
        <v>0</v>
      </c>
      <c r="AI684" s="374" t="s">
        <v>271</v>
      </c>
      <c r="AJ684" s="374"/>
      <c r="AK684" s="374"/>
      <c r="AL684" s="115">
        <f>COUNTIFS(D:D,"AA",M:M,"STANCO",R:R,"Vasak",P:P,"JAH",Q:Q,"4",S:S,"Sissekeriv")</f>
        <v>0</v>
      </c>
      <c r="AN684" s="374" t="s">
        <v>271</v>
      </c>
      <c r="AO684" s="374"/>
      <c r="AP684" s="374"/>
      <c r="AQ684" s="115">
        <f>COUNTIFS(D:D,"AA",M:M,"STANCO",R:R,"Vasak",P:P,"JAH",Q:Q,"2",S:S,"Sissekeriv")</f>
        <v>0</v>
      </c>
    </row>
    <row r="685" spans="15:43" s="115" customFormat="1">
      <c r="O685" s="91"/>
      <c r="X685" s="115">
        <f t="shared" si="123"/>
        <v>0</v>
      </c>
      <c r="Y685" s="115">
        <f t="shared" si="124"/>
        <v>0</v>
      </c>
      <c r="Z685" s="115" t="e">
        <f t="shared" si="125"/>
        <v>#VALUE!</v>
      </c>
      <c r="AA685" s="115">
        <f t="shared" si="126"/>
        <v>0</v>
      </c>
      <c r="AB685" s="246"/>
      <c r="AD685" s="374" t="s">
        <v>272</v>
      </c>
      <c r="AE685" s="374"/>
      <c r="AF685" s="374"/>
      <c r="AG685" s="151" t="e">
        <f>AG684/AG683</f>
        <v>#DIV/0!</v>
      </c>
      <c r="AI685" s="374" t="s">
        <v>272</v>
      </c>
      <c r="AJ685" s="374"/>
      <c r="AK685" s="374"/>
      <c r="AL685" s="151" t="e">
        <f>AL684/AL683</f>
        <v>#DIV/0!</v>
      </c>
      <c r="AN685" s="374" t="s">
        <v>272</v>
      </c>
      <c r="AO685" s="374"/>
      <c r="AP685" s="374"/>
      <c r="AQ685" s="151" t="e">
        <f>AQ684/AQ683</f>
        <v>#DIV/0!</v>
      </c>
    </row>
    <row r="686" spans="15:43" s="115" customFormat="1">
      <c r="O686" s="91"/>
      <c r="X686" s="115">
        <f t="shared" si="123"/>
        <v>0</v>
      </c>
      <c r="Y686" s="115">
        <f t="shared" si="124"/>
        <v>0</v>
      </c>
      <c r="Z686" s="115" t="e">
        <f t="shared" si="125"/>
        <v>#VALUE!</v>
      </c>
      <c r="AA686" s="115">
        <f t="shared" si="126"/>
        <v>0</v>
      </c>
      <c r="AB686" s="246"/>
      <c r="AD686" s="374" t="s">
        <v>724</v>
      </c>
      <c r="AE686" s="374"/>
      <c r="AF686" s="374"/>
      <c r="AG686" s="115">
        <f>COUNTIFS(D:D,"AA",M:M,"STANCO",R:R,"Vasak",F:F,"ATONGOAL",Q:Q,"5",S:S,"Sissekeriv")</f>
        <v>0</v>
      </c>
      <c r="AI686" s="374" t="s">
        <v>724</v>
      </c>
      <c r="AJ686" s="374"/>
      <c r="AK686" s="374"/>
      <c r="AL686" s="115">
        <f>COUNTIFS(D:D,"AA",M:M,"STANCO",R:R,"Vasak",F:F,"ATONGOAL",Q:Q,"4",S:S,"Sissekeriv")</f>
        <v>0</v>
      </c>
      <c r="AN686" s="374" t="s">
        <v>724</v>
      </c>
      <c r="AO686" s="374"/>
      <c r="AP686" s="374"/>
      <c r="AQ686" s="115">
        <f>COUNTIFS(D:D,"AA",M:M,"STANCO",R:R,"Vasak",F:F,"ATONGOAL",Q:Q,"2",S:S,"Sissekeriv")</f>
        <v>0</v>
      </c>
    </row>
    <row r="687" spans="15:43" s="115" customFormat="1">
      <c r="O687" s="91"/>
      <c r="X687" s="115">
        <f t="shared" si="123"/>
        <v>0</v>
      </c>
      <c r="Y687" s="115">
        <f t="shared" si="124"/>
        <v>0</v>
      </c>
      <c r="Z687" s="115" t="e">
        <f t="shared" si="125"/>
        <v>#VALUE!</v>
      </c>
      <c r="AA687" s="115">
        <f t="shared" si="126"/>
        <v>0</v>
      </c>
      <c r="AB687" s="246"/>
      <c r="AD687" s="374" t="s">
        <v>313</v>
      </c>
      <c r="AE687" s="374"/>
      <c r="AF687" s="374"/>
      <c r="AG687" s="115">
        <f>COUNTIFS(D:D,"AA",M:M,"STANCO",R:R,"Vasak",F:F,"ATONGOAL",Q:Q,"5",S:S,"Sissekeriv")+COUNTIFS(D:D,"AA",M:M,"STANCO",R:R,"Vasak",F:F,"ATON",Q:Q,"5",S:S,"Sissekeriv")+COUNTIFS(D:D,"AA",M:M,"STANCO",R:R,"Vasak",F:F,"ATOF",Q:Q,"5",S:S,"Sissekeriv")+COUNTIFS(D:D,"AA",M:M,"STANCO",R:R,"Vasak",F:F,"ATBK",Q:Q,"5",S:S,"Sissekeriv")</f>
        <v>0</v>
      </c>
      <c r="AI687" s="374" t="s">
        <v>313</v>
      </c>
      <c r="AJ687" s="374"/>
      <c r="AK687" s="374"/>
      <c r="AL687" s="115">
        <f>COUNTIFS(D:D,"AA",M:M,"STANCO",R:R,"Vasak",F:F,"ATONGOAL",Q:Q,"4",S:S,"Sissekeriv")+COUNTIFS(D:D,"AA",M:M,"STANCO",R:R,"Vasak",F:F,"ATON",Q:Q,"4",S:S,"Sissekeriv")+COUNTIFS(D:D,"AA",M:M,"STANCO",R:R,"Vasak",F:F,"ATOF",Q:Q,"4",S:S,"Sissekeriv")+COUNTIFS(D:D,"AA",M:M,"STANCO",R:R,"Vasak",F:F,"ATBK",Q:Q,"4",S:S,"Sissekeriv")</f>
        <v>0</v>
      </c>
      <c r="AN687" s="374" t="s">
        <v>313</v>
      </c>
      <c r="AO687" s="374"/>
      <c r="AP687" s="374"/>
      <c r="AQ687" s="115">
        <f>COUNTIFS(D:D,"AA",M:M,"STANCO",R:R,"Vasak",F:F,"ATONGOAL",Q:Q,"2",S:S,"Sissekeriv")+COUNTIFS(D:D,"AA",M:M,"STANCO",R:R,"Vasak",F:F,"ATON",Q:Q,"2",S:S,"Sissekeriv")+COUNTIFS(D:D,"AA",M:M,"STANCO",R:R,"Vasak",F:F,"ATOF",Q:Q,"2",S:S,"Sissekeriv")+COUNTIFS(D:D,"AA",M:M,"STANCO",R:R,"Vasak",F:F,"ATBK",Q:Q,"2",S:S,"Sissekeriv")</f>
        <v>0</v>
      </c>
    </row>
    <row r="688" spans="15:43" s="115" customFormat="1">
      <c r="O688" s="91"/>
      <c r="X688" s="115">
        <f t="shared" si="123"/>
        <v>0</v>
      </c>
      <c r="Y688" s="115">
        <f t="shared" si="124"/>
        <v>0</v>
      </c>
      <c r="Z688" s="115" t="e">
        <f t="shared" si="125"/>
        <v>#VALUE!</v>
      </c>
      <c r="AA688" s="115">
        <f t="shared" si="126"/>
        <v>0</v>
      </c>
      <c r="AB688" s="246"/>
      <c r="AD688" s="374"/>
      <c r="AE688" s="374"/>
      <c r="AF688" s="374"/>
      <c r="AI688" s="374"/>
      <c r="AJ688" s="374"/>
      <c r="AK688" s="374"/>
      <c r="AN688" s="374"/>
      <c r="AO688" s="374"/>
      <c r="AP688" s="374"/>
    </row>
    <row r="689" spans="15:43" s="115" customFormat="1">
      <c r="O689" s="91"/>
      <c r="X689" s="115">
        <f t="shared" si="123"/>
        <v>0</v>
      </c>
      <c r="Y689" s="115">
        <f t="shared" si="124"/>
        <v>0</v>
      </c>
      <c r="Z689" s="115" t="e">
        <f t="shared" si="125"/>
        <v>#VALUE!</v>
      </c>
      <c r="AA689" s="115">
        <f t="shared" si="126"/>
        <v>0</v>
      </c>
      <c r="AB689" s="246"/>
      <c r="AD689" s="188"/>
      <c r="AE689" s="188"/>
    </row>
    <row r="690" spans="15:43" s="115" customFormat="1">
      <c r="O690" s="91"/>
      <c r="X690" s="115">
        <f t="shared" si="123"/>
        <v>0</v>
      </c>
      <c r="Y690" s="115">
        <f t="shared" si="124"/>
        <v>0</v>
      </c>
      <c r="Z690" s="115" t="e">
        <f t="shared" si="125"/>
        <v>#VALUE!</v>
      </c>
      <c r="AA690" s="115">
        <f t="shared" si="126"/>
        <v>0</v>
      </c>
      <c r="AB690" s="246"/>
      <c r="AD690" s="188"/>
      <c r="AE690" s="188"/>
    </row>
    <row r="691" spans="15:43" s="115" customFormat="1">
      <c r="O691" s="91"/>
      <c r="X691" s="115">
        <f t="shared" si="123"/>
        <v>0</v>
      </c>
      <c r="Y691" s="115">
        <f t="shared" si="124"/>
        <v>0</v>
      </c>
      <c r="Z691" s="115" t="e">
        <f t="shared" si="125"/>
        <v>#VALUE!</v>
      </c>
      <c r="AA691" s="115">
        <f t="shared" si="126"/>
        <v>0</v>
      </c>
      <c r="AB691" s="246"/>
      <c r="AG691" s="374" t="s">
        <v>298</v>
      </c>
      <c r="AH691" s="374"/>
      <c r="AI691" s="374"/>
    </row>
    <row r="692" spans="15:43" s="115" customFormat="1">
      <c r="O692" s="91"/>
      <c r="X692" s="115">
        <f t="shared" si="123"/>
        <v>0</v>
      </c>
      <c r="Y692" s="115">
        <f t="shared" si="124"/>
        <v>0</v>
      </c>
      <c r="Z692" s="115" t="e">
        <f t="shared" si="125"/>
        <v>#VALUE!</v>
      </c>
      <c r="AA692" s="115">
        <f t="shared" si="126"/>
        <v>0</v>
      </c>
      <c r="AB692" s="246"/>
      <c r="AD692" s="374" t="s">
        <v>269</v>
      </c>
      <c r="AE692" s="374"/>
      <c r="AF692" s="374"/>
      <c r="AG692" s="115">
        <f>COUNTIFS(D:D,"AA",M:M,"STANCO",R:R,"Parem",S:S,"Väljakeriv")</f>
        <v>0</v>
      </c>
    </row>
    <row r="693" spans="15:43" s="115" customFormat="1">
      <c r="O693" s="91"/>
      <c r="X693" s="115">
        <f t="shared" si="123"/>
        <v>0</v>
      </c>
      <c r="Y693" s="115">
        <f t="shared" si="124"/>
        <v>0</v>
      </c>
      <c r="Z693" s="115" t="e">
        <f t="shared" si="125"/>
        <v>#VALUE!</v>
      </c>
      <c r="AA693" s="115">
        <f t="shared" si="126"/>
        <v>0</v>
      </c>
      <c r="AB693" s="246"/>
      <c r="AD693" s="188"/>
      <c r="AE693" s="188"/>
    </row>
    <row r="694" spans="15:43" s="115" customFormat="1">
      <c r="O694" s="91"/>
      <c r="X694" s="115">
        <f t="shared" si="123"/>
        <v>0</v>
      </c>
      <c r="Y694" s="115">
        <f t="shared" si="124"/>
        <v>0</v>
      </c>
      <c r="Z694" s="115" t="e">
        <f t="shared" si="125"/>
        <v>#VALUE!</v>
      </c>
      <c r="AA694" s="115">
        <f t="shared" si="126"/>
        <v>0</v>
      </c>
      <c r="AB694" s="246"/>
      <c r="AD694" s="374" t="s">
        <v>270</v>
      </c>
      <c r="AE694" s="374"/>
      <c r="AF694" s="374"/>
      <c r="AG694" s="115">
        <f>COUNTIFS(D:D,"AA",M:M,"STANCO",R:R,"Parem",Q:Q,"6",S:S,"Väljakeriv")</f>
        <v>0</v>
      </c>
      <c r="AI694" s="374" t="s">
        <v>270</v>
      </c>
      <c r="AJ694" s="374"/>
      <c r="AK694" s="374"/>
      <c r="AL694" s="115">
        <f>COUNTIFS(D:D,"AA",M:M,"STANCO",R:R,"Parem",Q:Q,"3",S:S,"Väljakeriv")</f>
        <v>0</v>
      </c>
      <c r="AN694" s="374" t="s">
        <v>270</v>
      </c>
      <c r="AO694" s="374"/>
      <c r="AP694" s="374"/>
      <c r="AQ694" s="115">
        <f>COUNTIFS(D:D,"AA",M:M,"STANCO",R:R,"Parem",Q:Q,"1",S:S,"Väljakeriv")</f>
        <v>0</v>
      </c>
    </row>
    <row r="695" spans="15:43" s="115" customFormat="1">
      <c r="O695" s="91"/>
      <c r="X695" s="115">
        <f t="shared" si="123"/>
        <v>0</v>
      </c>
      <c r="Y695" s="115">
        <f t="shared" si="124"/>
        <v>0</v>
      </c>
      <c r="Z695" s="115" t="e">
        <f t="shared" si="125"/>
        <v>#VALUE!</v>
      </c>
      <c r="AA695" s="115">
        <f t="shared" si="126"/>
        <v>0</v>
      </c>
      <c r="AB695" s="246"/>
      <c r="AD695" s="374" t="s">
        <v>271</v>
      </c>
      <c r="AE695" s="374"/>
      <c r="AF695" s="374"/>
      <c r="AG695" s="115">
        <f>COUNTIFS(D:D,"AA",M:M,"STANCO",R:R,"Parem",P:P,"JAH",Q:Q,"6",S:S,"Väljakeriv")</f>
        <v>0</v>
      </c>
      <c r="AI695" s="374" t="s">
        <v>271</v>
      </c>
      <c r="AJ695" s="374"/>
      <c r="AK695" s="374"/>
      <c r="AL695" s="115">
        <f>COUNTIFS(D:D,"AA",M:M,"STANCO",R:R,"Parem",P:P,"JAH",Q:Q,"3",S:S,"Väljakeriv")</f>
        <v>0</v>
      </c>
      <c r="AN695" s="374" t="s">
        <v>271</v>
      </c>
      <c r="AO695" s="374"/>
      <c r="AP695" s="374"/>
      <c r="AQ695" s="115">
        <f>COUNTIFS(D:D,"AA",M:M,"STANCO",R:R,"Parem",P:P,"JAH",Q:Q,"1",S:S,"Väljakeriv")</f>
        <v>0</v>
      </c>
    </row>
    <row r="696" spans="15:43" s="115" customFormat="1">
      <c r="O696" s="91"/>
      <c r="X696" s="115">
        <f t="shared" si="123"/>
        <v>0</v>
      </c>
      <c r="Y696" s="115">
        <f t="shared" si="124"/>
        <v>0</v>
      </c>
      <c r="Z696" s="115" t="e">
        <f t="shared" si="125"/>
        <v>#VALUE!</v>
      </c>
      <c r="AA696" s="115">
        <f t="shared" si="126"/>
        <v>0</v>
      </c>
      <c r="AB696" s="246"/>
      <c r="AD696" s="374" t="s">
        <v>272</v>
      </c>
      <c r="AE696" s="374"/>
      <c r="AF696" s="374"/>
      <c r="AG696" s="151" t="e">
        <f>AG695/AG694</f>
        <v>#DIV/0!</v>
      </c>
      <c r="AI696" s="374" t="s">
        <v>272</v>
      </c>
      <c r="AJ696" s="374"/>
      <c r="AK696" s="374"/>
      <c r="AL696" s="151" t="e">
        <f>AL695/AL694</f>
        <v>#DIV/0!</v>
      </c>
      <c r="AN696" s="374" t="s">
        <v>272</v>
      </c>
      <c r="AO696" s="374"/>
      <c r="AP696" s="374"/>
      <c r="AQ696" s="151" t="e">
        <f>AQ695/AQ694</f>
        <v>#DIV/0!</v>
      </c>
    </row>
    <row r="697" spans="15:43" s="115" customFormat="1">
      <c r="O697" s="91"/>
      <c r="X697" s="115">
        <f t="shared" si="123"/>
        <v>0</v>
      </c>
      <c r="Y697" s="115">
        <f t="shared" si="124"/>
        <v>0</v>
      </c>
      <c r="Z697" s="115" t="e">
        <f t="shared" si="125"/>
        <v>#VALUE!</v>
      </c>
      <c r="AA697" s="115">
        <f t="shared" si="126"/>
        <v>0</v>
      </c>
      <c r="AB697" s="246"/>
      <c r="AD697" s="374" t="s">
        <v>724</v>
      </c>
      <c r="AE697" s="374"/>
      <c r="AF697" s="374"/>
      <c r="AG697" s="115">
        <f>COUNTIFS(D:D,"AA",M:M,"STANCO",R:R,"Parem",F:F,"ATONGOAL",Q:Q,"6",S:S,"Väljakeriv")</f>
        <v>0</v>
      </c>
      <c r="AI697" s="374" t="s">
        <v>724</v>
      </c>
      <c r="AJ697" s="374"/>
      <c r="AK697" s="374"/>
      <c r="AL697" s="115">
        <f>COUNTIFS(D:D,"AA",M:M,"STANCO",R:R,"Parem",F:F,"ATONGOAL",Q:Q,"3",S:S,"Väljakeriv")</f>
        <v>0</v>
      </c>
      <c r="AN697" s="374" t="s">
        <v>724</v>
      </c>
      <c r="AO697" s="374"/>
      <c r="AP697" s="374"/>
      <c r="AQ697" s="115">
        <f>COUNTIFS(D:D,"AA",M:M,"STANCO",R:R,"Parem",F:F,"ATONGOAL",Q:Q,"1",S:S,"Väljakeriv")</f>
        <v>0</v>
      </c>
    </row>
    <row r="698" spans="15:43" s="115" customFormat="1">
      <c r="O698" s="91"/>
      <c r="X698" s="115">
        <f t="shared" si="123"/>
        <v>0</v>
      </c>
      <c r="Y698" s="115">
        <f t="shared" si="124"/>
        <v>0</v>
      </c>
      <c r="Z698" s="115" t="e">
        <f t="shared" si="125"/>
        <v>#VALUE!</v>
      </c>
      <c r="AA698" s="115">
        <f t="shared" si="126"/>
        <v>0</v>
      </c>
      <c r="AB698" s="246"/>
      <c r="AD698" s="374" t="s">
        <v>314</v>
      </c>
      <c r="AE698" s="374"/>
      <c r="AF698" s="374"/>
      <c r="AG698" s="115">
        <f>COUNTIFS(D:D,"AA",M:M,"STANCO",R:R,"Parem",F:F,"ATONGOAL",Q:Q,"6",S:S,"Väljakeriv")+COUNTIFS(D:D,"AA",M:M,"STANCO",R:R,"Parem",F:F,"ATON",Q:Q,"6",S:S,"Väljakeriv")+COUNTIFS(D:D,"AA",M:M,"STANCO",R:R,"Parem",F:F,"ATOF",Q:Q,"6",S:S,"Väljakeriv")+COUNTIFS(D:D,"AA",M:M,"STANCO",R:R,"Parem",F:F,"ATBK",Q:Q,"6",S:S,"Väljakeriv")</f>
        <v>0</v>
      </c>
      <c r="AI698" s="374" t="s">
        <v>314</v>
      </c>
      <c r="AJ698" s="374"/>
      <c r="AK698" s="374"/>
      <c r="AL698" s="115">
        <f>COUNTIFS(D:D,"AA",M:M,"STANCO",R:R,"Parem",F:F,"ATONGOAL",Q:Q,"3",S:S,"Väljakeriv")+COUNTIFS(D:D,"AA",M:M,"STANCO",R:R,"Parem",F:F,"ATON",Q:Q,"3",S:S,"Väljakeriv")+COUNTIFS(D:D,"AA",M:M,"STANCO",R:R,"Parem",F:F,"ATOF",Q:Q,"3",S:S,"Väljakeriv")+COUNTIFS(D:D,"AA",M:M,"STANCO",R:R,"Parem",F:F,"ATBK",Q:Q,"3",S:S,"Väljakeriv")</f>
        <v>0</v>
      </c>
      <c r="AN698" s="374" t="s">
        <v>314</v>
      </c>
      <c r="AO698" s="374"/>
      <c r="AP698" s="374"/>
      <c r="AQ698" s="115">
        <f>COUNTIFS(D:D,"AA",M:M,"STANCO",R:R,"Parem",F:F,"ATONGOAL",Q:Q,"1",S:S,"Väljakeriv")+COUNTIFS(D:D,"AA",M:M,"STANCO",R:R,"Parem",F:F,"ATON",Q:Q,"1",S:S,"Väljakeriv")+COUNTIFS(D:D,"AA",M:M,"STANCO",R:R,"Parem",F:F,"ATOF",Q:Q,"1",S:S,"Väljakeriv")+COUNTIFS(D:D,"AA",M:M,"STANCO",R:R,"Parem",F:F,"ATBK",Q:Q,"1",S:S,"Väljakeriv")</f>
        <v>0</v>
      </c>
    </row>
    <row r="699" spans="15:43" s="115" customFormat="1">
      <c r="O699" s="91"/>
      <c r="X699" s="115">
        <f t="shared" si="123"/>
        <v>0</v>
      </c>
      <c r="Y699" s="115">
        <f t="shared" si="124"/>
        <v>0</v>
      </c>
      <c r="Z699" s="115" t="e">
        <f t="shared" si="125"/>
        <v>#VALUE!</v>
      </c>
      <c r="AA699" s="115">
        <f t="shared" si="126"/>
        <v>0</v>
      </c>
      <c r="AB699" s="246"/>
      <c r="AD699" s="374"/>
      <c r="AE699" s="374"/>
      <c r="AF699" s="374"/>
      <c r="AI699" s="374"/>
      <c r="AJ699" s="374"/>
      <c r="AK699" s="374"/>
      <c r="AN699" s="374"/>
      <c r="AO699" s="374"/>
      <c r="AP699" s="374"/>
    </row>
    <row r="700" spans="15:43" s="115" customFormat="1">
      <c r="O700" s="91"/>
      <c r="X700" s="115">
        <f t="shared" si="123"/>
        <v>0</v>
      </c>
      <c r="Y700" s="115">
        <f t="shared" si="124"/>
        <v>0</v>
      </c>
      <c r="Z700" s="115" t="e">
        <f t="shared" si="125"/>
        <v>#VALUE!</v>
      </c>
      <c r="AA700" s="115">
        <f t="shared" si="126"/>
        <v>0</v>
      </c>
      <c r="AB700" s="246"/>
      <c r="AD700" s="188"/>
      <c r="AE700" s="188"/>
    </row>
    <row r="701" spans="15:43" s="115" customFormat="1">
      <c r="O701" s="91"/>
      <c r="X701" s="115">
        <f t="shared" si="123"/>
        <v>0</v>
      </c>
      <c r="Y701" s="115">
        <f t="shared" si="124"/>
        <v>0</v>
      </c>
      <c r="Z701" s="115" t="e">
        <f t="shared" si="125"/>
        <v>#VALUE!</v>
      </c>
      <c r="AA701" s="115">
        <f t="shared" si="126"/>
        <v>0</v>
      </c>
      <c r="AB701" s="246"/>
      <c r="AD701" s="374" t="s">
        <v>270</v>
      </c>
      <c r="AE701" s="374"/>
      <c r="AF701" s="374"/>
      <c r="AG701" s="115">
        <f>COUNTIFS(D:D,"AA",M:M,"STANCO",R:R,"Parem",Q:Q,"5",S:S,"Väljakeriv")</f>
        <v>0</v>
      </c>
      <c r="AI701" s="374" t="s">
        <v>270</v>
      </c>
      <c r="AJ701" s="374"/>
      <c r="AK701" s="374"/>
      <c r="AL701" s="115">
        <f>COUNTIFS(D:D,"AA",M:M,"STANCO",R:R,"Parem",Q:Q,"4",S:S,"Väljakeriv")</f>
        <v>0</v>
      </c>
      <c r="AN701" s="374" t="s">
        <v>270</v>
      </c>
      <c r="AO701" s="374"/>
      <c r="AP701" s="374"/>
      <c r="AQ701" s="115">
        <f>COUNTIFS(D:D,"AA",M:M,"STANCO",R:R,"Parem",Q:Q,"2",S:S,"Väljakeriv")</f>
        <v>0</v>
      </c>
    </row>
    <row r="702" spans="15:43" s="115" customFormat="1">
      <c r="O702" s="91"/>
      <c r="X702" s="115">
        <f t="shared" si="123"/>
        <v>0</v>
      </c>
      <c r="Y702" s="115">
        <f t="shared" si="124"/>
        <v>0</v>
      </c>
      <c r="Z702" s="115" t="e">
        <f t="shared" si="125"/>
        <v>#VALUE!</v>
      </c>
      <c r="AA702" s="115">
        <f t="shared" si="126"/>
        <v>0</v>
      </c>
      <c r="AB702" s="246"/>
      <c r="AD702" s="374" t="s">
        <v>271</v>
      </c>
      <c r="AE702" s="374"/>
      <c r="AF702" s="374"/>
      <c r="AG702" s="115">
        <f>COUNTIFS(D:D,"AA",M:M,"STANCO",R:R,"Parem",P:P,"JAH",Q:Q,"5",S:S,"Väljakeriv")</f>
        <v>0</v>
      </c>
      <c r="AI702" s="374" t="s">
        <v>271</v>
      </c>
      <c r="AJ702" s="374"/>
      <c r="AK702" s="374"/>
      <c r="AL702" s="115">
        <f>COUNTIFS(D:D,"AA",M:M,"STANCO",R:R,"Parem",P:P,"JAH",Q:Q,"4",S:S,"Väljakeriv")</f>
        <v>0</v>
      </c>
      <c r="AN702" s="374" t="s">
        <v>271</v>
      </c>
      <c r="AO702" s="374"/>
      <c r="AP702" s="374"/>
      <c r="AQ702" s="115">
        <f>COUNTIFS(D:D,"AA",M:M,"STANCO",R:R,"Parem",P:P,"JAH",Q:Q,"2",S:S,"Väljakeriv")</f>
        <v>0</v>
      </c>
    </row>
    <row r="703" spans="15:43" s="115" customFormat="1">
      <c r="O703" s="91"/>
      <c r="X703" s="115">
        <f t="shared" si="123"/>
        <v>0</v>
      </c>
      <c r="Y703" s="115">
        <f t="shared" si="124"/>
        <v>0</v>
      </c>
      <c r="Z703" s="115" t="e">
        <f t="shared" si="125"/>
        <v>#VALUE!</v>
      </c>
      <c r="AA703" s="115">
        <f t="shared" si="126"/>
        <v>0</v>
      </c>
      <c r="AB703" s="246"/>
      <c r="AD703" s="374" t="s">
        <v>272</v>
      </c>
      <c r="AE703" s="374"/>
      <c r="AF703" s="374"/>
      <c r="AG703" s="151" t="e">
        <f>AG702/AG701</f>
        <v>#DIV/0!</v>
      </c>
      <c r="AI703" s="374" t="s">
        <v>272</v>
      </c>
      <c r="AJ703" s="374"/>
      <c r="AK703" s="374"/>
      <c r="AL703" s="151" t="e">
        <f>AL702/AL701</f>
        <v>#DIV/0!</v>
      </c>
      <c r="AN703" s="374" t="s">
        <v>272</v>
      </c>
      <c r="AO703" s="374"/>
      <c r="AP703" s="374"/>
      <c r="AQ703" s="151" t="e">
        <f>AQ702/AQ701</f>
        <v>#DIV/0!</v>
      </c>
    </row>
    <row r="704" spans="15:43" s="115" customFormat="1">
      <c r="O704" s="91"/>
      <c r="X704" s="115">
        <f t="shared" si="123"/>
        <v>0</v>
      </c>
      <c r="Y704" s="115">
        <f t="shared" si="124"/>
        <v>0</v>
      </c>
      <c r="Z704" s="115" t="e">
        <f t="shared" si="125"/>
        <v>#VALUE!</v>
      </c>
      <c r="AA704" s="115">
        <f t="shared" si="126"/>
        <v>0</v>
      </c>
      <c r="AB704" s="246"/>
      <c r="AD704" s="374" t="s">
        <v>724</v>
      </c>
      <c r="AE704" s="374"/>
      <c r="AF704" s="374"/>
      <c r="AG704" s="115">
        <f>COUNTIFS(D:D,"AA",M:M,"STANCO",R:R,"Parem",F:F,"ATONGOAL",Q:Q,"5",S:S,"Väljakeriv")</f>
        <v>0</v>
      </c>
      <c r="AI704" s="374" t="s">
        <v>724</v>
      </c>
      <c r="AJ704" s="374"/>
      <c r="AK704" s="374"/>
      <c r="AL704" s="115">
        <f>COUNTIFS(D:D,"AA",M:M,"STANCO",R:R,"Parem",F:F,"ATONGOAL",Q:Q,"4",S:S,"Väljakeriv")</f>
        <v>0</v>
      </c>
      <c r="AN704" s="374" t="s">
        <v>724</v>
      </c>
      <c r="AO704" s="374"/>
      <c r="AP704" s="374"/>
      <c r="AQ704" s="115">
        <f>COUNTIFS(D:D,"AA",M:M,"STANCO",R:R,"Parem",F:F,"ATONGOAL",Q:Q,"2",S:S,"Väljakeriv")</f>
        <v>0</v>
      </c>
    </row>
    <row r="705" spans="15:43" s="115" customFormat="1">
      <c r="O705" s="91"/>
      <c r="X705" s="115">
        <f t="shared" si="123"/>
        <v>0</v>
      </c>
      <c r="Y705" s="115">
        <f t="shared" si="124"/>
        <v>0</v>
      </c>
      <c r="Z705" s="115" t="e">
        <f t="shared" si="125"/>
        <v>#VALUE!</v>
      </c>
      <c r="AA705" s="115">
        <f t="shared" si="126"/>
        <v>0</v>
      </c>
      <c r="AB705" s="246"/>
      <c r="AD705" s="374" t="s">
        <v>314</v>
      </c>
      <c r="AE705" s="374"/>
      <c r="AF705" s="374"/>
      <c r="AG705" s="115">
        <f>COUNTIFS(D:D,"AA",M:M,"STANCO",R:R,"Parem",F:F,"ATONGOAL",Q:Q,"5",S:S,"Väljakeriv")+COUNTIFS(D:D,"AA",M:M,"STANCO",R:R,"Parem",F:F,"ATON",Q:Q,"5",S:S,"Väljakeriv")+COUNTIFS(D:D,"AA",M:M,"STANCO",R:R,"Parem",F:F,"ATOF",Q:Q,"5",S:S,"Väljakeriv")+COUNTIFS(D:D,"AA",M:M,"STANCO",R:R,"Parem",F:F,"ATBK",Q:Q,"5",S:S,"Väljakeriv")</f>
        <v>0</v>
      </c>
      <c r="AI705" s="374" t="s">
        <v>314</v>
      </c>
      <c r="AJ705" s="374"/>
      <c r="AK705" s="374"/>
      <c r="AL705" s="115">
        <f>COUNTIFS(D:D,"AA",M:M,"STANCO",R:R,"Parem",F:F,"ATONGOAL",Q:Q,"4",S:S,"Väljakeriv")+COUNTIFS(D:D,"AA",M:M,"STANCO",R:R,"Parem",F:F,"ATON",Q:Q,"4",S:S,"Väljakeriv")+COUNTIFS(D:D,"AA",M:M,"STANCO",R:R,"Parem",F:F,"ATOF",Q:Q,"4",S:S,"Väljakeriv")+COUNTIFS(D:D,"AA",M:M,"STANCO",R:R,"Parem",F:F,"ATBK",Q:Q,"4",S:S,"Väljakeriv")</f>
        <v>0</v>
      </c>
      <c r="AN705" s="374" t="s">
        <v>314</v>
      </c>
      <c r="AO705" s="374"/>
      <c r="AP705" s="374"/>
      <c r="AQ705" s="115">
        <f>COUNTIFS(D:D,"AA",M:M,"STANCO",R:R,"Parem",F:F,"ATONGOAL",Q:Q,"2",S:S,"Väljakeriv")+COUNTIFS(D:D,"AA",M:M,"STANCO",R:R,"Parem",F:F,"ATON",Q:Q,"2",S:S,"Väljakeriv")+COUNTIFS(D:D,"AA",M:M,"STANCO",R:R,"Parem",F:F,"ATOF",Q:Q,"2",S:S,"Väljakeriv")+COUNTIFS(D:D,"AA",M:M,"STANCO",R:R,"Parem",F:F,"ATBK",Q:Q,"2",S:S,"Väljakeriv")</f>
        <v>0</v>
      </c>
    </row>
    <row r="706" spans="15:43" s="115" customFormat="1">
      <c r="O706" s="91"/>
      <c r="X706" s="115">
        <f t="shared" si="123"/>
        <v>0</v>
      </c>
      <c r="Y706" s="115">
        <f t="shared" si="124"/>
        <v>0</v>
      </c>
      <c r="Z706" s="115" t="e">
        <f t="shared" si="125"/>
        <v>#VALUE!</v>
      </c>
      <c r="AA706" s="115">
        <f t="shared" si="126"/>
        <v>0</v>
      </c>
      <c r="AB706" s="246"/>
      <c r="AD706" s="374"/>
      <c r="AE706" s="374"/>
      <c r="AF706" s="374"/>
      <c r="AI706" s="374"/>
      <c r="AJ706" s="374"/>
      <c r="AK706" s="374"/>
      <c r="AN706" s="374"/>
      <c r="AO706" s="374"/>
      <c r="AP706" s="374"/>
    </row>
    <row r="707" spans="15:43" s="115" customFormat="1">
      <c r="O707" s="91"/>
      <c r="X707" s="115">
        <f t="shared" ref="X707:X770" si="127">mapValues(E707,F707,"P265")</f>
        <v>0</v>
      </c>
      <c r="Y707" s="115">
        <f t="shared" ref="Y707:Y770" si="128">X706+X707</f>
        <v>0</v>
      </c>
      <c r="Z707" s="115" t="e">
        <f t="shared" ref="Z707:Z770" si="129">VALUE(MID(B707,FIND(" ",B707)+1,FIND(" ",B707,FIND(" ",B707)+1)-FIND(" ",B707)))</f>
        <v>#VALUE!</v>
      </c>
      <c r="AA707" s="115">
        <f t="shared" ref="AA707:AA770" si="130">T707/1000</f>
        <v>0</v>
      </c>
      <c r="AB707" s="246"/>
      <c r="AD707" s="188"/>
      <c r="AE707" s="188"/>
    </row>
    <row r="708" spans="15:43" s="115" customFormat="1">
      <c r="O708" s="91"/>
      <c r="X708" s="115">
        <f t="shared" si="127"/>
        <v>0</v>
      </c>
      <c r="Y708" s="115">
        <f t="shared" si="128"/>
        <v>0</v>
      </c>
      <c r="Z708" s="115" t="e">
        <f t="shared" si="129"/>
        <v>#VALUE!</v>
      </c>
      <c r="AA708" s="115">
        <f t="shared" si="130"/>
        <v>0</v>
      </c>
      <c r="AB708" s="246"/>
      <c r="AD708" s="188"/>
      <c r="AE708" s="188"/>
    </row>
    <row r="709" spans="15:43" s="115" customFormat="1">
      <c r="O709" s="91"/>
      <c r="X709" s="115">
        <f t="shared" si="127"/>
        <v>0</v>
      </c>
      <c r="Y709" s="115">
        <f t="shared" si="128"/>
        <v>0</v>
      </c>
      <c r="Z709" s="115" t="e">
        <f t="shared" si="129"/>
        <v>#VALUE!</v>
      </c>
      <c r="AA709" s="115">
        <f t="shared" si="130"/>
        <v>0</v>
      </c>
      <c r="AB709" s="246"/>
      <c r="AD709" s="374" t="s">
        <v>273</v>
      </c>
      <c r="AE709" s="374"/>
      <c r="AF709" s="374"/>
      <c r="AG709" s="115">
        <f>COUNTIFS(D:D,"AA",M:M,"STANCO",R:R,"Vasak",S:S,"Väljakeriv")</f>
        <v>0</v>
      </c>
    </row>
    <row r="710" spans="15:43" s="115" customFormat="1">
      <c r="O710" s="91"/>
      <c r="X710" s="115">
        <f t="shared" si="127"/>
        <v>0</v>
      </c>
      <c r="Y710" s="115">
        <f t="shared" si="128"/>
        <v>0</v>
      </c>
      <c r="Z710" s="115" t="e">
        <f t="shared" si="129"/>
        <v>#VALUE!</v>
      </c>
      <c r="AA710" s="115">
        <f t="shared" si="130"/>
        <v>0</v>
      </c>
      <c r="AB710" s="246"/>
      <c r="AD710" s="188"/>
      <c r="AE710" s="188"/>
    </row>
    <row r="711" spans="15:43" s="115" customFormat="1">
      <c r="O711" s="91"/>
      <c r="X711" s="115">
        <f t="shared" si="127"/>
        <v>0</v>
      </c>
      <c r="Y711" s="115">
        <f t="shared" si="128"/>
        <v>0</v>
      </c>
      <c r="Z711" s="115" t="e">
        <f t="shared" si="129"/>
        <v>#VALUE!</v>
      </c>
      <c r="AA711" s="115">
        <f t="shared" si="130"/>
        <v>0</v>
      </c>
      <c r="AB711" s="246"/>
      <c r="AD711" s="374" t="s">
        <v>270</v>
      </c>
      <c r="AE711" s="374"/>
      <c r="AF711" s="374"/>
      <c r="AG711" s="115">
        <f>COUNTIFS(D:D,"AA",M:M,"STANCO",R:R,"Vasak",Q:Q,"6",S:S,"Väljakeriv")</f>
        <v>0</v>
      </c>
      <c r="AI711" s="374" t="s">
        <v>270</v>
      </c>
      <c r="AJ711" s="374"/>
      <c r="AK711" s="374"/>
      <c r="AL711" s="115">
        <f>COUNTIFS(D:D,"AA",M:M,"STANCO",R:R,"Vasak",Q:Q,"3",S:S,"Väljakeriv")</f>
        <v>0</v>
      </c>
      <c r="AN711" s="374" t="s">
        <v>270</v>
      </c>
      <c r="AO711" s="374"/>
      <c r="AP711" s="374"/>
      <c r="AQ711" s="115">
        <f>COUNTIFS(D:D,"AA",M:M,"STANCO",R:R,"Vasak",Q:Q,"1",S:S,"Väljakeriv")</f>
        <v>0</v>
      </c>
    </row>
    <row r="712" spans="15:43" s="115" customFormat="1">
      <c r="O712" s="91"/>
      <c r="X712" s="115">
        <f t="shared" si="127"/>
        <v>0</v>
      </c>
      <c r="Y712" s="115">
        <f t="shared" si="128"/>
        <v>0</v>
      </c>
      <c r="Z712" s="115" t="e">
        <f t="shared" si="129"/>
        <v>#VALUE!</v>
      </c>
      <c r="AA712" s="115">
        <f t="shared" si="130"/>
        <v>0</v>
      </c>
      <c r="AB712" s="246"/>
      <c r="AD712" s="374" t="s">
        <v>271</v>
      </c>
      <c r="AE712" s="374"/>
      <c r="AF712" s="374"/>
      <c r="AG712" s="115">
        <f>COUNTIFS(D:D,"AA",M:M,"STANCO",R:R,"Vasak",P:P,"JAH",Q:Q,"6",S:S,"Väljakeriv")</f>
        <v>0</v>
      </c>
      <c r="AI712" s="374" t="s">
        <v>271</v>
      </c>
      <c r="AJ712" s="374"/>
      <c r="AK712" s="374"/>
      <c r="AL712" s="115">
        <f>COUNTIFS(D:D,"AA",M:M,"STANCO",R:R,"Vasak",P:P,"JAH",Q:Q,"3",S:S,"Väljakeriv")</f>
        <v>0</v>
      </c>
      <c r="AN712" s="374" t="s">
        <v>271</v>
      </c>
      <c r="AO712" s="374"/>
      <c r="AP712" s="374"/>
      <c r="AQ712" s="115">
        <f>COUNTIFS(D:D,"AA",M:M,"STANCO",R:R,"Vasak",P:P,"JAH",Q:Q,"1",S:S,"Väljakeriv")</f>
        <v>0</v>
      </c>
    </row>
    <row r="713" spans="15:43" s="115" customFormat="1">
      <c r="O713" s="91"/>
      <c r="X713" s="115">
        <f t="shared" si="127"/>
        <v>0</v>
      </c>
      <c r="Y713" s="115">
        <f t="shared" si="128"/>
        <v>0</v>
      </c>
      <c r="Z713" s="115" t="e">
        <f t="shared" si="129"/>
        <v>#VALUE!</v>
      </c>
      <c r="AA713" s="115">
        <f t="shared" si="130"/>
        <v>0</v>
      </c>
      <c r="AB713" s="246"/>
      <c r="AD713" s="374" t="s">
        <v>272</v>
      </c>
      <c r="AE713" s="374"/>
      <c r="AF713" s="374"/>
      <c r="AG713" s="151" t="e">
        <f>AG712/AG711</f>
        <v>#DIV/0!</v>
      </c>
      <c r="AI713" s="374" t="s">
        <v>272</v>
      </c>
      <c r="AJ713" s="374"/>
      <c r="AK713" s="374"/>
      <c r="AL713" s="151" t="e">
        <f>AL712/AL711</f>
        <v>#DIV/0!</v>
      </c>
      <c r="AN713" s="374" t="s">
        <v>272</v>
      </c>
      <c r="AO713" s="374"/>
      <c r="AP713" s="374"/>
      <c r="AQ713" s="151" t="e">
        <f>AQ712/AQ711</f>
        <v>#DIV/0!</v>
      </c>
    </row>
    <row r="714" spans="15:43" s="115" customFormat="1">
      <c r="O714" s="91"/>
      <c r="X714" s="115">
        <f t="shared" si="127"/>
        <v>0</v>
      </c>
      <c r="Y714" s="115">
        <f t="shared" si="128"/>
        <v>0</v>
      </c>
      <c r="Z714" s="115" t="e">
        <f t="shared" si="129"/>
        <v>#VALUE!</v>
      </c>
      <c r="AA714" s="115">
        <f t="shared" si="130"/>
        <v>0</v>
      </c>
      <c r="AB714" s="246"/>
      <c r="AD714" s="374" t="s">
        <v>724</v>
      </c>
      <c r="AE714" s="374"/>
      <c r="AF714" s="374"/>
      <c r="AG714" s="115">
        <f>COUNTIFS(D:D,"AA",M:M,"STANCO",R:R,"Vasak",F:F,"ATONGOAL",Q:Q,"6",S:S,"Väljakeriv")</f>
        <v>0</v>
      </c>
      <c r="AI714" s="374" t="s">
        <v>724</v>
      </c>
      <c r="AJ714" s="374"/>
      <c r="AK714" s="374"/>
      <c r="AL714" s="115">
        <f>COUNTIFS(D:D,"AA",M:M,"STANCO",R:R,"Vasak",F:F,"ATONGOAL",Q:Q,"3",S:S,"Väljakeriv")</f>
        <v>0</v>
      </c>
      <c r="AN714" s="374" t="s">
        <v>724</v>
      </c>
      <c r="AO714" s="374"/>
      <c r="AP714" s="374"/>
      <c r="AQ714" s="115">
        <f>COUNTIFS(D:D,"AA",M:M,"STANCO",R:R,"Vasak",F:F,"ATONGOAL",Q:Q,"1",S:S,"Väljakeriv")</f>
        <v>0</v>
      </c>
    </row>
    <row r="715" spans="15:43" s="115" customFormat="1">
      <c r="O715" s="91"/>
      <c r="X715" s="115">
        <f t="shared" si="127"/>
        <v>0</v>
      </c>
      <c r="Y715" s="115">
        <f t="shared" si="128"/>
        <v>0</v>
      </c>
      <c r="Z715" s="115" t="e">
        <f t="shared" si="129"/>
        <v>#VALUE!</v>
      </c>
      <c r="AA715" s="115">
        <f t="shared" si="130"/>
        <v>0</v>
      </c>
      <c r="AB715" s="246"/>
      <c r="AD715" s="374" t="s">
        <v>314</v>
      </c>
      <c r="AE715" s="374"/>
      <c r="AF715" s="374"/>
      <c r="AG715" s="115">
        <f>COUNTIFS(D:D,"AA",M:M,"STANCO",R:R,"Vasak",F:F,"ATONGOAL",Q:Q,"6",S:S,"Väljakeriv")+COUNTIFS(D:D,"AA",M:M,"STANCO",R:R,"Vasak",F:F,"ATON",Q:Q,"6",S:S,"Väljakeriv")+COUNTIFS(D:D,"AA",M:M,"STANCO",R:R,"Vasak",F:F,"ATOF",Q:Q,"6",S:S,"Väljakeriv")+COUNTIFS(D:D,"AA",M:M,"STANCO",R:R,"Vasak",F:F,"ATBK",Q:Q,"6",S:S,"Väljakeriv")</f>
        <v>0</v>
      </c>
      <c r="AI715" s="374" t="s">
        <v>314</v>
      </c>
      <c r="AJ715" s="374"/>
      <c r="AK715" s="374"/>
      <c r="AL715" s="115">
        <f>COUNTIFS(D:D,"AA",M:M,"STANCO",R:R,"Vasak",F:F,"ATONGOAL",Q:Q,"3",S:S,"Väljakeriv")+COUNTIFS(D:D,"AA",M:M,"STANCO",R:R,"Vasak",F:F,"ATON",Q:Q,"3",S:S,"Väljakeriv")+COUNTIFS(D:D,"AA",M:M,"STANCO",R:R,"Vasak",F:F,"ATOF",Q:Q,"3",S:S,"Väljakeriv")+COUNTIFS(D:D,"AA",M:M,"STANCO",R:R,"Vasak",F:F,"ATBK",Q:Q,"3",S:S,"Väljakeriv")</f>
        <v>0</v>
      </c>
      <c r="AN715" s="374" t="s">
        <v>314</v>
      </c>
      <c r="AO715" s="374"/>
      <c r="AP715" s="374"/>
      <c r="AQ715" s="115">
        <f>COUNTIFS(D:D,"AA",M:M,"STANCO",R:R,"Vasak",F:F,"ATONGOAL",Q:Q,"1",S:S,"Väljakeriv")+COUNTIFS(D:D,"AA",M:M,"STANCO",R:R,"Vasak",F:F,"ATON",Q:Q,"1",S:S,"Väljakeriv")+COUNTIFS(D:D,"AA",M:M,"STANCO",R:R,"Vasak",F:F,"ATOF",Q:Q,"1",S:S,"Väljakeriv")+COUNTIFS(D:D,"AA",M:M,"STANCO",R:R,"Vasak",F:F,"ATBK",Q:Q,"1",S:S,"Väljakeriv")</f>
        <v>0</v>
      </c>
    </row>
    <row r="716" spans="15:43" s="115" customFormat="1">
      <c r="O716" s="91"/>
      <c r="X716" s="115">
        <f t="shared" si="127"/>
        <v>0</v>
      </c>
      <c r="Y716" s="115">
        <f t="shared" si="128"/>
        <v>0</v>
      </c>
      <c r="Z716" s="115" t="e">
        <f t="shared" si="129"/>
        <v>#VALUE!</v>
      </c>
      <c r="AA716" s="115">
        <f t="shared" si="130"/>
        <v>0</v>
      </c>
      <c r="AB716" s="246"/>
      <c r="AD716" s="374"/>
      <c r="AE716" s="374"/>
      <c r="AF716" s="374"/>
      <c r="AI716" s="374"/>
      <c r="AJ716" s="374"/>
      <c r="AK716" s="374"/>
      <c r="AN716" s="374"/>
      <c r="AO716" s="374"/>
      <c r="AP716" s="374"/>
    </row>
    <row r="717" spans="15:43" s="115" customFormat="1">
      <c r="O717" s="91"/>
      <c r="X717" s="115">
        <f t="shared" si="127"/>
        <v>0</v>
      </c>
      <c r="Y717" s="115">
        <f t="shared" si="128"/>
        <v>0</v>
      </c>
      <c r="Z717" s="115" t="e">
        <f t="shared" si="129"/>
        <v>#VALUE!</v>
      </c>
      <c r="AA717" s="115">
        <f t="shared" si="130"/>
        <v>0</v>
      </c>
      <c r="AB717" s="246"/>
      <c r="AD717" s="188"/>
      <c r="AE717" s="188"/>
    </row>
    <row r="718" spans="15:43" s="115" customFormat="1">
      <c r="O718" s="91"/>
      <c r="X718" s="115">
        <f t="shared" si="127"/>
        <v>0</v>
      </c>
      <c r="Y718" s="115">
        <f t="shared" si="128"/>
        <v>0</v>
      </c>
      <c r="Z718" s="115" t="e">
        <f t="shared" si="129"/>
        <v>#VALUE!</v>
      </c>
      <c r="AA718" s="115">
        <f t="shared" si="130"/>
        <v>0</v>
      </c>
      <c r="AB718" s="246"/>
      <c r="AD718" s="374" t="s">
        <v>270</v>
      </c>
      <c r="AE718" s="374"/>
      <c r="AF718" s="374"/>
      <c r="AG718" s="115">
        <f>COUNTIFS(D:D,"AA",M:M,"STANCO",R:R,"Vasak",Q:Q,"5",S:S,"Väljakeriv")</f>
        <v>0</v>
      </c>
      <c r="AI718" s="374" t="s">
        <v>270</v>
      </c>
      <c r="AJ718" s="374"/>
      <c r="AK718" s="374"/>
      <c r="AL718" s="115">
        <f>COUNTIFS(D:D,"AA",M:M,"STANCO",R:R,"Vasak",Q:Q,"4",S:S,"Väljakeriv")</f>
        <v>0</v>
      </c>
      <c r="AN718" s="374" t="s">
        <v>270</v>
      </c>
      <c r="AO718" s="374"/>
      <c r="AP718" s="374"/>
      <c r="AQ718" s="115">
        <f>COUNTIFS(D:D,"AA",M:M,"STANCO",R:R,"Vasak",Q:Q,"2",S:S,"Väljakeriv")</f>
        <v>0</v>
      </c>
    </row>
    <row r="719" spans="15:43" s="115" customFormat="1">
      <c r="O719" s="91"/>
      <c r="X719" s="115">
        <f t="shared" si="127"/>
        <v>0</v>
      </c>
      <c r="Y719" s="115">
        <f t="shared" si="128"/>
        <v>0</v>
      </c>
      <c r="Z719" s="115" t="e">
        <f t="shared" si="129"/>
        <v>#VALUE!</v>
      </c>
      <c r="AA719" s="115">
        <f t="shared" si="130"/>
        <v>0</v>
      </c>
      <c r="AB719" s="246"/>
      <c r="AD719" s="374" t="s">
        <v>271</v>
      </c>
      <c r="AE719" s="374"/>
      <c r="AF719" s="374"/>
      <c r="AG719" s="115">
        <f>COUNTIFS(D:D,"AA",M:M,"STANCO",R:R,"Vasak",P:P,"JAH",Q:Q,"5",S:S,"Väljakeriv")</f>
        <v>0</v>
      </c>
      <c r="AI719" s="374" t="s">
        <v>271</v>
      </c>
      <c r="AJ719" s="374"/>
      <c r="AK719" s="374"/>
      <c r="AL719" s="115">
        <f>COUNTIFS(D:D,"AA",M:M,"STANCO",R:R,"Vasak",P:P,"JAH",Q:Q,"4",S:S,"Väljakeriv")</f>
        <v>0</v>
      </c>
      <c r="AN719" s="374" t="s">
        <v>271</v>
      </c>
      <c r="AO719" s="374"/>
      <c r="AP719" s="374"/>
      <c r="AQ719" s="115">
        <f>COUNTIFS(D:D,"AA",M:M,"STANCO",R:R,"Vasak",P:P,"JAH",Q:Q,"2",S:S,"Väljakeriv")</f>
        <v>0</v>
      </c>
    </row>
    <row r="720" spans="15:43" s="115" customFormat="1">
      <c r="O720" s="91"/>
      <c r="X720" s="115">
        <f t="shared" si="127"/>
        <v>0</v>
      </c>
      <c r="Y720" s="115">
        <f t="shared" si="128"/>
        <v>0</v>
      </c>
      <c r="Z720" s="115" t="e">
        <f t="shared" si="129"/>
        <v>#VALUE!</v>
      </c>
      <c r="AA720" s="115">
        <f t="shared" si="130"/>
        <v>0</v>
      </c>
      <c r="AB720" s="246"/>
      <c r="AD720" s="374" t="s">
        <v>272</v>
      </c>
      <c r="AE720" s="374"/>
      <c r="AF720" s="374"/>
      <c r="AG720" s="151" t="e">
        <f>AG719/AG718</f>
        <v>#DIV/0!</v>
      </c>
      <c r="AI720" s="374" t="s">
        <v>272</v>
      </c>
      <c r="AJ720" s="374"/>
      <c r="AK720" s="374"/>
      <c r="AL720" s="151" t="e">
        <f>AL719/AL718</f>
        <v>#DIV/0!</v>
      </c>
      <c r="AN720" s="374" t="s">
        <v>272</v>
      </c>
      <c r="AO720" s="374"/>
      <c r="AP720" s="374"/>
      <c r="AQ720" s="151" t="e">
        <f>AQ719/AQ718</f>
        <v>#DIV/0!</v>
      </c>
    </row>
    <row r="721" spans="15:46" s="115" customFormat="1">
      <c r="O721" s="91"/>
      <c r="X721" s="115">
        <f t="shared" si="127"/>
        <v>0</v>
      </c>
      <c r="Y721" s="115">
        <f t="shared" si="128"/>
        <v>0</v>
      </c>
      <c r="Z721" s="115" t="e">
        <f t="shared" si="129"/>
        <v>#VALUE!</v>
      </c>
      <c r="AA721" s="115">
        <f t="shared" si="130"/>
        <v>0</v>
      </c>
      <c r="AB721" s="246"/>
      <c r="AD721" s="374" t="s">
        <v>724</v>
      </c>
      <c r="AE721" s="374"/>
      <c r="AF721" s="374"/>
      <c r="AG721" s="115">
        <f>COUNTIFS(D:D,"AA",M:M,"STANCO",R:R,"Vasak",F:F,"ATONGOAL",Q:Q,"5",S:S,"Väljakeriv")</f>
        <v>0</v>
      </c>
      <c r="AI721" s="374" t="s">
        <v>724</v>
      </c>
      <c r="AJ721" s="374"/>
      <c r="AK721" s="374"/>
      <c r="AL721" s="115">
        <f>COUNTIFS(D:D,"AA",M:M,"STANCO",R:R,"Vasak",F:F,"ATONGOAL",Q:Q,"4",S:S,"Väljakeriv")</f>
        <v>0</v>
      </c>
      <c r="AN721" s="374" t="s">
        <v>724</v>
      </c>
      <c r="AO721" s="374"/>
      <c r="AP721" s="374"/>
      <c r="AQ721" s="115">
        <f>COUNTIFS(D:D,"AA",M:M,"STANCO",R:R,"Vasak",F:F,"ATONGOAL",Q:Q,"2",S:S,"Väljakeriv")</f>
        <v>0</v>
      </c>
    </row>
    <row r="722" spans="15:46" s="115" customFormat="1">
      <c r="O722" s="91"/>
      <c r="X722" s="115">
        <f t="shared" si="127"/>
        <v>0</v>
      </c>
      <c r="Y722" s="115">
        <f t="shared" si="128"/>
        <v>0</v>
      </c>
      <c r="Z722" s="115" t="e">
        <f t="shared" si="129"/>
        <v>#VALUE!</v>
      </c>
      <c r="AA722" s="115">
        <f t="shared" si="130"/>
        <v>0</v>
      </c>
      <c r="AB722" s="246"/>
      <c r="AD722" s="374" t="s">
        <v>314</v>
      </c>
      <c r="AE722" s="374"/>
      <c r="AF722" s="374"/>
      <c r="AG722" s="115">
        <f>COUNTIFS(D:D,"AA",M:M,"STANCO",R:R,"Vasak",F:F,"ATONGOAL",Q:Q,"5",S:S,"Väljakeriv")+COUNTIFS(D:D,"AA",M:M,"STANCO",R:R,"Vasak",F:F,"ATON",Q:Q,"5",S:S,"Väljakeriv")+COUNTIFS(D:D,"AA",M:M,"STANCO",R:R,"Vasak",F:F,"ATOF",Q:Q,"5",S:S,"Väljakeriv")+COUNTIFS(D:D,"AA",M:M,"STANCO",R:R,"Vasak",F:F,"ATBK",Q:Q,"5",S:S,"Väljakeriv")</f>
        <v>0</v>
      </c>
      <c r="AI722" s="374" t="s">
        <v>314</v>
      </c>
      <c r="AJ722" s="374"/>
      <c r="AK722" s="374"/>
      <c r="AL722" s="115">
        <f>COUNTIFS(D:D,"AA",M:M,"STANCO",R:R,"Vasak",F:F,"ATONGOAL",Q:Q,"4",S:S,"Väljakeriv")+COUNTIFS(D:D,"AA",M:M,"STANCO",R:R,"Vasak",F:F,"ATON",Q:Q,"4",S:S,"Väljakeriv")+COUNTIFS(D:D,"AA",M:M,"STANCO",R:R,"Vasak",F:F,"ATOF",Q:Q,"4",S:S,"Väljakeriv")+COUNTIFS(D:D,"AA",M:M,"STANCO",R:R,"Vasak",F:F,"ATBK",Q:Q,"4",S:S,"Väljakeriv")</f>
        <v>0</v>
      </c>
      <c r="AN722" s="374" t="s">
        <v>314</v>
      </c>
      <c r="AO722" s="374"/>
      <c r="AP722" s="374"/>
      <c r="AQ722" s="115">
        <f>COUNTIFS(D:D,"AA",M:M,"STANCO",R:R,"Vasak",F:F,"ATONGOAL",Q:Q,"2",S:S,"Väljakeriv")+COUNTIFS(D:D,"AA",M:M,"STANCO",R:R,"Vasak",F:F,"ATON",Q:Q,"2",S:S,"Väljakeriv")+COUNTIFS(D:D,"AA",M:M,"STANCO",R:R,"Vasak",F:F,"ATOF",Q:Q,"2",S:S,"Väljakeriv")+COUNTIFS(D:D,"AA",M:M,"STANCO",R:R,"Vasak",F:F,"ATBK",Q:Q,"2",S:S,"Väljakeriv")</f>
        <v>0</v>
      </c>
    </row>
    <row r="723" spans="15:46" s="115" customFormat="1">
      <c r="O723" s="91"/>
      <c r="X723" s="115">
        <f t="shared" si="127"/>
        <v>0</v>
      </c>
      <c r="Y723" s="115">
        <f t="shared" si="128"/>
        <v>0</v>
      </c>
      <c r="Z723" s="115" t="e">
        <f t="shared" si="129"/>
        <v>#VALUE!</v>
      </c>
      <c r="AA723" s="115">
        <f t="shared" si="130"/>
        <v>0</v>
      </c>
      <c r="AB723" s="246"/>
      <c r="AD723" s="374"/>
      <c r="AE723" s="374"/>
      <c r="AF723" s="374"/>
      <c r="AI723" s="374"/>
      <c r="AJ723" s="374"/>
      <c r="AK723" s="374"/>
      <c r="AN723" s="374"/>
      <c r="AO723" s="374"/>
      <c r="AP723" s="374"/>
    </row>
    <row r="724" spans="15:46" s="115" customFormat="1">
      <c r="O724" s="91"/>
      <c r="X724" s="115">
        <f t="shared" si="127"/>
        <v>0</v>
      </c>
      <c r="Y724" s="115">
        <f t="shared" si="128"/>
        <v>0</v>
      </c>
      <c r="Z724" s="115" t="e">
        <f t="shared" si="129"/>
        <v>#VALUE!</v>
      </c>
      <c r="AA724" s="115">
        <f t="shared" si="130"/>
        <v>0</v>
      </c>
      <c r="AB724" s="246"/>
      <c r="AD724" s="188"/>
      <c r="AE724" s="188"/>
    </row>
    <row r="725" spans="15:46">
      <c r="O725" s="91"/>
      <c r="X725" s="115">
        <f t="shared" si="127"/>
        <v>0</v>
      </c>
      <c r="Y725" s="115">
        <f t="shared" si="128"/>
        <v>0</v>
      </c>
      <c r="Z725" s="115" t="e">
        <f t="shared" si="129"/>
        <v>#VALUE!</v>
      </c>
      <c r="AA725" s="115">
        <f t="shared" si="130"/>
        <v>0</v>
      </c>
      <c r="AD725" s="183"/>
      <c r="AE725" s="183"/>
      <c r="AF725" s="115"/>
      <c r="AG725" s="115"/>
      <c r="AH725" s="115"/>
      <c r="AI725" s="115"/>
      <c r="AJ725" s="115"/>
      <c r="AK725" s="115"/>
      <c r="AL725" s="115"/>
      <c r="AM725" s="115"/>
      <c r="AN725" s="115"/>
      <c r="AO725" s="115"/>
      <c r="AP725" s="115"/>
      <c r="AQ725" s="115"/>
    </row>
    <row r="726" spans="15:46">
      <c r="O726" s="91"/>
      <c r="X726" s="115">
        <f t="shared" si="127"/>
        <v>0</v>
      </c>
      <c r="Y726" s="115">
        <f t="shared" si="128"/>
        <v>0</v>
      </c>
      <c r="Z726" s="115" t="e">
        <f t="shared" si="129"/>
        <v>#VALUE!</v>
      </c>
      <c r="AA726" s="115">
        <f t="shared" si="130"/>
        <v>0</v>
      </c>
      <c r="AD726" s="183"/>
      <c r="AE726" s="183"/>
      <c r="AF726" s="115"/>
      <c r="AG726" s="374" t="s">
        <v>268</v>
      </c>
      <c r="AH726" s="374"/>
      <c r="AI726" s="374"/>
      <c r="AJ726" s="115"/>
      <c r="AK726" s="115"/>
      <c r="AL726" s="115"/>
      <c r="AM726" s="115"/>
      <c r="AN726" s="115"/>
      <c r="AO726" s="115"/>
      <c r="AP726" s="115"/>
      <c r="AQ726" s="115"/>
    </row>
    <row r="727" spans="15:46">
      <c r="O727" s="91"/>
      <c r="X727" s="115">
        <f t="shared" si="127"/>
        <v>0</v>
      </c>
      <c r="Y727" s="115">
        <f t="shared" si="128"/>
        <v>0</v>
      </c>
      <c r="Z727" s="115" t="e">
        <f t="shared" si="129"/>
        <v>#VALUE!</v>
      </c>
      <c r="AA727" s="115">
        <f t="shared" si="130"/>
        <v>0</v>
      </c>
      <c r="AD727" s="183"/>
      <c r="AE727" s="183"/>
      <c r="AF727" s="115"/>
      <c r="AG727" s="115"/>
      <c r="AH727" s="115"/>
      <c r="AI727" s="115"/>
      <c r="AJ727" s="115"/>
      <c r="AK727" s="115"/>
      <c r="AL727" s="115"/>
      <c r="AM727" s="115"/>
      <c r="AN727" s="115"/>
      <c r="AO727" s="115"/>
      <c r="AP727" s="115"/>
      <c r="AQ727" s="115"/>
    </row>
    <row r="728" spans="15:46">
      <c r="O728" s="91"/>
      <c r="X728" s="115">
        <f t="shared" si="127"/>
        <v>0</v>
      </c>
      <c r="Y728" s="115">
        <f t="shared" si="128"/>
        <v>0</v>
      </c>
      <c r="Z728" s="115" t="e">
        <f t="shared" si="129"/>
        <v>#VALUE!</v>
      </c>
      <c r="AA728" s="115">
        <f t="shared" si="130"/>
        <v>0</v>
      </c>
      <c r="AD728" s="374" t="s">
        <v>269</v>
      </c>
      <c r="AE728" s="374"/>
      <c r="AF728" s="374"/>
      <c r="AG728" s="115">
        <f>COUNTIFS(D:D,"DD",M:M,"STANCO",R:R,"Parem")</f>
        <v>0</v>
      </c>
      <c r="AH728" s="115"/>
      <c r="AI728" s="115"/>
      <c r="AJ728" s="115"/>
      <c r="AK728" s="115"/>
      <c r="AL728" s="115"/>
      <c r="AM728" s="115"/>
      <c r="AN728" s="115"/>
      <c r="AO728" s="115"/>
      <c r="AP728" s="115"/>
      <c r="AQ728" s="115"/>
    </row>
    <row r="729" spans="15:46">
      <c r="O729" s="91"/>
      <c r="X729" s="115">
        <f t="shared" si="127"/>
        <v>0</v>
      </c>
      <c r="Y729" s="115">
        <f t="shared" si="128"/>
        <v>0</v>
      </c>
      <c r="Z729" s="115" t="e">
        <f t="shared" si="129"/>
        <v>#VALUE!</v>
      </c>
      <c r="AA729" s="115">
        <f t="shared" si="130"/>
        <v>0</v>
      </c>
      <c r="AD729" s="183"/>
      <c r="AE729" s="183"/>
      <c r="AF729" s="115"/>
      <c r="AG729" s="115"/>
      <c r="AH729" s="115"/>
      <c r="AI729" s="115"/>
      <c r="AJ729" s="115"/>
      <c r="AK729" s="115"/>
      <c r="AL729" s="115"/>
      <c r="AM729" s="115"/>
      <c r="AN729" s="115"/>
      <c r="AO729" s="115"/>
      <c r="AP729" s="115"/>
      <c r="AQ729" s="115"/>
    </row>
    <row r="730" spans="15:46">
      <c r="O730" s="91"/>
      <c r="X730" s="115">
        <f t="shared" si="127"/>
        <v>0</v>
      </c>
      <c r="Y730" s="115">
        <f t="shared" si="128"/>
        <v>0</v>
      </c>
      <c r="Z730" s="115" t="e">
        <f t="shared" si="129"/>
        <v>#VALUE!</v>
      </c>
      <c r="AA730" s="115">
        <f t="shared" si="130"/>
        <v>0</v>
      </c>
      <c r="AD730" s="374" t="s">
        <v>270</v>
      </c>
      <c r="AE730" s="374"/>
      <c r="AF730" s="374"/>
      <c r="AG730" s="115">
        <f>COUNTIFS(D:D,"DD",M:M,"STANCO",R:R,"Parem",Q:Q,"6")</f>
        <v>0</v>
      </c>
      <c r="AH730" s="115"/>
      <c r="AI730" s="374" t="s">
        <v>270</v>
      </c>
      <c r="AJ730" s="374"/>
      <c r="AK730" s="374"/>
      <c r="AL730" s="115">
        <f>COUNTIFS(D:D,"DD",M:M,"STANCO",R:R,"Parem",Q:Q,"3")</f>
        <v>0</v>
      </c>
      <c r="AM730" s="115"/>
      <c r="AN730" s="374" t="s">
        <v>270</v>
      </c>
      <c r="AO730" s="374"/>
      <c r="AP730" s="374"/>
      <c r="AQ730" s="115">
        <f>COUNTIFS(D:D,"DD",M:M,"STANCO",R:R,"Parem",Q:Q,"1")</f>
        <v>0</v>
      </c>
      <c r="AS730">
        <f>COUNTIFS(D:D,"AA",S:S,"Sissekeriv",R:R,"Parem")</f>
        <v>0</v>
      </c>
      <c r="AT730" t="s">
        <v>294</v>
      </c>
    </row>
    <row r="731" spans="15:46">
      <c r="O731" s="91"/>
      <c r="X731" s="115">
        <f t="shared" si="127"/>
        <v>0</v>
      </c>
      <c r="Y731" s="115">
        <f t="shared" si="128"/>
        <v>0</v>
      </c>
      <c r="Z731" s="115" t="e">
        <f t="shared" si="129"/>
        <v>#VALUE!</v>
      </c>
      <c r="AA731" s="115">
        <f t="shared" si="130"/>
        <v>0</v>
      </c>
      <c r="AD731" s="374" t="s">
        <v>271</v>
      </c>
      <c r="AE731" s="374"/>
      <c r="AF731" s="374"/>
      <c r="AG731" s="115">
        <f>COUNTIFS(D:D,"DD",M:M,"STANCO",R:R,"Parem",P:P,"JAH",Q:Q,"6")</f>
        <v>0</v>
      </c>
      <c r="AH731" s="115"/>
      <c r="AI731" s="374" t="s">
        <v>271</v>
      </c>
      <c r="AJ731" s="374"/>
      <c r="AK731" s="374"/>
      <c r="AL731" s="115">
        <f>COUNTIFS(D:D,"DD",M:M,"STANCO",R:R,"Parem",P:P,"JAH",Q:Q,"3")</f>
        <v>0</v>
      </c>
      <c r="AM731" s="115"/>
      <c r="AN731" s="374" t="s">
        <v>271</v>
      </c>
      <c r="AO731" s="374"/>
      <c r="AP731" s="374"/>
      <c r="AQ731" s="115">
        <f>COUNTIFS(D:D,"DD",M:M,"STANCO",R:R,"Parem",P:P,"JAH",Q:Q,"1")</f>
        <v>0</v>
      </c>
      <c r="AS731" s="115">
        <f>COUNTIFS(D:D,"AA",S:S,"Väljakeriv",R:R,"Parem")</f>
        <v>0</v>
      </c>
      <c r="AT731" t="s">
        <v>295</v>
      </c>
    </row>
    <row r="732" spans="15:46">
      <c r="O732" s="91"/>
      <c r="X732" s="115">
        <f t="shared" si="127"/>
        <v>0</v>
      </c>
      <c r="Y732" s="115">
        <f t="shared" si="128"/>
        <v>0</v>
      </c>
      <c r="Z732" s="115" t="e">
        <f t="shared" si="129"/>
        <v>#VALUE!</v>
      </c>
      <c r="AA732" s="115">
        <f t="shared" si="130"/>
        <v>0</v>
      </c>
      <c r="AD732" s="374" t="s">
        <v>272</v>
      </c>
      <c r="AE732" s="374"/>
      <c r="AF732" s="374"/>
      <c r="AG732" s="260" t="e">
        <f>AG731/AG730</f>
        <v>#DIV/0!</v>
      </c>
      <c r="AH732" s="115"/>
      <c r="AI732" s="374" t="s">
        <v>272</v>
      </c>
      <c r="AJ732" s="374"/>
      <c r="AK732" s="374"/>
      <c r="AL732" s="260" t="e">
        <f>AL731/AL730</f>
        <v>#DIV/0!</v>
      </c>
      <c r="AM732" s="115"/>
      <c r="AN732" s="374" t="s">
        <v>272</v>
      </c>
      <c r="AO732" s="374"/>
      <c r="AP732" s="374"/>
      <c r="AQ732" s="260" t="e">
        <f>AQ731/AQ730</f>
        <v>#DIV/0!</v>
      </c>
      <c r="AR732" s="151"/>
      <c r="AS732" s="115">
        <f>COUNTIFS(D:D,"AA",S:S,"Sissekeriv",R:R,"Vasak")</f>
        <v>0</v>
      </c>
      <c r="AT732" s="115" t="s">
        <v>296</v>
      </c>
    </row>
    <row r="733" spans="15:46">
      <c r="O733" s="91"/>
      <c r="X733" s="115">
        <f t="shared" si="127"/>
        <v>0</v>
      </c>
      <c r="Y733" s="115">
        <f t="shared" si="128"/>
        <v>0</v>
      </c>
      <c r="Z733" s="115" t="e">
        <f t="shared" si="129"/>
        <v>#VALUE!</v>
      </c>
      <c r="AA733" s="115">
        <f t="shared" si="130"/>
        <v>0</v>
      </c>
      <c r="AD733" s="374" t="s">
        <v>724</v>
      </c>
      <c r="AE733" s="374"/>
      <c r="AF733" s="374"/>
      <c r="AG733" s="115">
        <f>COUNTIFS(D:D,"DD",M:M,"STANCO",R:R,"Parem",F:F,"ATONGOAL",Q:Q,"6")</f>
        <v>0</v>
      </c>
      <c r="AH733" s="115"/>
      <c r="AI733" s="374" t="s">
        <v>724</v>
      </c>
      <c r="AJ733" s="374"/>
      <c r="AK733" s="374"/>
      <c r="AL733" s="115">
        <f>COUNTIFS(D:D,"DD",M:M,"STANCO",R:R,"Parem",F:F,"ATONGOAL",Q:Q,"3")</f>
        <v>0</v>
      </c>
      <c r="AM733" s="115"/>
      <c r="AN733" s="374" t="s">
        <v>724</v>
      </c>
      <c r="AO733" s="374"/>
      <c r="AP733" s="374"/>
      <c r="AQ733" s="115">
        <f>COUNTIFS(D:D,"DD",M:M,"STANCO",R:R,"Parem",F:F,"ATONGOAL",Q:Q,"1")</f>
        <v>0</v>
      </c>
      <c r="AS733" s="115">
        <f>COUNTIFS(D:D,"AA",S:S,"Väljakeriv",R:R,"Vasak")</f>
        <v>0</v>
      </c>
      <c r="AT733" s="115" t="s">
        <v>297</v>
      </c>
    </row>
    <row r="734" spans="15:46">
      <c r="O734" s="91"/>
      <c r="X734" s="115">
        <f t="shared" si="127"/>
        <v>0</v>
      </c>
      <c r="Y734" s="115">
        <f t="shared" si="128"/>
        <v>0</v>
      </c>
      <c r="Z734" s="115" t="e">
        <f t="shared" si="129"/>
        <v>#VALUE!</v>
      </c>
      <c r="AA734" s="115">
        <f t="shared" si="130"/>
        <v>0</v>
      </c>
      <c r="AD734" s="374" t="s">
        <v>314</v>
      </c>
      <c r="AE734" s="374"/>
      <c r="AF734" s="374"/>
      <c r="AG734" s="115">
        <f>COUNTIFS(D:D,"DD",M:M,"STANCO",R:R,"Parem",F:F,"ATON",Q:Q,"6")+COUNTIFS(D:D,"DD",M:M,"STANCO",R:R,"Parem",F:F,"ATOF",Q:Q,"6")+COUNTIFS(D:D,"DD",M:M,"STANCO",R:R,"Parem",F:F,"ATBK",Q:Q,"6")</f>
        <v>0</v>
      </c>
      <c r="AH734" s="115"/>
      <c r="AI734" s="374" t="s">
        <v>314</v>
      </c>
      <c r="AJ734" s="374"/>
      <c r="AK734" s="374"/>
      <c r="AL734" s="115">
        <f>COUNTIFS(D:D,"DD",M:M,"STANCO",R:R,"Parem",F:F,"ATON",Q:Q,"3")+COUNTIFS(D:D,"DD",M:M,"STANCO",R:R,"Parem",F:F,"ATOF",Q:Q,"3")+COUNTIFS(D:D,"DD",M:M,"STANCO",R:R,"Parem",F:F,"ATBK",Q:Q,"3")</f>
        <v>0</v>
      </c>
      <c r="AM734" s="115"/>
      <c r="AN734" s="374" t="s">
        <v>314</v>
      </c>
      <c r="AO734" s="374"/>
      <c r="AP734" s="374"/>
      <c r="AQ734" s="115">
        <f>COUNTIFS(D:D,"DD",M:M,"STANCO",R:R,"Parem",F:F,"ATON",Q:Q,"1")+COUNTIFS(D:D,"DD",M:M,"STANCO",R:R,"Parem",F:F,"ATOF",Q:Q,"1")+COUNTIFS(D:D,"DD",M:M,"STANCO",R:R,"Parem",F:F,"ATBK",Q:Q,"1")</f>
        <v>0</v>
      </c>
    </row>
    <row r="735" spans="15:46">
      <c r="O735" s="91"/>
      <c r="X735" s="115">
        <f t="shared" si="127"/>
        <v>0</v>
      </c>
      <c r="Y735" s="115">
        <f t="shared" si="128"/>
        <v>0</v>
      </c>
      <c r="Z735" s="115" t="e">
        <f t="shared" si="129"/>
        <v>#VALUE!</v>
      </c>
      <c r="AA735" s="115">
        <f t="shared" si="130"/>
        <v>0</v>
      </c>
      <c r="AD735" s="374"/>
      <c r="AE735" s="374"/>
      <c r="AF735" s="374"/>
      <c r="AG735" s="115"/>
      <c r="AH735" s="115"/>
      <c r="AI735" s="374"/>
      <c r="AJ735" s="374"/>
      <c r="AK735" s="374"/>
      <c r="AL735" s="115"/>
      <c r="AM735" s="115"/>
      <c r="AN735" s="374"/>
      <c r="AO735" s="374"/>
      <c r="AP735" s="374"/>
      <c r="AQ735" s="115"/>
    </row>
    <row r="736" spans="15:46">
      <c r="O736" s="91"/>
      <c r="X736" s="115">
        <f t="shared" si="127"/>
        <v>0</v>
      </c>
      <c r="Y736" s="115">
        <f t="shared" si="128"/>
        <v>0</v>
      </c>
      <c r="Z736" s="115" t="e">
        <f t="shared" si="129"/>
        <v>#VALUE!</v>
      </c>
      <c r="AA736" s="115">
        <f t="shared" si="130"/>
        <v>0</v>
      </c>
      <c r="AD736" s="183"/>
      <c r="AE736" s="183"/>
      <c r="AF736" s="115"/>
      <c r="AG736" s="115"/>
      <c r="AH736" s="115"/>
      <c r="AI736" s="115"/>
      <c r="AJ736" s="115"/>
      <c r="AK736" s="115"/>
      <c r="AL736" s="115"/>
      <c r="AM736" s="115"/>
      <c r="AN736" s="115"/>
      <c r="AO736" s="115"/>
      <c r="AP736" s="115"/>
      <c r="AQ736" s="115"/>
    </row>
    <row r="737" spans="15:44">
      <c r="O737" s="91"/>
      <c r="X737" s="115">
        <f t="shared" si="127"/>
        <v>0</v>
      </c>
      <c r="Y737" s="115">
        <f t="shared" si="128"/>
        <v>0</v>
      </c>
      <c r="Z737" s="115" t="e">
        <f t="shared" si="129"/>
        <v>#VALUE!</v>
      </c>
      <c r="AA737" s="115">
        <f t="shared" si="130"/>
        <v>0</v>
      </c>
      <c r="AD737" s="374" t="s">
        <v>270</v>
      </c>
      <c r="AE737" s="374"/>
      <c r="AF737" s="374"/>
      <c r="AG737" s="115">
        <f>COUNTIFS(D:D,"DD",M:M,"STANCO",R:R,"Parem",Q:Q,"5")</f>
        <v>0</v>
      </c>
      <c r="AH737" s="115"/>
      <c r="AI737" s="374" t="s">
        <v>270</v>
      </c>
      <c r="AJ737" s="374"/>
      <c r="AK737" s="374"/>
      <c r="AL737" s="115">
        <f>COUNTIFS(D:D,"DD",M:M,"STANCO",R:R,"Parem",Q:Q,"4")</f>
        <v>0</v>
      </c>
      <c r="AM737" s="115"/>
      <c r="AN737" s="374" t="s">
        <v>270</v>
      </c>
      <c r="AO737" s="374"/>
      <c r="AP737" s="374"/>
      <c r="AQ737" s="115">
        <f>COUNTIFS(D:D,"DD",M:M,"STANCO",R:R,"Parem",Q:Q,"2")</f>
        <v>0</v>
      </c>
    </row>
    <row r="738" spans="15:44">
      <c r="O738" s="91"/>
      <c r="X738" s="115">
        <f t="shared" si="127"/>
        <v>0</v>
      </c>
      <c r="Y738" s="115">
        <f t="shared" si="128"/>
        <v>0</v>
      </c>
      <c r="Z738" s="115" t="e">
        <f t="shared" si="129"/>
        <v>#VALUE!</v>
      </c>
      <c r="AA738" s="115">
        <f t="shared" si="130"/>
        <v>0</v>
      </c>
      <c r="AD738" s="374" t="s">
        <v>271</v>
      </c>
      <c r="AE738" s="374"/>
      <c r="AF738" s="374"/>
      <c r="AG738" s="115">
        <f>COUNTIFS(D:D,"DD",M:M,"STANCO",R:R,"Parem",P:P,"JAH",Q:Q,"5")</f>
        <v>0</v>
      </c>
      <c r="AH738" s="115"/>
      <c r="AI738" s="374" t="s">
        <v>271</v>
      </c>
      <c r="AJ738" s="374"/>
      <c r="AK738" s="374"/>
      <c r="AL738" s="115">
        <f>COUNTIFS(D:D,"DD",M:M,"STANCO",R:R,"Parem",P:P,"JAH",Q:Q,"4")</f>
        <v>0</v>
      </c>
      <c r="AM738" s="115"/>
      <c r="AN738" s="374" t="s">
        <v>271</v>
      </c>
      <c r="AO738" s="374"/>
      <c r="AP738" s="374"/>
      <c r="AQ738" s="115">
        <f>COUNTIFS(D:D,"DD",M:M,"STANCO",R:R,"Parem",P:P,"JAH",Q:Q,"2")</f>
        <v>0</v>
      </c>
    </row>
    <row r="739" spans="15:44">
      <c r="O739" s="91"/>
      <c r="X739" s="115">
        <f t="shared" si="127"/>
        <v>0</v>
      </c>
      <c r="Y739" s="115">
        <f t="shared" si="128"/>
        <v>0</v>
      </c>
      <c r="Z739" s="115" t="e">
        <f t="shared" si="129"/>
        <v>#VALUE!</v>
      </c>
      <c r="AA739" s="115">
        <f t="shared" si="130"/>
        <v>0</v>
      </c>
      <c r="AD739" s="374" t="s">
        <v>272</v>
      </c>
      <c r="AE739" s="374"/>
      <c r="AF739" s="374"/>
      <c r="AG739" s="260" t="e">
        <f>AG738/AG737</f>
        <v>#DIV/0!</v>
      </c>
      <c r="AH739" s="115"/>
      <c r="AI739" s="374" t="s">
        <v>272</v>
      </c>
      <c r="AJ739" s="374"/>
      <c r="AK739" s="374"/>
      <c r="AL739" s="260" t="e">
        <f>AL738/AL737</f>
        <v>#DIV/0!</v>
      </c>
      <c r="AM739" s="115"/>
      <c r="AN739" s="374" t="s">
        <v>272</v>
      </c>
      <c r="AO739" s="374"/>
      <c r="AP739" s="374"/>
      <c r="AQ739" s="260" t="e">
        <f>AQ738/AQ737</f>
        <v>#DIV/0!</v>
      </c>
      <c r="AR739" s="151"/>
    </row>
    <row r="740" spans="15:44">
      <c r="O740" s="91"/>
      <c r="X740" s="115">
        <f t="shared" si="127"/>
        <v>0</v>
      </c>
      <c r="Y740" s="115">
        <f t="shared" si="128"/>
        <v>0</v>
      </c>
      <c r="Z740" s="115" t="e">
        <f t="shared" si="129"/>
        <v>#VALUE!</v>
      </c>
      <c r="AA740" s="115">
        <f t="shared" si="130"/>
        <v>0</v>
      </c>
      <c r="AD740" s="374" t="s">
        <v>724</v>
      </c>
      <c r="AE740" s="374"/>
      <c r="AF740" s="374"/>
      <c r="AG740" s="115">
        <f>COUNTIFS(D:D,"DD",M:M,"STANCO",R:R,"Parem",F:F,"ATONGOAL",Q:Q,"5")</f>
        <v>0</v>
      </c>
      <c r="AH740" s="115"/>
      <c r="AI740" s="374" t="s">
        <v>724</v>
      </c>
      <c r="AJ740" s="374"/>
      <c r="AK740" s="374"/>
      <c r="AL740" s="115">
        <f>COUNTIFS(D:D,"DD",M:M,"STANCO",R:R,"Parem",F:F,"ATONGOAL",Q:Q,"4")</f>
        <v>0</v>
      </c>
      <c r="AM740" s="115"/>
      <c r="AN740" s="374" t="s">
        <v>724</v>
      </c>
      <c r="AO740" s="374"/>
      <c r="AP740" s="374"/>
      <c r="AQ740" s="115">
        <f>COUNTIFS(D:D,"DD",M:M,"STANCO",R:R,"Parem",F:F,"ATONGOAL",Q:Q,"2")</f>
        <v>0</v>
      </c>
    </row>
    <row r="741" spans="15:44">
      <c r="O741" s="91"/>
      <c r="X741" s="115">
        <f t="shared" si="127"/>
        <v>0</v>
      </c>
      <c r="Y741" s="115">
        <f t="shared" si="128"/>
        <v>0</v>
      </c>
      <c r="Z741" s="115" t="e">
        <f t="shared" si="129"/>
        <v>#VALUE!</v>
      </c>
      <c r="AA741" s="115">
        <f t="shared" si="130"/>
        <v>0</v>
      </c>
      <c r="AD741" s="374" t="s">
        <v>314</v>
      </c>
      <c r="AE741" s="374"/>
      <c r="AF741" s="374"/>
      <c r="AG741" s="115">
        <f>COUNTIFS(D:D,"DD",M:M,"STANCO",R:R,"Parem",F:F,"ATON",Q:Q,"5")+COUNTIFS(D:D,"DD",M:M,"STANCO",R:R,"Parem",F:F,"ATOF",Q:Q,"5")+COUNTIFS(D:D,"DD",M:M,"STANCO",R:R,"Parem",F:F,"ATBK",Q:Q,"5")</f>
        <v>0</v>
      </c>
      <c r="AH741" s="115"/>
      <c r="AI741" s="374" t="s">
        <v>314</v>
      </c>
      <c r="AJ741" s="374"/>
      <c r="AK741" s="374"/>
      <c r="AL741" s="115">
        <f>COUNTIFS(D:D,"DD",M:M,"STANCO",R:R,"Parem",F:F,"ATON",Q:Q,"4")+COUNTIFS(D:D,"DD",M:M,"STANCO",R:R,"Parem",F:F,"ATOF",Q:Q,"4")+COUNTIFS(D:D,"DD",M:M,"STANCO",R:R,"Parem",F:F,"ATBK",Q:Q,"4")</f>
        <v>0</v>
      </c>
      <c r="AM741" s="115"/>
      <c r="AN741" s="374" t="s">
        <v>314</v>
      </c>
      <c r="AO741" s="374"/>
      <c r="AP741" s="374"/>
      <c r="AQ741" s="115">
        <f>COUNTIFS(D:D,"DD",M:M,"STANCO",R:R,"Parem",F:F,"ATON",Q:Q,"2")+COUNTIFS(D:D,"DD",M:M,"STANCO",R:R,"Parem",F:F,"ATOF",Q:Q,"2")+COUNTIFS(D:D,"DD",M:M,"STANCO",R:R,"Parem",F:F,"ATBK",Q:Q,"2")</f>
        <v>0</v>
      </c>
    </row>
    <row r="742" spans="15:44">
      <c r="O742" s="91"/>
      <c r="X742" s="115">
        <f t="shared" si="127"/>
        <v>0</v>
      </c>
      <c r="Y742" s="115">
        <f t="shared" si="128"/>
        <v>0</v>
      </c>
      <c r="Z742" s="115" t="e">
        <f t="shared" si="129"/>
        <v>#VALUE!</v>
      </c>
      <c r="AA742" s="115">
        <f t="shared" si="130"/>
        <v>0</v>
      </c>
      <c r="AD742" s="374"/>
      <c r="AE742" s="374"/>
      <c r="AF742" s="374"/>
      <c r="AG742" s="115"/>
      <c r="AH742" s="115"/>
      <c r="AI742" s="374"/>
      <c r="AJ742" s="374"/>
      <c r="AK742" s="374"/>
      <c r="AL742" s="115"/>
      <c r="AM742" s="115"/>
      <c r="AN742" s="374"/>
      <c r="AO742" s="374"/>
      <c r="AP742" s="374"/>
      <c r="AQ742" s="115"/>
    </row>
    <row r="743" spans="15:44">
      <c r="O743" s="91"/>
      <c r="X743" s="115">
        <f t="shared" si="127"/>
        <v>0</v>
      </c>
      <c r="Y743" s="115">
        <f t="shared" si="128"/>
        <v>0</v>
      </c>
      <c r="Z743" s="115" t="e">
        <f t="shared" si="129"/>
        <v>#VALUE!</v>
      </c>
      <c r="AA743" s="115">
        <f t="shared" si="130"/>
        <v>0</v>
      </c>
      <c r="AD743" s="183"/>
      <c r="AE743" s="183"/>
      <c r="AF743" s="115"/>
      <c r="AG743" s="115"/>
      <c r="AH743" s="115"/>
      <c r="AI743" s="115"/>
      <c r="AJ743" s="115"/>
      <c r="AK743" s="115"/>
      <c r="AL743" s="115"/>
      <c r="AM743" s="115"/>
      <c r="AN743" s="115"/>
      <c r="AO743" s="115"/>
      <c r="AP743" s="115"/>
      <c r="AQ743" s="115"/>
    </row>
    <row r="744" spans="15:44">
      <c r="O744" s="91"/>
      <c r="X744" s="115">
        <f t="shared" si="127"/>
        <v>0</v>
      </c>
      <c r="Y744" s="115">
        <f t="shared" si="128"/>
        <v>0</v>
      </c>
      <c r="Z744" s="115" t="e">
        <f t="shared" si="129"/>
        <v>#VALUE!</v>
      </c>
      <c r="AA744" s="115">
        <f t="shared" si="130"/>
        <v>0</v>
      </c>
      <c r="AD744" s="183"/>
      <c r="AE744" s="183"/>
      <c r="AF744" s="115"/>
      <c r="AG744" s="115"/>
      <c r="AH744" s="115"/>
      <c r="AI744" s="115"/>
      <c r="AJ744" s="115"/>
      <c r="AK744" s="115"/>
      <c r="AL744" s="115"/>
      <c r="AM744" s="115"/>
      <c r="AN744" s="115"/>
      <c r="AO744" s="115"/>
      <c r="AP744" s="115"/>
      <c r="AQ744" s="115"/>
    </row>
    <row r="745" spans="15:44">
      <c r="O745" s="91"/>
      <c r="X745" s="115">
        <f t="shared" si="127"/>
        <v>0</v>
      </c>
      <c r="Y745" s="115">
        <f t="shared" si="128"/>
        <v>0</v>
      </c>
      <c r="Z745" s="115" t="e">
        <f t="shared" si="129"/>
        <v>#VALUE!</v>
      </c>
      <c r="AA745" s="115">
        <f t="shared" si="130"/>
        <v>0</v>
      </c>
      <c r="AD745" s="374" t="s">
        <v>273</v>
      </c>
      <c r="AE745" s="374"/>
      <c r="AF745" s="374"/>
      <c r="AG745" s="115">
        <f>COUNTIFS(D:D,"DD",M:M,"STANCO",R:R,"Vasak")</f>
        <v>0</v>
      </c>
      <c r="AH745" s="115"/>
      <c r="AI745" s="115"/>
      <c r="AJ745" s="115"/>
      <c r="AK745" s="115"/>
      <c r="AL745" s="115"/>
      <c r="AM745" s="115"/>
      <c r="AN745" s="115"/>
      <c r="AO745" s="115"/>
      <c r="AP745" s="115"/>
      <c r="AQ745" s="115"/>
    </row>
    <row r="746" spans="15:44">
      <c r="O746" s="91"/>
      <c r="X746" s="115">
        <f t="shared" si="127"/>
        <v>0</v>
      </c>
      <c r="Y746" s="115">
        <f t="shared" si="128"/>
        <v>0</v>
      </c>
      <c r="Z746" s="115" t="e">
        <f t="shared" si="129"/>
        <v>#VALUE!</v>
      </c>
      <c r="AA746" s="115">
        <f t="shared" si="130"/>
        <v>0</v>
      </c>
      <c r="AD746" s="183"/>
      <c r="AE746" s="183"/>
      <c r="AF746" s="115"/>
      <c r="AG746" s="115"/>
      <c r="AH746" s="115"/>
      <c r="AI746" s="115"/>
      <c r="AJ746" s="115"/>
      <c r="AK746" s="115"/>
      <c r="AL746" s="115"/>
      <c r="AM746" s="115"/>
      <c r="AN746" s="115"/>
      <c r="AO746" s="115"/>
      <c r="AP746" s="115"/>
      <c r="AQ746" s="115"/>
    </row>
    <row r="747" spans="15:44">
      <c r="O747" s="91"/>
      <c r="X747" s="115">
        <f t="shared" si="127"/>
        <v>0</v>
      </c>
      <c r="Y747" s="115">
        <f t="shared" si="128"/>
        <v>0</v>
      </c>
      <c r="Z747" s="115" t="e">
        <f t="shared" si="129"/>
        <v>#VALUE!</v>
      </c>
      <c r="AA747" s="115">
        <f t="shared" si="130"/>
        <v>0</v>
      </c>
      <c r="AD747" s="374" t="s">
        <v>270</v>
      </c>
      <c r="AE747" s="374"/>
      <c r="AF747" s="374"/>
      <c r="AG747" s="115">
        <f>COUNTIFS(D:D,"DD",M:M,"STANCO",R:R,"Vasak",Q:Q,"6")</f>
        <v>0</v>
      </c>
      <c r="AH747" s="115"/>
      <c r="AI747" s="374" t="s">
        <v>270</v>
      </c>
      <c r="AJ747" s="374"/>
      <c r="AK747" s="374"/>
      <c r="AL747" s="115">
        <f>COUNTIFS(D:D,"DD",M:M,"STANCO",R:R,"Vasak",Q:Q,"3")</f>
        <v>0</v>
      </c>
      <c r="AM747" s="115"/>
      <c r="AN747" s="374" t="s">
        <v>270</v>
      </c>
      <c r="AO747" s="374"/>
      <c r="AP747" s="374"/>
      <c r="AQ747" s="115">
        <f>COUNTIFS(D:D,"DD",M:M,"STANCO",R:R,"Vasak",Q:Q,"1")</f>
        <v>0</v>
      </c>
    </row>
    <row r="748" spans="15:44">
      <c r="O748" s="91"/>
      <c r="X748" s="115">
        <f t="shared" si="127"/>
        <v>0</v>
      </c>
      <c r="Y748" s="115">
        <f t="shared" si="128"/>
        <v>0</v>
      </c>
      <c r="Z748" s="115" t="e">
        <f t="shared" si="129"/>
        <v>#VALUE!</v>
      </c>
      <c r="AA748" s="115">
        <f t="shared" si="130"/>
        <v>0</v>
      </c>
      <c r="AD748" s="374" t="s">
        <v>271</v>
      </c>
      <c r="AE748" s="374"/>
      <c r="AF748" s="374"/>
      <c r="AG748" s="115">
        <f>COUNTIFS(D:D,"DD",M:M,"STANCO",R:R,"Vasak",P:P,"JAH",Q:Q,"6")</f>
        <v>0</v>
      </c>
      <c r="AH748" s="115"/>
      <c r="AI748" s="374" t="s">
        <v>271</v>
      </c>
      <c r="AJ748" s="374"/>
      <c r="AK748" s="374"/>
      <c r="AL748" s="115">
        <f>COUNTIFS(D:D,"DD",M:M,"STANCO",R:R,"Vasak",P:P,"JAH",Q:Q,"3")</f>
        <v>0</v>
      </c>
      <c r="AM748" s="115"/>
      <c r="AN748" s="374" t="s">
        <v>271</v>
      </c>
      <c r="AO748" s="374"/>
      <c r="AP748" s="374"/>
      <c r="AQ748" s="115">
        <f>COUNTIFS(D:D,"DD",M:M,"STANCO",R:R,"Vasak",P:P,"JAH",Q:Q,"1")</f>
        <v>0</v>
      </c>
    </row>
    <row r="749" spans="15:44">
      <c r="O749" s="91"/>
      <c r="X749" s="115">
        <f t="shared" si="127"/>
        <v>0</v>
      </c>
      <c r="Y749" s="115">
        <f t="shared" si="128"/>
        <v>0</v>
      </c>
      <c r="Z749" s="115" t="e">
        <f t="shared" si="129"/>
        <v>#VALUE!</v>
      </c>
      <c r="AA749" s="115">
        <f t="shared" si="130"/>
        <v>0</v>
      </c>
      <c r="AD749" s="374" t="s">
        <v>272</v>
      </c>
      <c r="AE749" s="374"/>
      <c r="AF749" s="374"/>
      <c r="AG749" s="260" t="e">
        <f>AG748/AG747</f>
        <v>#DIV/0!</v>
      </c>
      <c r="AH749" s="115"/>
      <c r="AI749" s="374" t="s">
        <v>272</v>
      </c>
      <c r="AJ749" s="374"/>
      <c r="AK749" s="374"/>
      <c r="AL749" s="260" t="e">
        <f>AL748/AL747</f>
        <v>#DIV/0!</v>
      </c>
      <c r="AM749" s="115"/>
      <c r="AN749" s="374" t="s">
        <v>272</v>
      </c>
      <c r="AO749" s="374"/>
      <c r="AP749" s="374"/>
      <c r="AQ749" s="260" t="e">
        <f>AQ748/AQ747</f>
        <v>#DIV/0!</v>
      </c>
      <c r="AR749" s="151"/>
    </row>
    <row r="750" spans="15:44">
      <c r="O750" s="91"/>
      <c r="X750" s="115">
        <f t="shared" si="127"/>
        <v>0</v>
      </c>
      <c r="Y750" s="115">
        <f t="shared" si="128"/>
        <v>0</v>
      </c>
      <c r="Z750" s="115" t="e">
        <f t="shared" si="129"/>
        <v>#VALUE!</v>
      </c>
      <c r="AA750" s="115">
        <f t="shared" si="130"/>
        <v>0</v>
      </c>
      <c r="AD750" s="374" t="s">
        <v>724</v>
      </c>
      <c r="AE750" s="374"/>
      <c r="AF750" s="374"/>
      <c r="AG750" s="115">
        <f>COUNTIFS(D:D,"DD",M:M,"STANCO",R:R,"Vasak",F:F,"ATONGOAL",Q:Q,"6")</f>
        <v>0</v>
      </c>
      <c r="AH750" s="115"/>
      <c r="AI750" s="374" t="s">
        <v>724</v>
      </c>
      <c r="AJ750" s="374"/>
      <c r="AK750" s="374"/>
      <c r="AL750" s="115">
        <f>COUNTIFS(D:D,"DD",M:M,"STANCO",R:R,"Vasak",F:F,"ATONGOAL",Q:Q,"3")</f>
        <v>0</v>
      </c>
      <c r="AM750" s="115"/>
      <c r="AN750" s="374" t="s">
        <v>724</v>
      </c>
      <c r="AO750" s="374"/>
      <c r="AP750" s="374"/>
      <c r="AQ750" s="115">
        <f>COUNTIFS(D:D,"DD",M:M,"STANCO",R:R,"Vasak",F:F,"ATONGOAL",Q:Q,"1")</f>
        <v>0</v>
      </c>
    </row>
    <row r="751" spans="15:44">
      <c r="O751" s="91"/>
      <c r="X751" s="115">
        <f t="shared" si="127"/>
        <v>0</v>
      </c>
      <c r="Y751" s="115">
        <f t="shared" si="128"/>
        <v>0</v>
      </c>
      <c r="Z751" s="115" t="e">
        <f t="shared" si="129"/>
        <v>#VALUE!</v>
      </c>
      <c r="AA751" s="115">
        <f t="shared" si="130"/>
        <v>0</v>
      </c>
      <c r="AD751" s="374" t="s">
        <v>314</v>
      </c>
      <c r="AE751" s="374"/>
      <c r="AF751" s="374"/>
      <c r="AG751" s="115">
        <f>COUNTIFS(D:D,"DD",M:M,"STANCO",R:R,"Vasak",F:F,"ATON",Q:Q,"6")+COUNTIFS(D:D,"DD",M:M,"STANCO",R:R,"Vasak",F:F,"ATOF",Q:Q,"6")+COUNTIFS(D:D,"DD",M:M,"STANCO",R:R,"Vasak",F:F,"ATBK",Q:Q,"6")</f>
        <v>0</v>
      </c>
      <c r="AH751" s="115"/>
      <c r="AI751" s="374" t="s">
        <v>314</v>
      </c>
      <c r="AJ751" s="374"/>
      <c r="AK751" s="374"/>
      <c r="AL751" s="115">
        <f>COUNTIFS(D:D,"DD",M:M,"STANCO",R:R,"Vasak",F:F,"ATON",Q:Q,"3")+COUNTIFS(D:D,"DD",M:M,"STANCO",R:R,"Vasak",F:F,"ATOF",Q:Q,"3")+COUNTIFS(D:D,"DD",M:M,"STANCO",R:R,"Vasak",F:F,"ATBK",Q:Q,"3")</f>
        <v>0</v>
      </c>
      <c r="AM751" s="115"/>
      <c r="AN751" s="374" t="s">
        <v>314</v>
      </c>
      <c r="AO751" s="374"/>
      <c r="AP751" s="374"/>
      <c r="AQ751" s="115">
        <f>COUNTIFS(D:D,"DD",M:M,"STANCO",R:R,"Vasak",F:F,"ATON",Q:Q,"1")+COUNTIFS(D:D,"DD",M:M,"STANCO",R:R,"Vasak",F:F,"ATOF",Q:Q,"1")+COUNTIFS(D:D,"DD",M:M,"STANCO",R:R,"Vasak",F:F,"ATBK",Q:Q,"1")</f>
        <v>0</v>
      </c>
    </row>
    <row r="752" spans="15:44">
      <c r="O752" s="91"/>
      <c r="X752" s="115">
        <f t="shared" si="127"/>
        <v>0</v>
      </c>
      <c r="Y752" s="115">
        <f t="shared" si="128"/>
        <v>0</v>
      </c>
      <c r="Z752" s="115" t="e">
        <f t="shared" si="129"/>
        <v>#VALUE!</v>
      </c>
      <c r="AA752" s="115">
        <f t="shared" si="130"/>
        <v>0</v>
      </c>
      <c r="AD752" s="374"/>
      <c r="AE752" s="374"/>
      <c r="AF752" s="374"/>
      <c r="AG752" s="115"/>
      <c r="AH752" s="115"/>
      <c r="AI752" s="374"/>
      <c r="AJ752" s="374"/>
      <c r="AK752" s="374"/>
      <c r="AL752" s="115"/>
      <c r="AM752" s="115"/>
      <c r="AN752" s="374"/>
      <c r="AO752" s="374"/>
      <c r="AP752" s="374"/>
      <c r="AQ752" s="115"/>
    </row>
    <row r="753" spans="15:44">
      <c r="O753" s="91"/>
      <c r="X753" s="115">
        <f t="shared" si="127"/>
        <v>0</v>
      </c>
      <c r="Y753" s="115">
        <f t="shared" si="128"/>
        <v>0</v>
      </c>
      <c r="Z753" s="115" t="e">
        <f t="shared" si="129"/>
        <v>#VALUE!</v>
      </c>
      <c r="AA753" s="115">
        <f t="shared" si="130"/>
        <v>0</v>
      </c>
      <c r="AD753" s="183"/>
      <c r="AE753" s="183"/>
      <c r="AF753" s="115"/>
      <c r="AG753" s="115"/>
      <c r="AH753" s="115"/>
      <c r="AI753" s="115"/>
      <c r="AJ753" s="115"/>
      <c r="AK753" s="115"/>
      <c r="AL753" s="115"/>
      <c r="AM753" s="115"/>
      <c r="AN753" s="115"/>
      <c r="AO753" s="115"/>
      <c r="AP753" s="115"/>
      <c r="AQ753" s="115"/>
    </row>
    <row r="754" spans="15:44">
      <c r="O754" s="91"/>
      <c r="X754" s="115">
        <f t="shared" si="127"/>
        <v>0</v>
      </c>
      <c r="Y754" s="115">
        <f t="shared" si="128"/>
        <v>0</v>
      </c>
      <c r="Z754" s="115" t="e">
        <f t="shared" si="129"/>
        <v>#VALUE!</v>
      </c>
      <c r="AA754" s="115">
        <f t="shared" si="130"/>
        <v>0</v>
      </c>
      <c r="AD754" s="374" t="s">
        <v>270</v>
      </c>
      <c r="AE754" s="374"/>
      <c r="AF754" s="374"/>
      <c r="AG754" s="115">
        <f>COUNTIFS(D:D,"DD",M:M,"STANCO",R:R,"Vasak",Q:Q,"5")</f>
        <v>0</v>
      </c>
      <c r="AH754" s="115"/>
      <c r="AI754" s="374" t="s">
        <v>270</v>
      </c>
      <c r="AJ754" s="374"/>
      <c r="AK754" s="374"/>
      <c r="AL754" s="115">
        <f>COUNTIFS(D:D,"DD",M:M,"STANCO",R:R,"Vasak",Q:Q,"4")</f>
        <v>0</v>
      </c>
      <c r="AM754" s="115"/>
      <c r="AN754" s="374" t="s">
        <v>270</v>
      </c>
      <c r="AO754" s="374"/>
      <c r="AP754" s="374"/>
      <c r="AQ754" s="115">
        <f>COUNTIFS(D:D,"DD",M:M,"STANCO",R:R,"Vasak",Q:Q,"2")</f>
        <v>0</v>
      </c>
    </row>
    <row r="755" spans="15:44">
      <c r="O755" s="91"/>
      <c r="X755" s="115">
        <f t="shared" si="127"/>
        <v>0</v>
      </c>
      <c r="Y755" s="115">
        <f t="shared" si="128"/>
        <v>0</v>
      </c>
      <c r="Z755" s="115" t="e">
        <f t="shared" si="129"/>
        <v>#VALUE!</v>
      </c>
      <c r="AA755" s="115">
        <f t="shared" si="130"/>
        <v>0</v>
      </c>
      <c r="AD755" s="374" t="s">
        <v>271</v>
      </c>
      <c r="AE755" s="374"/>
      <c r="AF755" s="374"/>
      <c r="AG755" s="115">
        <f>COUNTIFS(D:D,"DD",M:M,"STANCO",R:R,"Vasak",P:P,"JAH",Q:Q,"5")</f>
        <v>0</v>
      </c>
      <c r="AH755" s="115"/>
      <c r="AI755" s="374" t="s">
        <v>271</v>
      </c>
      <c r="AJ755" s="374"/>
      <c r="AK755" s="374"/>
      <c r="AL755" s="115">
        <f>COUNTIFS(D:D,"DD",M:M,"STANCO",R:R,"Vasak",P:P,"JAH",Q:Q,"4")</f>
        <v>0</v>
      </c>
      <c r="AM755" s="115"/>
      <c r="AN755" s="374" t="s">
        <v>271</v>
      </c>
      <c r="AO755" s="374"/>
      <c r="AP755" s="374"/>
      <c r="AQ755" s="115">
        <f>COUNTIFS(D:D,"DD",M:M,"STANCO",R:R,"Vasak",P:P,"JAH",Q:Q,"2")</f>
        <v>0</v>
      </c>
    </row>
    <row r="756" spans="15:44">
      <c r="O756" s="91"/>
      <c r="X756" s="115">
        <f t="shared" si="127"/>
        <v>0</v>
      </c>
      <c r="Y756" s="115">
        <f t="shared" si="128"/>
        <v>0</v>
      </c>
      <c r="Z756" s="115" t="e">
        <f t="shared" si="129"/>
        <v>#VALUE!</v>
      </c>
      <c r="AA756" s="115">
        <f t="shared" si="130"/>
        <v>0</v>
      </c>
      <c r="AD756" s="374" t="s">
        <v>272</v>
      </c>
      <c r="AE756" s="374"/>
      <c r="AF756" s="374"/>
      <c r="AG756" s="260" t="e">
        <f>AG755/AG754</f>
        <v>#DIV/0!</v>
      </c>
      <c r="AH756" s="115"/>
      <c r="AI756" s="374" t="s">
        <v>272</v>
      </c>
      <c r="AJ756" s="374"/>
      <c r="AK756" s="374"/>
      <c r="AL756" s="260" t="e">
        <f>AL755/AL754</f>
        <v>#DIV/0!</v>
      </c>
      <c r="AM756" s="115"/>
      <c r="AN756" s="374" t="s">
        <v>272</v>
      </c>
      <c r="AO756" s="374"/>
      <c r="AP756" s="374"/>
      <c r="AQ756" s="260" t="e">
        <f>AQ755/AQ754</f>
        <v>#DIV/0!</v>
      </c>
      <c r="AR756" s="151"/>
    </row>
    <row r="757" spans="15:44">
      <c r="O757" s="91"/>
      <c r="X757" s="115">
        <f t="shared" si="127"/>
        <v>0</v>
      </c>
      <c r="Y757" s="115">
        <f t="shared" si="128"/>
        <v>0</v>
      </c>
      <c r="Z757" s="115" t="e">
        <f t="shared" si="129"/>
        <v>#VALUE!</v>
      </c>
      <c r="AA757" s="115">
        <f t="shared" si="130"/>
        <v>0</v>
      </c>
      <c r="AD757" s="374" t="s">
        <v>724</v>
      </c>
      <c r="AE757" s="374"/>
      <c r="AF757" s="374"/>
      <c r="AG757" s="115">
        <f>COUNTIFS(D:D,"DD",M:M,"STANCO",R:R,"Vasak",F:F,"ATONGOAL",Q:Q,"5")</f>
        <v>0</v>
      </c>
      <c r="AH757" s="115"/>
      <c r="AI757" s="374" t="s">
        <v>724</v>
      </c>
      <c r="AJ757" s="374"/>
      <c r="AK757" s="374"/>
      <c r="AL757" s="115">
        <f>COUNTIFS(D:D,"DD",M:M,"STANCO",R:R,"Vasak",F:F,"ATONGOAL",Q:Q,"4")</f>
        <v>0</v>
      </c>
      <c r="AM757" s="115"/>
      <c r="AN757" s="374" t="s">
        <v>724</v>
      </c>
      <c r="AO757" s="374"/>
      <c r="AP757" s="374"/>
      <c r="AQ757" s="115">
        <f>COUNTIFS(D:D,"DD",M:M,"STANCO",R:R,"Vasak",F:F,"ATONGOAL",Q:Q,"2")</f>
        <v>0</v>
      </c>
    </row>
    <row r="758" spans="15:44">
      <c r="O758" s="91"/>
      <c r="X758" s="115">
        <f t="shared" si="127"/>
        <v>0</v>
      </c>
      <c r="Y758" s="115">
        <f t="shared" si="128"/>
        <v>0</v>
      </c>
      <c r="Z758" s="115" t="e">
        <f t="shared" si="129"/>
        <v>#VALUE!</v>
      </c>
      <c r="AA758" s="115">
        <f t="shared" si="130"/>
        <v>0</v>
      </c>
      <c r="AD758" s="374" t="s">
        <v>314</v>
      </c>
      <c r="AE758" s="374"/>
      <c r="AF758" s="374"/>
      <c r="AG758" s="115">
        <f>COUNTIFS(D:D,"DD",M:M,"STANCO",R:R,"Vasak",F:F,"ATON",Q:Q,"5")+COUNTIFS(D:D,"DD",M:M,"STANCO",R:R,"Vasak",F:F,"ATOF",Q:Q,"5")+COUNTIFS(D:D,"DD",M:M,"STANCO",R:R,"Vasak",F:F,"ATBK",Q:Q,"5")</f>
        <v>0</v>
      </c>
      <c r="AH758" s="115"/>
      <c r="AI758" s="374" t="s">
        <v>314</v>
      </c>
      <c r="AJ758" s="374"/>
      <c r="AK758" s="374"/>
      <c r="AL758" s="115">
        <f>COUNTIFS(D:D,"DD",M:M,"STANCO",R:R,"Vasak",F:F,"ATON",Q:Q,"4")+COUNTIFS(D:D,"DD",M:M,"STANCO",R:R,"Vasak",F:F,"ATOF",Q:Q,"4")+COUNTIFS(D:D,"DD",M:M,"STANCO",R:R,"Vasak",F:F,"ATBK",Q:Q,"4")</f>
        <v>0</v>
      </c>
      <c r="AM758" s="115"/>
      <c r="AN758" s="374" t="s">
        <v>314</v>
      </c>
      <c r="AO758" s="374"/>
      <c r="AP758" s="374"/>
      <c r="AQ758" s="115">
        <f>COUNTIFS(D:D,"DD",M:M,"STANCO",R:R,"Vasak",F:F,"ATON",Q:Q,"2")+COUNTIFS(D:D,"DD",M:M,"STANCO",R:R,"Vasak",F:F,"ATOF",Q:Q,"2")+COUNTIFS(D:D,"DD",M:M,"STANCO",R:R,"Vasak",F:F,"ATBK",Q:Q,"2")</f>
        <v>0</v>
      </c>
    </row>
    <row r="759" spans="15:44">
      <c r="O759" s="91"/>
      <c r="X759" s="115">
        <f t="shared" si="127"/>
        <v>0</v>
      </c>
      <c r="Y759" s="115">
        <f t="shared" si="128"/>
        <v>0</v>
      </c>
      <c r="Z759" s="115" t="e">
        <f t="shared" si="129"/>
        <v>#VALUE!</v>
      </c>
      <c r="AA759" s="115">
        <f t="shared" si="130"/>
        <v>0</v>
      </c>
      <c r="AD759" s="374"/>
      <c r="AE759" s="374"/>
      <c r="AF759" s="374"/>
      <c r="AG759" s="115"/>
      <c r="AH759" s="115"/>
      <c r="AI759" s="374"/>
      <c r="AJ759" s="374"/>
      <c r="AK759" s="374"/>
      <c r="AL759" s="115"/>
      <c r="AM759" s="115"/>
      <c r="AN759" s="374"/>
      <c r="AO759" s="374"/>
      <c r="AP759" s="374"/>
      <c r="AQ759" s="115"/>
    </row>
    <row r="760" spans="15:44">
      <c r="O760" s="91"/>
      <c r="X760" s="115">
        <f t="shared" si="127"/>
        <v>0</v>
      </c>
      <c r="Y760" s="115">
        <f t="shared" si="128"/>
        <v>0</v>
      </c>
      <c r="Z760" s="115" t="e">
        <f t="shared" si="129"/>
        <v>#VALUE!</v>
      </c>
      <c r="AA760" s="115">
        <f t="shared" si="130"/>
        <v>0</v>
      </c>
    </row>
    <row r="761" spans="15:44">
      <c r="O761" s="91"/>
      <c r="X761" s="115">
        <f t="shared" si="127"/>
        <v>0</v>
      </c>
      <c r="Y761" s="115">
        <f t="shared" si="128"/>
        <v>0</v>
      </c>
      <c r="Z761" s="115" t="e">
        <f t="shared" si="129"/>
        <v>#VALUE!</v>
      </c>
      <c r="AA761" s="115">
        <f t="shared" si="130"/>
        <v>0</v>
      </c>
    </row>
    <row r="762" spans="15:44" s="115" customFormat="1">
      <c r="O762" s="91"/>
      <c r="X762" s="115">
        <f t="shared" si="127"/>
        <v>0</v>
      </c>
      <c r="Y762" s="115">
        <f t="shared" si="128"/>
        <v>0</v>
      </c>
      <c r="Z762" s="115" t="e">
        <f t="shared" si="129"/>
        <v>#VALUE!</v>
      </c>
      <c r="AA762" s="115">
        <f t="shared" si="130"/>
        <v>0</v>
      </c>
      <c r="AB762" s="246"/>
      <c r="AD762" s="188"/>
      <c r="AE762" s="188"/>
      <c r="AG762" s="374" t="s">
        <v>299</v>
      </c>
      <c r="AH762" s="374"/>
      <c r="AI762" s="374"/>
    </row>
    <row r="763" spans="15:44" s="115" customFormat="1">
      <c r="O763" s="91"/>
      <c r="X763" s="115">
        <f t="shared" si="127"/>
        <v>0</v>
      </c>
      <c r="Y763" s="115">
        <f t="shared" si="128"/>
        <v>0</v>
      </c>
      <c r="Z763" s="115" t="e">
        <f t="shared" si="129"/>
        <v>#VALUE!</v>
      </c>
      <c r="AA763" s="115">
        <f t="shared" si="130"/>
        <v>0</v>
      </c>
      <c r="AB763" s="246"/>
      <c r="AD763" s="188"/>
      <c r="AE763" s="188"/>
    </row>
    <row r="764" spans="15:44" s="115" customFormat="1">
      <c r="O764" s="91"/>
      <c r="X764" s="115">
        <f t="shared" si="127"/>
        <v>0</v>
      </c>
      <c r="Y764" s="115">
        <f t="shared" si="128"/>
        <v>0</v>
      </c>
      <c r="Z764" s="115" t="e">
        <f t="shared" si="129"/>
        <v>#VALUE!</v>
      </c>
      <c r="AA764" s="115">
        <f t="shared" si="130"/>
        <v>0</v>
      </c>
      <c r="AB764" s="246"/>
      <c r="AD764" s="374" t="s">
        <v>269</v>
      </c>
      <c r="AE764" s="374"/>
      <c r="AF764" s="374"/>
      <c r="AG764" s="115">
        <f>COUNTIFS(D:D,"DD",M:M,"STANCO",R:R,"Parem",S:S,"Sissekeriv")</f>
        <v>0</v>
      </c>
    </row>
    <row r="765" spans="15:44" s="115" customFormat="1">
      <c r="O765" s="91"/>
      <c r="X765" s="115">
        <f t="shared" si="127"/>
        <v>0</v>
      </c>
      <c r="Y765" s="115">
        <f t="shared" si="128"/>
        <v>0</v>
      </c>
      <c r="Z765" s="115" t="e">
        <f t="shared" si="129"/>
        <v>#VALUE!</v>
      </c>
      <c r="AA765" s="115">
        <f t="shared" si="130"/>
        <v>0</v>
      </c>
      <c r="AB765" s="246"/>
      <c r="AD765" s="188"/>
      <c r="AE765" s="188"/>
    </row>
    <row r="766" spans="15:44" s="115" customFormat="1">
      <c r="O766" s="91"/>
      <c r="X766" s="115">
        <f t="shared" si="127"/>
        <v>0</v>
      </c>
      <c r="Y766" s="115">
        <f t="shared" si="128"/>
        <v>0</v>
      </c>
      <c r="Z766" s="115" t="e">
        <f t="shared" si="129"/>
        <v>#VALUE!</v>
      </c>
      <c r="AA766" s="115">
        <f t="shared" si="130"/>
        <v>0</v>
      </c>
      <c r="AB766" s="246"/>
      <c r="AD766" s="374" t="s">
        <v>270</v>
      </c>
      <c r="AE766" s="374"/>
      <c r="AF766" s="374"/>
      <c r="AG766" s="115">
        <f>COUNTIFS(D:D,"DD",M:M,"STANCO",R:R,"Parem",Q:Q,"6",S:S,"Sissekeriv")</f>
        <v>0</v>
      </c>
      <c r="AI766" s="374" t="s">
        <v>270</v>
      </c>
      <c r="AJ766" s="374"/>
      <c r="AK766" s="374"/>
      <c r="AL766" s="115">
        <f>COUNTIFS(D:D,"DD",M:M,"STANCO",R:R,"Parem",Q:Q,"3",S:S,"Sissekeriv")</f>
        <v>0</v>
      </c>
      <c r="AN766" s="374" t="s">
        <v>270</v>
      </c>
      <c r="AO766" s="374"/>
      <c r="AP766" s="374"/>
      <c r="AQ766" s="115">
        <f>COUNTIFS(D:D,"DD",M:M,"STANCO",R:R,"Parem",Q:Q,"1",S:S,"Sissekeriv")</f>
        <v>0</v>
      </c>
    </row>
    <row r="767" spans="15:44" s="115" customFormat="1">
      <c r="O767" s="91"/>
      <c r="X767" s="115">
        <f t="shared" si="127"/>
        <v>0</v>
      </c>
      <c r="Y767" s="115">
        <f t="shared" si="128"/>
        <v>0</v>
      </c>
      <c r="Z767" s="115" t="e">
        <f t="shared" si="129"/>
        <v>#VALUE!</v>
      </c>
      <c r="AA767" s="115">
        <f t="shared" si="130"/>
        <v>0</v>
      </c>
      <c r="AB767" s="246"/>
      <c r="AD767" s="374" t="s">
        <v>271</v>
      </c>
      <c r="AE767" s="374"/>
      <c r="AF767" s="374"/>
      <c r="AG767" s="115">
        <f>COUNTIFS(D:D,"DD",M:M,"STANCO",R:R,"Parem",P:P,"JAH",Q:Q,"6",S:S,"Sissekeriv")</f>
        <v>0</v>
      </c>
      <c r="AI767" s="374" t="s">
        <v>271</v>
      </c>
      <c r="AJ767" s="374"/>
      <c r="AK767" s="374"/>
      <c r="AL767" s="115">
        <f>COUNTIFS(D:D,"DD",M:M,"STANCO",R:R,"Parem",P:P,"JAH",Q:Q,"3",S:S,"Sissekeriv")</f>
        <v>0</v>
      </c>
      <c r="AN767" s="374" t="s">
        <v>271</v>
      </c>
      <c r="AO767" s="374"/>
      <c r="AP767" s="374"/>
      <c r="AQ767" s="115">
        <f>COUNTIFS(D:D,"DD",M:M,"STANCO",R:R,"Parem",P:P,"JAH",Q:Q,"1",S:S,"Sissekeriv")</f>
        <v>0</v>
      </c>
    </row>
    <row r="768" spans="15:44" s="115" customFormat="1">
      <c r="O768" s="91"/>
      <c r="X768" s="115">
        <f t="shared" si="127"/>
        <v>0</v>
      </c>
      <c r="Y768" s="115">
        <f t="shared" si="128"/>
        <v>0</v>
      </c>
      <c r="Z768" s="115" t="e">
        <f t="shared" si="129"/>
        <v>#VALUE!</v>
      </c>
      <c r="AA768" s="115">
        <f t="shared" si="130"/>
        <v>0</v>
      </c>
      <c r="AB768" s="246"/>
      <c r="AD768" s="374" t="s">
        <v>272</v>
      </c>
      <c r="AE768" s="374"/>
      <c r="AF768" s="374"/>
      <c r="AG768" s="151" t="e">
        <f>AG767/AG766</f>
        <v>#DIV/0!</v>
      </c>
      <c r="AI768" s="374" t="s">
        <v>272</v>
      </c>
      <c r="AJ768" s="374"/>
      <c r="AK768" s="374"/>
      <c r="AL768" s="151" t="e">
        <f>AL767/AL766</f>
        <v>#DIV/0!</v>
      </c>
      <c r="AN768" s="374" t="s">
        <v>272</v>
      </c>
      <c r="AO768" s="374"/>
      <c r="AP768" s="374"/>
      <c r="AQ768" s="151" t="e">
        <f>AQ767/AQ766</f>
        <v>#DIV/0!</v>
      </c>
    </row>
    <row r="769" spans="15:43" s="115" customFormat="1">
      <c r="O769" s="91"/>
      <c r="X769" s="115">
        <f t="shared" si="127"/>
        <v>0</v>
      </c>
      <c r="Y769" s="115">
        <f t="shared" si="128"/>
        <v>0</v>
      </c>
      <c r="Z769" s="115" t="e">
        <f t="shared" si="129"/>
        <v>#VALUE!</v>
      </c>
      <c r="AA769" s="115">
        <f t="shared" si="130"/>
        <v>0</v>
      </c>
      <c r="AB769" s="246"/>
      <c r="AD769" s="374" t="s">
        <v>724</v>
      </c>
      <c r="AE769" s="374"/>
      <c r="AF769" s="374"/>
      <c r="AG769" s="115">
        <f>COUNTIFS(D:D,"DD",M:M,"STANCO",R:R,"Parem",F:F,"ATONGOAL",Q:Q,"6",S:S,"Sissekeriv")</f>
        <v>0</v>
      </c>
      <c r="AI769" s="374" t="s">
        <v>724</v>
      </c>
      <c r="AJ769" s="374"/>
      <c r="AK769" s="374"/>
      <c r="AL769" s="115">
        <f>COUNTIFS(D:D,"DD",M:M,"STANCO",R:R,"Parem",F:F,"ATONGOAL",Q:Q,"3",S:S,"Sissekeriv")</f>
        <v>0</v>
      </c>
      <c r="AN769" s="374" t="s">
        <v>724</v>
      </c>
      <c r="AO769" s="374"/>
      <c r="AP769" s="374"/>
      <c r="AQ769" s="115">
        <f>COUNTIFS(D:D,"DD",M:M,"STANCO",R:R,"Parem",F:F,"ATONGOAL",Q:Q,"1",S:S,"Sissekeriv")</f>
        <v>0</v>
      </c>
    </row>
    <row r="770" spans="15:43" s="115" customFormat="1">
      <c r="O770" s="91"/>
      <c r="X770" s="115">
        <f t="shared" si="127"/>
        <v>0</v>
      </c>
      <c r="Y770" s="115">
        <f t="shared" si="128"/>
        <v>0</v>
      </c>
      <c r="Z770" s="115" t="e">
        <f t="shared" si="129"/>
        <v>#VALUE!</v>
      </c>
      <c r="AA770" s="115">
        <f t="shared" si="130"/>
        <v>0</v>
      </c>
      <c r="AB770" s="246"/>
      <c r="AD770" s="374" t="s">
        <v>314</v>
      </c>
      <c r="AE770" s="374"/>
      <c r="AF770" s="374"/>
      <c r="AG770" s="115">
        <f>COUNTIFS(D:D,"DD",M:M,"STANCO",R:R,"Parem",F:F,"ATONGOAL",Q:Q,"6",S:S,"Sissekeriv")+COUNTIFS(D:D,"DD",M:M,"STANCO",R:R,"Parem",F:F,"ATON",Q:Q,"6",S:S,"Sissekeriv")+COUNTIFS(D:D,"DD",M:M,"STANCO",R:R,"Parem",F:F,"ATOF",Q:Q,"6",S:S,"Sissekeriv")+COUNTIFS(D:D,"DD",M:M,"STANCO",R:R,"Parem",F:F,"ATBK",Q:Q,"6",S:S,"Sissekeriv")</f>
        <v>0</v>
      </c>
      <c r="AI770" s="374" t="s">
        <v>314</v>
      </c>
      <c r="AJ770" s="374"/>
      <c r="AK770" s="374"/>
      <c r="AL770" s="115">
        <f>COUNTIFS(D:D,"DD",M:M,"STANCO",R:R,"Parem",F:F,"ATONGOAL",Q:Q,"3",S:S,"Sissekeriv")+COUNTIFS(D:D,"DD",M:M,"STANCO",R:R,"Parem",F:F,"ATON",Q:Q,"3",S:S,"Sissekeriv")+COUNTIFS(D:D,"DD",M:M,"STANCO",R:R,"Parem",F:F,"ATOF",Q:Q,"3",S:S,"Sissekeriv")+COUNTIFS(D:D,"DD",M:M,"STANCO",R:R,"Parem",F:F,"ATBK",Q:Q,"3",S:S,"Sissekeriv")</f>
        <v>0</v>
      </c>
      <c r="AN770" s="374" t="s">
        <v>314</v>
      </c>
      <c r="AO770" s="374"/>
      <c r="AP770" s="374"/>
      <c r="AQ770" s="115">
        <f>COUNTIFS(D:D,"DD",M:M,"STANCO",R:R,"Parem",F:F,"ATONGOAL",Q:Q,"1",S:S,"Sissekeriv")+COUNTIFS(D:D,"DD",M:M,"STANCO",R:R,"Parem",F:F,"ATON",Q:Q,"1",S:S,"Sissekeriv")+COUNTIFS(D:D,"DD",M:M,"STANCO",R:R,"Parem",F:F,"ATOF",Q:Q,"1",S:S,"Sissekeriv")+COUNTIFS(D:D,"DD",M:M,"STANCO",R:R,"Parem",F:F,"ATBK",Q:Q,"1",S:S,"Sissekeriv")</f>
        <v>0</v>
      </c>
    </row>
    <row r="771" spans="15:43" s="115" customFormat="1">
      <c r="O771" s="91"/>
      <c r="X771" s="115">
        <f t="shared" ref="X771:X834" si="131">mapValues(E771,F771,"P265")</f>
        <v>0</v>
      </c>
      <c r="Y771" s="115">
        <f t="shared" ref="Y771:Y834" si="132">X770+X771</f>
        <v>0</v>
      </c>
      <c r="Z771" s="115" t="e">
        <f t="shared" ref="Z771:Z834" si="133">VALUE(MID(B771,FIND(" ",B771)+1,FIND(" ",B771,FIND(" ",B771)+1)-FIND(" ",B771)))</f>
        <v>#VALUE!</v>
      </c>
      <c r="AA771" s="115">
        <f t="shared" ref="AA771:AA834" si="134">T771/1000</f>
        <v>0</v>
      </c>
      <c r="AB771" s="246"/>
      <c r="AD771" s="374"/>
      <c r="AE771" s="374"/>
      <c r="AF771" s="374"/>
      <c r="AI771" s="374"/>
      <c r="AJ771" s="374"/>
      <c r="AK771" s="374"/>
      <c r="AN771" s="374"/>
      <c r="AO771" s="374"/>
      <c r="AP771" s="374"/>
    </row>
    <row r="772" spans="15:43" s="115" customFormat="1">
      <c r="O772" s="91"/>
      <c r="X772" s="115">
        <f t="shared" si="131"/>
        <v>0</v>
      </c>
      <c r="Y772" s="115">
        <f t="shared" si="132"/>
        <v>0</v>
      </c>
      <c r="Z772" s="115" t="e">
        <f t="shared" si="133"/>
        <v>#VALUE!</v>
      </c>
      <c r="AA772" s="115">
        <f t="shared" si="134"/>
        <v>0</v>
      </c>
      <c r="AB772" s="246"/>
      <c r="AD772" s="188"/>
      <c r="AE772" s="188"/>
    </row>
    <row r="773" spans="15:43" s="115" customFormat="1">
      <c r="O773" s="91"/>
      <c r="X773" s="115">
        <f t="shared" si="131"/>
        <v>0</v>
      </c>
      <c r="Y773" s="115">
        <f t="shared" si="132"/>
        <v>0</v>
      </c>
      <c r="Z773" s="115" t="e">
        <f t="shared" si="133"/>
        <v>#VALUE!</v>
      </c>
      <c r="AA773" s="115">
        <f t="shared" si="134"/>
        <v>0</v>
      </c>
      <c r="AB773" s="246"/>
      <c r="AD773" s="374" t="s">
        <v>270</v>
      </c>
      <c r="AE773" s="374"/>
      <c r="AF773" s="374"/>
      <c r="AG773" s="115">
        <f>COUNTIFS(D:D,"DD",M:M,"STANCO",R:R,"Parem",Q:Q,"5",S:S,"Sissekeriv")</f>
        <v>0</v>
      </c>
      <c r="AI773" s="374" t="s">
        <v>270</v>
      </c>
      <c r="AJ773" s="374"/>
      <c r="AK773" s="374"/>
      <c r="AL773" s="115">
        <f>COUNTIFS(D:D,"DD",M:M,"STANCO",R:R,"Parem",Q:Q,"4",S:S,"Sissekeriv")</f>
        <v>0</v>
      </c>
      <c r="AN773" s="374" t="s">
        <v>270</v>
      </c>
      <c r="AO773" s="374"/>
      <c r="AP773" s="374"/>
      <c r="AQ773" s="115">
        <f>COUNTIFS(D:D,"DD",M:M,"STANCO",R:R,"Parem",Q:Q,"2",S:S,"Sissekeriv")</f>
        <v>0</v>
      </c>
    </row>
    <row r="774" spans="15:43" s="115" customFormat="1">
      <c r="O774" s="91"/>
      <c r="X774" s="115">
        <f t="shared" si="131"/>
        <v>0</v>
      </c>
      <c r="Y774" s="115">
        <f t="shared" si="132"/>
        <v>0</v>
      </c>
      <c r="Z774" s="115" t="e">
        <f t="shared" si="133"/>
        <v>#VALUE!</v>
      </c>
      <c r="AA774" s="115">
        <f t="shared" si="134"/>
        <v>0</v>
      </c>
      <c r="AB774" s="246"/>
      <c r="AD774" s="374" t="s">
        <v>271</v>
      </c>
      <c r="AE774" s="374"/>
      <c r="AF774" s="374"/>
      <c r="AG774" s="115">
        <f>COUNTIFS(D:D,"DD",M:M,"STANCO",R:R,"Parem",P:P,"JAH",Q:Q,"5",S:S,"Sissekeriv")</f>
        <v>0</v>
      </c>
      <c r="AI774" s="374" t="s">
        <v>271</v>
      </c>
      <c r="AJ774" s="374"/>
      <c r="AK774" s="374"/>
      <c r="AL774" s="115">
        <f>COUNTIFS(D:D,"DD",M:M,"STANCO",R:R,"Parem",P:P,"JAH",Q:Q,"4",S:S,"Sissekeriv")</f>
        <v>0</v>
      </c>
      <c r="AN774" s="374" t="s">
        <v>271</v>
      </c>
      <c r="AO774" s="374"/>
      <c r="AP774" s="374"/>
      <c r="AQ774" s="115">
        <f>COUNTIFS(D:D,"DD",M:M,"STANCO",R:R,"Parem",P:P,"JAH",Q:Q,"2",S:S,"Sissekeriv")</f>
        <v>0</v>
      </c>
    </row>
    <row r="775" spans="15:43" s="115" customFormat="1">
      <c r="O775" s="91"/>
      <c r="X775" s="115">
        <f t="shared" si="131"/>
        <v>0</v>
      </c>
      <c r="Y775" s="115">
        <f t="shared" si="132"/>
        <v>0</v>
      </c>
      <c r="Z775" s="115" t="e">
        <f t="shared" si="133"/>
        <v>#VALUE!</v>
      </c>
      <c r="AA775" s="115">
        <f t="shared" si="134"/>
        <v>0</v>
      </c>
      <c r="AB775" s="246"/>
      <c r="AD775" s="374" t="s">
        <v>272</v>
      </c>
      <c r="AE775" s="374"/>
      <c r="AF775" s="374"/>
      <c r="AG775" s="151" t="e">
        <f>AG774/AG773</f>
        <v>#DIV/0!</v>
      </c>
      <c r="AI775" s="374" t="s">
        <v>272</v>
      </c>
      <c r="AJ775" s="374"/>
      <c r="AK775" s="374"/>
      <c r="AL775" s="151" t="e">
        <f>AL774/AL773</f>
        <v>#DIV/0!</v>
      </c>
      <c r="AN775" s="374" t="s">
        <v>272</v>
      </c>
      <c r="AO775" s="374"/>
      <c r="AP775" s="374"/>
      <c r="AQ775" s="151" t="e">
        <f>AQ774/AQ773</f>
        <v>#DIV/0!</v>
      </c>
    </row>
    <row r="776" spans="15:43" s="115" customFormat="1">
      <c r="O776" s="91"/>
      <c r="X776" s="115">
        <f t="shared" si="131"/>
        <v>0</v>
      </c>
      <c r="Y776" s="115">
        <f t="shared" si="132"/>
        <v>0</v>
      </c>
      <c r="Z776" s="115" t="e">
        <f t="shared" si="133"/>
        <v>#VALUE!</v>
      </c>
      <c r="AA776" s="115">
        <f t="shared" si="134"/>
        <v>0</v>
      </c>
      <c r="AB776" s="246"/>
      <c r="AD776" s="374" t="s">
        <v>724</v>
      </c>
      <c r="AE776" s="374"/>
      <c r="AF776" s="374"/>
      <c r="AG776" s="115">
        <f>COUNTIFS(D:D,"DD",M:M,"STANCO",R:R,"Parem",F:F,"ATONGOAL",Q:Q,"5",S:S,"Sissekeriv")</f>
        <v>0</v>
      </c>
      <c r="AI776" s="374" t="s">
        <v>724</v>
      </c>
      <c r="AJ776" s="374"/>
      <c r="AK776" s="374"/>
      <c r="AL776" s="115">
        <f>COUNTIFS(D:D,"DD",M:M,"STANCO",R:R,"Parem",F:F,"ATONGOAL",Q:Q,"4",S:S,"Sissekeriv")</f>
        <v>0</v>
      </c>
      <c r="AN776" s="374" t="s">
        <v>724</v>
      </c>
      <c r="AO776" s="374"/>
      <c r="AP776" s="374"/>
      <c r="AQ776" s="115">
        <f>COUNTIFS(D:D,"DD",M:M,"STANCO",R:R,"Parem",F:F,"ATONGOAL",Q:Q,"2",S:S,"Sissekeriv")</f>
        <v>0</v>
      </c>
    </row>
    <row r="777" spans="15:43" s="115" customFormat="1">
      <c r="O777" s="91"/>
      <c r="X777" s="115">
        <f t="shared" si="131"/>
        <v>0</v>
      </c>
      <c r="Y777" s="115">
        <f t="shared" si="132"/>
        <v>0</v>
      </c>
      <c r="Z777" s="115" t="e">
        <f t="shared" si="133"/>
        <v>#VALUE!</v>
      </c>
      <c r="AA777" s="115">
        <f t="shared" si="134"/>
        <v>0</v>
      </c>
      <c r="AB777" s="246"/>
      <c r="AD777" s="374" t="s">
        <v>314</v>
      </c>
      <c r="AE777" s="374"/>
      <c r="AF777" s="374"/>
      <c r="AG777" s="115">
        <f>COUNTIFS(D:D,"DD",M:M,"STANCO",R:R,"Parem",F:F,"ATONGOAL",Q:Q,"5",S:S,"Sissekeriv")+COUNTIFS(D:D,"DD",M:M,"STANCO",R:R,"Parem",F:F,"ATON",Q:Q,"5",S:S,"Sissekeriv")+COUNTIFS(D:D,"DD",M:M,"STANCO",R:R,"Parem",F:F,"ATOF",Q:Q,"5",S:S,"Sissekeriv")+COUNTIFS(D:D,"DD",M:M,"STANCO",R:R,"Parem",F:F,"ATBK",Q:Q,"5",S:S,"Sissekeriv")</f>
        <v>0</v>
      </c>
      <c r="AI777" s="374" t="s">
        <v>314</v>
      </c>
      <c r="AJ777" s="374"/>
      <c r="AK777" s="374"/>
      <c r="AL777" s="115">
        <f>COUNTIFS(D:D,"DD",M:M,"STANCO",R:R,"Parem",F:F,"ATONGOAL",Q:Q,"4",S:S,"Sissekeriv")+COUNTIFS(D:D,"DD",M:M,"STANCO",R:R,"Parem",F:F,"ATON",Q:Q,"4",S:S,"Sissekeriv")+COUNTIFS(D:D,"DD",M:M,"STANCO",R:R,"Parem",F:F,"ATOF",Q:Q,"4",S:S,"Sissekeriv")+COUNTIFS(D:D,"DD",M:M,"STANCO",R:R,"Parem",F:F,"ATBK",Q:Q,"4",S:S,"Sissekeriv")</f>
        <v>0</v>
      </c>
      <c r="AN777" s="374" t="s">
        <v>314</v>
      </c>
      <c r="AO777" s="374"/>
      <c r="AP777" s="374"/>
      <c r="AQ777" s="115">
        <f>COUNTIFS(D:D,"DD",M:M,"STANCO",R:R,"Parem",F:F,"ATONGOAL",Q:Q,"2",S:S,"Sissekeriv")+COUNTIFS(D:D,"DD",M:M,"STANCO",R:R,"Parem",F:F,"ATON",Q:Q,"2",S:S,"Sissekeriv")+COUNTIFS(D:D,"DD",M:M,"STANCO",R:R,"Parem",F:F,"ATOF",Q:Q,"2",S:S,"Sissekeriv")+COUNTIFS(D:D,"DD",M:M,"STANCO",R:R,"Parem",F:F,"ATBK",Q:Q,"2",S:S,"Sissekeriv")</f>
        <v>0</v>
      </c>
    </row>
    <row r="778" spans="15:43" s="115" customFormat="1">
      <c r="O778" s="91"/>
      <c r="X778" s="115">
        <f t="shared" si="131"/>
        <v>0</v>
      </c>
      <c r="Y778" s="115">
        <f t="shared" si="132"/>
        <v>0</v>
      </c>
      <c r="Z778" s="115" t="e">
        <f t="shared" si="133"/>
        <v>#VALUE!</v>
      </c>
      <c r="AA778" s="115">
        <f t="shared" si="134"/>
        <v>0</v>
      </c>
      <c r="AB778" s="246"/>
      <c r="AD778" s="374"/>
      <c r="AE778" s="374"/>
      <c r="AF778" s="374"/>
      <c r="AI778" s="374"/>
      <c r="AJ778" s="374"/>
      <c r="AK778" s="374"/>
      <c r="AN778" s="374"/>
      <c r="AO778" s="374"/>
      <c r="AP778" s="374"/>
    </row>
    <row r="779" spans="15:43" s="115" customFormat="1">
      <c r="O779" s="91"/>
      <c r="X779" s="115">
        <f t="shared" si="131"/>
        <v>0</v>
      </c>
      <c r="Y779" s="115">
        <f t="shared" si="132"/>
        <v>0</v>
      </c>
      <c r="Z779" s="115" t="e">
        <f t="shared" si="133"/>
        <v>#VALUE!</v>
      </c>
      <c r="AA779" s="115">
        <f t="shared" si="134"/>
        <v>0</v>
      </c>
      <c r="AB779" s="246"/>
      <c r="AD779" s="188"/>
      <c r="AE779" s="188"/>
    </row>
    <row r="780" spans="15:43" s="115" customFormat="1">
      <c r="O780" s="91"/>
      <c r="X780" s="115">
        <f t="shared" si="131"/>
        <v>0</v>
      </c>
      <c r="Y780" s="115">
        <f t="shared" si="132"/>
        <v>0</v>
      </c>
      <c r="Z780" s="115" t="e">
        <f t="shared" si="133"/>
        <v>#VALUE!</v>
      </c>
      <c r="AA780" s="115">
        <f t="shared" si="134"/>
        <v>0</v>
      </c>
      <c r="AB780" s="246"/>
      <c r="AD780" s="188"/>
      <c r="AE780" s="188"/>
    </row>
    <row r="781" spans="15:43" s="115" customFormat="1">
      <c r="O781" s="91"/>
      <c r="X781" s="115">
        <f t="shared" si="131"/>
        <v>0</v>
      </c>
      <c r="Y781" s="115">
        <f t="shared" si="132"/>
        <v>0</v>
      </c>
      <c r="Z781" s="115" t="e">
        <f t="shared" si="133"/>
        <v>#VALUE!</v>
      </c>
      <c r="AA781" s="115">
        <f t="shared" si="134"/>
        <v>0</v>
      </c>
      <c r="AB781" s="246"/>
      <c r="AD781" s="374" t="s">
        <v>273</v>
      </c>
      <c r="AE781" s="374"/>
      <c r="AF781" s="374"/>
      <c r="AG781" s="115">
        <f>COUNTIFS(D:D,"DD",M:M,"STANCO",R:R,"Vasak",S:S,"Sissekeriv")</f>
        <v>0</v>
      </c>
    </row>
    <row r="782" spans="15:43" s="115" customFormat="1">
      <c r="O782" s="91"/>
      <c r="X782" s="115">
        <f t="shared" si="131"/>
        <v>0</v>
      </c>
      <c r="Y782" s="115">
        <f t="shared" si="132"/>
        <v>0</v>
      </c>
      <c r="Z782" s="115" t="e">
        <f t="shared" si="133"/>
        <v>#VALUE!</v>
      </c>
      <c r="AA782" s="115">
        <f t="shared" si="134"/>
        <v>0</v>
      </c>
      <c r="AB782" s="246"/>
      <c r="AD782" s="188"/>
      <c r="AE782" s="188"/>
    </row>
    <row r="783" spans="15:43" s="115" customFormat="1">
      <c r="O783" s="91"/>
      <c r="X783" s="115">
        <f t="shared" si="131"/>
        <v>0</v>
      </c>
      <c r="Y783" s="115">
        <f t="shared" si="132"/>
        <v>0</v>
      </c>
      <c r="Z783" s="115" t="e">
        <f t="shared" si="133"/>
        <v>#VALUE!</v>
      </c>
      <c r="AA783" s="115">
        <f t="shared" si="134"/>
        <v>0</v>
      </c>
      <c r="AB783" s="246"/>
      <c r="AD783" s="374" t="s">
        <v>270</v>
      </c>
      <c r="AE783" s="374"/>
      <c r="AF783" s="374"/>
      <c r="AG783" s="115">
        <f>COUNTIFS(D:D,"DD",M:M,"STANCO",R:R,"Vasak",Q:Q,"6",S:S,"Sissekeriv")</f>
        <v>0</v>
      </c>
      <c r="AI783" s="374" t="s">
        <v>270</v>
      </c>
      <c r="AJ783" s="374"/>
      <c r="AK783" s="374"/>
      <c r="AL783" s="115">
        <f>COUNTIFS(D:D,"DD",M:M,"STANCO",R:R,"Vasak",Q:Q,"3",S:S,"Sissekeriv")</f>
        <v>0</v>
      </c>
      <c r="AN783" s="374" t="s">
        <v>270</v>
      </c>
      <c r="AO783" s="374"/>
      <c r="AP783" s="374"/>
      <c r="AQ783" s="115">
        <f>COUNTIFS(D:D,"DD",M:M,"STANCO",R:R,"Vasak",Q:Q,"1",S:S,"Sissekeriv")</f>
        <v>0</v>
      </c>
    </row>
    <row r="784" spans="15:43" s="115" customFormat="1">
      <c r="O784" s="91"/>
      <c r="X784" s="115">
        <f t="shared" si="131"/>
        <v>0</v>
      </c>
      <c r="Y784" s="115">
        <f t="shared" si="132"/>
        <v>0</v>
      </c>
      <c r="Z784" s="115" t="e">
        <f t="shared" si="133"/>
        <v>#VALUE!</v>
      </c>
      <c r="AA784" s="115">
        <f t="shared" si="134"/>
        <v>0</v>
      </c>
      <c r="AB784" s="246"/>
      <c r="AD784" s="374" t="s">
        <v>271</v>
      </c>
      <c r="AE784" s="374"/>
      <c r="AF784" s="374"/>
      <c r="AG784" s="115">
        <f>COUNTIFS(D:D,"DD",M:M,"STANCO",R:R,"Vasak",P:P,"JAH",Q:Q,"6",S:S,"Sissekeriv")</f>
        <v>0</v>
      </c>
      <c r="AI784" s="374" t="s">
        <v>271</v>
      </c>
      <c r="AJ784" s="374"/>
      <c r="AK784" s="374"/>
      <c r="AL784" s="115">
        <f>COUNTIFS(D:D,"DD",M:M,"STANCO",R:R,"Vasak",P:P,"JAH",Q:Q,"3",S:S,"Sissekeriv")</f>
        <v>0</v>
      </c>
      <c r="AN784" s="374" t="s">
        <v>271</v>
      </c>
      <c r="AO784" s="374"/>
      <c r="AP784" s="374"/>
      <c r="AQ784" s="115">
        <f>COUNTIFS(D:D,"DD",M:M,"STANCO",R:R,"Vasak",P:P,"JAH",Q:Q,"1",S:S,"Sissekeriv")</f>
        <v>0</v>
      </c>
    </row>
    <row r="785" spans="15:43" s="115" customFormat="1">
      <c r="O785" s="91"/>
      <c r="X785" s="115">
        <f t="shared" si="131"/>
        <v>0</v>
      </c>
      <c r="Y785" s="115">
        <f t="shared" si="132"/>
        <v>0</v>
      </c>
      <c r="Z785" s="115" t="e">
        <f t="shared" si="133"/>
        <v>#VALUE!</v>
      </c>
      <c r="AA785" s="115">
        <f t="shared" si="134"/>
        <v>0</v>
      </c>
      <c r="AB785" s="246"/>
      <c r="AD785" s="374" t="s">
        <v>272</v>
      </c>
      <c r="AE785" s="374"/>
      <c r="AF785" s="374"/>
      <c r="AG785" s="151" t="e">
        <f>AG784/AG783</f>
        <v>#DIV/0!</v>
      </c>
      <c r="AI785" s="374" t="s">
        <v>272</v>
      </c>
      <c r="AJ785" s="374"/>
      <c r="AK785" s="374"/>
      <c r="AL785" s="151" t="e">
        <f>AL784/AL783</f>
        <v>#DIV/0!</v>
      </c>
      <c r="AN785" s="374" t="s">
        <v>272</v>
      </c>
      <c r="AO785" s="374"/>
      <c r="AP785" s="374"/>
      <c r="AQ785" s="151" t="e">
        <f>AQ784/AQ783</f>
        <v>#DIV/0!</v>
      </c>
    </row>
    <row r="786" spans="15:43" s="115" customFormat="1">
      <c r="O786" s="91"/>
      <c r="X786" s="115">
        <f t="shared" si="131"/>
        <v>0</v>
      </c>
      <c r="Y786" s="115">
        <f t="shared" si="132"/>
        <v>0</v>
      </c>
      <c r="Z786" s="115" t="e">
        <f t="shared" si="133"/>
        <v>#VALUE!</v>
      </c>
      <c r="AA786" s="115">
        <f t="shared" si="134"/>
        <v>0</v>
      </c>
      <c r="AB786" s="246"/>
      <c r="AD786" s="374" t="s">
        <v>724</v>
      </c>
      <c r="AE786" s="374"/>
      <c r="AF786" s="374"/>
      <c r="AG786" s="115">
        <f>COUNTIFS(D:D,"DD",M:M,"STANCO",R:R,"Vasak",F:F,"ATONGOAL",Q:Q,"6",S:S,"Sissekeriv")</f>
        <v>0</v>
      </c>
      <c r="AI786" s="374" t="s">
        <v>724</v>
      </c>
      <c r="AJ786" s="374"/>
      <c r="AK786" s="374"/>
      <c r="AL786" s="115">
        <f>COUNTIFS(D:D,"DD",M:M,"STANCO",R:R,"Vasak",F:F,"ATONGOAL",Q:Q,"3",S:S,"Sissekeriv")</f>
        <v>0</v>
      </c>
      <c r="AN786" s="374" t="s">
        <v>724</v>
      </c>
      <c r="AO786" s="374"/>
      <c r="AP786" s="374"/>
      <c r="AQ786" s="115">
        <f>COUNTIFS(D:D,"DD",M:M,"STANCO",R:R,"Vasak",F:F,"ATONGOAL",Q:Q,"1",S:S,"Sissekeriv")</f>
        <v>0</v>
      </c>
    </row>
    <row r="787" spans="15:43" s="115" customFormat="1">
      <c r="O787" s="91"/>
      <c r="X787" s="115">
        <f t="shared" si="131"/>
        <v>0</v>
      </c>
      <c r="Y787" s="115">
        <f t="shared" si="132"/>
        <v>0</v>
      </c>
      <c r="Z787" s="115" t="e">
        <f t="shared" si="133"/>
        <v>#VALUE!</v>
      </c>
      <c r="AA787" s="115">
        <f t="shared" si="134"/>
        <v>0</v>
      </c>
      <c r="AB787" s="246"/>
      <c r="AD787" s="374" t="s">
        <v>314</v>
      </c>
      <c r="AE787" s="374"/>
      <c r="AF787" s="374"/>
      <c r="AG787" s="115">
        <f>COUNTIFS(D:D,"DD",M:M,"STANCO",R:R,"Vasak",F:F,"ATONGOAL",Q:Q,"6",S:S,"Sissekeriv")+COUNTIFS(D:D,"DD",M:M,"STANCO",R:R,"Vasak",F:F,"ATON",Q:Q,"6",S:S,"Sissekeriv")+COUNTIFS(D:D,"DD",M:M,"STANCO",R:R,"Vasak",F:F,"ATOF",Q:Q,"6",S:S,"Sissekeriv")+COUNTIFS(D:D,"DD",M:M,"STANCO",R:R,"Vasak",F:F,"ATBK",Q:Q,"6",S:S,"Sissekeriv")</f>
        <v>0</v>
      </c>
      <c r="AI787" s="374" t="s">
        <v>314</v>
      </c>
      <c r="AJ787" s="374"/>
      <c r="AK787" s="374"/>
      <c r="AL787" s="115">
        <f>COUNTIFS(D:D,"DD",M:M,"STANCO",R:R,"Vasak",F:F,"ATONGOAL",Q:Q,"3",S:S,"Sissekeriv")+COUNTIFS(D:D,"DD",M:M,"STANCO",R:R,"Vasak",F:F,"ATON",Q:Q,"3",S:S,"Sissekeriv")+COUNTIFS(D:D,"DD",M:M,"STANCO",R:R,"Vasak",F:F,"ATOF",Q:Q,"3",S:S,"Sissekeriv")+COUNTIFS(D:D,"DD",M:M,"STANCO",R:R,"Vasak",F:F,"ATBK",Q:Q,"3",S:S,"Sissekeriv")</f>
        <v>0</v>
      </c>
      <c r="AN787" s="374" t="s">
        <v>314</v>
      </c>
      <c r="AO787" s="374"/>
      <c r="AP787" s="374"/>
      <c r="AQ787" s="115">
        <f>COUNTIFS(D:D,"DD",M:M,"STANCO",R:R,"Vasak",F:F,"ATONGOAL",Q:Q,"1",S:S,"Sissekeriv")+COUNTIFS(D:D,"DD",M:M,"STANCO",R:R,"Vasak",F:F,"ATON",Q:Q,"1",S:S,"Sissekeriv")+COUNTIFS(D:D,"DD",M:M,"STANCO",R:R,"Vasak",F:F,"ATOF",Q:Q,"1",S:S,"Sissekeriv")+COUNTIFS(D:D,"DD",M:M,"STANCO",R:R,"Vasak",F:F,"ATBK",Q:Q,"1",S:S,"Sissekeriv")</f>
        <v>0</v>
      </c>
    </row>
    <row r="788" spans="15:43" s="115" customFormat="1">
      <c r="O788" s="91"/>
      <c r="X788" s="115">
        <f t="shared" si="131"/>
        <v>0</v>
      </c>
      <c r="Y788" s="115">
        <f t="shared" si="132"/>
        <v>0</v>
      </c>
      <c r="Z788" s="115" t="e">
        <f t="shared" si="133"/>
        <v>#VALUE!</v>
      </c>
      <c r="AA788" s="115">
        <f t="shared" si="134"/>
        <v>0</v>
      </c>
      <c r="AB788" s="246"/>
      <c r="AD788" s="374"/>
      <c r="AE788" s="374"/>
      <c r="AF788" s="374"/>
      <c r="AI788" s="374"/>
      <c r="AJ788" s="374"/>
      <c r="AK788" s="374"/>
      <c r="AN788" s="374"/>
      <c r="AO788" s="374"/>
      <c r="AP788" s="374"/>
    </row>
    <row r="789" spans="15:43" s="115" customFormat="1">
      <c r="O789" s="91"/>
      <c r="X789" s="115">
        <f t="shared" si="131"/>
        <v>0</v>
      </c>
      <c r="Y789" s="115">
        <f t="shared" si="132"/>
        <v>0</v>
      </c>
      <c r="Z789" s="115" t="e">
        <f t="shared" si="133"/>
        <v>#VALUE!</v>
      </c>
      <c r="AA789" s="115">
        <f t="shared" si="134"/>
        <v>0</v>
      </c>
      <c r="AB789" s="246"/>
      <c r="AD789" s="188"/>
      <c r="AE789" s="188"/>
    </row>
    <row r="790" spans="15:43" s="115" customFormat="1">
      <c r="O790" s="91"/>
      <c r="X790" s="115">
        <f t="shared" si="131"/>
        <v>0</v>
      </c>
      <c r="Y790" s="115">
        <f t="shared" si="132"/>
        <v>0</v>
      </c>
      <c r="Z790" s="115" t="e">
        <f t="shared" si="133"/>
        <v>#VALUE!</v>
      </c>
      <c r="AA790" s="115">
        <f t="shared" si="134"/>
        <v>0</v>
      </c>
      <c r="AB790" s="246"/>
      <c r="AD790" s="374" t="s">
        <v>270</v>
      </c>
      <c r="AE790" s="374"/>
      <c r="AF790" s="374"/>
      <c r="AG790" s="115">
        <f>COUNTIFS(D:D,"DD",M:M,"STANCO",R:R,"Vasak",Q:Q,"5",S:S,"Sissekeriv")</f>
        <v>0</v>
      </c>
      <c r="AI790" s="374" t="s">
        <v>270</v>
      </c>
      <c r="AJ790" s="374"/>
      <c r="AK790" s="374"/>
      <c r="AL790" s="115">
        <f>COUNTIFS(D:D,"DD",M:M,"STANCO",R:R,"Vasak",Q:Q,"4",S:S,"Sissekeriv")</f>
        <v>0</v>
      </c>
      <c r="AN790" s="374" t="s">
        <v>270</v>
      </c>
      <c r="AO790" s="374"/>
      <c r="AP790" s="374"/>
      <c r="AQ790" s="115">
        <f>COUNTIFS(D:D,"DD",M:M,"STANCO",R:R,"Vasak",Q:Q,"2",S:S,"Sissekeriv")</f>
        <v>0</v>
      </c>
    </row>
    <row r="791" spans="15:43" s="115" customFormat="1">
      <c r="O791" s="91"/>
      <c r="X791" s="115">
        <f t="shared" si="131"/>
        <v>0</v>
      </c>
      <c r="Y791" s="115">
        <f t="shared" si="132"/>
        <v>0</v>
      </c>
      <c r="Z791" s="115" t="e">
        <f t="shared" si="133"/>
        <v>#VALUE!</v>
      </c>
      <c r="AA791" s="115">
        <f t="shared" si="134"/>
        <v>0</v>
      </c>
      <c r="AB791" s="246"/>
      <c r="AD791" s="374" t="s">
        <v>271</v>
      </c>
      <c r="AE791" s="374"/>
      <c r="AF791" s="374"/>
      <c r="AG791" s="115">
        <f>COUNTIFS(D:D,"DD",M:M,"STANCO",R:R,"Vasak",P:P,"JAH",Q:Q,"5",S:S,"Sissekeriv")</f>
        <v>0</v>
      </c>
      <c r="AI791" s="374" t="s">
        <v>271</v>
      </c>
      <c r="AJ791" s="374"/>
      <c r="AK791" s="374"/>
      <c r="AL791" s="115">
        <f>COUNTIFS(D:D,"DD",M:M,"STANCO",R:R,"Vasak",P:P,"JAH",Q:Q,"4",S:S,"Sissekeriv")</f>
        <v>0</v>
      </c>
      <c r="AN791" s="374" t="s">
        <v>271</v>
      </c>
      <c r="AO791" s="374"/>
      <c r="AP791" s="374"/>
      <c r="AQ791" s="115">
        <f>COUNTIFS(D:D,"DD",M:M,"STANCO",R:R,"Vasak",P:P,"JAH",Q:Q,"2",S:S,"Sissekeriv")</f>
        <v>0</v>
      </c>
    </row>
    <row r="792" spans="15:43" s="115" customFormat="1">
      <c r="O792" s="91"/>
      <c r="X792" s="115">
        <f t="shared" si="131"/>
        <v>0</v>
      </c>
      <c r="Y792" s="115">
        <f t="shared" si="132"/>
        <v>0</v>
      </c>
      <c r="Z792" s="115" t="e">
        <f t="shared" si="133"/>
        <v>#VALUE!</v>
      </c>
      <c r="AA792" s="115">
        <f t="shared" si="134"/>
        <v>0</v>
      </c>
      <c r="AB792" s="246"/>
      <c r="AD792" s="374" t="s">
        <v>272</v>
      </c>
      <c r="AE792" s="374"/>
      <c r="AF792" s="374"/>
      <c r="AG792" s="151" t="e">
        <f>AG791/AG790</f>
        <v>#DIV/0!</v>
      </c>
      <c r="AI792" s="374" t="s">
        <v>272</v>
      </c>
      <c r="AJ792" s="374"/>
      <c r="AK792" s="374"/>
      <c r="AL792" s="151" t="e">
        <f>AL791/AL790</f>
        <v>#DIV/0!</v>
      </c>
      <c r="AN792" s="374" t="s">
        <v>272</v>
      </c>
      <c r="AO792" s="374"/>
      <c r="AP792" s="374"/>
      <c r="AQ792" s="151" t="e">
        <f>AQ791/AQ790</f>
        <v>#DIV/0!</v>
      </c>
    </row>
    <row r="793" spans="15:43" s="115" customFormat="1">
      <c r="O793" s="91"/>
      <c r="X793" s="115">
        <f t="shared" si="131"/>
        <v>0</v>
      </c>
      <c r="Y793" s="115">
        <f t="shared" si="132"/>
        <v>0</v>
      </c>
      <c r="Z793" s="115" t="e">
        <f t="shared" si="133"/>
        <v>#VALUE!</v>
      </c>
      <c r="AA793" s="115">
        <f t="shared" si="134"/>
        <v>0</v>
      </c>
      <c r="AB793" s="246"/>
      <c r="AD793" s="374" t="s">
        <v>724</v>
      </c>
      <c r="AE793" s="374"/>
      <c r="AF793" s="374"/>
      <c r="AG793" s="115">
        <f>COUNTIFS(D:D,"DD",M:M,"STANCO",R:R,"Vasak",F:F,"ATONGOAL",Q:Q,"5",S:S,"Sissekeriv")</f>
        <v>0</v>
      </c>
      <c r="AI793" s="374" t="s">
        <v>724</v>
      </c>
      <c r="AJ793" s="374"/>
      <c r="AK793" s="374"/>
      <c r="AL793" s="115">
        <f>COUNTIFS(D:D,"DD",M:M,"STANCO",R:R,"Vasak",F:F,"ATONGOAL",Q:Q,"4",S:S,"Sissekeriv")</f>
        <v>0</v>
      </c>
      <c r="AN793" s="374" t="s">
        <v>724</v>
      </c>
      <c r="AO793" s="374"/>
      <c r="AP793" s="374"/>
      <c r="AQ793" s="115">
        <f>COUNTIFS(D:D,"DD",M:M,"STANCO",R:R,"Vasak",F:F,"ATONGOAL",Q:Q,"2",S:S,"Sissekeriv")</f>
        <v>0</v>
      </c>
    </row>
    <row r="794" spans="15:43" s="115" customFormat="1">
      <c r="O794" s="91"/>
      <c r="X794" s="115" t="e">
        <f t="shared" si="131"/>
        <v>#VALUE!</v>
      </c>
      <c r="Y794" s="115" t="e">
        <f t="shared" si="132"/>
        <v>#VALUE!</v>
      </c>
      <c r="Z794" s="115" t="e">
        <f t="shared" si="133"/>
        <v>#VALUE!</v>
      </c>
      <c r="AA794" s="115">
        <f t="shared" si="134"/>
        <v>0</v>
      </c>
      <c r="AB794" s="246"/>
      <c r="AD794" s="374" t="s">
        <v>314</v>
      </c>
      <c r="AE794" s="374"/>
      <c r="AF794" s="374"/>
      <c r="AG794" s="115">
        <f>COUNTIFS(D:D,"DD",M:M,"STANCO",R:R,"Vasak",F:F,"ATONGOAL",Q:Q,"5",S:S,"Sissekeriv")+COUNTIFS(D:D,"DD",M:M,"STANCO",R:R,"Vasak",F:F,"ATON",Q:Q,"5",S:S,"Sissekeriv")+COUNTIFS(D:D,"DD",M:M,"STANCO",R:R,"Vasak",F:F,"ATOF",Q:Q,"5",S:S,"Sissekeriv")+COUNTIFS(D:D,"DD",M:M,"STANCO",R:R,"Vasak",F:F,"ATBK",Q:Q,"5",S:S,"Sissekeriv")</f>
        <v>0</v>
      </c>
      <c r="AI794" s="374" t="s">
        <v>314</v>
      </c>
      <c r="AJ794" s="374"/>
      <c r="AK794" s="374"/>
      <c r="AL794" s="115">
        <f>COUNTIFS(D:D,"DD",M:M,"STANCO",R:R,"Vasak",F:F,"ATONGOAL",Q:Q,"4",S:S,"Sissekeriv")+COUNTIFS(D:D,"DD",M:M,"STANCO",R:R,"Vasak",F:F,"ATON",Q:Q,"4",S:S,"Sissekeriv")+COUNTIFS(D:D,"DD",M:M,"STANCO",R:R,"Vasak",F:F,"ATOF",Q:Q,"4",S:S,"Sissekeriv")+COUNTIFS(D:D,"DD",M:M,"STANCO",R:R,"Vasak",F:F,"ATBK",Q:Q,"4",S:S,"Sissekeriv")</f>
        <v>0</v>
      </c>
      <c r="AN794" s="374" t="s">
        <v>314</v>
      </c>
      <c r="AO794" s="374"/>
      <c r="AP794" s="374"/>
      <c r="AQ794" s="115">
        <f>COUNTIFS(D:D,"DD",M:M,"STANCO",R:R,"Vasak",F:F,"ATONGOAL",Q:Q,"2",S:S,"Sissekeriv")+COUNTIFS(D:D,"DD",M:M,"STANCO",R:R,"Vasak",F:F,"ATON",Q:Q,"2",S:S,"Sissekeriv")+COUNTIFS(D:D,"DD",M:M,"STANCO",R:R,"Vasak",F:F,"ATOF",Q:Q,"2",S:S,"Sissekeriv")+COUNTIFS(D:D,"DD",M:M,"STANCO",R:R,"Vasak",F:F,"ATBK",Q:Q,"2",S:S,"Sissekeriv")</f>
        <v>0</v>
      </c>
    </row>
    <row r="795" spans="15:43" s="115" customFormat="1">
      <c r="O795" s="91"/>
      <c r="X795" s="115">
        <f t="shared" si="131"/>
        <v>0</v>
      </c>
      <c r="Y795" s="115" t="e">
        <f t="shared" si="132"/>
        <v>#VALUE!</v>
      </c>
      <c r="Z795" s="115" t="e">
        <f t="shared" si="133"/>
        <v>#VALUE!</v>
      </c>
      <c r="AA795" s="115">
        <f t="shared" si="134"/>
        <v>0</v>
      </c>
      <c r="AB795" s="246"/>
      <c r="AD795" s="374"/>
      <c r="AE795" s="374"/>
      <c r="AF795" s="374"/>
      <c r="AI795" s="374"/>
      <c r="AJ795" s="374"/>
      <c r="AK795" s="374"/>
      <c r="AN795" s="374"/>
      <c r="AO795" s="374"/>
      <c r="AP795" s="374"/>
    </row>
    <row r="796" spans="15:43" s="115" customFormat="1">
      <c r="O796" s="91"/>
      <c r="X796" s="115">
        <f t="shared" si="131"/>
        <v>0</v>
      </c>
      <c r="Y796" s="115">
        <f t="shared" si="132"/>
        <v>0</v>
      </c>
      <c r="Z796" s="115" t="e">
        <f t="shared" si="133"/>
        <v>#VALUE!</v>
      </c>
      <c r="AA796" s="115">
        <f t="shared" si="134"/>
        <v>0</v>
      </c>
      <c r="AB796" s="246"/>
    </row>
    <row r="797" spans="15:43" s="115" customFormat="1">
      <c r="O797" s="91"/>
      <c r="X797" s="115">
        <f t="shared" si="131"/>
        <v>0</v>
      </c>
      <c r="Y797" s="115">
        <f t="shared" si="132"/>
        <v>0</v>
      </c>
      <c r="Z797" s="115" t="e">
        <f t="shared" si="133"/>
        <v>#VALUE!</v>
      </c>
      <c r="AA797" s="115">
        <f t="shared" si="134"/>
        <v>0</v>
      </c>
      <c r="AB797" s="246"/>
    </row>
    <row r="798" spans="15:43" s="115" customFormat="1">
      <c r="O798" s="91"/>
      <c r="X798" s="115">
        <f t="shared" si="131"/>
        <v>0</v>
      </c>
      <c r="Y798" s="115">
        <f t="shared" si="132"/>
        <v>0</v>
      </c>
      <c r="Z798" s="115" t="e">
        <f t="shared" si="133"/>
        <v>#VALUE!</v>
      </c>
      <c r="AA798" s="115">
        <f t="shared" si="134"/>
        <v>0</v>
      </c>
      <c r="AB798" s="246"/>
      <c r="AD798" s="188"/>
      <c r="AE798" s="188"/>
      <c r="AG798" s="374" t="s">
        <v>298</v>
      </c>
      <c r="AH798" s="374"/>
      <c r="AI798" s="374"/>
    </row>
    <row r="799" spans="15:43" s="115" customFormat="1">
      <c r="O799" s="91"/>
      <c r="X799" s="115">
        <f t="shared" si="131"/>
        <v>0</v>
      </c>
      <c r="Y799" s="115">
        <f t="shared" si="132"/>
        <v>0</v>
      </c>
      <c r="Z799" s="115" t="e">
        <f t="shared" si="133"/>
        <v>#VALUE!</v>
      </c>
      <c r="AA799" s="115">
        <f t="shared" si="134"/>
        <v>0</v>
      </c>
      <c r="AB799" s="246"/>
      <c r="AD799" s="188"/>
      <c r="AE799" s="188"/>
    </row>
    <row r="800" spans="15:43" s="115" customFormat="1">
      <c r="O800" s="91"/>
      <c r="X800" s="115">
        <f t="shared" si="131"/>
        <v>0</v>
      </c>
      <c r="Y800" s="115">
        <f t="shared" si="132"/>
        <v>0</v>
      </c>
      <c r="Z800" s="115" t="e">
        <f t="shared" si="133"/>
        <v>#VALUE!</v>
      </c>
      <c r="AA800" s="115">
        <f t="shared" si="134"/>
        <v>0</v>
      </c>
      <c r="AB800" s="246"/>
      <c r="AD800" s="374" t="s">
        <v>269</v>
      </c>
      <c r="AE800" s="374"/>
      <c r="AF800" s="374"/>
      <c r="AG800" s="115">
        <f>COUNTIFS(D:D,"DD",M:M,"STANCO",R:R,"Parem",S:S,"Väljakeriv")</f>
        <v>0</v>
      </c>
    </row>
    <row r="801" spans="15:43" s="115" customFormat="1">
      <c r="O801" s="91"/>
      <c r="X801" s="115">
        <f t="shared" si="131"/>
        <v>0</v>
      </c>
      <c r="Y801" s="115">
        <f t="shared" si="132"/>
        <v>0</v>
      </c>
      <c r="Z801" s="115" t="e">
        <f t="shared" si="133"/>
        <v>#VALUE!</v>
      </c>
      <c r="AA801" s="115">
        <f t="shared" si="134"/>
        <v>0</v>
      </c>
      <c r="AB801" s="246"/>
      <c r="AD801" s="188"/>
      <c r="AE801" s="188"/>
    </row>
    <row r="802" spans="15:43" s="115" customFormat="1">
      <c r="O802" s="91"/>
      <c r="X802" s="115">
        <f t="shared" si="131"/>
        <v>0</v>
      </c>
      <c r="Y802" s="115">
        <f t="shared" si="132"/>
        <v>0</v>
      </c>
      <c r="Z802" s="115" t="e">
        <f t="shared" si="133"/>
        <v>#VALUE!</v>
      </c>
      <c r="AA802" s="115">
        <f t="shared" si="134"/>
        <v>0</v>
      </c>
      <c r="AB802" s="246"/>
      <c r="AD802" s="374" t="s">
        <v>270</v>
      </c>
      <c r="AE802" s="374"/>
      <c r="AF802" s="374"/>
      <c r="AG802" s="115">
        <f>COUNTIFS(D:D,"DD",M:M,"STANCO",R:R,"Parem",Q:Q,"6",S:S,"Väljakeriv")</f>
        <v>0</v>
      </c>
      <c r="AI802" s="374" t="s">
        <v>270</v>
      </c>
      <c r="AJ802" s="374"/>
      <c r="AK802" s="374"/>
      <c r="AL802" s="115">
        <f>COUNTIFS(D:D,"DD",M:M,"STANCO",R:R,"Parem",Q:Q,"3",S:S,"Väljakeriv")</f>
        <v>0</v>
      </c>
      <c r="AN802" s="374" t="s">
        <v>270</v>
      </c>
      <c r="AO802" s="374"/>
      <c r="AP802" s="374"/>
      <c r="AQ802" s="115">
        <f>COUNTIFS(D:D,"DD",M:M,"STANCO",R:R,"Parem",Q:Q,"1",S:S,"Väljakeriv")</f>
        <v>0</v>
      </c>
    </row>
    <row r="803" spans="15:43" s="115" customFormat="1">
      <c r="O803" s="91"/>
      <c r="X803" s="115">
        <f t="shared" si="131"/>
        <v>0</v>
      </c>
      <c r="Y803" s="115">
        <f t="shared" si="132"/>
        <v>0</v>
      </c>
      <c r="Z803" s="115" t="e">
        <f t="shared" si="133"/>
        <v>#VALUE!</v>
      </c>
      <c r="AA803" s="115">
        <f t="shared" si="134"/>
        <v>0</v>
      </c>
      <c r="AB803" s="246"/>
      <c r="AD803" s="374" t="s">
        <v>271</v>
      </c>
      <c r="AE803" s="374"/>
      <c r="AF803" s="374"/>
      <c r="AG803" s="115">
        <f>COUNTIFS(D:D,"DD",M:M,"STANCO",R:R,"Parem",P:P,"JAH",Q:Q,"6",S:S,"Väljakeriv")</f>
        <v>0</v>
      </c>
      <c r="AI803" s="374" t="s">
        <v>271</v>
      </c>
      <c r="AJ803" s="374"/>
      <c r="AK803" s="374"/>
      <c r="AL803" s="115">
        <f>COUNTIFS(D:D,"DD",M:M,"STANCO",R:R,"Parem",P:P,"JAH",Q:Q,"3",S:S,"Väljakeriv")</f>
        <v>0</v>
      </c>
      <c r="AN803" s="374" t="s">
        <v>271</v>
      </c>
      <c r="AO803" s="374"/>
      <c r="AP803" s="374"/>
      <c r="AQ803" s="115">
        <f>COUNTIFS(D:D,"DD",M:M,"STANCO",R:R,"Parem",P:P,"JAH",Q:Q,"1",S:S,"Väljakeriv")</f>
        <v>0</v>
      </c>
    </row>
    <row r="804" spans="15:43" s="115" customFormat="1">
      <c r="O804" s="91"/>
      <c r="X804" s="115">
        <f t="shared" si="131"/>
        <v>0</v>
      </c>
      <c r="Y804" s="115">
        <f t="shared" si="132"/>
        <v>0</v>
      </c>
      <c r="Z804" s="115" t="e">
        <f t="shared" si="133"/>
        <v>#VALUE!</v>
      </c>
      <c r="AA804" s="115">
        <f t="shared" si="134"/>
        <v>0</v>
      </c>
      <c r="AB804" s="246"/>
      <c r="AD804" s="374" t="s">
        <v>272</v>
      </c>
      <c r="AE804" s="374"/>
      <c r="AF804" s="374"/>
      <c r="AG804" s="151" t="e">
        <f>AG803/AG802</f>
        <v>#DIV/0!</v>
      </c>
      <c r="AI804" s="374" t="s">
        <v>272</v>
      </c>
      <c r="AJ804" s="374"/>
      <c r="AK804" s="374"/>
      <c r="AL804" s="151" t="e">
        <f>AL803/AL802</f>
        <v>#DIV/0!</v>
      </c>
      <c r="AN804" s="374" t="s">
        <v>272</v>
      </c>
      <c r="AO804" s="374"/>
      <c r="AP804" s="374"/>
      <c r="AQ804" s="151" t="e">
        <f>AQ803/AQ802</f>
        <v>#DIV/0!</v>
      </c>
    </row>
    <row r="805" spans="15:43" s="115" customFormat="1">
      <c r="O805" s="91"/>
      <c r="X805" s="115">
        <f t="shared" si="131"/>
        <v>0</v>
      </c>
      <c r="Y805" s="115">
        <f t="shared" si="132"/>
        <v>0</v>
      </c>
      <c r="Z805" s="115" t="e">
        <f t="shared" si="133"/>
        <v>#VALUE!</v>
      </c>
      <c r="AA805" s="115">
        <f t="shared" si="134"/>
        <v>0</v>
      </c>
      <c r="AB805" s="246"/>
      <c r="AD805" s="374" t="s">
        <v>724</v>
      </c>
      <c r="AE805" s="374"/>
      <c r="AF805" s="374"/>
      <c r="AG805" s="115">
        <f>COUNTIFS(D:D,"DD",M:M,"STANCO",R:R,"Parem",F:F,"ATONGOAL",Q:Q,"6",S:S,"Väljakeriv")</f>
        <v>0</v>
      </c>
      <c r="AI805" s="374" t="s">
        <v>724</v>
      </c>
      <c r="AJ805" s="374"/>
      <c r="AK805" s="374"/>
      <c r="AL805" s="115">
        <f>COUNTIFS(D:D,"DD",M:M,"STANCO",R:R,"Parem",F:F,"ATONGOAL",Q:Q,"3",S:S,"Väljakeriv")</f>
        <v>0</v>
      </c>
      <c r="AN805" s="374" t="s">
        <v>724</v>
      </c>
      <c r="AO805" s="374"/>
      <c r="AP805" s="374"/>
      <c r="AQ805" s="115">
        <f>COUNTIFS(D:D,"DD",M:M,"STANCO",R:R,"Parem",F:F,"ATONGOAL",Q:Q,"1",S:S,"Väljakeriv")</f>
        <v>0</v>
      </c>
    </row>
    <row r="806" spans="15:43" s="115" customFormat="1">
      <c r="O806" s="91"/>
      <c r="X806" s="115">
        <f t="shared" si="131"/>
        <v>0</v>
      </c>
      <c r="Y806" s="115">
        <f t="shared" si="132"/>
        <v>0</v>
      </c>
      <c r="Z806" s="115" t="e">
        <f t="shared" si="133"/>
        <v>#VALUE!</v>
      </c>
      <c r="AA806" s="115">
        <f t="shared" si="134"/>
        <v>0</v>
      </c>
      <c r="AB806" s="246"/>
      <c r="AD806" s="374" t="s">
        <v>314</v>
      </c>
      <c r="AE806" s="374"/>
      <c r="AF806" s="374"/>
      <c r="AG806" s="115">
        <f>COUNTIFS(D:D,"DD",M:M,"STANCO",R:R,"Parem",F:F,"ATONGOAL",Q:Q,"6",S:S,"Väljakeriv")+COUNTIFS(D:D,"DD",M:M,"STANCO",R:R,"Parem",F:F,"ATON",Q:Q,"6",S:S,"Väljakeriv")+COUNTIFS(D:D,"DD",M:M,"STANCO",R:R,"Parem",F:F,"ATOF",Q:Q,"6",S:S,"Väljakeriv")+COUNTIFS(D:D,"DD",M:M,"STANCO",R:R,"Parem",F:F,"ATBK",Q:Q,"6",S:S,"Väljakeriv")</f>
        <v>0</v>
      </c>
      <c r="AI806" s="374" t="s">
        <v>314</v>
      </c>
      <c r="AJ806" s="374"/>
      <c r="AK806" s="374"/>
      <c r="AL806" s="115">
        <f>COUNTIFS(D:D,"DD",M:M,"STANCO",R:R,"Parem",F:F,"ATONGOAL",Q:Q,"3",S:S,"Väljakeriv")+COUNTIFS(D:D,"DD",M:M,"STANCO",R:R,"Parem",F:F,"ATON",Q:Q,"3",S:S,"Väljakeriv")+COUNTIFS(D:D,"DD",M:M,"STANCO",R:R,"Parem",F:F,"ATOF",Q:Q,"3",S:S,"Väljakeriv")+COUNTIFS(D:D,"DD",M:M,"STANCO",R:R,"Parem",F:F,"ATBK",Q:Q,"3",S:S,"Väljakeriv")</f>
        <v>0</v>
      </c>
      <c r="AN806" s="374" t="s">
        <v>314</v>
      </c>
      <c r="AO806" s="374"/>
      <c r="AP806" s="374"/>
      <c r="AQ806" s="115">
        <f>COUNTIFS(D:D,"DD",M:M,"STANCO",R:R,"Parem",F:F,"ATONGOAL",Q:Q,"1",S:S,"Väljakeriv")+COUNTIFS(D:D,"DD",M:M,"STANCO",R:R,"Parem",F:F,"ATON",Q:Q,"1",S:S,"Väljakeriv")+COUNTIFS(D:D,"DD",M:M,"STANCO",R:R,"Parem",F:F,"ATOF",Q:Q,"1",S:S,"Väljakeriv")+COUNTIFS(D:D,"DD",M:M,"STANCO",R:R,"Parem",F:F,"ATBK",Q:Q,"1",S:S,"Väljakeriv")</f>
        <v>0</v>
      </c>
    </row>
    <row r="807" spans="15:43" s="115" customFormat="1">
      <c r="O807" s="91"/>
      <c r="X807" s="115">
        <f t="shared" si="131"/>
        <v>0</v>
      </c>
      <c r="Y807" s="115">
        <f t="shared" si="132"/>
        <v>0</v>
      </c>
      <c r="Z807" s="115" t="e">
        <f t="shared" si="133"/>
        <v>#VALUE!</v>
      </c>
      <c r="AA807" s="115">
        <f t="shared" si="134"/>
        <v>0</v>
      </c>
      <c r="AB807" s="246"/>
      <c r="AD807" s="374"/>
      <c r="AE807" s="374"/>
      <c r="AF807" s="374"/>
      <c r="AI807" s="374"/>
      <c r="AJ807" s="374"/>
      <c r="AK807" s="374"/>
      <c r="AN807" s="374"/>
      <c r="AO807" s="374"/>
      <c r="AP807" s="374"/>
    </row>
    <row r="808" spans="15:43" s="115" customFormat="1">
      <c r="O808" s="91"/>
      <c r="X808" s="115">
        <f t="shared" si="131"/>
        <v>0</v>
      </c>
      <c r="Y808" s="115">
        <f t="shared" si="132"/>
        <v>0</v>
      </c>
      <c r="Z808" s="115" t="e">
        <f t="shared" si="133"/>
        <v>#VALUE!</v>
      </c>
      <c r="AA808" s="115">
        <f t="shared" si="134"/>
        <v>0</v>
      </c>
      <c r="AB808" s="246"/>
      <c r="AD808" s="188"/>
      <c r="AE808" s="188"/>
    </row>
    <row r="809" spans="15:43" s="115" customFormat="1">
      <c r="O809" s="91"/>
      <c r="X809" s="115">
        <f t="shared" si="131"/>
        <v>0</v>
      </c>
      <c r="Y809" s="115">
        <f t="shared" si="132"/>
        <v>0</v>
      </c>
      <c r="Z809" s="115" t="e">
        <f t="shared" si="133"/>
        <v>#VALUE!</v>
      </c>
      <c r="AA809" s="115">
        <f t="shared" si="134"/>
        <v>0</v>
      </c>
      <c r="AB809" s="246"/>
      <c r="AD809" s="374" t="s">
        <v>270</v>
      </c>
      <c r="AE809" s="374"/>
      <c r="AF809" s="374"/>
      <c r="AG809" s="115">
        <f>COUNTIFS(D:D,"DD",M:M,"STANCO",R:R,"Parem",Q:Q,"5",S:S,"Väljakeriv")</f>
        <v>0</v>
      </c>
      <c r="AI809" s="374" t="s">
        <v>270</v>
      </c>
      <c r="AJ809" s="374"/>
      <c r="AK809" s="374"/>
      <c r="AL809" s="115">
        <f>COUNTIFS(D:D,"DD",M:M,"STANCO",R:R,"Parem",Q:Q,"4",S:S,"Väljakeriv")</f>
        <v>0</v>
      </c>
      <c r="AN809" s="374" t="s">
        <v>270</v>
      </c>
      <c r="AO809" s="374"/>
      <c r="AP809" s="374"/>
      <c r="AQ809" s="115">
        <f>COUNTIFS(D:D,"DD",M:M,"STANCO",R:R,"Parem",Q:Q,"2",S:S,"Väljakeriv")</f>
        <v>0</v>
      </c>
    </row>
    <row r="810" spans="15:43" s="115" customFormat="1">
      <c r="O810" s="91"/>
      <c r="X810" s="115">
        <f t="shared" si="131"/>
        <v>0</v>
      </c>
      <c r="Y810" s="115">
        <f t="shared" si="132"/>
        <v>0</v>
      </c>
      <c r="Z810" s="115" t="e">
        <f t="shared" si="133"/>
        <v>#VALUE!</v>
      </c>
      <c r="AA810" s="115">
        <f t="shared" si="134"/>
        <v>0</v>
      </c>
      <c r="AB810" s="246"/>
      <c r="AD810" s="374" t="s">
        <v>271</v>
      </c>
      <c r="AE810" s="374"/>
      <c r="AF810" s="374"/>
      <c r="AG810" s="115">
        <f>COUNTIFS(D:D,"DD",M:M,"STANCO",R:R,"Parem",P:P,"JAH",Q:Q,"5",S:S,"Väljakeriv")</f>
        <v>0</v>
      </c>
      <c r="AI810" s="374" t="s">
        <v>271</v>
      </c>
      <c r="AJ810" s="374"/>
      <c r="AK810" s="374"/>
      <c r="AL810" s="115">
        <f>COUNTIFS(D:D,"DD",M:M,"STANCO",R:R,"Parem",P:P,"JAH",Q:Q,"4",S:S,"Väljakeriv")</f>
        <v>0</v>
      </c>
      <c r="AN810" s="374" t="s">
        <v>271</v>
      </c>
      <c r="AO810" s="374"/>
      <c r="AP810" s="374"/>
      <c r="AQ810" s="115">
        <f>COUNTIFS(D:D,"DD",M:M,"STANCO",R:R,"Parem",P:P,"JAH",Q:Q,"2",S:S,"Väljakeriv")</f>
        <v>0</v>
      </c>
    </row>
    <row r="811" spans="15:43" s="115" customFormat="1">
      <c r="O811" s="91"/>
      <c r="X811" s="115">
        <f t="shared" si="131"/>
        <v>0</v>
      </c>
      <c r="Y811" s="115">
        <f t="shared" si="132"/>
        <v>0</v>
      </c>
      <c r="Z811" s="115" t="e">
        <f t="shared" si="133"/>
        <v>#VALUE!</v>
      </c>
      <c r="AA811" s="115">
        <f t="shared" si="134"/>
        <v>0</v>
      </c>
      <c r="AB811" s="246"/>
      <c r="AD811" s="374" t="s">
        <v>272</v>
      </c>
      <c r="AE811" s="374"/>
      <c r="AF811" s="374"/>
      <c r="AG811" s="151" t="e">
        <f>AG810/AG809</f>
        <v>#DIV/0!</v>
      </c>
      <c r="AI811" s="374" t="s">
        <v>272</v>
      </c>
      <c r="AJ811" s="374"/>
      <c r="AK811" s="374"/>
      <c r="AL811" s="151" t="e">
        <f>AL810/AL809</f>
        <v>#DIV/0!</v>
      </c>
      <c r="AN811" s="374" t="s">
        <v>272</v>
      </c>
      <c r="AO811" s="374"/>
      <c r="AP811" s="374"/>
      <c r="AQ811" s="151" t="e">
        <f>AQ810/AQ809</f>
        <v>#DIV/0!</v>
      </c>
    </row>
    <row r="812" spans="15:43" s="115" customFormat="1">
      <c r="O812" s="91"/>
      <c r="X812" s="115">
        <f t="shared" si="131"/>
        <v>0</v>
      </c>
      <c r="Y812" s="115">
        <f t="shared" si="132"/>
        <v>0</v>
      </c>
      <c r="Z812" s="115" t="e">
        <f t="shared" si="133"/>
        <v>#VALUE!</v>
      </c>
      <c r="AA812" s="115">
        <f t="shared" si="134"/>
        <v>0</v>
      </c>
      <c r="AB812" s="246"/>
      <c r="AD812" s="374" t="s">
        <v>724</v>
      </c>
      <c r="AE812" s="374"/>
      <c r="AF812" s="374"/>
      <c r="AG812" s="115">
        <f>COUNTIFS(D:D,"DD",M:M,"STANCO",R:R,"Parem",F:F,"ATONGOAL",Q:Q,"5",S:S,"Väljakeriv")</f>
        <v>0</v>
      </c>
      <c r="AI812" s="374" t="s">
        <v>724</v>
      </c>
      <c r="AJ812" s="374"/>
      <c r="AK812" s="374"/>
      <c r="AL812" s="115">
        <f>COUNTIFS(D:D,"DD",M:M,"STANCO",R:R,"Parem",F:F,"ATONGOAL",Q:Q,"4",S:S,"Väljakeriv")</f>
        <v>0</v>
      </c>
      <c r="AN812" s="374" t="s">
        <v>724</v>
      </c>
      <c r="AO812" s="374"/>
      <c r="AP812" s="374"/>
      <c r="AQ812" s="115">
        <f>COUNTIFS(D:D,"DD",M:M,"STANCO",R:R,"Parem",F:F,"ATONGOAL",Q:Q,"2",S:S,"Väljakeriv")</f>
        <v>0</v>
      </c>
    </row>
    <row r="813" spans="15:43" s="115" customFormat="1">
      <c r="O813" s="91"/>
      <c r="X813" s="115">
        <f t="shared" si="131"/>
        <v>0</v>
      </c>
      <c r="Y813" s="115">
        <f t="shared" si="132"/>
        <v>0</v>
      </c>
      <c r="Z813" s="115" t="e">
        <f t="shared" si="133"/>
        <v>#VALUE!</v>
      </c>
      <c r="AA813" s="115">
        <f t="shared" si="134"/>
        <v>0</v>
      </c>
      <c r="AB813" s="246"/>
      <c r="AD813" s="374" t="s">
        <v>314</v>
      </c>
      <c r="AE813" s="374"/>
      <c r="AF813" s="374"/>
      <c r="AG813" s="115">
        <f>COUNTIFS(D:D,"DD",M:M,"STANCO",R:R,"Parem",F:F,"ATONGOAL",Q:Q,"5",S:S,"Väljakeriv")+COUNTIFS(D:D,"DD",M:M,"STANCO",R:R,"Parem",F:F,"ATON",Q:Q,"5",S:S,"Väljakeriv")+COUNTIFS(D:D,"DD",M:M,"STANCO",R:R,"Parem",F:F,"ATOF",Q:Q,"5",S:S,"Väljakeriv")+COUNTIFS(D:D,"DD",M:M,"STANCO",R:R,"Parem",F:F,"ATBK",Q:Q,"5",S:S,"Väljakeriv")</f>
        <v>0</v>
      </c>
      <c r="AI813" s="374" t="s">
        <v>314</v>
      </c>
      <c r="AJ813" s="374"/>
      <c r="AK813" s="374"/>
      <c r="AL813" s="115">
        <f>COUNTIFS(D:D,"DD",M:M,"STANCO",R:R,"Parem",F:F,"ATONGOAL",Q:Q,"4",S:S,"Väljakeriv")+COUNTIFS(D:D,"DD",M:M,"STANCO",R:R,"Parem",F:F,"ATON",Q:Q,"4",S:S,"Väljakeriv")+COUNTIFS(D:D,"DD",M:M,"STANCO",R:R,"Parem",F:F,"ATOF",Q:Q,"4",S:S,"Väljakeriv")+COUNTIFS(D:D,"DD",M:M,"STANCO",R:R,"Parem",F:F,"ATBK",Q:Q,"4",S:S,"Väljakeriv")</f>
        <v>0</v>
      </c>
      <c r="AN813" s="374" t="s">
        <v>314</v>
      </c>
      <c r="AO813" s="374"/>
      <c r="AP813" s="374"/>
      <c r="AQ813" s="115">
        <f>COUNTIFS(D:D,"DD",M:M,"STANCO",R:R,"Parem",F:F,"ATONGOAL",Q:Q,"2",S:S,"Väljakeriv")+COUNTIFS(D:D,"DD",M:M,"STANCO",R:R,"Parem",F:F,"ATON",Q:Q,"2",S:S,"Väljakeriv")+COUNTIFS(D:D,"DD",M:M,"STANCO",R:R,"Parem",F:F,"ATOF",Q:Q,"2",S:S,"Väljakeriv")+COUNTIFS(D:D,"DD",M:M,"STANCO",R:R,"Parem",F:F,"ATBK",Q:Q,"2",S:S,"Väljakeriv")</f>
        <v>0</v>
      </c>
    </row>
    <row r="814" spans="15:43" s="115" customFormat="1">
      <c r="O814" s="91"/>
      <c r="X814" s="115">
        <f t="shared" si="131"/>
        <v>0</v>
      </c>
      <c r="Y814" s="115">
        <f t="shared" si="132"/>
        <v>0</v>
      </c>
      <c r="Z814" s="115" t="e">
        <f t="shared" si="133"/>
        <v>#VALUE!</v>
      </c>
      <c r="AA814" s="115">
        <f t="shared" si="134"/>
        <v>0</v>
      </c>
      <c r="AB814" s="246"/>
      <c r="AD814" s="374"/>
      <c r="AE814" s="374"/>
      <c r="AF814" s="374"/>
      <c r="AI814" s="374"/>
      <c r="AJ814" s="374"/>
      <c r="AK814" s="374"/>
      <c r="AN814" s="374"/>
      <c r="AO814" s="374"/>
      <c r="AP814" s="374"/>
    </row>
    <row r="815" spans="15:43" s="115" customFormat="1">
      <c r="O815" s="91"/>
      <c r="X815" s="115">
        <f t="shared" si="131"/>
        <v>0</v>
      </c>
      <c r="Y815" s="115">
        <f t="shared" si="132"/>
        <v>0</v>
      </c>
      <c r="Z815" s="115" t="e">
        <f t="shared" si="133"/>
        <v>#VALUE!</v>
      </c>
      <c r="AA815" s="115">
        <f t="shared" si="134"/>
        <v>0</v>
      </c>
      <c r="AB815" s="246"/>
      <c r="AD815" s="188"/>
      <c r="AE815" s="188"/>
    </row>
    <row r="816" spans="15:43" s="115" customFormat="1">
      <c r="O816" s="91"/>
      <c r="X816" s="115">
        <f t="shared" si="131"/>
        <v>0</v>
      </c>
      <c r="Y816" s="115">
        <f t="shared" si="132"/>
        <v>0</v>
      </c>
      <c r="Z816" s="115" t="e">
        <f t="shared" si="133"/>
        <v>#VALUE!</v>
      </c>
      <c r="AA816" s="115">
        <f t="shared" si="134"/>
        <v>0</v>
      </c>
      <c r="AB816" s="246"/>
      <c r="AD816" s="188"/>
      <c r="AE816" s="188"/>
    </row>
    <row r="817" spans="15:43" s="115" customFormat="1">
      <c r="O817" s="91"/>
      <c r="X817" s="115">
        <f t="shared" si="131"/>
        <v>0</v>
      </c>
      <c r="Y817" s="115">
        <f t="shared" si="132"/>
        <v>0</v>
      </c>
      <c r="Z817" s="115" t="e">
        <f t="shared" si="133"/>
        <v>#VALUE!</v>
      </c>
      <c r="AA817" s="115">
        <f t="shared" si="134"/>
        <v>0</v>
      </c>
      <c r="AB817" s="246"/>
      <c r="AD817" s="374" t="s">
        <v>273</v>
      </c>
      <c r="AE817" s="374"/>
      <c r="AF817" s="374"/>
      <c r="AG817" s="115">
        <f>COUNTIFS(D:D,"DD",M:M,"STANCO",R:R,"Vasak",S:S,"Väljakeriv")</f>
        <v>0</v>
      </c>
    </row>
    <row r="818" spans="15:43" s="115" customFormat="1">
      <c r="O818" s="91"/>
      <c r="X818" s="115">
        <f t="shared" si="131"/>
        <v>0</v>
      </c>
      <c r="Y818" s="115">
        <f t="shared" si="132"/>
        <v>0</v>
      </c>
      <c r="Z818" s="115" t="e">
        <f t="shared" si="133"/>
        <v>#VALUE!</v>
      </c>
      <c r="AA818" s="115">
        <f t="shared" si="134"/>
        <v>0</v>
      </c>
      <c r="AB818" s="246"/>
      <c r="AD818" s="188"/>
      <c r="AE818" s="188"/>
    </row>
    <row r="819" spans="15:43" s="115" customFormat="1">
      <c r="O819" s="91"/>
      <c r="X819" s="115">
        <f t="shared" si="131"/>
        <v>0</v>
      </c>
      <c r="Y819" s="115">
        <f t="shared" si="132"/>
        <v>0</v>
      </c>
      <c r="Z819" s="115" t="e">
        <f t="shared" si="133"/>
        <v>#VALUE!</v>
      </c>
      <c r="AA819" s="115">
        <f t="shared" si="134"/>
        <v>0</v>
      </c>
      <c r="AB819" s="246"/>
      <c r="AD819" s="374" t="s">
        <v>270</v>
      </c>
      <c r="AE819" s="374"/>
      <c r="AF819" s="374"/>
      <c r="AG819" s="115">
        <f>COUNTIFS(D:D,"DD",M:M,"STANCO",R:R,"Vasak",Q:Q,"6",S:S,"Väljakeriv")</f>
        <v>0</v>
      </c>
      <c r="AI819" s="374" t="s">
        <v>270</v>
      </c>
      <c r="AJ819" s="374"/>
      <c r="AK819" s="374"/>
      <c r="AL819" s="115">
        <f>COUNTIFS(D:D,"DD",M:M,"STANCO",R:R,"Vasak",Q:Q,"3",S:S,"Väljakeriv")</f>
        <v>0</v>
      </c>
      <c r="AN819" s="374" t="s">
        <v>270</v>
      </c>
      <c r="AO819" s="374"/>
      <c r="AP819" s="374"/>
      <c r="AQ819" s="115">
        <f>COUNTIFS(D:D,"DD",M:M,"STANCO",R:R,"Vasak",Q:Q,"1",S:S,"Väljakeriv")</f>
        <v>0</v>
      </c>
    </row>
    <row r="820" spans="15:43" s="115" customFormat="1">
      <c r="O820" s="91"/>
      <c r="X820" s="115">
        <f t="shared" si="131"/>
        <v>0</v>
      </c>
      <c r="Y820" s="115">
        <f t="shared" si="132"/>
        <v>0</v>
      </c>
      <c r="Z820" s="115" t="e">
        <f t="shared" si="133"/>
        <v>#VALUE!</v>
      </c>
      <c r="AA820" s="115">
        <f t="shared" si="134"/>
        <v>0</v>
      </c>
      <c r="AB820" s="246"/>
      <c r="AD820" s="374" t="s">
        <v>271</v>
      </c>
      <c r="AE820" s="374"/>
      <c r="AF820" s="374"/>
      <c r="AG820" s="115">
        <f>COUNTIFS(D:D,"DD",M:M,"STANCO",R:R,"Vasak",P:P,"JAH",Q:Q,"6",S:S,"Väljakeriv")</f>
        <v>0</v>
      </c>
      <c r="AI820" s="374" t="s">
        <v>271</v>
      </c>
      <c r="AJ820" s="374"/>
      <c r="AK820" s="374"/>
      <c r="AL820" s="115">
        <f>COUNTIFS(D:D,"DD",M:M,"STANCO",R:R,"Vasak",P:P,"JAH",Q:Q,"3",S:S,"Väljakeriv")</f>
        <v>0</v>
      </c>
      <c r="AN820" s="374" t="s">
        <v>271</v>
      </c>
      <c r="AO820" s="374"/>
      <c r="AP820" s="374"/>
      <c r="AQ820" s="115">
        <f>COUNTIFS(D:D,"DD",M:M,"STANCO",R:R,"Vasak",P:P,"JAH",Q:Q,"1",S:S,"Väljakeriv")</f>
        <v>0</v>
      </c>
    </row>
    <row r="821" spans="15:43" s="115" customFormat="1">
      <c r="O821" s="91"/>
      <c r="X821" s="115">
        <f t="shared" si="131"/>
        <v>0</v>
      </c>
      <c r="Y821" s="115">
        <f t="shared" si="132"/>
        <v>0</v>
      </c>
      <c r="Z821" s="115" t="e">
        <f t="shared" si="133"/>
        <v>#VALUE!</v>
      </c>
      <c r="AA821" s="115">
        <f t="shared" si="134"/>
        <v>0</v>
      </c>
      <c r="AB821" s="246"/>
      <c r="AD821" s="374" t="s">
        <v>272</v>
      </c>
      <c r="AE821" s="374"/>
      <c r="AF821" s="374"/>
      <c r="AG821" s="151" t="e">
        <f>AG820/AG819</f>
        <v>#DIV/0!</v>
      </c>
      <c r="AI821" s="374" t="s">
        <v>272</v>
      </c>
      <c r="AJ821" s="374"/>
      <c r="AK821" s="374"/>
      <c r="AL821" s="151" t="e">
        <f>AL820/AL819</f>
        <v>#DIV/0!</v>
      </c>
      <c r="AN821" s="374" t="s">
        <v>272</v>
      </c>
      <c r="AO821" s="374"/>
      <c r="AP821" s="374"/>
      <c r="AQ821" s="151" t="e">
        <f>AQ820/AQ819</f>
        <v>#DIV/0!</v>
      </c>
    </row>
    <row r="822" spans="15:43" s="115" customFormat="1">
      <c r="O822" s="91"/>
      <c r="X822" s="115">
        <f t="shared" si="131"/>
        <v>0</v>
      </c>
      <c r="Y822" s="115">
        <f t="shared" si="132"/>
        <v>0</v>
      </c>
      <c r="Z822" s="115" t="e">
        <f t="shared" si="133"/>
        <v>#VALUE!</v>
      </c>
      <c r="AA822" s="115">
        <f t="shared" si="134"/>
        <v>0</v>
      </c>
      <c r="AB822" s="246"/>
      <c r="AD822" s="374" t="s">
        <v>724</v>
      </c>
      <c r="AE822" s="374"/>
      <c r="AF822" s="374"/>
      <c r="AG822" s="115">
        <f>COUNTIFS(D:D,"DD",M:M,"STANCO",R:R,"Vasak",F:F,"ATONGOAL",Q:Q,"6",S:S,"Väljakeriv")</f>
        <v>0</v>
      </c>
      <c r="AI822" s="374" t="s">
        <v>724</v>
      </c>
      <c r="AJ822" s="374"/>
      <c r="AK822" s="374"/>
      <c r="AL822" s="115">
        <f>COUNTIFS(D:D,"DD",M:M,"STANCO",R:R,"Vasak",F:F,"ATONGOAL",Q:Q,"3",S:S,"Väljakeriv")</f>
        <v>0</v>
      </c>
      <c r="AN822" s="374" t="s">
        <v>724</v>
      </c>
      <c r="AO822" s="374"/>
      <c r="AP822" s="374"/>
      <c r="AQ822" s="115">
        <f>COUNTIFS(D:D,"DD",M:M,"STANCO",R:R,"Vasak",F:F,"ATONGOAL",Q:Q,"1",S:S,"Väljakeriv")</f>
        <v>0</v>
      </c>
    </row>
    <row r="823" spans="15:43" s="115" customFormat="1">
      <c r="O823" s="91"/>
      <c r="X823" s="115">
        <f t="shared" si="131"/>
        <v>0</v>
      </c>
      <c r="Y823" s="115">
        <f t="shared" si="132"/>
        <v>0</v>
      </c>
      <c r="Z823" s="115" t="e">
        <f t="shared" si="133"/>
        <v>#VALUE!</v>
      </c>
      <c r="AA823" s="115">
        <f t="shared" si="134"/>
        <v>0</v>
      </c>
      <c r="AB823" s="246"/>
      <c r="AD823" s="374" t="s">
        <v>314</v>
      </c>
      <c r="AE823" s="374"/>
      <c r="AF823" s="374"/>
      <c r="AG823" s="115">
        <f>COUNTIFS(D:D,"DD",M:M,"STANCO",R:R,"Vasak",F:F,"ATONGOAL",Q:Q,"6",S:S,"Väljakeriv")+COUNTIFS(D:D,"DD",M:M,"STANCO",R:R,"Vasak",F:F,"ATON",Q:Q,"6",S:S,"Väljakeriv")+COUNTIFS(D:D,"DD",M:M,"STANCO",R:R,"Vasak",F:F,"ATOF",Q:Q,"6",S:S,"Väljakeriv")+COUNTIFS(D:D,"DD",M:M,"STANCO",R:R,"Vasak",F:F,"ATBK",Q:Q,"6",S:S,"Väljakeriv")</f>
        <v>0</v>
      </c>
      <c r="AI823" s="374" t="s">
        <v>314</v>
      </c>
      <c r="AJ823" s="374"/>
      <c r="AK823" s="374"/>
      <c r="AL823" s="115">
        <f>COUNTIFS(D:D,"DD",M:M,"STANCO",R:R,"Vasak",F:F,"ATONGOAL",Q:Q,"3",S:S,"Väljakeriv")+COUNTIFS(D:D,"DD",M:M,"STANCO",R:R,"Vasak",F:F,"ATON",Q:Q,"3",S:S,"Väljakeriv")+COUNTIFS(D:D,"DD",M:M,"STANCO",R:R,"Vasak",F:F,"ATOF",Q:Q,"3",S:S,"Väljakeriv")+COUNTIFS(D:D,"DD",M:M,"STANCO",R:R,"Vasak",F:F,"ATBK",Q:Q,"3",S:S,"Väljakeriv")</f>
        <v>0</v>
      </c>
      <c r="AN823" s="374" t="s">
        <v>314</v>
      </c>
      <c r="AO823" s="374"/>
      <c r="AP823" s="374"/>
      <c r="AQ823" s="115">
        <f>COUNTIFS(D:D,"DD",M:M,"STANCO",R:R,"Vasak",F:F,"ATONGOAL",Q:Q,"1",S:S,"Väljakeriv")+COUNTIFS(D:D,"DD",M:M,"STANCO",R:R,"Vasak",F:F,"ATON",Q:Q,"1",S:S,"Väljakeriv")+COUNTIFS(D:D,"DD",M:M,"STANCO",R:R,"Vasak",F:F,"ATOF",Q:Q,"1",S:S,"Väljakeriv")+COUNTIFS(D:D,"DD",M:M,"STANCO",R:R,"Vasak",F:F,"ATBK",Q:Q,"1",S:S,"Väljakeriv")</f>
        <v>0</v>
      </c>
    </row>
    <row r="824" spans="15:43" s="115" customFormat="1">
      <c r="O824" s="91"/>
      <c r="X824" s="115">
        <f t="shared" si="131"/>
        <v>0</v>
      </c>
      <c r="Y824" s="115">
        <f t="shared" si="132"/>
        <v>0</v>
      </c>
      <c r="Z824" s="115" t="e">
        <f t="shared" si="133"/>
        <v>#VALUE!</v>
      </c>
      <c r="AA824" s="115">
        <f t="shared" si="134"/>
        <v>0</v>
      </c>
      <c r="AB824" s="246"/>
      <c r="AD824" s="374"/>
      <c r="AE824" s="374"/>
      <c r="AF824" s="374"/>
      <c r="AI824" s="374"/>
      <c r="AJ824" s="374"/>
      <c r="AK824" s="374"/>
      <c r="AN824" s="374"/>
      <c r="AO824" s="374"/>
      <c r="AP824" s="374"/>
    </row>
    <row r="825" spans="15:43" s="115" customFormat="1">
      <c r="O825" s="91"/>
      <c r="X825" s="115">
        <f t="shared" si="131"/>
        <v>0</v>
      </c>
      <c r="Y825" s="115">
        <f t="shared" si="132"/>
        <v>0</v>
      </c>
      <c r="Z825" s="115" t="e">
        <f t="shared" si="133"/>
        <v>#VALUE!</v>
      </c>
      <c r="AA825" s="115">
        <f t="shared" si="134"/>
        <v>0</v>
      </c>
      <c r="AB825" s="246"/>
      <c r="AD825" s="188"/>
      <c r="AE825" s="188"/>
    </row>
    <row r="826" spans="15:43" s="115" customFormat="1">
      <c r="O826" s="91"/>
      <c r="X826" s="115">
        <f t="shared" si="131"/>
        <v>0</v>
      </c>
      <c r="Y826" s="115">
        <f t="shared" si="132"/>
        <v>0</v>
      </c>
      <c r="Z826" s="115" t="e">
        <f t="shared" si="133"/>
        <v>#VALUE!</v>
      </c>
      <c r="AA826" s="115">
        <f t="shared" si="134"/>
        <v>0</v>
      </c>
      <c r="AB826" s="246"/>
      <c r="AD826" s="374" t="s">
        <v>270</v>
      </c>
      <c r="AE826" s="374"/>
      <c r="AF826" s="374"/>
      <c r="AG826" s="115">
        <f>COUNTIFS(D:D,"DD",M:M,"STANCO",R:R,"Vasak",Q:Q,"5",S:S,"Väljakeriv")</f>
        <v>0</v>
      </c>
      <c r="AI826" s="374" t="s">
        <v>270</v>
      </c>
      <c r="AJ826" s="374"/>
      <c r="AK826" s="374"/>
      <c r="AL826" s="115">
        <f>COUNTIFS(D:D,"DD",M:M,"STANCO",R:R,"Vasak",Q:Q,"4",S:S,"Väljakeriv")</f>
        <v>0</v>
      </c>
      <c r="AN826" s="374" t="s">
        <v>270</v>
      </c>
      <c r="AO826" s="374"/>
      <c r="AP826" s="374"/>
      <c r="AQ826" s="115">
        <f>COUNTIFS(D:D,"DD",M:M,"STANCO",R:R,"Vasak",Q:Q,"2",S:S,"Väljakeriv")</f>
        <v>0</v>
      </c>
    </row>
    <row r="827" spans="15:43" s="115" customFormat="1">
      <c r="O827" s="91"/>
      <c r="X827" s="115">
        <f t="shared" si="131"/>
        <v>0</v>
      </c>
      <c r="Y827" s="115">
        <f t="shared" si="132"/>
        <v>0</v>
      </c>
      <c r="Z827" s="115" t="e">
        <f t="shared" si="133"/>
        <v>#VALUE!</v>
      </c>
      <c r="AA827" s="115">
        <f t="shared" si="134"/>
        <v>0</v>
      </c>
      <c r="AB827" s="246"/>
      <c r="AD827" s="374" t="s">
        <v>271</v>
      </c>
      <c r="AE827" s="374"/>
      <c r="AF827" s="374"/>
      <c r="AG827" s="115">
        <f>COUNTIFS(D:D,"DD",M:M,"STANCO",R:R,"Vasak",P:P,"JAH",Q:Q,"5",S:S,"Väljakeriv")</f>
        <v>0</v>
      </c>
      <c r="AI827" s="374" t="s">
        <v>271</v>
      </c>
      <c r="AJ827" s="374"/>
      <c r="AK827" s="374"/>
      <c r="AL827" s="115">
        <f>COUNTIFS(D:D,"DD",M:M,"STANCO",R:R,"Vasak",P:P,"JAH",Q:Q,"4",S:S,"Väljakeriv")</f>
        <v>0</v>
      </c>
      <c r="AN827" s="374" t="s">
        <v>271</v>
      </c>
      <c r="AO827" s="374"/>
      <c r="AP827" s="374"/>
      <c r="AQ827" s="115">
        <f>COUNTIFS(D:D,"DD",M:M,"STANCO",R:R,"Vasak",P:P,"JAH",Q:Q,"2",S:S,"Väljakeriv")</f>
        <v>0</v>
      </c>
    </row>
    <row r="828" spans="15:43" s="115" customFormat="1">
      <c r="O828" s="91"/>
      <c r="X828" s="115">
        <f t="shared" si="131"/>
        <v>0</v>
      </c>
      <c r="Y828" s="115">
        <f t="shared" si="132"/>
        <v>0</v>
      </c>
      <c r="Z828" s="115" t="e">
        <f t="shared" si="133"/>
        <v>#VALUE!</v>
      </c>
      <c r="AA828" s="115">
        <f t="shared" si="134"/>
        <v>0</v>
      </c>
      <c r="AB828" s="246"/>
      <c r="AD828" s="374" t="s">
        <v>272</v>
      </c>
      <c r="AE828" s="374"/>
      <c r="AF828" s="374"/>
      <c r="AG828" s="151" t="e">
        <f>AG827/AG826</f>
        <v>#DIV/0!</v>
      </c>
      <c r="AI828" s="374" t="s">
        <v>272</v>
      </c>
      <c r="AJ828" s="374"/>
      <c r="AK828" s="374"/>
      <c r="AL828" s="151" t="e">
        <f>AL827/AL826</f>
        <v>#DIV/0!</v>
      </c>
      <c r="AN828" s="374" t="s">
        <v>272</v>
      </c>
      <c r="AO828" s="374"/>
      <c r="AP828" s="374"/>
      <c r="AQ828" s="151" t="e">
        <f>AQ827/AQ826</f>
        <v>#DIV/0!</v>
      </c>
    </row>
    <row r="829" spans="15:43" s="115" customFormat="1">
      <c r="O829" s="91"/>
      <c r="X829" s="115">
        <f t="shared" si="131"/>
        <v>0</v>
      </c>
      <c r="Y829" s="115">
        <f t="shared" si="132"/>
        <v>0</v>
      </c>
      <c r="Z829" s="115" t="e">
        <f t="shared" si="133"/>
        <v>#VALUE!</v>
      </c>
      <c r="AA829" s="115">
        <f t="shared" si="134"/>
        <v>0</v>
      </c>
      <c r="AB829" s="246"/>
      <c r="AD829" s="374" t="s">
        <v>724</v>
      </c>
      <c r="AE829" s="374"/>
      <c r="AF829" s="374"/>
      <c r="AG829" s="115">
        <f>COUNTIFS(D:D,"DD",M:M,"STANCO",R:R,"Vasak",F:F,"ATONGOAL",Q:Q,"5",S:S,"Väljakeriv")</f>
        <v>0</v>
      </c>
      <c r="AI829" s="374" t="s">
        <v>724</v>
      </c>
      <c r="AJ829" s="374"/>
      <c r="AK829" s="374"/>
      <c r="AL829" s="115">
        <f>COUNTIFS(D:D,"DD",M:M,"STANCO",R:R,"Vasak",F:F,"ATONGOAL",Q:Q,"4",S:S,"Väljakeriv")</f>
        <v>0</v>
      </c>
      <c r="AN829" s="374" t="s">
        <v>724</v>
      </c>
      <c r="AO829" s="374"/>
      <c r="AP829" s="374"/>
      <c r="AQ829" s="115">
        <f>COUNTIFS(D:D,"DD",M:M,"STANCO",R:R,"Vasak",F:F,"ATONGOAL",Q:Q,"2",S:S,"Väljakeriv")</f>
        <v>0</v>
      </c>
    </row>
    <row r="830" spans="15:43" s="115" customFormat="1">
      <c r="O830" s="91"/>
      <c r="X830" s="115">
        <f t="shared" si="131"/>
        <v>0</v>
      </c>
      <c r="Y830" s="115">
        <f t="shared" si="132"/>
        <v>0</v>
      </c>
      <c r="Z830" s="115" t="e">
        <f t="shared" si="133"/>
        <v>#VALUE!</v>
      </c>
      <c r="AA830" s="115">
        <f t="shared" si="134"/>
        <v>0</v>
      </c>
      <c r="AB830" s="246"/>
      <c r="AD830" s="374" t="s">
        <v>314</v>
      </c>
      <c r="AE830" s="374"/>
      <c r="AF830" s="374"/>
      <c r="AG830" s="115">
        <f>COUNTIFS(D:D,"DD",M:M,"STANCO",R:R,"Vasak",F:F,"ATONGOAL",Q:Q,"5",S:S,"Väljakeriv")+COUNTIFS(D:D,"DD",M:M,"STANCO",R:R,"Vasak",F:F,"ATON",Q:Q,"5",S:S,"Väljakeriv")+COUNTIFS(D:D,"DD",M:M,"STANCO",R:R,"Vasak",F:F,"ATOF",Q:Q,"5",S:S,"Väljakeriv")+COUNTIFS(D:D,"DD",M:M,"STANCO",R:R,"Vasak",F:F,"ATBK",Q:Q,"5",S:S,"Väljakeriv")</f>
        <v>0</v>
      </c>
      <c r="AI830" s="374" t="s">
        <v>314</v>
      </c>
      <c r="AJ830" s="374"/>
      <c r="AK830" s="374"/>
      <c r="AL830" s="115">
        <f>COUNTIFS(D:D,"DD",M:M,"STANCO",R:R,"Vasak",F:F,"ATONGOAL",Q:Q,"4",S:S,"Väljakeriv")+COUNTIFS(D:D,"DD",M:M,"STANCO",R:R,"Vasak",F:F,"ATON",Q:Q,"4",S:S,"Väljakeriv")+COUNTIFS(D:D,"DD",M:M,"STANCO",R:R,"Vasak",F:F,"ATOF",Q:Q,"4",S:S,"Väljakeriv")+COUNTIFS(D:D,"DD",M:M,"STANCO",R:R,"Vasak",F:F,"ATBK",Q:Q,"4",S:S,"Väljakeriv")</f>
        <v>0</v>
      </c>
      <c r="AN830" s="374" t="s">
        <v>314</v>
      </c>
      <c r="AO830" s="374"/>
      <c r="AP830" s="374"/>
      <c r="AQ830" s="115">
        <f>COUNTIFS(D:D,"DD",M:M,"STANCO",R:R,"Vasak",F:F,"ATONGOAL",Q:Q,"2",S:S,"Väljakeriv")+COUNTIFS(D:D,"DD",M:M,"STANCO",R:R,"Vasak",F:F,"ATON",Q:Q,"2",S:S,"Väljakeriv")+COUNTIFS(D:D,"DD",M:M,"STANCO",R:R,"Vasak",F:F,"ATOF",Q:Q,"2",S:S,"Väljakeriv")+COUNTIFS(D:D,"DD",M:M,"STANCO",R:R,"Vasak",F:F,"ATBK",Q:Q,"2",S:S,"Väljakeriv")</f>
        <v>0</v>
      </c>
    </row>
    <row r="831" spans="15:43" s="115" customFormat="1">
      <c r="O831" s="91"/>
      <c r="X831" s="115">
        <f t="shared" si="131"/>
        <v>0</v>
      </c>
      <c r="Y831" s="115">
        <f t="shared" si="132"/>
        <v>0</v>
      </c>
      <c r="Z831" s="115" t="e">
        <f t="shared" si="133"/>
        <v>#VALUE!</v>
      </c>
      <c r="AA831" s="115">
        <f t="shared" si="134"/>
        <v>0</v>
      </c>
      <c r="AB831" s="246"/>
      <c r="AD831" s="374"/>
      <c r="AE831" s="374"/>
      <c r="AF831" s="374"/>
      <c r="AI831" s="374"/>
      <c r="AJ831" s="374"/>
      <c r="AK831" s="374"/>
      <c r="AN831" s="374"/>
      <c r="AO831" s="374"/>
      <c r="AP831" s="374"/>
    </row>
    <row r="832" spans="15:43" s="115" customFormat="1">
      <c r="O832" s="91"/>
      <c r="X832" s="115">
        <f t="shared" si="131"/>
        <v>0</v>
      </c>
      <c r="Y832" s="115">
        <f t="shared" si="132"/>
        <v>0</v>
      </c>
      <c r="Z832" s="115" t="e">
        <f t="shared" si="133"/>
        <v>#VALUE!</v>
      </c>
      <c r="AA832" s="115">
        <f t="shared" si="134"/>
        <v>0</v>
      </c>
      <c r="AB832" s="246"/>
      <c r="AD832" s="242"/>
      <c r="AE832" s="242"/>
      <c r="AF832" s="242"/>
      <c r="AI832" s="242"/>
      <c r="AJ832" s="242"/>
      <c r="AK832" s="242"/>
      <c r="AN832" s="242"/>
      <c r="AO832" s="242"/>
      <c r="AP832" s="242"/>
    </row>
    <row r="833" spans="15:59" s="115" customFormat="1">
      <c r="O833" s="91"/>
      <c r="X833" s="115">
        <f t="shared" si="131"/>
        <v>0</v>
      </c>
      <c r="Y833" s="115">
        <f t="shared" si="132"/>
        <v>0</v>
      </c>
      <c r="Z833" s="115" t="e">
        <f t="shared" si="133"/>
        <v>#VALUE!</v>
      </c>
      <c r="AA833" s="115">
        <f t="shared" si="134"/>
        <v>0</v>
      </c>
      <c r="AB833" s="246"/>
      <c r="AD833" s="242"/>
      <c r="AN833" s="242"/>
      <c r="AO833" s="242"/>
      <c r="AP833" s="242"/>
    </row>
    <row r="834" spans="15:59" s="115" customFormat="1">
      <c r="O834" s="91"/>
      <c r="X834" s="115">
        <f t="shared" si="131"/>
        <v>0</v>
      </c>
      <c r="Y834" s="115">
        <f t="shared" si="132"/>
        <v>0</v>
      </c>
      <c r="Z834" s="115" t="e">
        <f t="shared" si="133"/>
        <v>#VALUE!</v>
      </c>
      <c r="AA834" s="115">
        <f t="shared" si="134"/>
        <v>0</v>
      </c>
      <c r="AB834" s="246"/>
      <c r="AD834" s="242"/>
      <c r="AE834" s="242"/>
      <c r="AF834" s="242"/>
      <c r="AI834" s="242"/>
      <c r="AJ834" s="242"/>
      <c r="AK834" s="242"/>
      <c r="AN834" s="242"/>
      <c r="AO834" s="242"/>
      <c r="AP834" s="242"/>
    </row>
    <row r="835" spans="15:59" s="115" customFormat="1">
      <c r="O835" s="91"/>
      <c r="X835" s="115">
        <f t="shared" ref="X835:X898" si="135">mapValues(E835,F835,"P265")</f>
        <v>0</v>
      </c>
      <c r="Y835" s="115">
        <f t="shared" ref="Y835:Y898" si="136">X834+X835</f>
        <v>0</v>
      </c>
      <c r="Z835" s="115" t="e">
        <f t="shared" ref="Z835:Z898" si="137">VALUE(MID(B835,FIND(" ",B835)+1,FIND(" ",B835,FIND(" ",B835)+1)-FIND(" ",B835)))</f>
        <v>#VALUE!</v>
      </c>
      <c r="AA835" s="115">
        <f t="shared" ref="AA835:AA898" si="138">T835/1000</f>
        <v>0</v>
      </c>
      <c r="AB835" s="246"/>
      <c r="AD835" s="242"/>
      <c r="AE835" s="115" t="s">
        <v>311</v>
      </c>
      <c r="AF835" s="115" t="s">
        <v>9</v>
      </c>
      <c r="AG835" s="115" t="s">
        <v>8</v>
      </c>
      <c r="AH835" s="115" t="s">
        <v>19</v>
      </c>
      <c r="AI835" s="115" t="s">
        <v>7</v>
      </c>
      <c r="AJ835" s="115" t="s">
        <v>163</v>
      </c>
      <c r="AK835" s="115" t="s">
        <v>310</v>
      </c>
      <c r="AL835" s="115" t="s">
        <v>156</v>
      </c>
      <c r="AM835" s="115" t="s">
        <v>45</v>
      </c>
      <c r="AN835" s="242"/>
      <c r="AO835" s="115" t="s">
        <v>311</v>
      </c>
      <c r="AP835" s="115" t="s">
        <v>9</v>
      </c>
      <c r="AQ835" s="115" t="s">
        <v>8</v>
      </c>
      <c r="AR835" s="115" t="s">
        <v>19</v>
      </c>
      <c r="AS835" s="115" t="s">
        <v>7</v>
      </c>
      <c r="AT835" s="115" t="s">
        <v>163</v>
      </c>
      <c r="AU835" s="115" t="s">
        <v>310</v>
      </c>
      <c r="AV835" s="115" t="s">
        <v>156</v>
      </c>
      <c r="AW835" s="115" t="s">
        <v>45</v>
      </c>
      <c r="AY835" s="115" t="s">
        <v>311</v>
      </c>
      <c r="AZ835" s="115" t="s">
        <v>9</v>
      </c>
      <c r="BA835" s="115" t="s">
        <v>8</v>
      </c>
      <c r="BB835" s="115" t="s">
        <v>19</v>
      </c>
      <c r="BC835" s="115" t="s">
        <v>7</v>
      </c>
      <c r="BD835" s="115" t="s">
        <v>163</v>
      </c>
      <c r="BE835" s="115" t="s">
        <v>310</v>
      </c>
      <c r="BF835" s="115" t="s">
        <v>156</v>
      </c>
      <c r="BG835" s="115" t="s">
        <v>45</v>
      </c>
    </row>
    <row r="836" spans="15:59" s="115" customFormat="1">
      <c r="O836" s="91"/>
      <c r="X836" s="115">
        <f t="shared" si="135"/>
        <v>0</v>
      </c>
      <c r="Y836" s="115">
        <f t="shared" si="136"/>
        <v>0</v>
      </c>
      <c r="Z836" s="115" t="e">
        <f t="shared" si="137"/>
        <v>#VALUE!</v>
      </c>
      <c r="AA836" s="115">
        <f t="shared" si="138"/>
        <v>0</v>
      </c>
      <c r="AB836" s="246"/>
      <c r="AD836" s="242"/>
      <c r="AE836" s="242"/>
      <c r="AF836" s="242"/>
      <c r="AI836" s="242"/>
      <c r="AJ836" s="242"/>
      <c r="AK836" s="242"/>
      <c r="AN836" s="242"/>
      <c r="AO836" s="242"/>
      <c r="AP836" s="242"/>
    </row>
    <row r="837" spans="15:59" s="115" customFormat="1">
      <c r="O837" s="91"/>
      <c r="X837" s="115">
        <f t="shared" si="135"/>
        <v>0</v>
      </c>
      <c r="Y837" s="115">
        <f t="shared" si="136"/>
        <v>0</v>
      </c>
      <c r="Z837" s="115" t="e">
        <f t="shared" si="137"/>
        <v>#VALUE!</v>
      </c>
      <c r="AA837" s="115">
        <f t="shared" si="138"/>
        <v>0</v>
      </c>
      <c r="AB837" s="246"/>
      <c r="AD837" s="242"/>
      <c r="AE837" s="242"/>
      <c r="AF837" s="242"/>
      <c r="AI837" s="242"/>
      <c r="AJ837" s="242"/>
      <c r="AK837" s="242"/>
      <c r="AN837" s="242"/>
      <c r="AO837" s="242"/>
      <c r="AP837" s="242"/>
    </row>
    <row r="838" spans="15:59" s="115" customFormat="1">
      <c r="O838" s="91"/>
      <c r="X838" s="115">
        <f t="shared" si="135"/>
        <v>0</v>
      </c>
      <c r="Y838" s="115">
        <f t="shared" si="136"/>
        <v>0</v>
      </c>
      <c r="Z838" s="115" t="e">
        <f t="shared" si="137"/>
        <v>#VALUE!</v>
      </c>
      <c r="AA838" s="115">
        <f t="shared" si="138"/>
        <v>0</v>
      </c>
      <c r="AB838" s="246"/>
      <c r="AD838" s="242"/>
      <c r="AE838" s="242"/>
      <c r="AF838" s="242"/>
      <c r="AI838" s="242"/>
      <c r="AJ838" s="242"/>
      <c r="AK838" s="242"/>
      <c r="AN838" s="242"/>
      <c r="AO838" s="242"/>
      <c r="AP838" s="242"/>
    </row>
    <row r="839" spans="15:59" s="115" customFormat="1">
      <c r="O839" s="91"/>
      <c r="X839" s="115">
        <f t="shared" si="135"/>
        <v>0</v>
      </c>
      <c r="Y839" s="115">
        <f t="shared" si="136"/>
        <v>0</v>
      </c>
      <c r="Z839" s="115" t="e">
        <f t="shared" si="137"/>
        <v>#VALUE!</v>
      </c>
      <c r="AA839" s="115">
        <f t="shared" si="138"/>
        <v>0</v>
      </c>
      <c r="AB839" s="246"/>
      <c r="AD839" s="242"/>
      <c r="AE839" s="242"/>
      <c r="AF839" s="242"/>
      <c r="AI839" s="242"/>
      <c r="AJ839" s="242"/>
      <c r="AK839" s="242"/>
      <c r="AN839" s="242"/>
      <c r="AO839" s="242"/>
      <c r="AP839" s="242"/>
    </row>
    <row r="840" spans="15:59" s="115" customFormat="1">
      <c r="O840" s="91"/>
      <c r="X840" s="115">
        <f t="shared" si="135"/>
        <v>0</v>
      </c>
      <c r="Y840" s="115">
        <f t="shared" si="136"/>
        <v>0</v>
      </c>
      <c r="Z840" s="115" t="e">
        <f t="shared" si="137"/>
        <v>#VALUE!</v>
      </c>
      <c r="AA840" s="115">
        <f t="shared" si="138"/>
        <v>0</v>
      </c>
      <c r="AB840" s="246"/>
      <c r="AD840" s="242"/>
      <c r="AE840" s="242"/>
      <c r="AF840" s="242"/>
      <c r="AI840" s="242"/>
      <c r="AJ840" s="242"/>
      <c r="AK840" s="242"/>
      <c r="AN840" s="242"/>
      <c r="AO840" s="242"/>
      <c r="AP840" s="242"/>
    </row>
    <row r="841" spans="15:59" s="115" customFormat="1">
      <c r="O841" s="91"/>
      <c r="X841" s="115">
        <f t="shared" si="135"/>
        <v>0</v>
      </c>
      <c r="Y841" s="115">
        <f t="shared" si="136"/>
        <v>0</v>
      </c>
      <c r="Z841" s="115" t="e">
        <f t="shared" si="137"/>
        <v>#VALUE!</v>
      </c>
      <c r="AA841" s="115">
        <f t="shared" si="138"/>
        <v>0</v>
      </c>
      <c r="AB841" s="246"/>
      <c r="AD841" s="242"/>
      <c r="AE841" s="242"/>
      <c r="AF841" s="242"/>
      <c r="AI841" s="242"/>
      <c r="AJ841" s="242"/>
      <c r="AK841" s="242"/>
      <c r="AN841" s="242"/>
      <c r="AO841" s="242"/>
      <c r="AP841" s="242"/>
    </row>
    <row r="842" spans="15:59" s="115" customFormat="1">
      <c r="O842" s="91"/>
      <c r="X842" s="115">
        <f t="shared" si="135"/>
        <v>0</v>
      </c>
      <c r="Y842" s="115">
        <f t="shared" si="136"/>
        <v>0</v>
      </c>
      <c r="Z842" s="115" t="e">
        <f t="shared" si="137"/>
        <v>#VALUE!</v>
      </c>
      <c r="AA842" s="115">
        <f t="shared" si="138"/>
        <v>0</v>
      </c>
      <c r="AB842" s="246"/>
      <c r="AD842" s="242"/>
      <c r="AE842" s="242"/>
      <c r="AF842" s="242"/>
      <c r="AI842" s="242"/>
      <c r="AJ842" s="242"/>
      <c r="AK842" s="242"/>
      <c r="AN842" s="242"/>
      <c r="AO842" s="242"/>
      <c r="AP842" s="242"/>
    </row>
    <row r="843" spans="15:59" s="115" customFormat="1">
      <c r="O843" s="91"/>
      <c r="X843" s="115">
        <f t="shared" si="135"/>
        <v>0</v>
      </c>
      <c r="Y843" s="115">
        <f t="shared" si="136"/>
        <v>0</v>
      </c>
      <c r="Z843" s="115" t="e">
        <f t="shared" si="137"/>
        <v>#VALUE!</v>
      </c>
      <c r="AA843" s="115">
        <f t="shared" si="138"/>
        <v>0</v>
      </c>
      <c r="AB843" s="246"/>
      <c r="AD843" s="242"/>
      <c r="AE843" s="242"/>
      <c r="AF843" s="242"/>
      <c r="AI843" s="242"/>
      <c r="AJ843" s="242"/>
      <c r="AK843" s="242"/>
      <c r="AN843" s="242"/>
      <c r="AO843" s="242"/>
      <c r="AP843" s="242"/>
    </row>
    <row r="844" spans="15:59" s="115" customFormat="1">
      <c r="O844" s="91"/>
      <c r="X844" s="115">
        <f t="shared" si="135"/>
        <v>0</v>
      </c>
      <c r="Y844" s="115">
        <f t="shared" si="136"/>
        <v>0</v>
      </c>
      <c r="Z844" s="115" t="e">
        <f t="shared" si="137"/>
        <v>#VALUE!</v>
      </c>
      <c r="AA844" s="115">
        <f t="shared" si="138"/>
        <v>0</v>
      </c>
      <c r="AB844" s="246"/>
      <c r="AD844" s="242"/>
      <c r="AE844" s="242"/>
      <c r="AF844" s="242"/>
      <c r="AI844" s="242"/>
      <c r="AJ844" s="242"/>
      <c r="AK844" s="242"/>
      <c r="AN844" s="242"/>
      <c r="AO844" s="242"/>
      <c r="AP844" s="242"/>
    </row>
    <row r="845" spans="15:59" s="115" customFormat="1">
      <c r="O845" s="91"/>
      <c r="X845" s="115">
        <f t="shared" si="135"/>
        <v>0</v>
      </c>
      <c r="Y845" s="115">
        <f t="shared" si="136"/>
        <v>0</v>
      </c>
      <c r="Z845" s="115" t="e">
        <f t="shared" si="137"/>
        <v>#VALUE!</v>
      </c>
      <c r="AA845" s="115">
        <f t="shared" si="138"/>
        <v>0</v>
      </c>
      <c r="AB845" s="246"/>
      <c r="AD845" s="242"/>
      <c r="AE845" s="242"/>
      <c r="AF845" s="242"/>
      <c r="AI845" s="242"/>
      <c r="AJ845" s="242"/>
      <c r="AK845" s="242"/>
      <c r="AN845" s="242"/>
      <c r="AO845" s="242"/>
      <c r="AP845" s="242"/>
    </row>
    <row r="846" spans="15:59" s="115" customFormat="1">
      <c r="O846" s="91"/>
      <c r="X846" s="115">
        <f t="shared" si="135"/>
        <v>0</v>
      </c>
      <c r="Y846" s="115">
        <f t="shared" si="136"/>
        <v>0</v>
      </c>
      <c r="Z846" s="115" t="e">
        <f t="shared" si="137"/>
        <v>#VALUE!</v>
      </c>
      <c r="AA846" s="115">
        <f t="shared" si="138"/>
        <v>0</v>
      </c>
      <c r="AB846" s="246"/>
      <c r="AD846" s="242"/>
      <c r="AE846" s="242"/>
      <c r="AF846" s="242"/>
      <c r="AI846" s="242"/>
      <c r="AJ846" s="242"/>
      <c r="AK846" s="242"/>
      <c r="AN846" s="242"/>
      <c r="AO846" s="242"/>
      <c r="AP846" s="242"/>
    </row>
    <row r="847" spans="15:59" s="115" customFormat="1">
      <c r="O847" s="91"/>
      <c r="X847" s="115">
        <f t="shared" si="135"/>
        <v>0</v>
      </c>
      <c r="Y847" s="115">
        <f t="shared" si="136"/>
        <v>0</v>
      </c>
      <c r="Z847" s="115" t="e">
        <f t="shared" si="137"/>
        <v>#VALUE!</v>
      </c>
      <c r="AA847" s="115">
        <f t="shared" si="138"/>
        <v>0</v>
      </c>
      <c r="AB847" s="246"/>
      <c r="AD847" s="242"/>
      <c r="AE847" s="242"/>
      <c r="AF847" s="242"/>
      <c r="AI847" s="242"/>
      <c r="AJ847" s="242"/>
      <c r="AK847" s="242"/>
      <c r="AN847" s="242"/>
      <c r="AO847" s="242"/>
      <c r="AP847" s="242"/>
    </row>
    <row r="848" spans="15:59" s="115" customFormat="1">
      <c r="O848" s="91"/>
      <c r="X848" s="115">
        <f t="shared" si="135"/>
        <v>0</v>
      </c>
      <c r="Y848" s="115">
        <f t="shared" si="136"/>
        <v>0</v>
      </c>
      <c r="Z848" s="115" t="e">
        <f t="shared" si="137"/>
        <v>#VALUE!</v>
      </c>
      <c r="AA848" s="115">
        <f t="shared" si="138"/>
        <v>0</v>
      </c>
      <c r="AB848" s="246"/>
      <c r="AD848" s="242"/>
      <c r="AE848" s="242"/>
      <c r="AF848" s="242"/>
      <c r="AI848" s="242"/>
      <c r="AJ848" s="242"/>
      <c r="AK848" s="242"/>
      <c r="AN848" s="242"/>
      <c r="AO848" s="242"/>
      <c r="AP848" s="242"/>
    </row>
    <row r="849" spans="15:49" s="115" customFormat="1">
      <c r="O849" s="91"/>
      <c r="X849" s="115">
        <f t="shared" si="135"/>
        <v>0</v>
      </c>
      <c r="Y849" s="115">
        <f t="shared" si="136"/>
        <v>0</v>
      </c>
      <c r="Z849" s="115" t="e">
        <f t="shared" si="137"/>
        <v>#VALUE!</v>
      </c>
      <c r="AA849" s="115">
        <f t="shared" si="138"/>
        <v>0</v>
      </c>
      <c r="AB849" s="246"/>
      <c r="AD849" s="242"/>
      <c r="AE849" s="242"/>
      <c r="AF849" s="242"/>
      <c r="AI849" s="242"/>
      <c r="AJ849" s="242"/>
      <c r="AK849" s="242"/>
      <c r="AN849" s="242"/>
      <c r="AO849" s="242"/>
      <c r="AP849" s="242"/>
    </row>
    <row r="850" spans="15:49">
      <c r="O850" s="91"/>
      <c r="X850" s="115">
        <f t="shared" si="135"/>
        <v>0</v>
      </c>
      <c r="Y850" s="115">
        <f t="shared" si="136"/>
        <v>0</v>
      </c>
      <c r="Z850" s="115" t="e">
        <f t="shared" si="137"/>
        <v>#VALUE!</v>
      </c>
      <c r="AA850" s="115">
        <f t="shared" si="138"/>
        <v>0</v>
      </c>
      <c r="AR850"/>
    </row>
    <row r="851" spans="15:49">
      <c r="O851" s="91"/>
      <c r="X851" s="115">
        <f t="shared" si="135"/>
        <v>0</v>
      </c>
      <c r="Y851" s="115">
        <f t="shared" si="136"/>
        <v>0</v>
      </c>
      <c r="Z851" s="115" t="e">
        <f t="shared" si="137"/>
        <v>#VALUE!</v>
      </c>
      <c r="AA851" s="115">
        <f t="shared" si="138"/>
        <v>0</v>
      </c>
      <c r="AD851" s="115"/>
      <c r="AE851" s="115"/>
      <c r="AF851" s="115"/>
      <c r="AG851" s="381" t="s">
        <v>25</v>
      </c>
      <c r="AH851" s="381"/>
      <c r="AI851" s="381"/>
      <c r="AJ851" s="381"/>
      <c r="AK851" s="381"/>
      <c r="AL851" s="381"/>
      <c r="AM851" s="381"/>
      <c r="AN851" s="115"/>
      <c r="AO851" s="115"/>
      <c r="AP851" s="115"/>
      <c r="AQ851" s="115"/>
      <c r="AR851"/>
    </row>
    <row r="852" spans="15:49">
      <c r="O852" s="91"/>
      <c r="X852" s="115">
        <f t="shared" si="135"/>
        <v>0</v>
      </c>
      <c r="Y852" s="115">
        <f t="shared" si="136"/>
        <v>0</v>
      </c>
      <c r="Z852" s="115" t="e">
        <f t="shared" si="137"/>
        <v>#VALUE!</v>
      </c>
      <c r="AA852" s="115">
        <f t="shared" si="138"/>
        <v>0</v>
      </c>
      <c r="AD852" s="115"/>
      <c r="AE852" s="115"/>
      <c r="AF852" s="115"/>
      <c r="AG852" s="381"/>
      <c r="AH852" s="381"/>
      <c r="AI852" s="381"/>
      <c r="AJ852" s="381"/>
      <c r="AK852" s="381"/>
      <c r="AL852" s="381"/>
      <c r="AM852" s="381"/>
      <c r="AN852" s="115"/>
      <c r="AO852" s="115"/>
      <c r="AP852" s="115"/>
      <c r="AQ852" s="115"/>
      <c r="AR852"/>
    </row>
    <row r="853" spans="15:49">
      <c r="O853" s="91"/>
      <c r="X853" s="115">
        <f t="shared" si="135"/>
        <v>0</v>
      </c>
      <c r="Y853" s="115">
        <f t="shared" si="136"/>
        <v>0</v>
      </c>
      <c r="Z853" s="115" t="e">
        <f t="shared" si="137"/>
        <v>#VALUE!</v>
      </c>
      <c r="AA853" s="115">
        <f t="shared" si="138"/>
        <v>0</v>
      </c>
      <c r="AD853" s="115"/>
      <c r="AE853" s="115"/>
      <c r="AF853" s="115"/>
      <c r="AG853" s="374" t="s">
        <v>290</v>
      </c>
      <c r="AH853" s="374"/>
      <c r="AI853" s="374"/>
      <c r="AJ853" s="115"/>
      <c r="AK853" s="115"/>
      <c r="AL853" s="115"/>
      <c r="AM853" s="115"/>
      <c r="AN853" s="115"/>
      <c r="AO853" s="115"/>
      <c r="AP853" s="115"/>
      <c r="AQ853" s="115"/>
      <c r="AR853"/>
    </row>
    <row r="854" spans="15:49">
      <c r="O854" s="91"/>
      <c r="X854" s="115">
        <f t="shared" si="135"/>
        <v>0</v>
      </c>
      <c r="Y854" s="115">
        <f t="shared" si="136"/>
        <v>0</v>
      </c>
      <c r="Z854" s="115" t="e">
        <f t="shared" si="137"/>
        <v>#VALUE!</v>
      </c>
      <c r="AA854" s="115">
        <f t="shared" si="138"/>
        <v>0</v>
      </c>
      <c r="AD854" s="383"/>
      <c r="AE854" s="383"/>
      <c r="AF854" s="383"/>
      <c r="AG854" s="115"/>
      <c r="AH854" s="115">
        <f>COUNTIFS(D:D,"AA",G:G,"STANGK")</f>
        <v>6</v>
      </c>
      <c r="AI854" s="374" t="s">
        <v>220</v>
      </c>
      <c r="AJ854" s="374"/>
      <c r="AK854" s="374"/>
      <c r="AL854" s="115"/>
      <c r="AM854" s="115"/>
      <c r="AN854" s="115"/>
      <c r="AO854" s="115"/>
      <c r="AP854" s="115"/>
      <c r="AQ854" s="115"/>
      <c r="AR854"/>
    </row>
    <row r="855" spans="15:49">
      <c r="O855" s="91"/>
      <c r="X855" s="115">
        <f t="shared" si="135"/>
        <v>0</v>
      </c>
      <c r="Y855" s="115">
        <f t="shared" si="136"/>
        <v>0</v>
      </c>
      <c r="Z855" s="115" t="e">
        <f t="shared" si="137"/>
        <v>#VALUE!</v>
      </c>
      <c r="AA855" s="115">
        <f t="shared" si="138"/>
        <v>0</v>
      </c>
      <c r="AD855" s="251"/>
      <c r="AE855" s="252"/>
      <c r="AF855" s="206"/>
      <c r="AG855" s="207"/>
      <c r="AH855" s="115"/>
      <c r="AI855" s="115"/>
      <c r="AJ855" s="115"/>
      <c r="AK855" s="115"/>
      <c r="AL855" s="115"/>
      <c r="AM855" s="115"/>
      <c r="AN855" s="205"/>
      <c r="AO855" s="206"/>
      <c r="AP855" s="206"/>
      <c r="AQ855" s="207"/>
      <c r="AR855"/>
    </row>
    <row r="856" spans="15:49">
      <c r="O856" s="91"/>
      <c r="X856" s="115">
        <f t="shared" si="135"/>
        <v>0</v>
      </c>
      <c r="Y856" s="115">
        <f t="shared" si="136"/>
        <v>0</v>
      </c>
      <c r="Z856" s="115" t="e">
        <f t="shared" si="137"/>
        <v>#VALUE!</v>
      </c>
      <c r="AA856" s="115">
        <f t="shared" si="138"/>
        <v>0</v>
      </c>
      <c r="AD856" s="375" t="s">
        <v>270</v>
      </c>
      <c r="AE856" s="376"/>
      <c r="AF856" s="376"/>
      <c r="AG856" s="209">
        <f>COUNTIFS(D:D,"AA",G:G,"STANGK",L:L,"-2;1")+AG872</f>
        <v>0</v>
      </c>
      <c r="AH856" s="115"/>
      <c r="AI856" s="374" t="s">
        <v>270</v>
      </c>
      <c r="AJ856" s="374"/>
      <c r="AK856" s="374"/>
      <c r="AL856" s="115">
        <f>COUNTIFS(D:D,"AA",G:G,"STANGK",L:L,"-2;0")</f>
        <v>0</v>
      </c>
      <c r="AM856" s="115"/>
      <c r="AN856" s="375" t="s">
        <v>270</v>
      </c>
      <c r="AO856" s="376"/>
      <c r="AP856" s="376"/>
      <c r="AQ856" s="209">
        <f>COUNTIFS(D:D,"AA",G:G,"STANGK",L:L,"-2;-1")+AQ872</f>
        <v>0</v>
      </c>
      <c r="AT856" s="374" t="s">
        <v>270</v>
      </c>
      <c r="AU856" s="374"/>
      <c r="AV856" s="374"/>
      <c r="AW856" s="115">
        <f>COUNTIFS(D:D,"AA",G:G,"STANGK")</f>
        <v>6</v>
      </c>
    </row>
    <row r="857" spans="15:49">
      <c r="O857" s="91"/>
      <c r="X857" s="115">
        <f t="shared" si="135"/>
        <v>0</v>
      </c>
      <c r="Y857" s="115">
        <f t="shared" si="136"/>
        <v>0</v>
      </c>
      <c r="Z857" s="115" t="e">
        <f t="shared" si="137"/>
        <v>#VALUE!</v>
      </c>
      <c r="AA857" s="115">
        <f t="shared" si="138"/>
        <v>0</v>
      </c>
      <c r="AD857" s="375" t="s">
        <v>271</v>
      </c>
      <c r="AE857" s="376"/>
      <c r="AF857" s="376"/>
      <c r="AG857" s="209">
        <f>COUNTIFS(D:D,"AA",G:G,"STANGK",L:L,"-2;1",P:P,"JAH")+AG873</f>
        <v>0</v>
      </c>
      <c r="AH857" s="115"/>
      <c r="AI857" s="374" t="s">
        <v>271</v>
      </c>
      <c r="AJ857" s="374"/>
      <c r="AK857" s="374"/>
      <c r="AL857" s="115">
        <f>COUNTIFS(D:D,"AA",G:G,"STANGK",L:L,"-2;0",P:P,"JAH")</f>
        <v>0</v>
      </c>
      <c r="AM857" s="115"/>
      <c r="AN857" s="375" t="s">
        <v>271</v>
      </c>
      <c r="AO857" s="376"/>
      <c r="AP857" s="376"/>
      <c r="AQ857" s="209">
        <f>COUNTIFS(D:D,"AA",G:G,"STANGK",L:L,"-2;-1",P:P,"JAH")+AQ873</f>
        <v>0</v>
      </c>
      <c r="AT857" s="374" t="s">
        <v>271</v>
      </c>
      <c r="AU857" s="374"/>
      <c r="AV857" s="374"/>
      <c r="AW857" s="115">
        <f>COUNTIFS(D:D,"AA",G:G,"STANGK",P:P,"JAH")</f>
        <v>0</v>
      </c>
    </row>
    <row r="858" spans="15:49">
      <c r="O858" s="91"/>
      <c r="X858" s="115">
        <f t="shared" si="135"/>
        <v>0</v>
      </c>
      <c r="Y858" s="115">
        <f t="shared" si="136"/>
        <v>0</v>
      </c>
      <c r="Z858" s="115" t="e">
        <f t="shared" si="137"/>
        <v>#VALUE!</v>
      </c>
      <c r="AA858" s="115">
        <f t="shared" si="138"/>
        <v>0</v>
      </c>
      <c r="AD858" s="375" t="s">
        <v>272</v>
      </c>
      <c r="AE858" s="376"/>
      <c r="AF858" s="376"/>
      <c r="AG858" s="257" t="e">
        <f>AG857/AG856</f>
        <v>#DIV/0!</v>
      </c>
      <c r="AH858" s="115"/>
      <c r="AI858" s="374" t="s">
        <v>272</v>
      </c>
      <c r="AJ858" s="374"/>
      <c r="AK858" s="374"/>
      <c r="AL858" s="246" t="e">
        <f>AL857/AL856</f>
        <v>#DIV/0!</v>
      </c>
      <c r="AM858" s="115"/>
      <c r="AN858" s="375" t="s">
        <v>272</v>
      </c>
      <c r="AO858" s="376"/>
      <c r="AP858" s="376"/>
      <c r="AQ858" s="257" t="e">
        <f>AQ857/AQ856</f>
        <v>#DIV/0!</v>
      </c>
      <c r="AT858" s="374" t="s">
        <v>272</v>
      </c>
      <c r="AU858" s="374"/>
      <c r="AV858" s="374"/>
      <c r="AW858" s="151">
        <f>AW857/AW856</f>
        <v>0</v>
      </c>
    </row>
    <row r="859" spans="15:49" s="115" customFormat="1">
      <c r="O859" s="91"/>
      <c r="X859" s="115">
        <f t="shared" si="135"/>
        <v>0</v>
      </c>
      <c r="Y859" s="115">
        <f t="shared" si="136"/>
        <v>0</v>
      </c>
      <c r="Z859" s="115" t="e">
        <f t="shared" si="137"/>
        <v>#VALUE!</v>
      </c>
      <c r="AA859" s="115">
        <f t="shared" si="138"/>
        <v>0</v>
      </c>
      <c r="AB859" s="246"/>
      <c r="AD859" s="375" t="s">
        <v>318</v>
      </c>
      <c r="AE859" s="376"/>
      <c r="AF859" s="376"/>
      <c r="AG859" s="254">
        <f>COUNTIFS(D:D,"AA",G:G,"STANGK",L:L,"-2;1",V:V,"JAH")+COUNTIFS(D:D,"AA",G:G,"STANGK",L:L,"-2;1",V:V,"EI")+AG875</f>
        <v>0</v>
      </c>
      <c r="AI859" s="374" t="s">
        <v>318</v>
      </c>
      <c r="AJ859" s="374"/>
      <c r="AK859" s="374"/>
      <c r="AL859" s="178">
        <f>COUNTIFS(D:D,"AA",G:G,"STANGK",L:L,"-2;0",V:V,"JAH")+COUNTIFS(D:D,"AA",G:G,"STANGK",L:L,"-2;0",V:V,"EI")</f>
        <v>0</v>
      </c>
      <c r="AN859" s="375" t="s">
        <v>318</v>
      </c>
      <c r="AO859" s="376"/>
      <c r="AP859" s="376"/>
      <c r="AQ859" s="254">
        <f>COUNTIFS(D:D,"AA",G:G,"STANGK",L:L,"-2;-1",V:V,"JAH")+COUNTIFS(D:D,"AA",G:G,"STANGK",L:L,"-2;-1",V:V,"EI")+AQ875</f>
        <v>0</v>
      </c>
      <c r="AT859" s="374" t="s">
        <v>318</v>
      </c>
      <c r="AU859" s="374"/>
      <c r="AV859" s="374"/>
      <c r="AW859" s="178">
        <f>COUNTIFS(D:D,"AA",G:G,"STANGK",V:V,"JAH")+COUNTIFS(D:D,"AA",G:G,"STANGK",V:V,"EI")</f>
        <v>0</v>
      </c>
    </row>
    <row r="860" spans="15:49" s="115" customFormat="1">
      <c r="O860" s="91"/>
      <c r="X860" s="115">
        <f t="shared" si="135"/>
        <v>0</v>
      </c>
      <c r="Y860" s="115">
        <f t="shared" si="136"/>
        <v>0</v>
      </c>
      <c r="Z860" s="115" t="e">
        <f t="shared" si="137"/>
        <v>#VALUE!</v>
      </c>
      <c r="AA860" s="115">
        <f t="shared" si="138"/>
        <v>0</v>
      </c>
      <c r="AB860" s="246"/>
      <c r="AD860" s="375" t="s">
        <v>291</v>
      </c>
      <c r="AE860" s="376"/>
      <c r="AF860" s="376"/>
      <c r="AG860" s="209">
        <f>COUNTIFS(D:D,"AA",G:G,"STANGK",L:L,"-2;1",V:V,"JAH")+AG876</f>
        <v>0</v>
      </c>
      <c r="AI860" s="374" t="s">
        <v>291</v>
      </c>
      <c r="AJ860" s="374"/>
      <c r="AK860" s="374"/>
      <c r="AL860" s="115">
        <f>COUNTIFS(D:D,"AA",G:G,"STANGK",L:L,"-2;0",V:V,"JAH")</f>
        <v>0</v>
      </c>
      <c r="AN860" s="375" t="s">
        <v>291</v>
      </c>
      <c r="AO860" s="376"/>
      <c r="AP860" s="376"/>
      <c r="AQ860" s="209">
        <f>COUNTIFS(D:D,"AA",G:G,"STANGK",L:L,"-2;-1",V:V,"JAH")+AQ876</f>
        <v>0</v>
      </c>
      <c r="AT860" s="374" t="s">
        <v>291</v>
      </c>
      <c r="AU860" s="374"/>
      <c r="AV860" s="374"/>
      <c r="AW860" s="115">
        <f>COUNTIFS(D:D,"AA",G:G,"STANGK",V:V,"JAH")</f>
        <v>0</v>
      </c>
    </row>
    <row r="861" spans="15:49" s="115" customFormat="1">
      <c r="O861" s="91"/>
      <c r="X861" s="115">
        <f t="shared" si="135"/>
        <v>0</v>
      </c>
      <c r="Y861" s="115">
        <f t="shared" si="136"/>
        <v>0</v>
      </c>
      <c r="Z861" s="115" t="e">
        <f t="shared" si="137"/>
        <v>#VALUE!</v>
      </c>
      <c r="AA861" s="115">
        <f t="shared" si="138"/>
        <v>0</v>
      </c>
      <c r="AB861" s="246"/>
      <c r="AD861" s="375" t="s">
        <v>292</v>
      </c>
      <c r="AE861" s="376"/>
      <c r="AF861" s="376"/>
      <c r="AG861" s="257" t="e">
        <f>AG860/AG859</f>
        <v>#DIV/0!</v>
      </c>
      <c r="AI861" s="374" t="s">
        <v>292</v>
      </c>
      <c r="AJ861" s="374"/>
      <c r="AK861" s="374"/>
      <c r="AL861" s="246" t="e">
        <f>AL860/AL859</f>
        <v>#DIV/0!</v>
      </c>
      <c r="AN861" s="375" t="s">
        <v>292</v>
      </c>
      <c r="AO861" s="376"/>
      <c r="AP861" s="376"/>
      <c r="AQ861" s="257" t="e">
        <f>AQ860/AQ859</f>
        <v>#DIV/0!</v>
      </c>
      <c r="AT861" s="374" t="s">
        <v>292</v>
      </c>
      <c r="AU861" s="374"/>
      <c r="AV861" s="374"/>
      <c r="AW861" s="151">
        <f>AW860/AW856</f>
        <v>0</v>
      </c>
    </row>
    <row r="862" spans="15:49">
      <c r="O862" s="91"/>
      <c r="X862" s="115">
        <f t="shared" si="135"/>
        <v>0</v>
      </c>
      <c r="Y862" s="115">
        <f t="shared" si="136"/>
        <v>0</v>
      </c>
      <c r="Z862" s="115" t="e">
        <f t="shared" si="137"/>
        <v>#VALUE!</v>
      </c>
      <c r="AA862" s="115">
        <f t="shared" si="138"/>
        <v>0</v>
      </c>
      <c r="AD862" s="375" t="s">
        <v>724</v>
      </c>
      <c r="AE862" s="376"/>
      <c r="AF862" s="376"/>
      <c r="AG862" s="209">
        <f>COUNTIFS(D:D,"AA",G:G,"STANGK",L:L,"-2;1",F:F,"ATONGOAL")+AG878</f>
        <v>0</v>
      </c>
      <c r="AH862" s="115"/>
      <c r="AI862" s="374" t="s">
        <v>724</v>
      </c>
      <c r="AJ862" s="374"/>
      <c r="AK862" s="374"/>
      <c r="AL862" s="115">
        <f>COUNTIFS(D:D,"AA",G:G,"STANGK",L:L,"-2;0",F:F,"ATONGOAL")</f>
        <v>0</v>
      </c>
      <c r="AM862" s="115"/>
      <c r="AN862" s="375" t="s">
        <v>724</v>
      </c>
      <c r="AO862" s="376"/>
      <c r="AP862" s="376"/>
      <c r="AQ862" s="209">
        <f>COUNTIFS(D:D,"AA",G:G,"STANGK",L:L,"-2;-1",F:F,"ATONGOAL")+AQ878</f>
        <v>0</v>
      </c>
      <c r="AT862" s="374" t="s">
        <v>724</v>
      </c>
      <c r="AU862" s="374"/>
      <c r="AV862" s="374"/>
      <c r="AW862" s="115">
        <f>COUNTIFS(D:D,"AA",G:G,"STANGK",F:F,"ATONGOAL")</f>
        <v>0</v>
      </c>
    </row>
    <row r="863" spans="15:49" s="115" customFormat="1">
      <c r="O863" s="91"/>
      <c r="X863" s="115">
        <f t="shared" si="135"/>
        <v>0</v>
      </c>
      <c r="Y863" s="115">
        <f t="shared" si="136"/>
        <v>0</v>
      </c>
      <c r="Z863" s="115" t="e">
        <f t="shared" si="137"/>
        <v>#VALUE!</v>
      </c>
      <c r="AA863" s="115">
        <f t="shared" si="138"/>
        <v>0</v>
      </c>
      <c r="AB863" s="246"/>
      <c r="AD863" s="375" t="s">
        <v>336</v>
      </c>
      <c r="AE863" s="376"/>
      <c r="AF863" s="376"/>
      <c r="AG863" s="209">
        <f>COUNTIFS(D:D,"AA",G:G,"STANGK",L:L,"-2;1",F:F,"ATON")+AG879</f>
        <v>0</v>
      </c>
      <c r="AI863" s="374" t="s">
        <v>336</v>
      </c>
      <c r="AJ863" s="374"/>
      <c r="AK863" s="374"/>
      <c r="AL863" s="115">
        <f>COUNTIFS(D:D,"AA",G:G,"STANGK",L:L,"-2;0",F:F,"ATON")</f>
        <v>0</v>
      </c>
      <c r="AN863" s="375" t="s">
        <v>336</v>
      </c>
      <c r="AO863" s="376"/>
      <c r="AP863" s="376"/>
      <c r="AQ863" s="209">
        <f>COUNTIFS(D:D,"AA",G:G,"STANGK",L:L,"-2;-1",F:F,"ATON")+AQ879</f>
        <v>0</v>
      </c>
      <c r="AT863" s="374" t="s">
        <v>336</v>
      </c>
      <c r="AU863" s="374"/>
      <c r="AV863" s="374"/>
      <c r="AW863" s="115">
        <f>COUNTIFS(D:D,"AA",G:G,"STANGK",F:F,"ATON")</f>
        <v>0</v>
      </c>
    </row>
    <row r="864" spans="15:49" s="115" customFormat="1">
      <c r="O864" s="91"/>
      <c r="X864" s="115">
        <f t="shared" si="135"/>
        <v>0</v>
      </c>
      <c r="Y864" s="115">
        <f t="shared" si="136"/>
        <v>0</v>
      </c>
      <c r="Z864" s="115" t="e">
        <f t="shared" si="137"/>
        <v>#VALUE!</v>
      </c>
      <c r="AA864" s="115">
        <f t="shared" si="138"/>
        <v>0</v>
      </c>
      <c r="AB864" s="246"/>
      <c r="AD864" s="375" t="s">
        <v>337</v>
      </c>
      <c r="AE864" s="376"/>
      <c r="AF864" s="376"/>
      <c r="AG864" s="209">
        <f>COUNTIFS(D:D,"AA",G:G,"STANGK",L:L,"-2;1",F:F,"ATOF")+AG880</f>
        <v>0</v>
      </c>
      <c r="AI864" s="374" t="s">
        <v>337</v>
      </c>
      <c r="AJ864" s="374"/>
      <c r="AK864" s="374"/>
      <c r="AL864" s="115">
        <f>COUNTIFS(D:D,"AA",G:G,"STANGK",L:L,"-2;0",F:F,"ATOF")</f>
        <v>0</v>
      </c>
      <c r="AN864" s="375" t="s">
        <v>337</v>
      </c>
      <c r="AO864" s="376"/>
      <c r="AP864" s="376"/>
      <c r="AQ864" s="209">
        <f>COUNTIFS(D:D,"AA",G:G,"STANGK",L:L,"-2;-1",F:F,"ATOF")+AQ880</f>
        <v>0</v>
      </c>
      <c r="AT864" s="374" t="s">
        <v>337</v>
      </c>
      <c r="AU864" s="374"/>
      <c r="AV864" s="374"/>
      <c r="AW864" s="115">
        <f>COUNTIFS(D:D,"AA",G:G,"STANGK",F:F,"ATOF")</f>
        <v>0</v>
      </c>
    </row>
    <row r="865" spans="15:49" s="115" customFormat="1">
      <c r="O865" s="91"/>
      <c r="X865" s="115">
        <f t="shared" si="135"/>
        <v>0</v>
      </c>
      <c r="Y865" s="115">
        <f t="shared" si="136"/>
        <v>0</v>
      </c>
      <c r="Z865" s="115" t="e">
        <f t="shared" si="137"/>
        <v>#VALUE!</v>
      </c>
      <c r="AA865" s="115">
        <f t="shared" si="138"/>
        <v>0</v>
      </c>
      <c r="AB865" s="246"/>
      <c r="AD865" s="375" t="s">
        <v>338</v>
      </c>
      <c r="AE865" s="376"/>
      <c r="AF865" s="376"/>
      <c r="AG865" s="209">
        <f>COUNTIFS(D:D,"AA",G:G,"STANGK",L:L,"-2;1",F:F,"ATBK")+AG881</f>
        <v>0</v>
      </c>
      <c r="AI865" s="374" t="s">
        <v>338</v>
      </c>
      <c r="AJ865" s="374"/>
      <c r="AK865" s="374"/>
      <c r="AL865" s="115">
        <f>COUNTIFS(D:D,"AA",G:G,"STANGK",L:L,"-2;0",F:F,"ATBK")</f>
        <v>0</v>
      </c>
      <c r="AN865" s="375" t="s">
        <v>338</v>
      </c>
      <c r="AO865" s="376"/>
      <c r="AP865" s="376"/>
      <c r="AQ865" s="209">
        <f>COUNTIFS(D:D,"AA",G:G,"STANGK",L:L,"-2;-1",F:F,"ATBK")+AQ881</f>
        <v>0</v>
      </c>
      <c r="AT865" s="374" t="s">
        <v>338</v>
      </c>
      <c r="AU865" s="374"/>
      <c r="AV865" s="374"/>
      <c r="AW865" s="115">
        <f>COUNTIFS(D:D,"AA",G:G,"STANGK",F:F,"ATBK")</f>
        <v>0</v>
      </c>
    </row>
    <row r="866" spans="15:49" s="115" customFormat="1">
      <c r="O866" s="91"/>
      <c r="X866" s="115">
        <f t="shared" si="135"/>
        <v>0</v>
      </c>
      <c r="Y866" s="115">
        <f t="shared" si="136"/>
        <v>0</v>
      </c>
      <c r="Z866" s="115" t="e">
        <f t="shared" si="137"/>
        <v>#VALUE!</v>
      </c>
      <c r="AA866" s="115">
        <f t="shared" si="138"/>
        <v>0</v>
      </c>
      <c r="AB866" s="246"/>
      <c r="AD866" s="375" t="s">
        <v>315</v>
      </c>
      <c r="AE866" s="376"/>
      <c r="AF866" s="376"/>
      <c r="AG866" s="209">
        <f>COUNTIFS(D:D,"AA",G:G,"STANGK",L:L,"-2;1",E:E,"POS",F:F,"WINSTAN")+AG882</f>
        <v>0</v>
      </c>
      <c r="AI866" s="374" t="s">
        <v>315</v>
      </c>
      <c r="AJ866" s="374"/>
      <c r="AK866" s="374"/>
      <c r="AL866" s="115">
        <f>COUNTIFS(D:D,"AA",G:G,"STANGK",L:L,"-2;0",E:E,"POS",F:F,"WINSTAN")</f>
        <v>0</v>
      </c>
      <c r="AN866" s="375" t="s">
        <v>315</v>
      </c>
      <c r="AO866" s="376"/>
      <c r="AP866" s="376"/>
      <c r="AQ866" s="209">
        <f>COUNTIFS(D:D,"AA",G:G,"STANGK",L:L,"-2;-1",E:E,"POS",F:F,"WINSTAN")+AQ882</f>
        <v>0</v>
      </c>
      <c r="AT866" s="374" t="s">
        <v>315</v>
      </c>
      <c r="AU866" s="374"/>
      <c r="AV866" s="374"/>
      <c r="AW866" s="115">
        <f>COUNTIFS(D:D,"AA",G:G,"STANGK",E:E,"POS",F:F,"WINSTAN")</f>
        <v>0</v>
      </c>
    </row>
    <row r="867" spans="15:49" s="115" customFormat="1">
      <c r="O867" s="91"/>
      <c r="X867" s="115">
        <f t="shared" si="135"/>
        <v>0</v>
      </c>
      <c r="Y867" s="115">
        <f t="shared" si="136"/>
        <v>0</v>
      </c>
      <c r="Z867" s="115" t="e">
        <f t="shared" si="137"/>
        <v>#VALUE!</v>
      </c>
      <c r="AA867" s="115">
        <f t="shared" si="138"/>
        <v>0</v>
      </c>
      <c r="AB867" s="246"/>
      <c r="AD867" s="375" t="s">
        <v>339</v>
      </c>
      <c r="AE867" s="376"/>
      <c r="AF867" s="376"/>
      <c r="AG867" s="209">
        <f>COUNTIFS(D:D,"AA",G:G,"STANGK",L:L,"-2;1",E:E,"POS",F:F,"WINSTANTI")+AG883</f>
        <v>0</v>
      </c>
      <c r="AI867" s="374" t="s">
        <v>339</v>
      </c>
      <c r="AJ867" s="374"/>
      <c r="AK867" s="374"/>
      <c r="AL867" s="115">
        <f>COUNTIFS(D:D,"AA",G:G,"STANGK",L:L,"-2;0",E:E,"POS",F:F,"WINSTANTI")</f>
        <v>0</v>
      </c>
      <c r="AN867" s="375" t="s">
        <v>339</v>
      </c>
      <c r="AO867" s="376"/>
      <c r="AP867" s="376"/>
      <c r="AQ867" s="209">
        <f>COUNTIFS(D:D,"AA",G:G,"STANGK",L:L,"-2;-1",E:E,"POS",F:F,"WINSTANTI")+AQ883</f>
        <v>0</v>
      </c>
      <c r="AT867" s="374" t="s">
        <v>339</v>
      </c>
      <c r="AU867" s="374"/>
      <c r="AV867" s="374"/>
      <c r="AW867" s="115">
        <f>COUNTIFS(D:D,"AA",G:G,"STANGK",E:E,"POS",F:F,"WINSTANTI")</f>
        <v>0</v>
      </c>
    </row>
    <row r="868" spans="15:49" s="115" customFormat="1">
      <c r="O868" s="91"/>
      <c r="X868" s="115">
        <f t="shared" si="135"/>
        <v>0</v>
      </c>
      <c r="Y868" s="115">
        <f t="shared" si="136"/>
        <v>0</v>
      </c>
      <c r="Z868" s="115" t="e">
        <f t="shared" si="137"/>
        <v>#VALUE!</v>
      </c>
      <c r="AA868" s="115">
        <f t="shared" si="138"/>
        <v>0</v>
      </c>
      <c r="AB868" s="246"/>
      <c r="AD868" s="375" t="s">
        <v>316</v>
      </c>
      <c r="AE868" s="376"/>
      <c r="AF868" s="376"/>
      <c r="AG868" s="209">
        <f>COUNTIFS(D:D,"AA",G:G,"STANGK",L:L,"-2;1",F:F,"ENTRY")+AG884</f>
        <v>0</v>
      </c>
      <c r="AI868" s="247" t="s">
        <v>316</v>
      </c>
      <c r="AJ868" s="247"/>
      <c r="AK868" s="247"/>
      <c r="AL868" s="115">
        <f>COUNTIFS(D:D,"AA",G:G,"STANGK",L:L,"-2;0",F:F,"ENTRY")</f>
        <v>0</v>
      </c>
      <c r="AN868" s="375" t="s">
        <v>316</v>
      </c>
      <c r="AO868" s="376"/>
      <c r="AP868" s="376"/>
      <c r="AQ868" s="209">
        <f>COUNTIFS(D:D,"AA",G:G,"STANGK",L:L,"-2;-1",F:F,"ENTRY")+AQ884</f>
        <v>0</v>
      </c>
      <c r="AT868" s="374" t="s">
        <v>316</v>
      </c>
      <c r="AU868" s="374"/>
      <c r="AV868" s="374"/>
      <c r="AW868" s="115">
        <f>COUNTIFS(D:D,"AA",G:G,"STANGK",F:F,"ENTRY")</f>
        <v>0</v>
      </c>
    </row>
    <row r="869" spans="15:49">
      <c r="O869" s="91"/>
      <c r="X869" s="115">
        <f t="shared" si="135"/>
        <v>0</v>
      </c>
      <c r="Y869" s="115">
        <f t="shared" si="136"/>
        <v>0</v>
      </c>
      <c r="Z869" s="115" t="e">
        <f t="shared" si="137"/>
        <v>#VALUE!</v>
      </c>
      <c r="AA869" s="115">
        <f t="shared" si="138"/>
        <v>0</v>
      </c>
      <c r="AD869" s="375" t="s">
        <v>293</v>
      </c>
      <c r="AE869" s="376"/>
      <c r="AF869" s="376"/>
      <c r="AG869" s="209">
        <f>COUNTIFS(D:D,"AA",G:G,"STANGK",L:L,"-2;1",F:F,"KEEPOS")+AG885</f>
        <v>0</v>
      </c>
      <c r="AH869" s="115"/>
      <c r="AI869" s="247" t="s">
        <v>293</v>
      </c>
      <c r="AJ869" s="247"/>
      <c r="AK869" s="247"/>
      <c r="AL869" s="115">
        <f>COUNTIFS(D:D,"AA",G:G,"STANGK",L:L,"-2;0",F:F,"KEEPOS")</f>
        <v>0</v>
      </c>
      <c r="AM869" s="115"/>
      <c r="AN869" s="375" t="s">
        <v>293</v>
      </c>
      <c r="AO869" s="376"/>
      <c r="AP869" s="376"/>
      <c r="AQ869" s="209">
        <f>COUNTIFS(D:D,"AA",G:G,"STANGK",L:L,"-2;-1",F:F,"KEEPOS")+AQ885</f>
        <v>0</v>
      </c>
      <c r="AT869" s="374" t="s">
        <v>293</v>
      </c>
      <c r="AU869" s="374"/>
      <c r="AV869" s="374"/>
      <c r="AW869" s="115">
        <f>COUNTIFS(D:D,"AA",G:G,"STANGK",F:F,"KEEPOS")</f>
        <v>1</v>
      </c>
    </row>
    <row r="870" spans="15:49">
      <c r="O870" s="91"/>
      <c r="X870" s="115">
        <f t="shared" si="135"/>
        <v>0</v>
      </c>
      <c r="Y870" s="115">
        <f t="shared" si="136"/>
        <v>0</v>
      </c>
      <c r="Z870" s="115" t="e">
        <f t="shared" si="137"/>
        <v>#VALUE!</v>
      </c>
      <c r="AA870" s="115">
        <f t="shared" si="138"/>
        <v>0</v>
      </c>
      <c r="AD870" s="375" t="s">
        <v>317</v>
      </c>
      <c r="AE870" s="376"/>
      <c r="AF870" s="376"/>
      <c r="AG870" s="257" t="e">
        <f>SUM(AG862:AG869)/AG856</f>
        <v>#DIV/0!</v>
      </c>
      <c r="AH870" s="115"/>
      <c r="AI870" s="374" t="s">
        <v>317</v>
      </c>
      <c r="AJ870" s="374"/>
      <c r="AK870" s="374"/>
      <c r="AL870" s="246" t="e">
        <f>SUM(AL862:AL869)/AL856</f>
        <v>#DIV/0!</v>
      </c>
      <c r="AM870" s="115"/>
      <c r="AN870" s="375" t="s">
        <v>317</v>
      </c>
      <c r="AO870" s="376"/>
      <c r="AP870" s="376"/>
      <c r="AQ870" s="257" t="e">
        <f>SUM(AQ862:AQ869)/AQ856</f>
        <v>#DIV/0!</v>
      </c>
      <c r="AT870" s="374" t="s">
        <v>317</v>
      </c>
      <c r="AU870" s="374"/>
      <c r="AV870" s="374"/>
      <c r="AW870" s="151">
        <f>SUM(AW862:AW869)/AW856</f>
        <v>0.16666666666666666</v>
      </c>
    </row>
    <row r="871" spans="15:49">
      <c r="O871" s="91"/>
      <c r="X871" s="115">
        <f t="shared" si="135"/>
        <v>0</v>
      </c>
      <c r="Y871" s="115">
        <f t="shared" si="136"/>
        <v>0</v>
      </c>
      <c r="Z871" s="115" t="e">
        <f t="shared" si="137"/>
        <v>#VALUE!</v>
      </c>
      <c r="AA871" s="115">
        <f t="shared" si="138"/>
        <v>0</v>
      </c>
      <c r="AD871" s="255"/>
      <c r="AE871" s="68"/>
      <c r="AF871" s="165"/>
      <c r="AG871" s="209"/>
      <c r="AH871" s="115"/>
      <c r="AI871" s="115"/>
      <c r="AJ871" s="115"/>
      <c r="AK871" s="115"/>
      <c r="AL871" s="115"/>
      <c r="AM871" s="115"/>
      <c r="AN871" s="208"/>
      <c r="AO871" s="165"/>
      <c r="AP871" s="165"/>
      <c r="AQ871" s="209"/>
      <c r="AR871"/>
    </row>
    <row r="872" spans="15:49">
      <c r="O872" s="91"/>
      <c r="X872" s="115">
        <f t="shared" si="135"/>
        <v>0</v>
      </c>
      <c r="Y872" s="115">
        <f t="shared" si="136"/>
        <v>0</v>
      </c>
      <c r="Z872" s="115" t="e">
        <f t="shared" si="137"/>
        <v>#VALUE!</v>
      </c>
      <c r="AA872" s="115">
        <f t="shared" si="138"/>
        <v>0</v>
      </c>
      <c r="AD872" s="375" t="s">
        <v>270</v>
      </c>
      <c r="AE872" s="376"/>
      <c r="AF872" s="376"/>
      <c r="AG872" s="209">
        <f>COUNTIFS(D:D,"AA",G:G,"STANGK",L:L,"-1;1")</f>
        <v>0</v>
      </c>
      <c r="AH872" s="115"/>
      <c r="AI872" s="374" t="s">
        <v>270</v>
      </c>
      <c r="AJ872" s="374"/>
      <c r="AK872" s="374"/>
      <c r="AL872" s="115">
        <f>COUNTIFS(D:D,"AA",G:G,"STANGK",L:L,"-1;0")</f>
        <v>0</v>
      </c>
      <c r="AM872" s="115"/>
      <c r="AN872" s="375" t="s">
        <v>270</v>
      </c>
      <c r="AO872" s="376"/>
      <c r="AP872" s="376"/>
      <c r="AQ872" s="209">
        <f>COUNTIFS(D:D,"AA",G:G,"STANGK",L:L,"-1;-1")</f>
        <v>0</v>
      </c>
      <c r="AR872"/>
    </row>
    <row r="873" spans="15:49">
      <c r="O873" s="91"/>
      <c r="X873" s="115">
        <f t="shared" si="135"/>
        <v>0</v>
      </c>
      <c r="Y873" s="115">
        <f t="shared" si="136"/>
        <v>0</v>
      </c>
      <c r="Z873" s="115" t="e">
        <f t="shared" si="137"/>
        <v>#VALUE!</v>
      </c>
      <c r="AA873" s="115">
        <f t="shared" si="138"/>
        <v>0</v>
      </c>
      <c r="AD873" s="375" t="s">
        <v>271</v>
      </c>
      <c r="AE873" s="376"/>
      <c r="AF873" s="376"/>
      <c r="AG873" s="209">
        <f>COUNTIFS(D:D,"AA",G:G,"STANGK",L:L,"-1;1",P:P,"JAH")</f>
        <v>0</v>
      </c>
      <c r="AH873" s="115"/>
      <c r="AI873" s="374" t="s">
        <v>271</v>
      </c>
      <c r="AJ873" s="374"/>
      <c r="AK873" s="374"/>
      <c r="AL873" s="115">
        <f>COUNTIFS(D:D,"AA",G:G,"STANGK",L:L,"-1;0",P:P,"JAH")</f>
        <v>0</v>
      </c>
      <c r="AM873" s="115"/>
      <c r="AN873" s="375" t="s">
        <v>271</v>
      </c>
      <c r="AO873" s="376"/>
      <c r="AP873" s="376"/>
      <c r="AQ873" s="209">
        <f>COUNTIFS(D:D,"AA",G:G,"STANGK",L:L,"-1;-1",P:P,"JAH")</f>
        <v>0</v>
      </c>
    </row>
    <row r="874" spans="15:49">
      <c r="O874" s="91"/>
      <c r="X874" s="115">
        <f t="shared" si="135"/>
        <v>0</v>
      </c>
      <c r="Y874" s="115">
        <f t="shared" si="136"/>
        <v>0</v>
      </c>
      <c r="Z874" s="115" t="e">
        <f t="shared" si="137"/>
        <v>#VALUE!</v>
      </c>
      <c r="AA874" s="115">
        <f t="shared" si="138"/>
        <v>0</v>
      </c>
      <c r="AD874" s="375" t="s">
        <v>272</v>
      </c>
      <c r="AE874" s="376"/>
      <c r="AF874" s="376"/>
      <c r="AG874" s="257" t="e">
        <f>AG873/AG872</f>
        <v>#DIV/0!</v>
      </c>
      <c r="AH874" s="115"/>
      <c r="AI874" s="374" t="s">
        <v>272</v>
      </c>
      <c r="AJ874" s="374"/>
      <c r="AK874" s="374"/>
      <c r="AL874" s="246" t="e">
        <f>AL873/AL872</f>
        <v>#DIV/0!</v>
      </c>
      <c r="AM874" s="115"/>
      <c r="AN874" s="375" t="s">
        <v>272</v>
      </c>
      <c r="AO874" s="376"/>
      <c r="AP874" s="376"/>
      <c r="AQ874" s="257" t="e">
        <f>AQ873/AQ872</f>
        <v>#DIV/0!</v>
      </c>
    </row>
    <row r="875" spans="15:49" s="115" customFormat="1">
      <c r="O875" s="91"/>
      <c r="X875" s="115">
        <f t="shared" si="135"/>
        <v>0</v>
      </c>
      <c r="Y875" s="115">
        <f t="shared" si="136"/>
        <v>0</v>
      </c>
      <c r="Z875" s="115" t="e">
        <f t="shared" si="137"/>
        <v>#VALUE!</v>
      </c>
      <c r="AA875" s="115">
        <f t="shared" si="138"/>
        <v>0</v>
      </c>
      <c r="AB875" s="246"/>
      <c r="AD875" s="375" t="s">
        <v>318</v>
      </c>
      <c r="AE875" s="376"/>
      <c r="AF875" s="376"/>
      <c r="AG875" s="254">
        <f>COUNTIFS(D:D,"AA",G:G,"STANGK",L:L,"-1;1",V:V,"JAH")+COUNTIFS(D:D,"AA",G:G,"STANGK",L:L,"-1;1",V:V,"EI")</f>
        <v>0</v>
      </c>
      <c r="AI875" s="374" t="s">
        <v>318</v>
      </c>
      <c r="AJ875" s="374"/>
      <c r="AK875" s="374"/>
      <c r="AL875" s="178">
        <f>COUNTIFS(D:D,"AA",G:G,"STANGK",L:L,"-1;0",V:V,"JAH")+COUNTIFS(D:D,"AA",G:G,"STANGK",L:L,"-1;0",V:V,"EI")</f>
        <v>0</v>
      </c>
      <c r="AN875" s="375" t="s">
        <v>318</v>
      </c>
      <c r="AO875" s="376"/>
      <c r="AP875" s="376"/>
      <c r="AQ875" s="254">
        <f>COUNTIFS(D:D,"AA",G:G,"STANGK",L:L,"-1;-1",V:V,"JAH")+COUNTIFS(D:D,"AA",G:G,"STANGK",L:L,"-1;-1",V:V,"EI")</f>
        <v>0</v>
      </c>
    </row>
    <row r="876" spans="15:49" s="115" customFormat="1">
      <c r="O876" s="91"/>
      <c r="X876" s="115">
        <f t="shared" si="135"/>
        <v>0</v>
      </c>
      <c r="Y876" s="115">
        <f t="shared" si="136"/>
        <v>0</v>
      </c>
      <c r="Z876" s="115" t="e">
        <f t="shared" si="137"/>
        <v>#VALUE!</v>
      </c>
      <c r="AA876" s="115">
        <f t="shared" si="138"/>
        <v>0</v>
      </c>
      <c r="AB876" s="246"/>
      <c r="AD876" s="375" t="s">
        <v>291</v>
      </c>
      <c r="AE876" s="376"/>
      <c r="AF876" s="376"/>
      <c r="AG876" s="209">
        <f>COUNTIFS(D:D,"AA",G:G,"STANGK",L:L,"-1;1",V:V,"JAH")</f>
        <v>0</v>
      </c>
      <c r="AI876" s="374" t="s">
        <v>291</v>
      </c>
      <c r="AJ876" s="374"/>
      <c r="AK876" s="374"/>
      <c r="AL876" s="115">
        <f>COUNTIFS(D:D,"AA",G:G,"STANGK",L:L,"-1;0",V:V,"JAH")</f>
        <v>0</v>
      </c>
      <c r="AN876" s="375" t="s">
        <v>291</v>
      </c>
      <c r="AO876" s="376"/>
      <c r="AP876" s="376"/>
      <c r="AQ876" s="209">
        <f>COUNTIFS(D:D,"AA",G:G,"STANGK",L:L,"-1;-1",V:V,"JAH")</f>
        <v>0</v>
      </c>
    </row>
    <row r="877" spans="15:49" s="115" customFormat="1">
      <c r="O877" s="91"/>
      <c r="X877" s="115">
        <f t="shared" si="135"/>
        <v>0</v>
      </c>
      <c r="Y877" s="115">
        <f t="shared" si="136"/>
        <v>0</v>
      </c>
      <c r="Z877" s="115" t="e">
        <f t="shared" si="137"/>
        <v>#VALUE!</v>
      </c>
      <c r="AA877" s="115">
        <f t="shared" si="138"/>
        <v>0</v>
      </c>
      <c r="AB877" s="246"/>
      <c r="AD877" s="375" t="s">
        <v>292</v>
      </c>
      <c r="AE877" s="376"/>
      <c r="AF877" s="376"/>
      <c r="AG877" s="257" t="e">
        <f>AG876/AG875</f>
        <v>#DIV/0!</v>
      </c>
      <c r="AI877" s="374" t="s">
        <v>292</v>
      </c>
      <c r="AJ877" s="374"/>
      <c r="AK877" s="374"/>
      <c r="AL877" s="246" t="e">
        <f>AL876/AL875</f>
        <v>#DIV/0!</v>
      </c>
      <c r="AN877" s="375" t="s">
        <v>292</v>
      </c>
      <c r="AO877" s="376"/>
      <c r="AP877" s="376"/>
      <c r="AQ877" s="257" t="e">
        <f>AQ876/AQ875</f>
        <v>#DIV/0!</v>
      </c>
    </row>
    <row r="878" spans="15:49">
      <c r="O878" s="91"/>
      <c r="X878" s="115">
        <f t="shared" si="135"/>
        <v>0</v>
      </c>
      <c r="Y878" s="115">
        <f t="shared" si="136"/>
        <v>0</v>
      </c>
      <c r="Z878" s="115" t="e">
        <f t="shared" si="137"/>
        <v>#VALUE!</v>
      </c>
      <c r="AA878" s="115">
        <f t="shared" si="138"/>
        <v>0</v>
      </c>
      <c r="AD878" s="375" t="s">
        <v>724</v>
      </c>
      <c r="AE878" s="376"/>
      <c r="AF878" s="376"/>
      <c r="AG878" s="209">
        <f>COUNTIFS(D:D,"AA",G:G,"STANGK",L:L,"-1;1",F:F,"ATONGOAL")</f>
        <v>0</v>
      </c>
      <c r="AH878" s="115"/>
      <c r="AI878" s="374" t="s">
        <v>724</v>
      </c>
      <c r="AJ878" s="374"/>
      <c r="AK878" s="374"/>
      <c r="AL878" s="115">
        <f>COUNTIFS(D:D,"AA",G:G,"STANGK",L:L,"-1;0",F:F,"ATONGOAL")</f>
        <v>0</v>
      </c>
      <c r="AM878" s="115"/>
      <c r="AN878" s="375" t="s">
        <v>724</v>
      </c>
      <c r="AO878" s="376"/>
      <c r="AP878" s="376"/>
      <c r="AQ878" s="209">
        <f>COUNTIFS(D:D,"AA",G:G,"STANGK",L:L,"-1;-1",F:F,"ATONGOAL")</f>
        <v>0</v>
      </c>
    </row>
    <row r="879" spans="15:49">
      <c r="O879" s="91"/>
      <c r="X879" s="115">
        <f t="shared" si="135"/>
        <v>0</v>
      </c>
      <c r="Y879" s="115">
        <f t="shared" si="136"/>
        <v>0</v>
      </c>
      <c r="Z879" s="115" t="e">
        <f t="shared" si="137"/>
        <v>#VALUE!</v>
      </c>
      <c r="AA879" s="115">
        <f t="shared" si="138"/>
        <v>0</v>
      </c>
      <c r="AD879" s="375" t="s">
        <v>336</v>
      </c>
      <c r="AE879" s="376"/>
      <c r="AF879" s="376"/>
      <c r="AG879" s="209">
        <f>COUNTIFS(D:D,"AA",G:G,"STANGK",L:L,"-1;1",F:F,"ATON")</f>
        <v>0</v>
      </c>
      <c r="AH879" s="115"/>
      <c r="AI879" s="374" t="s">
        <v>336</v>
      </c>
      <c r="AJ879" s="374"/>
      <c r="AK879" s="374"/>
      <c r="AL879" s="115">
        <f>COUNTIFS(D:D,"AA",G:G,"STANGK",L:L,"-1;0",F:F,"ATON")</f>
        <v>0</v>
      </c>
      <c r="AM879" s="115"/>
      <c r="AN879" s="375" t="s">
        <v>336</v>
      </c>
      <c r="AO879" s="376"/>
      <c r="AP879" s="376"/>
      <c r="AQ879" s="209">
        <f>COUNTIFS(D:D,"AA",G:G,"STANGK",L:L,"-1;-1",F:F,"ATON")</f>
        <v>0</v>
      </c>
    </row>
    <row r="880" spans="15:49" s="115" customFormat="1">
      <c r="O880" s="91"/>
      <c r="X880" s="115">
        <f t="shared" si="135"/>
        <v>0</v>
      </c>
      <c r="Y880" s="115">
        <f t="shared" si="136"/>
        <v>0</v>
      </c>
      <c r="Z880" s="115" t="e">
        <f t="shared" si="137"/>
        <v>#VALUE!</v>
      </c>
      <c r="AA880" s="115">
        <f t="shared" si="138"/>
        <v>0</v>
      </c>
      <c r="AB880" s="246"/>
      <c r="AD880" s="375" t="s">
        <v>337</v>
      </c>
      <c r="AE880" s="376"/>
      <c r="AF880" s="376"/>
      <c r="AG880" s="209">
        <f>COUNTIFS(D:D,"AA",G:G,"STANGK",L:L,"-1;1",F:F,"ATOF")</f>
        <v>0</v>
      </c>
      <c r="AI880" s="374" t="s">
        <v>337</v>
      </c>
      <c r="AJ880" s="374"/>
      <c r="AK880" s="374"/>
      <c r="AL880" s="115">
        <f>COUNTIFS(D:D,"AA",G:G,"STANGK",L:L,"-1;0",F:F,"ATOF")</f>
        <v>0</v>
      </c>
      <c r="AN880" s="375" t="s">
        <v>337</v>
      </c>
      <c r="AO880" s="376"/>
      <c r="AP880" s="376"/>
      <c r="AQ880" s="209">
        <f>COUNTIFS(D:D,"AA",G:G,"STANGK",L:L,"-1;-1",F:F,"ATOF")</f>
        <v>0</v>
      </c>
    </row>
    <row r="881" spans="15:43" s="115" customFormat="1">
      <c r="O881" s="91"/>
      <c r="X881" s="115">
        <f t="shared" si="135"/>
        <v>0</v>
      </c>
      <c r="Y881" s="115">
        <f t="shared" si="136"/>
        <v>0</v>
      </c>
      <c r="Z881" s="115" t="e">
        <f t="shared" si="137"/>
        <v>#VALUE!</v>
      </c>
      <c r="AA881" s="115">
        <f t="shared" si="138"/>
        <v>0</v>
      </c>
      <c r="AB881" s="246"/>
      <c r="AD881" s="375" t="s">
        <v>338</v>
      </c>
      <c r="AE881" s="376"/>
      <c r="AF881" s="376"/>
      <c r="AG881" s="209">
        <f>COUNTIFS(D:D,"AA",G:G,"STANGK",L:L,"-1;1",F:F,"ATBK")</f>
        <v>0</v>
      </c>
      <c r="AI881" s="374" t="s">
        <v>338</v>
      </c>
      <c r="AJ881" s="374"/>
      <c r="AK881" s="374"/>
      <c r="AL881" s="115">
        <f>COUNTIFS(D:D,"AA",G:G,"STANGK",L:L,"-1;0",F:F,"ATBK")</f>
        <v>0</v>
      </c>
      <c r="AN881" s="375" t="s">
        <v>338</v>
      </c>
      <c r="AO881" s="376"/>
      <c r="AP881" s="376"/>
      <c r="AQ881" s="209">
        <f>COUNTIFS(D:D,"AA",G:G,"STANGK",L:L,"-1;-1",F:F,"ATBK")</f>
        <v>0</v>
      </c>
    </row>
    <row r="882" spans="15:43">
      <c r="O882" s="91"/>
      <c r="X882" s="115">
        <f t="shared" si="135"/>
        <v>0</v>
      </c>
      <c r="Y882" s="115">
        <f t="shared" si="136"/>
        <v>0</v>
      </c>
      <c r="Z882" s="115" t="e">
        <f t="shared" si="137"/>
        <v>#VALUE!</v>
      </c>
      <c r="AA882" s="115">
        <f t="shared" si="138"/>
        <v>0</v>
      </c>
      <c r="AD882" s="375" t="s">
        <v>315</v>
      </c>
      <c r="AE882" s="376"/>
      <c r="AF882" s="376"/>
      <c r="AG882" s="209">
        <f>COUNTIFS(D:D,"AA",G:G,"STANGK",L:L,"-1;1",E:E,"POS",F:F,"WINSTAN")</f>
        <v>0</v>
      </c>
      <c r="AH882" s="115"/>
      <c r="AI882" s="374" t="s">
        <v>315</v>
      </c>
      <c r="AJ882" s="374"/>
      <c r="AK882" s="374"/>
      <c r="AL882" s="115">
        <f>COUNTIFS(D:D,"AA",G:G,"STANGK",L:L,"-1;0",E:E,"POS",F:F,"WINSTAN")</f>
        <v>0</v>
      </c>
      <c r="AM882" s="115"/>
      <c r="AN882" s="375" t="s">
        <v>315</v>
      </c>
      <c r="AO882" s="376"/>
      <c r="AP882" s="376"/>
      <c r="AQ882" s="209">
        <f>COUNTIFS(D:D,"AA",G:G,"STANGK",L:L,"-1;-1",E:E,"POS",F:F,"WINSTAN")</f>
        <v>0</v>
      </c>
    </row>
    <row r="883" spans="15:43" s="115" customFormat="1">
      <c r="O883" s="91"/>
      <c r="X883" s="115">
        <f t="shared" si="135"/>
        <v>0</v>
      </c>
      <c r="Y883" s="115">
        <f t="shared" si="136"/>
        <v>0</v>
      </c>
      <c r="Z883" s="115" t="e">
        <f t="shared" si="137"/>
        <v>#VALUE!</v>
      </c>
      <c r="AA883" s="115">
        <f t="shared" si="138"/>
        <v>0</v>
      </c>
      <c r="AB883" s="246"/>
      <c r="AD883" s="375" t="s">
        <v>339</v>
      </c>
      <c r="AE883" s="376"/>
      <c r="AF883" s="376"/>
      <c r="AG883" s="209">
        <f>COUNTIFS(D:D,"AA",G:G,"STANGK",L:L,"-1;1",E:E,"POS",F:F,"WINSTANTI")</f>
        <v>0</v>
      </c>
      <c r="AI883" s="374" t="s">
        <v>339</v>
      </c>
      <c r="AJ883" s="374"/>
      <c r="AK883" s="374"/>
      <c r="AL883" s="115">
        <f>COUNTIFS(D:D,"AA",G:G,"STANGK",L:L,"-1;0",E:E,"POS",F:F,"WINSTANTI")</f>
        <v>0</v>
      </c>
      <c r="AN883" s="375" t="s">
        <v>339</v>
      </c>
      <c r="AO883" s="376"/>
      <c r="AP883" s="376"/>
      <c r="AQ883" s="209">
        <f>COUNTIFS(D:D,"AA",G:G,"STANGK",L:L,"-1;-1",E:E,"POS",F:F,"WINSTANTI")</f>
        <v>0</v>
      </c>
    </row>
    <row r="884" spans="15:43">
      <c r="O884" s="91"/>
      <c r="X884" s="115">
        <f t="shared" si="135"/>
        <v>0</v>
      </c>
      <c r="Y884" s="115">
        <f t="shared" si="136"/>
        <v>0</v>
      </c>
      <c r="Z884" s="115" t="e">
        <f t="shared" si="137"/>
        <v>#VALUE!</v>
      </c>
      <c r="AA884" s="115">
        <f t="shared" si="138"/>
        <v>0</v>
      </c>
      <c r="AD884" s="375" t="s">
        <v>316</v>
      </c>
      <c r="AE884" s="376"/>
      <c r="AF884" s="376"/>
      <c r="AG884" s="209">
        <f>COUNTIFS(D:D,"AA",G:G,"STANGK",L:L,"-1;1",F:F,"ENTRY")</f>
        <v>0</v>
      </c>
      <c r="AH884" s="115"/>
      <c r="AI884" s="374" t="s">
        <v>316</v>
      </c>
      <c r="AJ884" s="374"/>
      <c r="AK884" s="374"/>
      <c r="AL884" s="115">
        <f>COUNTIFS(D:D,"AA",G:G,"STANGK",L:L,"-1;0",F:F,"ENTRY")</f>
        <v>0</v>
      </c>
      <c r="AM884" s="115"/>
      <c r="AN884" s="375" t="s">
        <v>316</v>
      </c>
      <c r="AO884" s="376"/>
      <c r="AP884" s="376"/>
      <c r="AQ884" s="209">
        <f>COUNTIFS(D:D,"AA",G:G,"STANGK",L:L,"-1;-1",F:F,"ENTRY")</f>
        <v>0</v>
      </c>
    </row>
    <row r="885" spans="15:43">
      <c r="O885" s="91"/>
      <c r="X885" s="115">
        <f t="shared" si="135"/>
        <v>0</v>
      </c>
      <c r="Y885" s="115">
        <f t="shared" si="136"/>
        <v>0</v>
      </c>
      <c r="Z885" s="115" t="e">
        <f t="shared" si="137"/>
        <v>#VALUE!</v>
      </c>
      <c r="AA885" s="115">
        <f t="shared" si="138"/>
        <v>0</v>
      </c>
      <c r="AD885" s="375" t="s">
        <v>293</v>
      </c>
      <c r="AE885" s="376"/>
      <c r="AF885" s="376"/>
      <c r="AG885" s="209">
        <f>COUNTIFS(D:D,"AA",G:G,"STANGK",L:L,"-1;1",F:F,"KEEPOS")</f>
        <v>0</v>
      </c>
      <c r="AH885" s="115"/>
      <c r="AI885" s="374" t="s">
        <v>293</v>
      </c>
      <c r="AJ885" s="374"/>
      <c r="AK885" s="374"/>
      <c r="AL885" s="115">
        <f>COUNTIFS(D:D,"AA",G:G,"STANGK",L:L,"-1;0",F:F,"KEEPOS")</f>
        <v>0</v>
      </c>
      <c r="AM885" s="115"/>
      <c r="AN885" s="375" t="s">
        <v>293</v>
      </c>
      <c r="AO885" s="376"/>
      <c r="AP885" s="376"/>
      <c r="AQ885" s="209">
        <f>COUNTIFS(D:D,"AA",G:G,"STANGK",L:L,"-1;-1",F:F,"KEEPOS")</f>
        <v>0</v>
      </c>
    </row>
    <row r="886" spans="15:43">
      <c r="O886" s="91"/>
      <c r="X886" s="115">
        <f t="shared" si="135"/>
        <v>0</v>
      </c>
      <c r="Y886" s="115">
        <f t="shared" si="136"/>
        <v>0</v>
      </c>
      <c r="Z886" s="115" t="e">
        <f t="shared" si="137"/>
        <v>#VALUE!</v>
      </c>
      <c r="AA886" s="115">
        <f t="shared" si="138"/>
        <v>0</v>
      </c>
      <c r="AD886" s="386" t="s">
        <v>317</v>
      </c>
      <c r="AE886" s="383"/>
      <c r="AF886" s="383"/>
      <c r="AG886" s="258" t="e">
        <f>SUM(AG878:AG885)/AG872</f>
        <v>#DIV/0!</v>
      </c>
      <c r="AH886" s="115"/>
      <c r="AI886" s="374" t="s">
        <v>317</v>
      </c>
      <c r="AJ886" s="374"/>
      <c r="AK886" s="374"/>
      <c r="AL886" s="246" t="e">
        <f>SUM(AL878:AL885)/AL872</f>
        <v>#DIV/0!</v>
      </c>
      <c r="AM886" s="115"/>
      <c r="AN886" s="386" t="s">
        <v>317</v>
      </c>
      <c r="AO886" s="383"/>
      <c r="AP886" s="383"/>
      <c r="AQ886" s="258" t="e">
        <f>SUM(AQ878:AQ885)/AQ872</f>
        <v>#DIV/0!</v>
      </c>
    </row>
    <row r="887" spans="15:43">
      <c r="O887" s="91"/>
      <c r="X887" s="115">
        <f t="shared" si="135"/>
        <v>0</v>
      </c>
      <c r="Y887" s="115">
        <f t="shared" si="136"/>
        <v>0</v>
      </c>
      <c r="Z887" s="115" t="e">
        <f t="shared" si="137"/>
        <v>#VALUE!</v>
      </c>
      <c r="AA887" s="115">
        <f t="shared" si="138"/>
        <v>0</v>
      </c>
      <c r="AD887" s="374"/>
      <c r="AE887" s="374"/>
      <c r="AF887" s="374"/>
      <c r="AG887" s="151"/>
      <c r="AH887" s="115"/>
      <c r="AI887" s="374"/>
      <c r="AJ887" s="374"/>
      <c r="AK887" s="374"/>
      <c r="AL887" s="151"/>
      <c r="AM887" s="115"/>
      <c r="AN887" s="374"/>
      <c r="AO887" s="374"/>
      <c r="AP887" s="374"/>
      <c r="AQ887" s="151"/>
    </row>
    <row r="888" spans="15:43" s="115" customFormat="1">
      <c r="O888" s="91"/>
      <c r="X888" s="115">
        <f t="shared" si="135"/>
        <v>0</v>
      </c>
      <c r="Y888" s="115">
        <f t="shared" si="136"/>
        <v>0</v>
      </c>
      <c r="Z888" s="115" t="e">
        <f t="shared" si="137"/>
        <v>#VALUE!</v>
      </c>
      <c r="AA888" s="115">
        <f t="shared" si="138"/>
        <v>0</v>
      </c>
      <c r="AB888" s="246"/>
      <c r="AD888" s="374" t="s">
        <v>270</v>
      </c>
      <c r="AE888" s="374"/>
      <c r="AF888" s="374"/>
      <c r="AG888" s="115">
        <f>COUNTIFS(D:D,"AA",G:G,"STANGK",L:L,"0;1")</f>
        <v>0</v>
      </c>
      <c r="AI888" s="374" t="s">
        <v>270</v>
      </c>
      <c r="AJ888" s="374"/>
      <c r="AK888" s="374"/>
      <c r="AL888" s="115">
        <f>COUNTIFS(D:D,"AA",G:G,"STANGK",L:L,"0;0")</f>
        <v>0</v>
      </c>
      <c r="AN888" s="374" t="s">
        <v>270</v>
      </c>
      <c r="AO888" s="374"/>
      <c r="AP888" s="374"/>
      <c r="AQ888" s="115">
        <f>COUNTIFS(D:D,"AA",G:G,"STANGK",L:L,"0;-1")</f>
        <v>0</v>
      </c>
    </row>
    <row r="889" spans="15:43" s="115" customFormat="1">
      <c r="O889" s="91"/>
      <c r="X889" s="115">
        <f t="shared" si="135"/>
        <v>0</v>
      </c>
      <c r="Y889" s="115">
        <f t="shared" si="136"/>
        <v>0</v>
      </c>
      <c r="Z889" s="115" t="e">
        <f t="shared" si="137"/>
        <v>#VALUE!</v>
      </c>
      <c r="AA889" s="115">
        <f t="shared" si="138"/>
        <v>0</v>
      </c>
      <c r="AB889" s="246"/>
      <c r="AD889" s="374" t="s">
        <v>271</v>
      </c>
      <c r="AE889" s="374"/>
      <c r="AF889" s="374"/>
      <c r="AG889" s="115">
        <f>COUNTIFS(D:D,"AA",G:G,"STANGK",L:L,"0;1",P:P,"JAH")</f>
        <v>0</v>
      </c>
      <c r="AI889" s="374" t="s">
        <v>271</v>
      </c>
      <c r="AJ889" s="374"/>
      <c r="AK889" s="374"/>
      <c r="AL889" s="115">
        <f>COUNTIFS(D:D,"AA",G:G,"STANGK",L:L,"0;0",P:P,"JAH")</f>
        <v>0</v>
      </c>
      <c r="AN889" s="374" t="s">
        <v>271</v>
      </c>
      <c r="AO889" s="374"/>
      <c r="AP889" s="374"/>
      <c r="AQ889" s="115">
        <f>COUNTIFS(D:D,"AA",G:G,"STANGK",L:L,"0;-1",P:P,"JAH")</f>
        <v>0</v>
      </c>
    </row>
    <row r="890" spans="15:43">
      <c r="O890" s="91"/>
      <c r="X890" s="115">
        <f t="shared" si="135"/>
        <v>0</v>
      </c>
      <c r="Y890" s="115">
        <f t="shared" si="136"/>
        <v>0</v>
      </c>
      <c r="Z890" s="115" t="e">
        <f t="shared" si="137"/>
        <v>#VALUE!</v>
      </c>
      <c r="AA890" s="115">
        <f t="shared" si="138"/>
        <v>0</v>
      </c>
      <c r="AD890" s="374" t="s">
        <v>272</v>
      </c>
      <c r="AE890" s="374"/>
      <c r="AF890" s="374"/>
      <c r="AG890" s="246" t="e">
        <f>AG889/AG888</f>
        <v>#DIV/0!</v>
      </c>
      <c r="AH890" s="115"/>
      <c r="AI890" s="374" t="s">
        <v>272</v>
      </c>
      <c r="AJ890" s="374"/>
      <c r="AK890" s="374"/>
      <c r="AL890" s="246" t="e">
        <f>AL889/AL888</f>
        <v>#DIV/0!</v>
      </c>
      <c r="AM890" s="115"/>
      <c r="AN890" s="374" t="s">
        <v>272</v>
      </c>
      <c r="AO890" s="374"/>
      <c r="AP890" s="374"/>
      <c r="AQ890" s="246" t="e">
        <f>AQ889/AQ888</f>
        <v>#DIV/0!</v>
      </c>
    </row>
    <row r="891" spans="15:43" s="115" customFormat="1">
      <c r="O891" s="91"/>
      <c r="X891" s="115">
        <f t="shared" si="135"/>
        <v>0</v>
      </c>
      <c r="Y891" s="115">
        <f t="shared" si="136"/>
        <v>0</v>
      </c>
      <c r="Z891" s="115" t="e">
        <f t="shared" si="137"/>
        <v>#VALUE!</v>
      </c>
      <c r="AA891" s="115">
        <f t="shared" si="138"/>
        <v>0</v>
      </c>
      <c r="AB891" s="246"/>
      <c r="AD891" s="374" t="s">
        <v>318</v>
      </c>
      <c r="AE891" s="374"/>
      <c r="AF891" s="374"/>
      <c r="AG891" s="178">
        <f>COUNTIFS(D:D,"AA",G:G,"STANGK",L:L,"0;1",V:V,"JAH")+COUNTIFS(D:D,"AA",G:G,"STANGK",L:L,"0;1",V:V,"EI")</f>
        <v>0</v>
      </c>
      <c r="AI891" s="374" t="s">
        <v>318</v>
      </c>
      <c r="AJ891" s="374"/>
      <c r="AK891" s="374"/>
      <c r="AL891" s="178">
        <f>COUNTIFS(D:D,"AA",G:G,"STANGK",L:L,"0;0",V:V,"JAH")+COUNTIFS(D:D,"AA",G:G,"STANGK",L:L,"0;0",V:V,"EI")</f>
        <v>0</v>
      </c>
      <c r="AN891" s="374" t="s">
        <v>318</v>
      </c>
      <c r="AO891" s="374"/>
      <c r="AP891" s="374"/>
      <c r="AQ891" s="178">
        <f>COUNTIFS(D:D,"AA",G:G,"STANGK",L:L,"0;-1",V:V,"JAH")+COUNTIFS(D:D,"AA",G:G,"STANGK",L:L,"0;-1",V:V,"EI")</f>
        <v>0</v>
      </c>
    </row>
    <row r="892" spans="15:43">
      <c r="O892" s="91"/>
      <c r="X892" s="115">
        <f t="shared" si="135"/>
        <v>0</v>
      </c>
      <c r="Y892" s="115">
        <f t="shared" si="136"/>
        <v>0</v>
      </c>
      <c r="Z892" s="115" t="e">
        <f t="shared" si="137"/>
        <v>#VALUE!</v>
      </c>
      <c r="AA892" s="115">
        <f t="shared" si="138"/>
        <v>0</v>
      </c>
      <c r="AD892" s="374" t="s">
        <v>291</v>
      </c>
      <c r="AE892" s="374"/>
      <c r="AF892" s="374"/>
      <c r="AG892" s="115">
        <f>COUNTIFS(D:D,"AA",G:G,"STANGK",L:L,"0;1",V:V,"JAH")</f>
        <v>0</v>
      </c>
      <c r="AH892" s="115"/>
      <c r="AI892" s="374" t="s">
        <v>291</v>
      </c>
      <c r="AJ892" s="374"/>
      <c r="AK892" s="374"/>
      <c r="AL892" s="115">
        <f>COUNTIFS(D:D,"AA",G:G,"STANGK",L:L,"0;0",V:V,"JAH")</f>
        <v>0</v>
      </c>
      <c r="AM892" s="115"/>
      <c r="AN892" s="374" t="s">
        <v>291</v>
      </c>
      <c r="AO892" s="374"/>
      <c r="AP892" s="374"/>
      <c r="AQ892" s="115">
        <f>COUNTIFS(D:D,"AA",G:G,"STANGK",L:L,"0;-1",V:V,"JAH")</f>
        <v>0</v>
      </c>
    </row>
    <row r="893" spans="15:43">
      <c r="O893" s="91"/>
      <c r="X893" s="115">
        <f t="shared" si="135"/>
        <v>0</v>
      </c>
      <c r="Y893" s="115">
        <f t="shared" si="136"/>
        <v>0</v>
      </c>
      <c r="Z893" s="115" t="e">
        <f t="shared" si="137"/>
        <v>#VALUE!</v>
      </c>
      <c r="AA893" s="115">
        <f t="shared" si="138"/>
        <v>0</v>
      </c>
      <c r="AD893" s="374" t="s">
        <v>292</v>
      </c>
      <c r="AE893" s="374"/>
      <c r="AF893" s="374"/>
      <c r="AG893" s="246" t="e">
        <f>AG892/AG891</f>
        <v>#DIV/0!</v>
      </c>
      <c r="AH893" s="115"/>
      <c r="AI893" s="374" t="s">
        <v>292</v>
      </c>
      <c r="AJ893" s="374"/>
      <c r="AK893" s="374"/>
      <c r="AL893" s="246" t="e">
        <f>AL892/AL891</f>
        <v>#DIV/0!</v>
      </c>
      <c r="AM893" s="115"/>
      <c r="AN893" s="374" t="s">
        <v>292</v>
      </c>
      <c r="AO893" s="374"/>
      <c r="AP893" s="374"/>
      <c r="AQ893" s="246" t="e">
        <f>AQ892/AQ891</f>
        <v>#DIV/0!</v>
      </c>
    </row>
    <row r="894" spans="15:43">
      <c r="O894" s="91"/>
      <c r="X894" s="115">
        <f t="shared" si="135"/>
        <v>0</v>
      </c>
      <c r="Y894" s="115">
        <f t="shared" si="136"/>
        <v>0</v>
      </c>
      <c r="Z894" s="115" t="e">
        <f t="shared" si="137"/>
        <v>#VALUE!</v>
      </c>
      <c r="AA894" s="115">
        <f t="shared" si="138"/>
        <v>0</v>
      </c>
      <c r="AD894" s="374" t="s">
        <v>724</v>
      </c>
      <c r="AE894" s="374"/>
      <c r="AF894" s="374"/>
      <c r="AG894" s="115">
        <f>COUNTIFS(D:D,"AA",G:G,"STANGK",L:L,"0;1",F:F,"ATONGOAL")</f>
        <v>0</v>
      </c>
      <c r="AH894" s="115"/>
      <c r="AI894" s="374" t="s">
        <v>724</v>
      </c>
      <c r="AJ894" s="374"/>
      <c r="AK894" s="374"/>
      <c r="AL894" s="115">
        <f>COUNTIFS(D:D,"AA",G:G,"STANGK",L:L,"0;0",F:F,"ATONGOAL")</f>
        <v>0</v>
      </c>
      <c r="AM894" s="115"/>
      <c r="AN894" s="374" t="s">
        <v>724</v>
      </c>
      <c r="AO894" s="374"/>
      <c r="AP894" s="374"/>
      <c r="AQ894" s="115">
        <f>COUNTIFS(D:D,"AA",G:G,"STANGK",L:L,"0;-1",F:F,"ATONGOAL")</f>
        <v>0</v>
      </c>
    </row>
    <row r="895" spans="15:43">
      <c r="O895" s="91"/>
      <c r="X895" s="115">
        <f t="shared" si="135"/>
        <v>0</v>
      </c>
      <c r="Y895" s="115">
        <f t="shared" si="136"/>
        <v>0</v>
      </c>
      <c r="Z895" s="115" t="e">
        <f t="shared" si="137"/>
        <v>#VALUE!</v>
      </c>
      <c r="AA895" s="115">
        <f t="shared" si="138"/>
        <v>0</v>
      </c>
      <c r="AD895" s="374" t="s">
        <v>336</v>
      </c>
      <c r="AE895" s="374"/>
      <c r="AF895" s="374"/>
      <c r="AG895" s="115">
        <f>COUNTIFS(D:D,"AA",G:G,"STANGK",L:L,"0;1",F:F,"ATON")</f>
        <v>0</v>
      </c>
      <c r="AH895" s="115"/>
      <c r="AI895" s="374" t="s">
        <v>336</v>
      </c>
      <c r="AJ895" s="374"/>
      <c r="AK895" s="374"/>
      <c r="AL895" s="115">
        <f>COUNTIFS(D:D,"AA",G:G,"STANGK",L:L,"0;0",F:F,"ATON")</f>
        <v>0</v>
      </c>
      <c r="AM895" s="115"/>
      <c r="AN895" s="374" t="s">
        <v>336</v>
      </c>
      <c r="AO895" s="374"/>
      <c r="AP895" s="374"/>
      <c r="AQ895" s="115">
        <f>COUNTIFS(D:D,"AA",G:G,"STANGK",L:L,"0;-1",F:F,"ATON")</f>
        <v>0</v>
      </c>
    </row>
    <row r="896" spans="15:43" s="115" customFormat="1">
      <c r="O896" s="91"/>
      <c r="X896" s="115">
        <f t="shared" si="135"/>
        <v>0</v>
      </c>
      <c r="Y896" s="115">
        <f t="shared" si="136"/>
        <v>0</v>
      </c>
      <c r="Z896" s="115" t="e">
        <f t="shared" si="137"/>
        <v>#VALUE!</v>
      </c>
      <c r="AA896" s="115">
        <f t="shared" si="138"/>
        <v>0</v>
      </c>
      <c r="AB896" s="246"/>
      <c r="AD896" s="374" t="s">
        <v>337</v>
      </c>
      <c r="AE896" s="374"/>
      <c r="AF896" s="374"/>
      <c r="AG896" s="115">
        <f>COUNTIFS(D:D,"AA",G:G,"STANGK",L:L,"0;1",F:F,"ATOF")</f>
        <v>0</v>
      </c>
      <c r="AI896" s="374" t="s">
        <v>337</v>
      </c>
      <c r="AJ896" s="374"/>
      <c r="AK896" s="374"/>
      <c r="AL896" s="115">
        <f>COUNTIFS(D:D,"AA",G:G,"STANGK",L:L,"0;0",F:F,"ATOF")</f>
        <v>0</v>
      </c>
      <c r="AN896" s="374" t="s">
        <v>337</v>
      </c>
      <c r="AO896" s="374"/>
      <c r="AP896" s="374"/>
      <c r="AQ896" s="115">
        <f>COUNTIFS(D:D,"AA",G:G,"STANGK",L:L,"0;-1",F:F,"ATOF")</f>
        <v>0</v>
      </c>
    </row>
    <row r="897" spans="15:43" s="115" customFormat="1">
      <c r="O897" s="91"/>
      <c r="X897" s="115">
        <f t="shared" si="135"/>
        <v>0</v>
      </c>
      <c r="Y897" s="115">
        <f t="shared" si="136"/>
        <v>0</v>
      </c>
      <c r="Z897" s="115" t="e">
        <f t="shared" si="137"/>
        <v>#VALUE!</v>
      </c>
      <c r="AA897" s="115">
        <f t="shared" si="138"/>
        <v>0</v>
      </c>
      <c r="AB897" s="246"/>
      <c r="AD897" s="374" t="s">
        <v>338</v>
      </c>
      <c r="AE897" s="374"/>
      <c r="AF897" s="374"/>
      <c r="AG897" s="115">
        <f>COUNTIFS(D:D,"AA",G:G,"STANGK",L:L,"0;1",F:F,"ATBK")</f>
        <v>0</v>
      </c>
      <c r="AI897" s="374" t="s">
        <v>338</v>
      </c>
      <c r="AJ897" s="374"/>
      <c r="AK897" s="374"/>
      <c r="AL897" s="115">
        <f>COUNTIFS(D:D,"AA",G:G,"STANGK",L:L,"0;0",F:F,"ATBK")</f>
        <v>0</v>
      </c>
      <c r="AN897" s="374" t="s">
        <v>338</v>
      </c>
      <c r="AO897" s="374"/>
      <c r="AP897" s="374"/>
      <c r="AQ897" s="115">
        <f>COUNTIFS(D:D,"AA",G:G,"STANGK",L:L,"0;-1",F:F,"ATBK")</f>
        <v>0</v>
      </c>
    </row>
    <row r="898" spans="15:43">
      <c r="O898" s="91"/>
      <c r="X898" s="115">
        <f t="shared" si="135"/>
        <v>0</v>
      </c>
      <c r="Y898" s="115">
        <f t="shared" si="136"/>
        <v>0</v>
      </c>
      <c r="Z898" s="115" t="e">
        <f t="shared" si="137"/>
        <v>#VALUE!</v>
      </c>
      <c r="AA898" s="115">
        <f t="shared" si="138"/>
        <v>0</v>
      </c>
      <c r="AD898" s="374" t="s">
        <v>315</v>
      </c>
      <c r="AE898" s="374"/>
      <c r="AF898" s="374"/>
      <c r="AG898" s="115">
        <f>COUNTIFS(D:D,"AA",G:G,"STANGK",L:L,"0;1",E:E,"POS",F:F,"WINSTAN")</f>
        <v>0</v>
      </c>
      <c r="AH898" s="115"/>
      <c r="AI898" s="374" t="s">
        <v>315</v>
      </c>
      <c r="AJ898" s="374"/>
      <c r="AK898" s="374"/>
      <c r="AL898" s="115">
        <f>COUNTIFS(D:D,"AA",G:G,"STANGK",L:L,"0;0",E:E,"POS",F:F,"WINSTAN")</f>
        <v>0</v>
      </c>
      <c r="AM898" s="115"/>
      <c r="AN898" s="374" t="s">
        <v>315</v>
      </c>
      <c r="AO898" s="374"/>
      <c r="AP898" s="374"/>
      <c r="AQ898" s="115">
        <f>COUNTIFS(D:D,"AA",G:G,"STANGK",L:L,"0;-1",E:E,"POS",F:F,"WINSTAN")</f>
        <v>0</v>
      </c>
    </row>
    <row r="899" spans="15:43" s="115" customFormat="1">
      <c r="O899" s="91"/>
      <c r="X899" s="115">
        <f t="shared" ref="X899:X962" si="139">mapValues(E899,F899,"P265")</f>
        <v>0</v>
      </c>
      <c r="Y899" s="115">
        <f t="shared" ref="Y899:Y962" si="140">X898+X899</f>
        <v>0</v>
      </c>
      <c r="Z899" s="115" t="e">
        <f t="shared" ref="Z899:Z962" si="141">VALUE(MID(B899,FIND(" ",B899)+1,FIND(" ",B899,FIND(" ",B899)+1)-FIND(" ",B899)))</f>
        <v>#VALUE!</v>
      </c>
      <c r="AA899" s="115">
        <f t="shared" ref="AA899:AA962" si="142">T899/1000</f>
        <v>0</v>
      </c>
      <c r="AB899" s="246"/>
      <c r="AD899" s="374" t="s">
        <v>339</v>
      </c>
      <c r="AE899" s="374"/>
      <c r="AF899" s="374"/>
      <c r="AG899" s="115">
        <f>COUNTIFS(D:D,"AA",G:G,"STANGK",L:L,"0;1",E:E,"POS",F:F,"WINSTANTI")</f>
        <v>0</v>
      </c>
      <c r="AI899" s="374" t="s">
        <v>339</v>
      </c>
      <c r="AJ899" s="374"/>
      <c r="AK899" s="374"/>
      <c r="AL899" s="115">
        <f>COUNTIFS(D:D,"AA",G:G,"STANGK",L:L,"0;0",E:E,"POS",F:F,"WINSTANTI")</f>
        <v>0</v>
      </c>
      <c r="AN899" s="374" t="s">
        <v>339</v>
      </c>
      <c r="AO899" s="374"/>
      <c r="AP899" s="374"/>
      <c r="AQ899" s="115">
        <f>COUNTIFS(D:D,"AA",G:G,"STANGK",L:L,"0;-1",E:E,"POS",F:F,"WINSTANTI")</f>
        <v>0</v>
      </c>
    </row>
    <row r="900" spans="15:43">
      <c r="O900" s="91"/>
      <c r="X900" s="115">
        <f t="shared" si="139"/>
        <v>0</v>
      </c>
      <c r="Y900" s="115">
        <f t="shared" si="140"/>
        <v>0</v>
      </c>
      <c r="Z900" s="115" t="e">
        <f t="shared" si="141"/>
        <v>#VALUE!</v>
      </c>
      <c r="AA900" s="115">
        <f t="shared" si="142"/>
        <v>0</v>
      </c>
      <c r="AD900" s="374" t="s">
        <v>316</v>
      </c>
      <c r="AE900" s="374"/>
      <c r="AF900" s="374"/>
      <c r="AG900" s="115">
        <f>COUNTIFS(D:D,"AA",G:G,"STANGK",L:L,"0;1",F:F,"ENTRY")</f>
        <v>0</v>
      </c>
      <c r="AH900" s="115"/>
      <c r="AI900" s="374" t="s">
        <v>316</v>
      </c>
      <c r="AJ900" s="374"/>
      <c r="AK900" s="374"/>
      <c r="AL900" s="115">
        <f>COUNTIFS(D:D,"AA",G:G,"STANGK",L:L,"0;0",F:F,"ENTRY")</f>
        <v>0</v>
      </c>
      <c r="AM900" s="115"/>
      <c r="AN900" s="374" t="s">
        <v>316</v>
      </c>
      <c r="AO900" s="374"/>
      <c r="AP900" s="374"/>
      <c r="AQ900" s="115">
        <f>COUNTIFS(D:D,"AA",G:G,"STANGK",L:L,"0;-1",F:F,"ENTRY")</f>
        <v>0</v>
      </c>
    </row>
    <row r="901" spans="15:43" s="115" customFormat="1">
      <c r="O901" s="91"/>
      <c r="X901" s="115">
        <f t="shared" si="139"/>
        <v>0</v>
      </c>
      <c r="Y901" s="115">
        <f t="shared" si="140"/>
        <v>0</v>
      </c>
      <c r="Z901" s="115" t="e">
        <f t="shared" si="141"/>
        <v>#VALUE!</v>
      </c>
      <c r="AA901" s="115">
        <f t="shared" si="142"/>
        <v>0</v>
      </c>
      <c r="AB901" s="246"/>
      <c r="AD901" s="374" t="s">
        <v>293</v>
      </c>
      <c r="AE901" s="374"/>
      <c r="AF901" s="374"/>
      <c r="AG901" s="115">
        <f>COUNTIFS(D:D,"AA",G:G,"STANGK",L:L,"0;1",F:F,"KEEPOS")</f>
        <v>0</v>
      </c>
      <c r="AI901" s="374" t="s">
        <v>293</v>
      </c>
      <c r="AJ901" s="374"/>
      <c r="AK901" s="374"/>
      <c r="AL901" s="115">
        <f>COUNTIFS(D:D,"AA",G:G,"STANGK",L:L,"0;0",F:F,"KEEPOS")</f>
        <v>0</v>
      </c>
      <c r="AN901" s="374" t="s">
        <v>293</v>
      </c>
      <c r="AO901" s="374"/>
      <c r="AP901" s="374"/>
      <c r="AQ901" s="115">
        <f>COUNTIFS(D:D,"AA",G:G,"STANGK",L:L,"0;-1",F:F,"KEEPOS")</f>
        <v>0</v>
      </c>
    </row>
    <row r="902" spans="15:43" s="115" customFormat="1">
      <c r="O902" s="91"/>
      <c r="X902" s="115">
        <f t="shared" si="139"/>
        <v>0</v>
      </c>
      <c r="Y902" s="115">
        <f t="shared" si="140"/>
        <v>0</v>
      </c>
      <c r="Z902" s="115" t="e">
        <f t="shared" si="141"/>
        <v>#VALUE!</v>
      </c>
      <c r="AA902" s="115">
        <f t="shared" si="142"/>
        <v>0</v>
      </c>
      <c r="AB902" s="246"/>
      <c r="AD902" s="374" t="s">
        <v>317</v>
      </c>
      <c r="AE902" s="374"/>
      <c r="AF902" s="374"/>
      <c r="AG902" s="246" t="e">
        <f>SUM(AG894:AG901)/AG888</f>
        <v>#DIV/0!</v>
      </c>
      <c r="AI902" s="374" t="s">
        <v>317</v>
      </c>
      <c r="AJ902" s="374"/>
      <c r="AK902" s="374"/>
      <c r="AL902" s="246" t="e">
        <f>SUM(AL894:AL901)/AL888</f>
        <v>#DIV/0!</v>
      </c>
      <c r="AN902" s="374" t="s">
        <v>317</v>
      </c>
      <c r="AO902" s="374"/>
      <c r="AP902" s="374"/>
      <c r="AQ902" s="246" t="e">
        <f>SUM(AQ894:AQ901)/AQ888</f>
        <v>#DIV/0!</v>
      </c>
    </row>
    <row r="903" spans="15:43">
      <c r="O903" s="91"/>
      <c r="X903" s="115">
        <f t="shared" si="139"/>
        <v>0</v>
      </c>
      <c r="Y903" s="115">
        <f t="shared" si="140"/>
        <v>0</v>
      </c>
      <c r="Z903" s="115" t="e">
        <f t="shared" si="141"/>
        <v>#VALUE!</v>
      </c>
      <c r="AA903" s="115">
        <f t="shared" si="142"/>
        <v>0</v>
      </c>
      <c r="AD903" s="374"/>
      <c r="AE903" s="374"/>
      <c r="AF903" s="374"/>
      <c r="AG903" s="115"/>
      <c r="AH903" s="115"/>
      <c r="AI903" s="374"/>
      <c r="AJ903" s="374"/>
      <c r="AK903" s="374"/>
      <c r="AL903" s="115"/>
      <c r="AM903" s="115"/>
      <c r="AN903" s="374"/>
      <c r="AO903" s="374"/>
      <c r="AP903" s="374"/>
      <c r="AQ903" s="115"/>
    </row>
    <row r="904" spans="15:43" s="115" customFormat="1">
      <c r="O904" s="91"/>
      <c r="X904" s="115">
        <f t="shared" si="139"/>
        <v>0</v>
      </c>
      <c r="Y904" s="115">
        <f t="shared" si="140"/>
        <v>0</v>
      </c>
      <c r="Z904" s="115" t="e">
        <f t="shared" si="141"/>
        <v>#VALUE!</v>
      </c>
      <c r="AA904" s="115">
        <f t="shared" si="142"/>
        <v>0</v>
      </c>
      <c r="AB904" s="246"/>
      <c r="AD904" s="374" t="s">
        <v>270</v>
      </c>
      <c r="AE904" s="374"/>
      <c r="AF904" s="374"/>
      <c r="AG904" s="115">
        <f>COUNTIFS(D:D,"AA",G:G,"STANGK",L:L,"1;1")</f>
        <v>0</v>
      </c>
      <c r="AI904" s="374" t="s">
        <v>270</v>
      </c>
      <c r="AJ904" s="374"/>
      <c r="AK904" s="374"/>
      <c r="AL904" s="115">
        <f>COUNTIFS(D:D,"AA",G:G,"STANGK",L:L,"1;0")</f>
        <v>0</v>
      </c>
      <c r="AN904" s="374" t="s">
        <v>270</v>
      </c>
      <c r="AO904" s="374"/>
      <c r="AP904" s="374"/>
      <c r="AQ904" s="115">
        <f>COUNTIFS(D:D,"AA",G:G,"STANGK",L:L,"1;-1")</f>
        <v>0</v>
      </c>
    </row>
    <row r="905" spans="15:43" s="115" customFormat="1">
      <c r="O905" s="91"/>
      <c r="X905" s="115">
        <f t="shared" si="139"/>
        <v>0</v>
      </c>
      <c r="Y905" s="115">
        <f t="shared" si="140"/>
        <v>0</v>
      </c>
      <c r="Z905" s="115" t="e">
        <f t="shared" si="141"/>
        <v>#VALUE!</v>
      </c>
      <c r="AA905" s="115">
        <f t="shared" si="142"/>
        <v>0</v>
      </c>
      <c r="AB905" s="246"/>
      <c r="AD905" s="374" t="s">
        <v>271</v>
      </c>
      <c r="AE905" s="374"/>
      <c r="AF905" s="374"/>
      <c r="AG905" s="115">
        <f>COUNTIFS(D:D,"AA",G:G,"STANGK",L:L,"1;1",P:P,"JAH")</f>
        <v>0</v>
      </c>
      <c r="AI905" s="374" t="s">
        <v>271</v>
      </c>
      <c r="AJ905" s="374"/>
      <c r="AK905" s="374"/>
      <c r="AL905" s="115">
        <f>COUNTIFS(D:D,"AA",G:G,"STANGK",L:L,"1;0",P:P,"JAH")</f>
        <v>0</v>
      </c>
      <c r="AN905" s="374" t="s">
        <v>271</v>
      </c>
      <c r="AO905" s="374"/>
      <c r="AP905" s="374"/>
      <c r="AQ905" s="115">
        <f>COUNTIFS(D:D,"AA",G:G,"STANGK",L:L,"1;-1",P:P,"JAH")</f>
        <v>0</v>
      </c>
    </row>
    <row r="906" spans="15:43" s="115" customFormat="1">
      <c r="O906" s="91"/>
      <c r="X906" s="115">
        <f t="shared" si="139"/>
        <v>0</v>
      </c>
      <c r="Y906" s="115">
        <f t="shared" si="140"/>
        <v>0</v>
      </c>
      <c r="Z906" s="115" t="e">
        <f t="shared" si="141"/>
        <v>#VALUE!</v>
      </c>
      <c r="AA906" s="115">
        <f t="shared" si="142"/>
        <v>0</v>
      </c>
      <c r="AB906" s="246"/>
      <c r="AD906" s="374" t="s">
        <v>272</v>
      </c>
      <c r="AE906" s="374"/>
      <c r="AF906" s="374"/>
      <c r="AG906" s="246" t="e">
        <f>AG905/AG904</f>
        <v>#DIV/0!</v>
      </c>
      <c r="AI906" s="374" t="s">
        <v>272</v>
      </c>
      <c r="AJ906" s="374"/>
      <c r="AK906" s="374"/>
      <c r="AL906" s="246" t="e">
        <f>AL905/AL904</f>
        <v>#DIV/0!</v>
      </c>
      <c r="AN906" s="374" t="s">
        <v>272</v>
      </c>
      <c r="AO906" s="374"/>
      <c r="AP906" s="374"/>
      <c r="AQ906" s="246" t="e">
        <f>AQ905/AQ904</f>
        <v>#DIV/0!</v>
      </c>
    </row>
    <row r="907" spans="15:43" s="115" customFormat="1">
      <c r="O907" s="91"/>
      <c r="X907" s="115">
        <f t="shared" si="139"/>
        <v>0</v>
      </c>
      <c r="Y907" s="115">
        <f t="shared" si="140"/>
        <v>0</v>
      </c>
      <c r="Z907" s="115" t="e">
        <f t="shared" si="141"/>
        <v>#VALUE!</v>
      </c>
      <c r="AA907" s="115">
        <f t="shared" si="142"/>
        <v>0</v>
      </c>
      <c r="AB907" s="246"/>
      <c r="AD907" s="374" t="s">
        <v>318</v>
      </c>
      <c r="AE907" s="374"/>
      <c r="AF907" s="374"/>
      <c r="AG907" s="178">
        <f>COUNTIFS(D:D,"AA",G:G,"STANGK",L:L,"1;1",V:V,"JAH")+COUNTIFS(D:D,"AA",G:G,"STANGK",L:L,"1;1",V:V,"EI")</f>
        <v>0</v>
      </c>
      <c r="AI907" s="374" t="s">
        <v>318</v>
      </c>
      <c r="AJ907" s="374"/>
      <c r="AK907" s="374"/>
      <c r="AL907" s="178">
        <f>COUNTIFS(D:D,"AA",G:G,"STANGK",L:L,"1;0",V:V,"JAH")+COUNTIFS(D:D,"AA",G:G,"STANGK",L:L,"1;0",V:V,"EI")</f>
        <v>0</v>
      </c>
      <c r="AN907" s="374" t="s">
        <v>318</v>
      </c>
      <c r="AO907" s="374"/>
      <c r="AP907" s="374"/>
      <c r="AQ907" s="178">
        <f>COUNTIFS(D:D,"AA",G:G,"STANGK",L:L,"1;-1",V:V,"JAH")+COUNTIFS(D:D,"AA",G:G,"STANGK",L:L,"1;-1",V:V,"EI")</f>
        <v>0</v>
      </c>
    </row>
    <row r="908" spans="15:43" s="115" customFormat="1">
      <c r="O908" s="91"/>
      <c r="X908" s="115">
        <f t="shared" si="139"/>
        <v>0</v>
      </c>
      <c r="Y908" s="115">
        <f t="shared" si="140"/>
        <v>0</v>
      </c>
      <c r="Z908" s="115" t="e">
        <f t="shared" si="141"/>
        <v>#VALUE!</v>
      </c>
      <c r="AA908" s="115">
        <f t="shared" si="142"/>
        <v>0</v>
      </c>
      <c r="AB908" s="246"/>
      <c r="AD908" s="374" t="s">
        <v>291</v>
      </c>
      <c r="AE908" s="374"/>
      <c r="AF908" s="374"/>
      <c r="AG908" s="115">
        <f>COUNTIFS(D:D,"AA",G:G,"STANGK",L:L,"1;1",V:V,"JAH")</f>
        <v>0</v>
      </c>
      <c r="AI908" s="374" t="s">
        <v>291</v>
      </c>
      <c r="AJ908" s="374"/>
      <c r="AK908" s="374"/>
      <c r="AL908" s="115">
        <f>COUNTIFS(D:D,"AA",G:G,"STANGK",L:L,"1;0",V:V,"JAH")</f>
        <v>0</v>
      </c>
      <c r="AN908" s="374" t="s">
        <v>291</v>
      </c>
      <c r="AO908" s="374"/>
      <c r="AP908" s="374"/>
      <c r="AQ908" s="115">
        <f>COUNTIFS(D:D,"AA",G:G,"STANGK",L:L,"1;-1",V:V,"JAH")</f>
        <v>0</v>
      </c>
    </row>
    <row r="909" spans="15:43" s="115" customFormat="1">
      <c r="O909" s="91"/>
      <c r="X909" s="115">
        <f t="shared" si="139"/>
        <v>0</v>
      </c>
      <c r="Y909" s="115">
        <f t="shared" si="140"/>
        <v>0</v>
      </c>
      <c r="Z909" s="115" t="e">
        <f t="shared" si="141"/>
        <v>#VALUE!</v>
      </c>
      <c r="AA909" s="115">
        <f t="shared" si="142"/>
        <v>0</v>
      </c>
      <c r="AB909" s="246"/>
      <c r="AD909" s="374" t="s">
        <v>292</v>
      </c>
      <c r="AE909" s="374"/>
      <c r="AF909" s="374"/>
      <c r="AG909" s="246" t="e">
        <f>AG908/AG907</f>
        <v>#DIV/0!</v>
      </c>
      <c r="AI909" s="374" t="s">
        <v>292</v>
      </c>
      <c r="AJ909" s="374"/>
      <c r="AK909" s="374"/>
      <c r="AL909" s="246" t="e">
        <f>AL908/AL907</f>
        <v>#DIV/0!</v>
      </c>
      <c r="AN909" s="374" t="s">
        <v>292</v>
      </c>
      <c r="AO909" s="374"/>
      <c r="AP909" s="374"/>
      <c r="AQ909" s="246" t="e">
        <f>AQ908/AQ907</f>
        <v>#DIV/0!</v>
      </c>
    </row>
    <row r="910" spans="15:43" s="115" customFormat="1">
      <c r="O910" s="91"/>
      <c r="X910" s="115">
        <f t="shared" si="139"/>
        <v>0</v>
      </c>
      <c r="Y910" s="115">
        <f t="shared" si="140"/>
        <v>0</v>
      </c>
      <c r="Z910" s="115" t="e">
        <f t="shared" si="141"/>
        <v>#VALUE!</v>
      </c>
      <c r="AA910" s="115">
        <f t="shared" si="142"/>
        <v>0</v>
      </c>
      <c r="AB910" s="246"/>
      <c r="AD910" s="374" t="s">
        <v>724</v>
      </c>
      <c r="AE910" s="374"/>
      <c r="AF910" s="374"/>
      <c r="AG910" s="115">
        <f>COUNTIFS(D:D,"AA",G:G,"STANGK",L:L,"1;1",F:F,"ATONGOAL")</f>
        <v>0</v>
      </c>
      <c r="AI910" s="374" t="s">
        <v>724</v>
      </c>
      <c r="AJ910" s="374"/>
      <c r="AK910" s="374"/>
      <c r="AL910" s="115">
        <f>COUNTIFS(D:D,"AA",G:G,"STANGK",L:L,"1;0",F:F,"ATONGOAL")</f>
        <v>0</v>
      </c>
      <c r="AN910" s="374" t="s">
        <v>724</v>
      </c>
      <c r="AO910" s="374"/>
      <c r="AP910" s="374"/>
      <c r="AQ910" s="115">
        <f>COUNTIFS(D:D,"AA",G:G,"STANGK",L:L,"1;-1",F:F,"ATONGOAL")</f>
        <v>0</v>
      </c>
    </row>
    <row r="911" spans="15:43" s="115" customFormat="1">
      <c r="O911" s="91"/>
      <c r="X911" s="115">
        <f t="shared" si="139"/>
        <v>0</v>
      </c>
      <c r="Y911" s="115">
        <f t="shared" si="140"/>
        <v>0</v>
      </c>
      <c r="Z911" s="115" t="e">
        <f t="shared" si="141"/>
        <v>#VALUE!</v>
      </c>
      <c r="AA911" s="115">
        <f t="shared" si="142"/>
        <v>0</v>
      </c>
      <c r="AB911" s="246"/>
      <c r="AD911" s="374" t="s">
        <v>336</v>
      </c>
      <c r="AE911" s="374"/>
      <c r="AF911" s="374"/>
      <c r="AG911" s="115">
        <f>COUNTIFS(D:D,"AA",G:G,"STANGK",L:L,"1;1",F:F,"ATON")</f>
        <v>0</v>
      </c>
      <c r="AI911" s="374" t="s">
        <v>336</v>
      </c>
      <c r="AJ911" s="374"/>
      <c r="AK911" s="374"/>
      <c r="AL911" s="115">
        <f>COUNTIFS(D:D,"AA",G:G,"STANGK",L:L,"1;0",F:F,"ATON")</f>
        <v>0</v>
      </c>
      <c r="AN911" s="374" t="s">
        <v>336</v>
      </c>
      <c r="AO911" s="374"/>
      <c r="AP911" s="374"/>
      <c r="AQ911" s="115">
        <f>COUNTIFS(D:D,"AA",G:G,"STANGK",L:L,"1;-1",F:F,"ATON")</f>
        <v>0</v>
      </c>
    </row>
    <row r="912" spans="15:43" s="115" customFormat="1">
      <c r="O912" s="91"/>
      <c r="X912" s="115">
        <f t="shared" si="139"/>
        <v>0</v>
      </c>
      <c r="Y912" s="115">
        <f t="shared" si="140"/>
        <v>0</v>
      </c>
      <c r="Z912" s="115" t="e">
        <f t="shared" si="141"/>
        <v>#VALUE!</v>
      </c>
      <c r="AA912" s="115">
        <f t="shared" si="142"/>
        <v>0</v>
      </c>
      <c r="AB912" s="246"/>
      <c r="AD912" s="374" t="s">
        <v>337</v>
      </c>
      <c r="AE912" s="374"/>
      <c r="AF912" s="374"/>
      <c r="AG912" s="115">
        <f>COUNTIFS(D:D,"AA",G:G,"STANGK",L:L,"1;1",F:F,"ATOF")</f>
        <v>0</v>
      </c>
      <c r="AI912" s="374" t="s">
        <v>337</v>
      </c>
      <c r="AJ912" s="374"/>
      <c r="AK912" s="374"/>
      <c r="AL912" s="115">
        <f>COUNTIFS(D:D,"AA",G:G,"STANGK",L:L,"1;0",F:F,"ATOF")</f>
        <v>0</v>
      </c>
      <c r="AN912" s="374" t="s">
        <v>337</v>
      </c>
      <c r="AO912" s="374"/>
      <c r="AP912" s="374"/>
      <c r="AQ912" s="115">
        <f>COUNTIFS(D:D,"AA",G:G,"STANGK",L:L,"1;-1",F:F,"ATOF")</f>
        <v>0</v>
      </c>
    </row>
    <row r="913" spans="15:43" s="115" customFormat="1">
      <c r="O913" s="91"/>
      <c r="X913" s="115">
        <f t="shared" si="139"/>
        <v>0</v>
      </c>
      <c r="Y913" s="115">
        <f t="shared" si="140"/>
        <v>0</v>
      </c>
      <c r="Z913" s="115" t="e">
        <f t="shared" si="141"/>
        <v>#VALUE!</v>
      </c>
      <c r="AA913" s="115">
        <f t="shared" si="142"/>
        <v>0</v>
      </c>
      <c r="AB913" s="246"/>
      <c r="AD913" s="374" t="s">
        <v>338</v>
      </c>
      <c r="AE913" s="374"/>
      <c r="AF913" s="374"/>
      <c r="AG913" s="115">
        <f>COUNTIFS(D:D,"AA",G:G,"STANGK",L:L,"1;1",F:F,"ATBK")</f>
        <v>0</v>
      </c>
      <c r="AI913" s="374" t="s">
        <v>338</v>
      </c>
      <c r="AJ913" s="374"/>
      <c r="AK913" s="374"/>
      <c r="AL913" s="115">
        <f>COUNTIFS(D:D,"AA",G:G,"STANGK",L:L,"1;0",F:F,"ATBK")</f>
        <v>0</v>
      </c>
      <c r="AN913" s="374" t="s">
        <v>338</v>
      </c>
      <c r="AO913" s="374"/>
      <c r="AP913" s="374"/>
      <c r="AQ913" s="115">
        <f>COUNTIFS(D:D,"AA",G:G,"STANGK",L:L,"1;-1",F:F,"ATBK")</f>
        <v>0</v>
      </c>
    </row>
    <row r="914" spans="15:43" s="115" customFormat="1">
      <c r="O914" s="91"/>
      <c r="X914" s="115">
        <f t="shared" si="139"/>
        <v>0</v>
      </c>
      <c r="Y914" s="115">
        <f t="shared" si="140"/>
        <v>0</v>
      </c>
      <c r="Z914" s="115" t="e">
        <f t="shared" si="141"/>
        <v>#VALUE!</v>
      </c>
      <c r="AA914" s="115">
        <f t="shared" si="142"/>
        <v>0</v>
      </c>
      <c r="AB914" s="246"/>
      <c r="AD914" s="374" t="s">
        <v>315</v>
      </c>
      <c r="AE914" s="374"/>
      <c r="AF914" s="374"/>
      <c r="AG914" s="115">
        <f>COUNTIFS(D:D,"AA",G:G,"STANGK",L:L,"1;1",E:E,"POS",F:F,"WINSTAN")</f>
        <v>0</v>
      </c>
      <c r="AI914" s="374" t="s">
        <v>315</v>
      </c>
      <c r="AJ914" s="374"/>
      <c r="AK914" s="374"/>
      <c r="AL914" s="115">
        <f>COUNTIFS(D:D,"AA",G:G,"STANGK",L:L,"1;0",E:E,"POS",F:F,"WINSTAN")</f>
        <v>0</v>
      </c>
      <c r="AN914" s="374" t="s">
        <v>315</v>
      </c>
      <c r="AO914" s="374"/>
      <c r="AP914" s="374"/>
      <c r="AQ914" s="115">
        <f>COUNTIFS(D:D,"AA",G:G,"STANGK",L:L,"1;-1",E:E,"POS",F:F,"WINSTAN")</f>
        <v>0</v>
      </c>
    </row>
    <row r="915" spans="15:43" s="115" customFormat="1">
      <c r="O915" s="91"/>
      <c r="X915" s="115">
        <f t="shared" si="139"/>
        <v>0</v>
      </c>
      <c r="Y915" s="115">
        <f t="shared" si="140"/>
        <v>0</v>
      </c>
      <c r="Z915" s="115" t="e">
        <f t="shared" si="141"/>
        <v>#VALUE!</v>
      </c>
      <c r="AA915" s="115">
        <f t="shared" si="142"/>
        <v>0</v>
      </c>
      <c r="AB915" s="246"/>
      <c r="AD915" s="374" t="s">
        <v>339</v>
      </c>
      <c r="AE915" s="374"/>
      <c r="AF915" s="374"/>
      <c r="AG915" s="115">
        <f>COUNTIFS(D:D,"AA",G:G,"STANGK",L:L,"1;1",E:E,"POS",F:F,"WINSTANTI")</f>
        <v>0</v>
      </c>
      <c r="AI915" s="374" t="s">
        <v>339</v>
      </c>
      <c r="AJ915" s="374"/>
      <c r="AK915" s="374"/>
      <c r="AL915" s="115">
        <f>COUNTIFS(D:D,"AA",G:G,"STANGK",L:L,"1;0",E:E,"POS",F:F,"WINSTANTI")</f>
        <v>0</v>
      </c>
      <c r="AN915" s="374" t="s">
        <v>339</v>
      </c>
      <c r="AO915" s="374"/>
      <c r="AP915" s="374"/>
      <c r="AQ915" s="115">
        <f>COUNTIFS(D:D,"AA",G:G,"STANGK",L:L,"1;-1",E:E,"POS",F:F,"WINSTANTI")</f>
        <v>0</v>
      </c>
    </row>
    <row r="916" spans="15:43" s="115" customFormat="1">
      <c r="O916" s="91"/>
      <c r="X916" s="115">
        <f t="shared" si="139"/>
        <v>0</v>
      </c>
      <c r="Y916" s="115">
        <f t="shared" si="140"/>
        <v>0</v>
      </c>
      <c r="Z916" s="115" t="e">
        <f t="shared" si="141"/>
        <v>#VALUE!</v>
      </c>
      <c r="AA916" s="115">
        <f t="shared" si="142"/>
        <v>0</v>
      </c>
      <c r="AB916" s="246"/>
      <c r="AD916" s="374" t="s">
        <v>316</v>
      </c>
      <c r="AE916" s="374"/>
      <c r="AF916" s="374"/>
      <c r="AG916" s="115">
        <f>COUNTIFS(D:D,"AA",G:G,"STANGK",L:L,"1;1",F:F,"ENTRY")</f>
        <v>0</v>
      </c>
      <c r="AI916" s="374" t="s">
        <v>316</v>
      </c>
      <c r="AJ916" s="374"/>
      <c r="AK916" s="374"/>
      <c r="AL916" s="115">
        <f>COUNTIFS(D:D,"AA",G:G,"STANGK",L:L,"1;0",F:F,"ENTRY")</f>
        <v>0</v>
      </c>
      <c r="AN916" s="374" t="s">
        <v>316</v>
      </c>
      <c r="AO916" s="374"/>
      <c r="AP916" s="374"/>
      <c r="AQ916" s="115">
        <f>COUNTIFS(D:D,"AA",G:G,"STANGK",L:L,"1;-1",F:F,"ENTRY")</f>
        <v>0</v>
      </c>
    </row>
    <row r="917" spans="15:43" s="115" customFormat="1">
      <c r="O917" s="91"/>
      <c r="X917" s="115">
        <f t="shared" si="139"/>
        <v>0</v>
      </c>
      <c r="Y917" s="115">
        <f t="shared" si="140"/>
        <v>0</v>
      </c>
      <c r="Z917" s="115" t="e">
        <f t="shared" si="141"/>
        <v>#VALUE!</v>
      </c>
      <c r="AA917" s="115">
        <f t="shared" si="142"/>
        <v>0</v>
      </c>
      <c r="AB917" s="246"/>
      <c r="AD917" s="374" t="s">
        <v>293</v>
      </c>
      <c r="AE917" s="374"/>
      <c r="AF917" s="374"/>
      <c r="AG917" s="115">
        <f>COUNTIFS(D:D,"AA",G:G,"STANGK",L:L,"1;1",F:F,"KEEPOS")</f>
        <v>0</v>
      </c>
      <c r="AI917" s="374" t="s">
        <v>293</v>
      </c>
      <c r="AJ917" s="374"/>
      <c r="AK917" s="374"/>
      <c r="AL917" s="115">
        <f>COUNTIFS(D:D,"AA",G:G,"STANGK",L:L,"1;0",F:F,"KEEPOS")</f>
        <v>0</v>
      </c>
      <c r="AN917" s="374" t="s">
        <v>293</v>
      </c>
      <c r="AO917" s="374"/>
      <c r="AP917" s="374"/>
      <c r="AQ917" s="115">
        <f>COUNTIFS(D:D,"AA",G:G,"STANGK",L:L,"1;-1",F:F,"KEEPOS")</f>
        <v>0</v>
      </c>
    </row>
    <row r="918" spans="15:43" s="115" customFormat="1">
      <c r="O918" s="91"/>
      <c r="X918" s="115">
        <f t="shared" si="139"/>
        <v>0</v>
      </c>
      <c r="Y918" s="115">
        <f t="shared" si="140"/>
        <v>0</v>
      </c>
      <c r="Z918" s="115" t="e">
        <f t="shared" si="141"/>
        <v>#VALUE!</v>
      </c>
      <c r="AA918" s="115">
        <f t="shared" si="142"/>
        <v>0</v>
      </c>
      <c r="AB918" s="246"/>
      <c r="AD918" s="374" t="s">
        <v>317</v>
      </c>
      <c r="AE918" s="374"/>
      <c r="AF918" s="374"/>
      <c r="AG918" s="246" t="e">
        <f>SUM(AG910:AG917)/AG904</f>
        <v>#DIV/0!</v>
      </c>
      <c r="AI918" s="374" t="s">
        <v>317</v>
      </c>
      <c r="AJ918" s="374"/>
      <c r="AK918" s="374"/>
      <c r="AL918" s="246" t="e">
        <f>SUM(AL910:AL917)/AL904</f>
        <v>#DIV/0!</v>
      </c>
      <c r="AN918" s="374" t="s">
        <v>317</v>
      </c>
      <c r="AO918" s="374"/>
      <c r="AP918" s="374"/>
      <c r="AQ918" s="246" t="e">
        <f>SUM(AQ910:AQ917)/AQ904</f>
        <v>#DIV/0!</v>
      </c>
    </row>
    <row r="919" spans="15:43" s="115" customFormat="1">
      <c r="O919" s="91"/>
      <c r="X919" s="115">
        <f t="shared" si="139"/>
        <v>0</v>
      </c>
      <c r="Y919" s="115">
        <f t="shared" si="140"/>
        <v>0</v>
      </c>
      <c r="Z919" s="115" t="e">
        <f t="shared" si="141"/>
        <v>#VALUE!</v>
      </c>
      <c r="AA919" s="115">
        <f t="shared" si="142"/>
        <v>0</v>
      </c>
      <c r="AB919" s="246"/>
      <c r="AD919" s="193"/>
      <c r="AE919" s="193"/>
      <c r="AF919" s="193"/>
      <c r="AI919" s="193"/>
      <c r="AJ919" s="193"/>
      <c r="AK919" s="193"/>
      <c r="AN919" s="193"/>
      <c r="AO919" s="193"/>
      <c r="AP919" s="193"/>
    </row>
    <row r="920" spans="15:43" s="115" customFormat="1">
      <c r="O920" s="91"/>
      <c r="X920" s="115">
        <f t="shared" si="139"/>
        <v>0</v>
      </c>
      <c r="Y920" s="115">
        <f t="shared" si="140"/>
        <v>0</v>
      </c>
      <c r="Z920" s="115" t="e">
        <f t="shared" si="141"/>
        <v>#VALUE!</v>
      </c>
      <c r="AA920" s="115">
        <f t="shared" si="142"/>
        <v>0</v>
      </c>
      <c r="AB920" s="246"/>
      <c r="AD920" s="374" t="s">
        <v>270</v>
      </c>
      <c r="AE920" s="374"/>
      <c r="AF920" s="374"/>
      <c r="AG920" s="115">
        <f>COUNTIFS(D:D,"AA",G:G,"STANGK",L:L,"2;1")</f>
        <v>0</v>
      </c>
      <c r="AI920" s="374" t="s">
        <v>270</v>
      </c>
      <c r="AJ920" s="374"/>
      <c r="AK920" s="374"/>
      <c r="AL920" s="115">
        <f>COUNTIFS(D:D,"AA",G:G,"STANGK",L:L,"2;0")</f>
        <v>0</v>
      </c>
      <c r="AN920" s="374" t="s">
        <v>270</v>
      </c>
      <c r="AO920" s="374"/>
      <c r="AP920" s="374"/>
      <c r="AQ920" s="115">
        <f>COUNTIFS(D:D,"AA",G:G,"STANGK",L:L,"2;-1")</f>
        <v>0</v>
      </c>
    </row>
    <row r="921" spans="15:43" s="115" customFormat="1">
      <c r="O921" s="91"/>
      <c r="X921" s="115">
        <f t="shared" si="139"/>
        <v>0</v>
      </c>
      <c r="Y921" s="115">
        <f t="shared" si="140"/>
        <v>0</v>
      </c>
      <c r="Z921" s="115" t="e">
        <f t="shared" si="141"/>
        <v>#VALUE!</v>
      </c>
      <c r="AA921" s="115">
        <f t="shared" si="142"/>
        <v>0</v>
      </c>
      <c r="AB921" s="246"/>
      <c r="AD921" s="374" t="s">
        <v>271</v>
      </c>
      <c r="AE921" s="374"/>
      <c r="AF921" s="374"/>
      <c r="AG921" s="115">
        <f>COUNTIFS(D:D,"AA",G:G,"STANGK",L:L,"2;1",P:P,"JAH")</f>
        <v>0</v>
      </c>
      <c r="AI921" s="374" t="s">
        <v>271</v>
      </c>
      <c r="AJ921" s="374"/>
      <c r="AK921" s="374"/>
      <c r="AL921" s="115">
        <f>COUNTIFS(D:D,"AA",G:G,"STANGK",L:L,"2;0",P:P,"JAH")</f>
        <v>0</v>
      </c>
      <c r="AN921" s="374" t="s">
        <v>271</v>
      </c>
      <c r="AO921" s="374"/>
      <c r="AP921" s="374"/>
      <c r="AQ921" s="115">
        <f>COUNTIFS(D:D,"AA",G:G,"STANGK",L:L,"2;-1",P:P,"JAH")</f>
        <v>0</v>
      </c>
    </row>
    <row r="922" spans="15:43" s="115" customFormat="1">
      <c r="O922" s="91"/>
      <c r="X922" s="115">
        <f t="shared" si="139"/>
        <v>0</v>
      </c>
      <c r="Y922" s="115">
        <f t="shared" si="140"/>
        <v>0</v>
      </c>
      <c r="Z922" s="115" t="e">
        <f t="shared" si="141"/>
        <v>#VALUE!</v>
      </c>
      <c r="AA922" s="115">
        <f t="shared" si="142"/>
        <v>0</v>
      </c>
      <c r="AB922" s="246"/>
      <c r="AD922" s="374" t="s">
        <v>272</v>
      </c>
      <c r="AE922" s="374"/>
      <c r="AF922" s="374"/>
      <c r="AG922" s="246" t="e">
        <f>AG921/AG920</f>
        <v>#DIV/0!</v>
      </c>
      <c r="AI922" s="374" t="s">
        <v>272</v>
      </c>
      <c r="AJ922" s="374"/>
      <c r="AK922" s="374"/>
      <c r="AL922" s="246" t="e">
        <f>AL921/AL920</f>
        <v>#DIV/0!</v>
      </c>
      <c r="AN922" s="374" t="s">
        <v>272</v>
      </c>
      <c r="AO922" s="374"/>
      <c r="AP922" s="374"/>
      <c r="AQ922" s="246" t="e">
        <f>AQ921/AQ920</f>
        <v>#DIV/0!</v>
      </c>
    </row>
    <row r="923" spans="15:43" s="115" customFormat="1">
      <c r="O923" s="91"/>
      <c r="X923" s="115">
        <f t="shared" si="139"/>
        <v>0</v>
      </c>
      <c r="Y923" s="115">
        <f t="shared" si="140"/>
        <v>0</v>
      </c>
      <c r="Z923" s="115" t="e">
        <f t="shared" si="141"/>
        <v>#VALUE!</v>
      </c>
      <c r="AA923" s="115">
        <f t="shared" si="142"/>
        <v>0</v>
      </c>
      <c r="AB923" s="246"/>
      <c r="AD923" s="374" t="s">
        <v>318</v>
      </c>
      <c r="AE923" s="374"/>
      <c r="AF923" s="374"/>
      <c r="AG923" s="178">
        <f>COUNTIFS(D:D,"AA",G:G,"STANGK",L:L,"2;1",V:V,"JAH")+COUNTIFS(D:D,"AA",G:G,"STANGK",L:L,"2;1",V:V,"EI")</f>
        <v>0</v>
      </c>
      <c r="AI923" s="374" t="s">
        <v>318</v>
      </c>
      <c r="AJ923" s="374"/>
      <c r="AK923" s="374"/>
      <c r="AL923" s="178">
        <f>COUNTIFS(D:D,"AA",G:G,"STANGK",L:L,"2;0",V:V,"JAH")+COUNTIFS(D:D,"AA",G:G,"STANGK",L:L,"2;0",V:V,"EI")</f>
        <v>0</v>
      </c>
      <c r="AN923" s="374" t="s">
        <v>318</v>
      </c>
      <c r="AO923" s="374"/>
      <c r="AP923" s="374"/>
      <c r="AQ923" s="178">
        <f>COUNTIFS(D:D,"AA",G:G,"STANGK",L:L,"2;-1",V:V,"JAH")+COUNTIFS(D:D,"AA",G:G,"STANGK",L:L,"2;-1",V:V,"EI")</f>
        <v>0</v>
      </c>
    </row>
    <row r="924" spans="15:43" s="115" customFormat="1">
      <c r="O924" s="91"/>
      <c r="X924" s="115">
        <f t="shared" si="139"/>
        <v>0</v>
      </c>
      <c r="Y924" s="115">
        <f t="shared" si="140"/>
        <v>0</v>
      </c>
      <c r="Z924" s="115" t="e">
        <f t="shared" si="141"/>
        <v>#VALUE!</v>
      </c>
      <c r="AA924" s="115">
        <f t="shared" si="142"/>
        <v>0</v>
      </c>
      <c r="AB924" s="246"/>
      <c r="AD924" s="374" t="s">
        <v>291</v>
      </c>
      <c r="AE924" s="374"/>
      <c r="AF924" s="374"/>
      <c r="AG924" s="115">
        <f>COUNTIFS(D:D,"AA",G:G,"STANGK",L:L,"2;1",V:V,"JAH")</f>
        <v>0</v>
      </c>
      <c r="AI924" s="374" t="s">
        <v>291</v>
      </c>
      <c r="AJ924" s="374"/>
      <c r="AK924" s="374"/>
      <c r="AL924" s="115">
        <f>COUNTIFS(D:D,"AA",G:G,"STANGK",L:L,"2;0",V:V,"JAH")</f>
        <v>0</v>
      </c>
      <c r="AN924" s="374" t="s">
        <v>291</v>
      </c>
      <c r="AO924" s="374"/>
      <c r="AP924" s="374"/>
      <c r="AQ924" s="115">
        <f>COUNTIFS(D:D,"AA",G:G,"STANGK",L:L,"2;-1",V:V,"JAH")</f>
        <v>0</v>
      </c>
    </row>
    <row r="925" spans="15:43" s="115" customFormat="1">
      <c r="O925" s="91"/>
      <c r="X925" s="115">
        <f t="shared" si="139"/>
        <v>0</v>
      </c>
      <c r="Y925" s="115">
        <f t="shared" si="140"/>
        <v>0</v>
      </c>
      <c r="Z925" s="115" t="e">
        <f t="shared" si="141"/>
        <v>#VALUE!</v>
      </c>
      <c r="AA925" s="115">
        <f t="shared" si="142"/>
        <v>0</v>
      </c>
      <c r="AB925" s="246"/>
      <c r="AD925" s="374" t="s">
        <v>292</v>
      </c>
      <c r="AE925" s="374"/>
      <c r="AF925" s="374"/>
      <c r="AG925" s="246" t="e">
        <f>AG924/AG923</f>
        <v>#DIV/0!</v>
      </c>
      <c r="AI925" s="374" t="s">
        <v>292</v>
      </c>
      <c r="AJ925" s="374"/>
      <c r="AK925" s="374"/>
      <c r="AL925" s="246" t="e">
        <f>AL924/AL923</f>
        <v>#DIV/0!</v>
      </c>
      <c r="AN925" s="374" t="s">
        <v>292</v>
      </c>
      <c r="AO925" s="374"/>
      <c r="AP925" s="374"/>
      <c r="AQ925" s="246" t="e">
        <f>AQ924/AQ923</f>
        <v>#DIV/0!</v>
      </c>
    </row>
    <row r="926" spans="15:43" s="115" customFormat="1">
      <c r="O926" s="91"/>
      <c r="X926" s="115">
        <f t="shared" si="139"/>
        <v>0</v>
      </c>
      <c r="Y926" s="115">
        <f t="shared" si="140"/>
        <v>0</v>
      </c>
      <c r="Z926" s="115" t="e">
        <f t="shared" si="141"/>
        <v>#VALUE!</v>
      </c>
      <c r="AA926" s="115">
        <f t="shared" si="142"/>
        <v>0</v>
      </c>
      <c r="AB926" s="246"/>
      <c r="AD926" s="374" t="s">
        <v>724</v>
      </c>
      <c r="AE926" s="374"/>
      <c r="AF926" s="374"/>
      <c r="AG926" s="115">
        <f>COUNTIFS(D:D,"AA",G:G,"STANGK",L:L,"2;1",F:F,"ATONGOAL")</f>
        <v>0</v>
      </c>
      <c r="AI926" s="374" t="s">
        <v>724</v>
      </c>
      <c r="AJ926" s="374"/>
      <c r="AK926" s="374"/>
      <c r="AL926" s="115">
        <f>COUNTIFS(D:D,"AA",G:G,"STANGK",L:L,"2;0",F:F,"ATONGOAL")</f>
        <v>0</v>
      </c>
      <c r="AN926" s="374" t="s">
        <v>724</v>
      </c>
      <c r="AO926" s="374"/>
      <c r="AP926" s="374"/>
      <c r="AQ926" s="115">
        <f>COUNTIFS(D:D,"AA",G:G,"STANGK",L:L,"2;-1",F:F,"ATONGOAL")</f>
        <v>0</v>
      </c>
    </row>
    <row r="927" spans="15:43" s="115" customFormat="1">
      <c r="O927" s="91"/>
      <c r="X927" s="115">
        <f t="shared" si="139"/>
        <v>0</v>
      </c>
      <c r="Y927" s="115">
        <f t="shared" si="140"/>
        <v>0</v>
      </c>
      <c r="Z927" s="115" t="e">
        <f t="shared" si="141"/>
        <v>#VALUE!</v>
      </c>
      <c r="AA927" s="115">
        <f t="shared" si="142"/>
        <v>0</v>
      </c>
      <c r="AB927" s="246"/>
      <c r="AD927" s="374" t="s">
        <v>336</v>
      </c>
      <c r="AE927" s="374"/>
      <c r="AF927" s="374"/>
      <c r="AG927" s="115">
        <f>COUNTIFS(D:D,"AA",G:G,"STANGK",L:L,"2;1",F:F,"ATON")</f>
        <v>0</v>
      </c>
      <c r="AI927" s="374" t="s">
        <v>336</v>
      </c>
      <c r="AJ927" s="374"/>
      <c r="AK927" s="374"/>
      <c r="AL927" s="115">
        <f>COUNTIFS(D:D,"AA",G:G,"STANGK",L:L,"2;0",F:F,"ATON")</f>
        <v>0</v>
      </c>
      <c r="AN927" s="374" t="s">
        <v>336</v>
      </c>
      <c r="AO927" s="374"/>
      <c r="AP927" s="374"/>
      <c r="AQ927" s="115">
        <f>COUNTIFS(D:D,"AA",G:G,"STANGK",L:L,"2;-1",F:F,"ATON")</f>
        <v>0</v>
      </c>
    </row>
    <row r="928" spans="15:43" s="115" customFormat="1">
      <c r="O928" s="91"/>
      <c r="X928" s="115">
        <f t="shared" si="139"/>
        <v>0</v>
      </c>
      <c r="Y928" s="115">
        <f t="shared" si="140"/>
        <v>0</v>
      </c>
      <c r="Z928" s="115" t="e">
        <f t="shared" si="141"/>
        <v>#VALUE!</v>
      </c>
      <c r="AA928" s="115">
        <f t="shared" si="142"/>
        <v>0</v>
      </c>
      <c r="AB928" s="246"/>
      <c r="AD928" s="374" t="s">
        <v>337</v>
      </c>
      <c r="AE928" s="374"/>
      <c r="AF928" s="374"/>
      <c r="AG928" s="115">
        <f>COUNTIFS(D:D,"AA",G:G,"STANGK",L:L,"2;1",F:F,"ATOF")</f>
        <v>0</v>
      </c>
      <c r="AI928" s="374" t="s">
        <v>337</v>
      </c>
      <c r="AJ928" s="374"/>
      <c r="AK928" s="374"/>
      <c r="AL928" s="115">
        <f>COUNTIFS(D:D,"AA",G:G,"STANGK",L:L,"2;0",F:F,"ATOF")</f>
        <v>0</v>
      </c>
      <c r="AN928" s="374" t="s">
        <v>337</v>
      </c>
      <c r="AO928" s="374"/>
      <c r="AP928" s="374"/>
      <c r="AQ928" s="115">
        <f>COUNTIFS(D:D,"AA",G:G,"STANGK",L:L,"2;-1",F:F,"ATOF")</f>
        <v>0</v>
      </c>
    </row>
    <row r="929" spans="15:43" s="115" customFormat="1">
      <c r="O929" s="91"/>
      <c r="X929" s="115">
        <f t="shared" si="139"/>
        <v>0</v>
      </c>
      <c r="Y929" s="115">
        <f t="shared" si="140"/>
        <v>0</v>
      </c>
      <c r="Z929" s="115" t="e">
        <f t="shared" si="141"/>
        <v>#VALUE!</v>
      </c>
      <c r="AA929" s="115">
        <f t="shared" si="142"/>
        <v>0</v>
      </c>
      <c r="AB929" s="246"/>
      <c r="AD929" s="374" t="s">
        <v>338</v>
      </c>
      <c r="AE929" s="374"/>
      <c r="AF929" s="374"/>
      <c r="AG929" s="115">
        <f>COUNTIFS(D:D,"AA",G:G,"STANGK",L:L,"2;1",F:F,"ATBK")</f>
        <v>0</v>
      </c>
      <c r="AI929" s="374" t="s">
        <v>338</v>
      </c>
      <c r="AJ929" s="374"/>
      <c r="AK929" s="374"/>
      <c r="AL929" s="115">
        <f>COUNTIFS(D:D,"AA",G:G,"STANGK",L:L,"2;0",F:F,"ATBK")</f>
        <v>0</v>
      </c>
      <c r="AN929" s="374" t="s">
        <v>338</v>
      </c>
      <c r="AO929" s="374"/>
      <c r="AP929" s="374"/>
      <c r="AQ929" s="115">
        <f>COUNTIFS(D:D,"AA",G:G,"STANGK",L:L,"2;-1",F:F,"ATBK")</f>
        <v>0</v>
      </c>
    </row>
    <row r="930" spans="15:43" s="115" customFormat="1">
      <c r="O930" s="91"/>
      <c r="X930" s="115">
        <f t="shared" si="139"/>
        <v>0</v>
      </c>
      <c r="Y930" s="115">
        <f t="shared" si="140"/>
        <v>0</v>
      </c>
      <c r="Z930" s="115" t="e">
        <f t="shared" si="141"/>
        <v>#VALUE!</v>
      </c>
      <c r="AA930" s="115">
        <f t="shared" si="142"/>
        <v>0</v>
      </c>
      <c r="AB930" s="246"/>
      <c r="AD930" s="374" t="s">
        <v>315</v>
      </c>
      <c r="AE930" s="374"/>
      <c r="AF930" s="374"/>
      <c r="AG930" s="115">
        <f>COUNTIFS(D:D,"AA",G:G,"STANGK",L:L,"2;1",E:E,"POS",F:F,"WINSTAN")</f>
        <v>0</v>
      </c>
      <c r="AI930" s="374" t="s">
        <v>315</v>
      </c>
      <c r="AJ930" s="374"/>
      <c r="AK930" s="374"/>
      <c r="AL930" s="115">
        <f>COUNTIFS(D:D,"AA",G:G,"STANGK",L:L,"2;0",E:E,"POS",F:F,"WINSTAN")</f>
        <v>0</v>
      </c>
      <c r="AN930" s="374" t="s">
        <v>315</v>
      </c>
      <c r="AO930" s="374"/>
      <c r="AP930" s="374"/>
      <c r="AQ930" s="115">
        <f>COUNTIFS(D:D,"AA",G:G,"STANGK",L:L,"2;-1",E:E,"POS",F:F,"WINSTAN")</f>
        <v>0</v>
      </c>
    </row>
    <row r="931" spans="15:43" s="115" customFormat="1">
      <c r="O931" s="91"/>
      <c r="X931" s="115">
        <f t="shared" si="139"/>
        <v>0</v>
      </c>
      <c r="Y931" s="115">
        <f t="shared" si="140"/>
        <v>0</v>
      </c>
      <c r="Z931" s="115" t="e">
        <f t="shared" si="141"/>
        <v>#VALUE!</v>
      </c>
      <c r="AA931" s="115">
        <f t="shared" si="142"/>
        <v>0</v>
      </c>
      <c r="AB931" s="246"/>
      <c r="AD931" s="374" t="s">
        <v>339</v>
      </c>
      <c r="AE931" s="374"/>
      <c r="AF931" s="374"/>
      <c r="AG931" s="115">
        <f>COUNTIFS(D:D,"AA",G:G,"STANGK",L:L,"2;1",E:E,"POS",F:F,"WINSTANTI")</f>
        <v>0</v>
      </c>
      <c r="AI931" s="374" t="s">
        <v>339</v>
      </c>
      <c r="AJ931" s="374"/>
      <c r="AK931" s="374"/>
      <c r="AL931" s="115">
        <f>COUNTIFS(D:D,"AA",G:G,"STANGK",L:L,"2;0",E:E,"POS",F:F,"WINSTANTI")</f>
        <v>0</v>
      </c>
      <c r="AN931" s="374" t="s">
        <v>339</v>
      </c>
      <c r="AO931" s="374"/>
      <c r="AP931" s="374"/>
      <c r="AQ931" s="115">
        <f>COUNTIFS(D:D,"AA",G:G,"STANGK",L:L,"2;-1",E:E,"POS",F:F,"WINSTANTI")</f>
        <v>0</v>
      </c>
    </row>
    <row r="932" spans="15:43" s="115" customFormat="1">
      <c r="O932" s="91"/>
      <c r="X932" s="115">
        <f t="shared" si="139"/>
        <v>0</v>
      </c>
      <c r="Y932" s="115">
        <f t="shared" si="140"/>
        <v>0</v>
      </c>
      <c r="Z932" s="115" t="e">
        <f t="shared" si="141"/>
        <v>#VALUE!</v>
      </c>
      <c r="AA932" s="115">
        <f t="shared" si="142"/>
        <v>0</v>
      </c>
      <c r="AB932" s="246"/>
      <c r="AD932" s="374" t="s">
        <v>316</v>
      </c>
      <c r="AE932" s="374"/>
      <c r="AF932" s="374"/>
      <c r="AG932" s="115">
        <f>COUNTIFS(D:D,"AA",G:G,"STANGK",L:L,"2;1",F:F,"ENTRY")</f>
        <v>0</v>
      </c>
      <c r="AI932" s="374" t="s">
        <v>316</v>
      </c>
      <c r="AJ932" s="374"/>
      <c r="AK932" s="374"/>
      <c r="AL932" s="115">
        <f>COUNTIFS(D:D,"AA",G:G,"STANGK",L:L,"2;0",F:F,"ENTRY")</f>
        <v>0</v>
      </c>
      <c r="AN932" s="374" t="s">
        <v>316</v>
      </c>
      <c r="AO932" s="374"/>
      <c r="AP932" s="374"/>
      <c r="AQ932" s="115">
        <f>COUNTIFS(D:D,"AA",G:G,"STANGK",L:L,"2;-1",F:F,"ENTRY")</f>
        <v>0</v>
      </c>
    </row>
    <row r="933" spans="15:43">
      <c r="O933" s="91"/>
      <c r="X933" s="115">
        <f t="shared" si="139"/>
        <v>0</v>
      </c>
      <c r="Y933" s="115">
        <f t="shared" si="140"/>
        <v>0</v>
      </c>
      <c r="Z933" s="115" t="e">
        <f t="shared" si="141"/>
        <v>#VALUE!</v>
      </c>
      <c r="AA933" s="115">
        <f t="shared" si="142"/>
        <v>0</v>
      </c>
      <c r="AD933" s="374" t="s">
        <v>293</v>
      </c>
      <c r="AE933" s="374"/>
      <c r="AF933" s="374"/>
      <c r="AG933" s="115">
        <f>COUNTIFS(D:D,"AA",G:G,"STANGK",L:L,"2;1",F:F,"KEEPOS")</f>
        <v>0</v>
      </c>
      <c r="AH933" s="115"/>
      <c r="AI933" s="374" t="s">
        <v>293</v>
      </c>
      <c r="AJ933" s="374"/>
      <c r="AK933" s="374"/>
      <c r="AL933" s="115">
        <f>COUNTIFS(D:D,"AA",G:G,"STANGK",L:L,"2;0",F:F,"KEEPOS")</f>
        <v>0</v>
      </c>
      <c r="AM933" s="115"/>
      <c r="AN933" s="374" t="s">
        <v>293</v>
      </c>
      <c r="AO933" s="374"/>
      <c r="AP933" s="374"/>
      <c r="AQ933" s="115">
        <f>COUNTIFS(D:D,"AA",G:G,"STANGK",L:L,"2;-1",F:F,"KEEPOS")</f>
        <v>0</v>
      </c>
    </row>
    <row r="934" spans="15:43">
      <c r="O934" s="91"/>
      <c r="X934" s="115">
        <f t="shared" si="139"/>
        <v>0</v>
      </c>
      <c r="Y934" s="115">
        <f t="shared" si="140"/>
        <v>0</v>
      </c>
      <c r="Z934" s="115" t="e">
        <f t="shared" si="141"/>
        <v>#VALUE!</v>
      </c>
      <c r="AA934" s="115">
        <f t="shared" si="142"/>
        <v>0</v>
      </c>
      <c r="AD934" s="374" t="s">
        <v>317</v>
      </c>
      <c r="AE934" s="374"/>
      <c r="AF934" s="374"/>
      <c r="AG934" s="246" t="e">
        <f>SUM(AG926:AG933)/AG920</f>
        <v>#DIV/0!</v>
      </c>
      <c r="AH934" s="115"/>
      <c r="AI934" s="374" t="s">
        <v>317</v>
      </c>
      <c r="AJ934" s="374"/>
      <c r="AK934" s="374"/>
      <c r="AL934" s="246" t="e">
        <f>SUM(AL926:AL933)/AL920</f>
        <v>#DIV/0!</v>
      </c>
      <c r="AM934" s="115"/>
      <c r="AN934" s="374" t="s">
        <v>317</v>
      </c>
      <c r="AO934" s="374"/>
      <c r="AP934" s="374"/>
      <c r="AQ934" s="246" t="e">
        <f>SUM(AQ926:AQ933)/AQ920</f>
        <v>#DIV/0!</v>
      </c>
    </row>
    <row r="935" spans="15:43">
      <c r="O935" s="91"/>
      <c r="X935" s="115">
        <f t="shared" si="139"/>
        <v>0</v>
      </c>
      <c r="Y935" s="115">
        <f t="shared" si="140"/>
        <v>0</v>
      </c>
      <c r="Z935" s="115" t="e">
        <f t="shared" si="141"/>
        <v>#VALUE!</v>
      </c>
      <c r="AA935" s="115">
        <f t="shared" si="142"/>
        <v>0</v>
      </c>
    </row>
    <row r="936" spans="15:43" s="115" customFormat="1">
      <c r="O936" s="91"/>
      <c r="X936" s="115">
        <f t="shared" si="139"/>
        <v>0</v>
      </c>
      <c r="Y936" s="115">
        <f t="shared" si="140"/>
        <v>0</v>
      </c>
      <c r="Z936" s="115" t="e">
        <f t="shared" si="141"/>
        <v>#VALUE!</v>
      </c>
      <c r="AA936" s="115">
        <f t="shared" si="142"/>
        <v>0</v>
      </c>
      <c r="AB936" s="246"/>
      <c r="AD936" s="374" t="s">
        <v>270</v>
      </c>
      <c r="AE936" s="374"/>
      <c r="AF936" s="374"/>
      <c r="AG936" s="115">
        <f>COUNTIFS(D:D,"AA",G:G,"STANGK",L:L,"3;1")</f>
        <v>0</v>
      </c>
      <c r="AI936" s="374" t="s">
        <v>270</v>
      </c>
      <c r="AJ936" s="374"/>
      <c r="AK936" s="374"/>
      <c r="AL936" s="115">
        <f>COUNTIFS(D:D,"AA",G:G,"STANGK",L:L,"3;0")</f>
        <v>0</v>
      </c>
      <c r="AN936" s="374" t="s">
        <v>270</v>
      </c>
      <c r="AO936" s="374"/>
      <c r="AP936" s="374"/>
      <c r="AQ936" s="115">
        <f>COUNTIFS(D:D,"AA",G:G,"STANGK",L:L,"3;-1")</f>
        <v>0</v>
      </c>
    </row>
    <row r="937" spans="15:43" s="115" customFormat="1">
      <c r="O937" s="91"/>
      <c r="X937" s="115">
        <f t="shared" si="139"/>
        <v>0</v>
      </c>
      <c r="Y937" s="115">
        <f t="shared" si="140"/>
        <v>0</v>
      </c>
      <c r="Z937" s="115" t="e">
        <f t="shared" si="141"/>
        <v>#VALUE!</v>
      </c>
      <c r="AA937" s="115">
        <f t="shared" si="142"/>
        <v>0</v>
      </c>
      <c r="AB937" s="246"/>
      <c r="AD937" s="374" t="s">
        <v>271</v>
      </c>
      <c r="AE937" s="374"/>
      <c r="AF937" s="374"/>
      <c r="AG937" s="115">
        <f>COUNTIFS(D:D,"AA",G:G,"STANGK",L:L,"3;1",P:P,"JAH")</f>
        <v>0</v>
      </c>
      <c r="AI937" s="374" t="s">
        <v>271</v>
      </c>
      <c r="AJ937" s="374"/>
      <c r="AK937" s="374"/>
      <c r="AL937" s="115">
        <f>COUNTIFS(D:D,"AA",G:G,"STANGK",L:L,"3;0",P:P,"JAH")</f>
        <v>0</v>
      </c>
      <c r="AN937" s="374" t="s">
        <v>271</v>
      </c>
      <c r="AO937" s="374"/>
      <c r="AP937" s="374"/>
      <c r="AQ937" s="115">
        <f>COUNTIFS(D:D,"AA",G:G,"STANGK",L:L,"3;-1",P:P,"JAH")</f>
        <v>0</v>
      </c>
    </row>
    <row r="938" spans="15:43" s="115" customFormat="1">
      <c r="O938" s="91"/>
      <c r="X938" s="115">
        <f t="shared" si="139"/>
        <v>0</v>
      </c>
      <c r="Y938" s="115">
        <f t="shared" si="140"/>
        <v>0</v>
      </c>
      <c r="Z938" s="115" t="e">
        <f t="shared" si="141"/>
        <v>#VALUE!</v>
      </c>
      <c r="AA938" s="115">
        <f t="shared" si="142"/>
        <v>0</v>
      </c>
      <c r="AB938" s="246"/>
      <c r="AD938" s="374" t="s">
        <v>272</v>
      </c>
      <c r="AE938" s="374"/>
      <c r="AF938" s="374"/>
      <c r="AG938" s="246" t="e">
        <f>AG937/AG936</f>
        <v>#DIV/0!</v>
      </c>
      <c r="AI938" s="374" t="s">
        <v>272</v>
      </c>
      <c r="AJ938" s="374"/>
      <c r="AK938" s="374"/>
      <c r="AL938" s="246" t="e">
        <f>AL937/AL936</f>
        <v>#DIV/0!</v>
      </c>
      <c r="AN938" s="374" t="s">
        <v>272</v>
      </c>
      <c r="AO938" s="374"/>
      <c r="AP938" s="374"/>
      <c r="AQ938" s="246" t="e">
        <f>AQ937/AQ936</f>
        <v>#DIV/0!</v>
      </c>
    </row>
    <row r="939" spans="15:43" s="115" customFormat="1">
      <c r="O939" s="91"/>
      <c r="X939" s="115">
        <f t="shared" si="139"/>
        <v>0</v>
      </c>
      <c r="Y939" s="115">
        <f t="shared" si="140"/>
        <v>0</v>
      </c>
      <c r="Z939" s="115" t="e">
        <f t="shared" si="141"/>
        <v>#VALUE!</v>
      </c>
      <c r="AA939" s="115">
        <f t="shared" si="142"/>
        <v>0</v>
      </c>
      <c r="AB939" s="246"/>
      <c r="AD939" s="374" t="s">
        <v>318</v>
      </c>
      <c r="AE939" s="374"/>
      <c r="AF939" s="374"/>
      <c r="AG939" s="178">
        <f>COUNTIFS(D:D,"AA",G:G,"STANGK",L:L,"3;1",V:V,"JAH")+COUNTIFS(D:D,"AA",G:G,"STANGK",L:L,"3;1",V:V,"EI")</f>
        <v>0</v>
      </c>
      <c r="AI939" s="374" t="s">
        <v>318</v>
      </c>
      <c r="AJ939" s="374"/>
      <c r="AK939" s="374"/>
      <c r="AL939" s="178">
        <f>COUNTIFS(D:D,"AA",G:G,"STANGK",L:L,"3;0",V:V,"JAH")+COUNTIFS(D:D,"AA",G:G,"STANGK",L:L,"3;0",V:V,"EI")</f>
        <v>0</v>
      </c>
      <c r="AN939" s="374" t="s">
        <v>318</v>
      </c>
      <c r="AO939" s="374"/>
      <c r="AP939" s="374"/>
      <c r="AQ939" s="178">
        <f>COUNTIFS(D:D,"AA",G:G,"STANGK",L:L,"3;-1",V:V,"JAH")+COUNTIFS(D:D,"AA",G:G,"STANGK",L:L,"3;-1",V:V,"EI")</f>
        <v>0</v>
      </c>
    </row>
    <row r="940" spans="15:43" s="115" customFormat="1">
      <c r="O940" s="91"/>
      <c r="X940" s="115">
        <f t="shared" si="139"/>
        <v>0</v>
      </c>
      <c r="Y940" s="115">
        <f t="shared" si="140"/>
        <v>0</v>
      </c>
      <c r="Z940" s="115" t="e">
        <f t="shared" si="141"/>
        <v>#VALUE!</v>
      </c>
      <c r="AA940" s="115">
        <f t="shared" si="142"/>
        <v>0</v>
      </c>
      <c r="AB940" s="246"/>
      <c r="AD940" s="374" t="s">
        <v>291</v>
      </c>
      <c r="AE940" s="374"/>
      <c r="AF940" s="374"/>
      <c r="AG940" s="115">
        <f>COUNTIFS(D:D,"AA",G:G,"STANGK",L:L,"3;1",V:V,"JAH")</f>
        <v>0</v>
      </c>
      <c r="AI940" s="374" t="s">
        <v>291</v>
      </c>
      <c r="AJ940" s="374"/>
      <c r="AK940" s="374"/>
      <c r="AL940" s="115">
        <f>COUNTIFS(D:D,"AA",G:G,"STANGK",L:L,"3;0",V:V,"JAH")</f>
        <v>0</v>
      </c>
      <c r="AN940" s="374" t="s">
        <v>291</v>
      </c>
      <c r="AO940" s="374"/>
      <c r="AP940" s="374"/>
      <c r="AQ940" s="115">
        <f>COUNTIFS(D:D,"AA",G:G,"STANGK",L:L,"3;-1",V:V,"JAH")</f>
        <v>0</v>
      </c>
    </row>
    <row r="941" spans="15:43" s="115" customFormat="1">
      <c r="O941" s="91"/>
      <c r="X941" s="115">
        <f t="shared" si="139"/>
        <v>0</v>
      </c>
      <c r="Y941" s="115">
        <f t="shared" si="140"/>
        <v>0</v>
      </c>
      <c r="Z941" s="115" t="e">
        <f t="shared" si="141"/>
        <v>#VALUE!</v>
      </c>
      <c r="AA941" s="115">
        <f t="shared" si="142"/>
        <v>0</v>
      </c>
      <c r="AB941" s="246"/>
      <c r="AD941" s="374" t="s">
        <v>292</v>
      </c>
      <c r="AE941" s="374"/>
      <c r="AF941" s="374"/>
      <c r="AG941" s="246" t="e">
        <f>AG940/AG939</f>
        <v>#DIV/0!</v>
      </c>
      <c r="AI941" s="374" t="s">
        <v>292</v>
      </c>
      <c r="AJ941" s="374"/>
      <c r="AK941" s="374"/>
      <c r="AL941" s="246" t="e">
        <f>AL940/AL939</f>
        <v>#DIV/0!</v>
      </c>
      <c r="AN941" s="374" t="s">
        <v>292</v>
      </c>
      <c r="AO941" s="374"/>
      <c r="AP941" s="374"/>
      <c r="AQ941" s="246" t="e">
        <f>AQ940/AQ939</f>
        <v>#DIV/0!</v>
      </c>
    </row>
    <row r="942" spans="15:43" s="115" customFormat="1">
      <c r="O942" s="91"/>
      <c r="X942" s="115">
        <f t="shared" si="139"/>
        <v>0</v>
      </c>
      <c r="Y942" s="115">
        <f t="shared" si="140"/>
        <v>0</v>
      </c>
      <c r="Z942" s="115" t="e">
        <f t="shared" si="141"/>
        <v>#VALUE!</v>
      </c>
      <c r="AA942" s="115">
        <f t="shared" si="142"/>
        <v>0</v>
      </c>
      <c r="AB942" s="246"/>
      <c r="AD942" s="374" t="s">
        <v>724</v>
      </c>
      <c r="AE942" s="374"/>
      <c r="AF942" s="374"/>
      <c r="AG942" s="115">
        <f>COUNTIFS(D:D,"AA",G:G,"STANGK",L:L,"3;1",F:F,"ATONGOAL")</f>
        <v>0</v>
      </c>
      <c r="AI942" s="374" t="s">
        <v>724</v>
      </c>
      <c r="AJ942" s="374"/>
      <c r="AK942" s="374"/>
      <c r="AL942" s="115">
        <f>COUNTIFS(D:D,"AA",G:G,"STANGK",L:L,"3;0",F:F,"ATONGOAL")</f>
        <v>0</v>
      </c>
      <c r="AN942" s="374" t="s">
        <v>724</v>
      </c>
      <c r="AO942" s="374"/>
      <c r="AP942" s="374"/>
      <c r="AQ942" s="115">
        <f>COUNTIFS(D:D,"AA",G:G,"STANGK",L:L,"3;-1",F:F,"ATONGOAL")</f>
        <v>0</v>
      </c>
    </row>
    <row r="943" spans="15:43" s="115" customFormat="1">
      <c r="O943" s="91"/>
      <c r="X943" s="115">
        <f t="shared" si="139"/>
        <v>0</v>
      </c>
      <c r="Y943" s="115">
        <f t="shared" si="140"/>
        <v>0</v>
      </c>
      <c r="Z943" s="115" t="e">
        <f t="shared" si="141"/>
        <v>#VALUE!</v>
      </c>
      <c r="AA943" s="115">
        <f t="shared" si="142"/>
        <v>0</v>
      </c>
      <c r="AB943" s="246"/>
      <c r="AD943" s="374" t="s">
        <v>336</v>
      </c>
      <c r="AE943" s="374"/>
      <c r="AF943" s="374"/>
      <c r="AG943" s="115">
        <f>COUNTIFS(D:D,"AA",G:G,"STANGK",L:L,"3;1",F:F,"ATON")</f>
        <v>0</v>
      </c>
      <c r="AI943" s="374" t="s">
        <v>336</v>
      </c>
      <c r="AJ943" s="374"/>
      <c r="AK943" s="374"/>
      <c r="AL943" s="115">
        <f>COUNTIFS(D:D,"AA",G:G,"STANGK",L:L,"3;0",F:F,"ATON")</f>
        <v>0</v>
      </c>
      <c r="AN943" s="374" t="s">
        <v>336</v>
      </c>
      <c r="AO943" s="374"/>
      <c r="AP943" s="374"/>
      <c r="AQ943" s="115">
        <f>COUNTIFS(D:D,"AA",G:G,"STANGK",L:L,"3;-1",F:F,"ATON")</f>
        <v>0</v>
      </c>
    </row>
    <row r="944" spans="15:43" s="115" customFormat="1">
      <c r="O944" s="91"/>
      <c r="X944" s="115">
        <f t="shared" si="139"/>
        <v>0</v>
      </c>
      <c r="Y944" s="115">
        <f t="shared" si="140"/>
        <v>0</v>
      </c>
      <c r="Z944" s="115" t="e">
        <f t="shared" si="141"/>
        <v>#VALUE!</v>
      </c>
      <c r="AA944" s="115">
        <f t="shared" si="142"/>
        <v>0</v>
      </c>
      <c r="AB944" s="246"/>
      <c r="AD944" s="374" t="s">
        <v>337</v>
      </c>
      <c r="AE944" s="374"/>
      <c r="AF944" s="374"/>
      <c r="AG944" s="115">
        <f>COUNTIFS(D:D,"AA",G:G,"STANGK",L:L,"3;1",F:F,"ATOF")</f>
        <v>0</v>
      </c>
      <c r="AI944" s="374" t="s">
        <v>337</v>
      </c>
      <c r="AJ944" s="374"/>
      <c r="AK944" s="374"/>
      <c r="AL944" s="115">
        <f>COUNTIFS(D:D,"AA",G:G,"STANGK",L:L,"3;0",F:F,"ATOF")</f>
        <v>0</v>
      </c>
      <c r="AN944" s="374" t="s">
        <v>337</v>
      </c>
      <c r="AO944" s="374"/>
      <c r="AP944" s="374"/>
      <c r="AQ944" s="115">
        <f>COUNTIFS(D:D,"AA",G:G,"STANGK",L:L,"3;-1",F:F,"ATOF")</f>
        <v>0</v>
      </c>
    </row>
    <row r="945" spans="15:43" s="115" customFormat="1">
      <c r="O945" s="91"/>
      <c r="X945" s="115">
        <f t="shared" si="139"/>
        <v>0</v>
      </c>
      <c r="Y945" s="115">
        <f t="shared" si="140"/>
        <v>0</v>
      </c>
      <c r="Z945" s="115" t="e">
        <f t="shared" si="141"/>
        <v>#VALUE!</v>
      </c>
      <c r="AA945" s="115">
        <f t="shared" si="142"/>
        <v>0</v>
      </c>
      <c r="AB945" s="246"/>
      <c r="AD945" s="374" t="s">
        <v>338</v>
      </c>
      <c r="AE945" s="374"/>
      <c r="AF945" s="374"/>
      <c r="AG945" s="115">
        <f>COUNTIFS(D:D,"AA",G:G,"STANGK",L:L,"3;1",F:F,"ATBK")</f>
        <v>0</v>
      </c>
      <c r="AI945" s="374" t="s">
        <v>338</v>
      </c>
      <c r="AJ945" s="374"/>
      <c r="AK945" s="374"/>
      <c r="AL945" s="115">
        <f>COUNTIFS(D:D,"AA",G:G,"STANGK",L:L,"3;0",F:F,"ATBK")</f>
        <v>0</v>
      </c>
      <c r="AN945" s="374" t="s">
        <v>338</v>
      </c>
      <c r="AO945" s="374"/>
      <c r="AP945" s="374"/>
      <c r="AQ945" s="115">
        <f>COUNTIFS(D:D,"AA",G:G,"STANGK",L:L,"3;-1",F:F,"ATBK")</f>
        <v>0</v>
      </c>
    </row>
    <row r="946" spans="15:43" s="115" customFormat="1">
      <c r="O946" s="91"/>
      <c r="X946" s="115">
        <f t="shared" si="139"/>
        <v>0</v>
      </c>
      <c r="Y946" s="115">
        <f t="shared" si="140"/>
        <v>0</v>
      </c>
      <c r="Z946" s="115" t="e">
        <f t="shared" si="141"/>
        <v>#VALUE!</v>
      </c>
      <c r="AA946" s="115">
        <f t="shared" si="142"/>
        <v>0</v>
      </c>
      <c r="AB946" s="246"/>
      <c r="AD946" s="374" t="s">
        <v>315</v>
      </c>
      <c r="AE946" s="374"/>
      <c r="AF946" s="374"/>
      <c r="AG946" s="115">
        <f>COUNTIFS(D:D,"AA",G:G,"STANGK",L:L,"3;1",E:E,"POS",F:F,"WINSTAN")</f>
        <v>0</v>
      </c>
      <c r="AI946" s="374" t="s">
        <v>315</v>
      </c>
      <c r="AJ946" s="374"/>
      <c r="AK946" s="374"/>
      <c r="AL946" s="115">
        <f>COUNTIFS(D:D,"AA",G:G,"STANGK",L:L,"3;0",E:E,"POS",F:F,"WINSTAN")</f>
        <v>0</v>
      </c>
      <c r="AN946" s="374" t="s">
        <v>315</v>
      </c>
      <c r="AO946" s="374"/>
      <c r="AP946" s="374"/>
      <c r="AQ946" s="115">
        <f>COUNTIFS(D:D,"AA",G:G,"STANGK",L:L,"3;-1",E:E,"POS",F:F,"WINSTAN")</f>
        <v>0</v>
      </c>
    </row>
    <row r="947" spans="15:43" s="115" customFormat="1">
      <c r="O947" s="91"/>
      <c r="X947" s="115">
        <f t="shared" si="139"/>
        <v>0</v>
      </c>
      <c r="Y947" s="115">
        <f t="shared" si="140"/>
        <v>0</v>
      </c>
      <c r="Z947" s="115" t="e">
        <f t="shared" si="141"/>
        <v>#VALUE!</v>
      </c>
      <c r="AA947" s="115">
        <f t="shared" si="142"/>
        <v>0</v>
      </c>
      <c r="AB947" s="246"/>
      <c r="AD947" s="374" t="s">
        <v>339</v>
      </c>
      <c r="AE947" s="374"/>
      <c r="AF947" s="374"/>
      <c r="AG947" s="115">
        <f>COUNTIFS(D:D,"AA",G:G,"STANGK",L:L,"3;1",E:E,"POS",F:F,"WINSTANTI")</f>
        <v>0</v>
      </c>
      <c r="AI947" s="374" t="s">
        <v>339</v>
      </c>
      <c r="AJ947" s="374"/>
      <c r="AK947" s="374"/>
      <c r="AL947" s="115">
        <f>COUNTIFS(D:D,"AA",G:G,"STANGK",L:L,"3;0",E:E,"POS",F:F,"WINSTANTI")</f>
        <v>0</v>
      </c>
      <c r="AN947" s="374" t="s">
        <v>339</v>
      </c>
      <c r="AO947" s="374"/>
      <c r="AP947" s="374"/>
      <c r="AQ947" s="115">
        <f>COUNTIFS(D:D,"AA",G:G,"STANGK",L:L,"3;-1",E:E,"POS",F:F,"WINSTANTI")</f>
        <v>0</v>
      </c>
    </row>
    <row r="948" spans="15:43" s="115" customFormat="1">
      <c r="O948" s="91"/>
      <c r="X948" s="115">
        <f t="shared" si="139"/>
        <v>0</v>
      </c>
      <c r="Y948" s="115">
        <f t="shared" si="140"/>
        <v>0</v>
      </c>
      <c r="Z948" s="115" t="e">
        <f t="shared" si="141"/>
        <v>#VALUE!</v>
      </c>
      <c r="AA948" s="115">
        <f t="shared" si="142"/>
        <v>0</v>
      </c>
      <c r="AB948" s="246"/>
      <c r="AD948" s="374" t="s">
        <v>316</v>
      </c>
      <c r="AE948" s="374"/>
      <c r="AF948" s="374"/>
      <c r="AG948" s="115">
        <f>COUNTIFS(D:D,"AA",G:G,"STANGK",L:L,"3;1",F:F,"ENTRY")</f>
        <v>0</v>
      </c>
      <c r="AI948" s="374" t="s">
        <v>316</v>
      </c>
      <c r="AJ948" s="374"/>
      <c r="AK948" s="374"/>
      <c r="AL948" s="115">
        <f>COUNTIFS(D:D,"AA",G:G,"STANGK",L:L,"3;0",F:F,"ENTRY")</f>
        <v>0</v>
      </c>
      <c r="AN948" s="374" t="s">
        <v>316</v>
      </c>
      <c r="AO948" s="374"/>
      <c r="AP948" s="374"/>
      <c r="AQ948" s="115">
        <f>COUNTIFS(D:D,"AA",G:G,"STANGK",L:L,"3;-1",F:F,"ENTRY")</f>
        <v>0</v>
      </c>
    </row>
    <row r="949" spans="15:43" s="115" customFormat="1">
      <c r="O949" s="91"/>
      <c r="X949" s="115">
        <f t="shared" si="139"/>
        <v>0</v>
      </c>
      <c r="Y949" s="115">
        <f t="shared" si="140"/>
        <v>0</v>
      </c>
      <c r="Z949" s="115" t="e">
        <f t="shared" si="141"/>
        <v>#VALUE!</v>
      </c>
      <c r="AA949" s="115">
        <f t="shared" si="142"/>
        <v>0</v>
      </c>
      <c r="AB949" s="246"/>
      <c r="AD949" s="374" t="s">
        <v>293</v>
      </c>
      <c r="AE949" s="374"/>
      <c r="AF949" s="374"/>
      <c r="AG949" s="115">
        <f>COUNTIFS(D:D,"AA",G:G,"STANGK",L:L,"3;1",F:F,"KEEPOS")</f>
        <v>0</v>
      </c>
      <c r="AI949" s="374" t="s">
        <v>293</v>
      </c>
      <c r="AJ949" s="374"/>
      <c r="AK949" s="374"/>
      <c r="AL949" s="115">
        <f>COUNTIFS(D:D,"AA",G:G,"STANGK",L:L,"3;0",F:F,"KEEPOS")</f>
        <v>0</v>
      </c>
      <c r="AN949" s="374" t="s">
        <v>293</v>
      </c>
      <c r="AO949" s="374"/>
      <c r="AP949" s="374"/>
      <c r="AQ949" s="115">
        <f>COUNTIFS(D:D,"AA",G:G,"STANGK",L:L,"3;-1",F:F,"KEEPOS")</f>
        <v>0</v>
      </c>
    </row>
    <row r="950" spans="15:43" s="115" customFormat="1">
      <c r="O950" s="91"/>
      <c r="X950" s="115">
        <f t="shared" si="139"/>
        <v>0</v>
      </c>
      <c r="Y950" s="115">
        <f t="shared" si="140"/>
        <v>0</v>
      </c>
      <c r="Z950" s="115" t="e">
        <f t="shared" si="141"/>
        <v>#VALUE!</v>
      </c>
      <c r="AA950" s="115">
        <f t="shared" si="142"/>
        <v>0</v>
      </c>
      <c r="AB950" s="246"/>
      <c r="AD950" s="374" t="s">
        <v>317</v>
      </c>
      <c r="AE950" s="374"/>
      <c r="AF950" s="374"/>
      <c r="AG950" s="246" t="e">
        <f>SUM(AG942:AG949)/AG936</f>
        <v>#DIV/0!</v>
      </c>
      <c r="AI950" s="374" t="s">
        <v>317</v>
      </c>
      <c r="AJ950" s="374"/>
      <c r="AK950" s="374"/>
      <c r="AL950" s="246" t="e">
        <f>SUM(AL942:AL949)/AL936</f>
        <v>#DIV/0!</v>
      </c>
      <c r="AN950" s="374" t="s">
        <v>317</v>
      </c>
      <c r="AO950" s="374"/>
      <c r="AP950" s="374"/>
      <c r="AQ950" s="246" t="e">
        <f>SUM(AQ942:AQ949)/AQ936</f>
        <v>#DIV/0!</v>
      </c>
    </row>
    <row r="951" spans="15:43" s="115" customFormat="1">
      <c r="O951" s="91"/>
      <c r="X951" s="115">
        <f t="shared" si="139"/>
        <v>0</v>
      </c>
      <c r="Y951" s="115">
        <f t="shared" si="140"/>
        <v>0</v>
      </c>
      <c r="Z951" s="115" t="e">
        <f t="shared" si="141"/>
        <v>#VALUE!</v>
      </c>
      <c r="AA951" s="115">
        <f t="shared" si="142"/>
        <v>0</v>
      </c>
      <c r="AB951" s="246"/>
    </row>
    <row r="952" spans="15:43" s="115" customFormat="1">
      <c r="O952" s="91"/>
      <c r="X952" s="115">
        <f t="shared" si="139"/>
        <v>0</v>
      </c>
      <c r="Y952" s="115">
        <f t="shared" si="140"/>
        <v>0</v>
      </c>
      <c r="Z952" s="115" t="e">
        <f t="shared" si="141"/>
        <v>#VALUE!</v>
      </c>
      <c r="AA952" s="115">
        <f t="shared" si="142"/>
        <v>0</v>
      </c>
      <c r="AB952" s="246"/>
      <c r="AD952" s="384" t="s">
        <v>270</v>
      </c>
      <c r="AE952" s="385"/>
      <c r="AF952" s="385"/>
      <c r="AG952" s="207">
        <f>COUNTIFS(D:D,"AA",G:G,"STANGK",L:L,"4;1")</f>
        <v>0</v>
      </c>
      <c r="AI952" s="374" t="s">
        <v>270</v>
      </c>
      <c r="AJ952" s="374"/>
      <c r="AK952" s="374"/>
      <c r="AL952" s="115">
        <f>COUNTIFS(D:D,"AA",G:G,"STANGK",L:L,"4;0")</f>
        <v>0</v>
      </c>
      <c r="AN952" s="384" t="s">
        <v>270</v>
      </c>
      <c r="AO952" s="385"/>
      <c r="AP952" s="385"/>
      <c r="AQ952" s="207">
        <f>COUNTIFS(D:D,"AA",G:G,"STANGK",L:L,"4;-1")</f>
        <v>0</v>
      </c>
    </row>
    <row r="953" spans="15:43" s="115" customFormat="1">
      <c r="O953" s="91"/>
      <c r="X953" s="115">
        <f t="shared" si="139"/>
        <v>0</v>
      </c>
      <c r="Y953" s="115">
        <f t="shared" si="140"/>
        <v>0</v>
      </c>
      <c r="Z953" s="115" t="e">
        <f t="shared" si="141"/>
        <v>#VALUE!</v>
      </c>
      <c r="AA953" s="115">
        <f t="shared" si="142"/>
        <v>0</v>
      </c>
      <c r="AB953" s="246"/>
      <c r="AD953" s="375" t="s">
        <v>271</v>
      </c>
      <c r="AE953" s="376"/>
      <c r="AF953" s="376"/>
      <c r="AG953" s="209">
        <f>COUNTIFS(D:D,"AA",G:G,"STANGK",L:L,"4;1",P:P,"JAH")</f>
        <v>0</v>
      </c>
      <c r="AI953" s="374" t="s">
        <v>271</v>
      </c>
      <c r="AJ953" s="374"/>
      <c r="AK953" s="374"/>
      <c r="AL953" s="115">
        <f>COUNTIFS(D:D,"AA",G:G,"STANGK",L:L,"4;0",P:P,"JAH")</f>
        <v>0</v>
      </c>
      <c r="AN953" s="375" t="s">
        <v>271</v>
      </c>
      <c r="AO953" s="376"/>
      <c r="AP953" s="376"/>
      <c r="AQ953" s="209">
        <f>COUNTIFS(D:D,"AA",G:G,"STANGK",L:L,"4;-1",P:P,"JAH")</f>
        <v>0</v>
      </c>
    </row>
    <row r="954" spans="15:43" s="115" customFormat="1">
      <c r="O954" s="91"/>
      <c r="X954" s="115">
        <f t="shared" si="139"/>
        <v>0</v>
      </c>
      <c r="Y954" s="115">
        <f t="shared" si="140"/>
        <v>0</v>
      </c>
      <c r="Z954" s="115" t="e">
        <f t="shared" si="141"/>
        <v>#VALUE!</v>
      </c>
      <c r="AA954" s="115">
        <f t="shared" si="142"/>
        <v>0</v>
      </c>
      <c r="AB954" s="246"/>
      <c r="AD954" s="375" t="s">
        <v>272</v>
      </c>
      <c r="AE954" s="376"/>
      <c r="AF954" s="376"/>
      <c r="AG954" s="257" t="e">
        <f>AG953/AG952</f>
        <v>#DIV/0!</v>
      </c>
      <c r="AI954" s="374" t="s">
        <v>272</v>
      </c>
      <c r="AJ954" s="374"/>
      <c r="AK954" s="374"/>
      <c r="AL954" s="246" t="e">
        <f>AL953/AL952</f>
        <v>#DIV/0!</v>
      </c>
      <c r="AN954" s="375" t="s">
        <v>272</v>
      </c>
      <c r="AO954" s="376"/>
      <c r="AP954" s="376"/>
      <c r="AQ954" s="257" t="e">
        <f>AQ953/AQ952</f>
        <v>#DIV/0!</v>
      </c>
    </row>
    <row r="955" spans="15:43" s="115" customFormat="1">
      <c r="O955" s="91"/>
      <c r="X955" s="115">
        <f t="shared" si="139"/>
        <v>0</v>
      </c>
      <c r="Y955" s="115">
        <f t="shared" si="140"/>
        <v>0</v>
      </c>
      <c r="Z955" s="115" t="e">
        <f t="shared" si="141"/>
        <v>#VALUE!</v>
      </c>
      <c r="AA955" s="115">
        <f t="shared" si="142"/>
        <v>0</v>
      </c>
      <c r="AB955" s="246"/>
      <c r="AD955" s="375" t="s">
        <v>318</v>
      </c>
      <c r="AE955" s="376"/>
      <c r="AF955" s="376"/>
      <c r="AG955" s="254">
        <f>COUNTIFS(D:D,"AA",G:G,"STANGK",L:L,"4;1",V:V,"JAH")+COUNTIFS(D:D,"AA",G:G,"STANGK",L:L,"4;1",V:V,"EI")</f>
        <v>0</v>
      </c>
      <c r="AI955" s="374" t="s">
        <v>318</v>
      </c>
      <c r="AJ955" s="374"/>
      <c r="AK955" s="374"/>
      <c r="AL955" s="178">
        <f>COUNTIFS(D:D,"AA",G:G,"STANGK",L:L,"4;0",V:V,"JAH")+COUNTIFS(D:D,"AA",G:G,"STANGK",L:L,"4;0",V:V,"EI")</f>
        <v>0</v>
      </c>
      <c r="AN955" s="375" t="s">
        <v>318</v>
      </c>
      <c r="AO955" s="376"/>
      <c r="AP955" s="376"/>
      <c r="AQ955" s="254">
        <f>COUNTIFS(D:D,"AA",G:G,"STANGK",L:L,"4;-1",V:V,"JAH")+COUNTIFS(D:D,"AA",G:G,"STANGK",L:L,"4;-1",V:V,"EI")</f>
        <v>0</v>
      </c>
    </row>
    <row r="956" spans="15:43" s="115" customFormat="1">
      <c r="O956" s="91"/>
      <c r="X956" s="115">
        <f t="shared" si="139"/>
        <v>0</v>
      </c>
      <c r="Y956" s="115">
        <f t="shared" si="140"/>
        <v>0</v>
      </c>
      <c r="Z956" s="115" t="e">
        <f t="shared" si="141"/>
        <v>#VALUE!</v>
      </c>
      <c r="AA956" s="115">
        <f t="shared" si="142"/>
        <v>0</v>
      </c>
      <c r="AB956" s="246"/>
      <c r="AD956" s="375" t="s">
        <v>291</v>
      </c>
      <c r="AE956" s="376"/>
      <c r="AF956" s="376"/>
      <c r="AG956" s="209">
        <f>COUNTIFS(D:D,"AA",G:G,"STANGK",L:L,"4;1",V:V,"JAH")</f>
        <v>0</v>
      </c>
      <c r="AI956" s="374" t="s">
        <v>291</v>
      </c>
      <c r="AJ956" s="374"/>
      <c r="AK956" s="374"/>
      <c r="AL956" s="115">
        <f>COUNTIFS(D:D,"AA",G:G,"STANGK",L:L,"4;0",V:V,"JAH")</f>
        <v>0</v>
      </c>
      <c r="AN956" s="375" t="s">
        <v>291</v>
      </c>
      <c r="AO956" s="376"/>
      <c r="AP956" s="376"/>
      <c r="AQ956" s="209">
        <f>COUNTIFS(D:D,"AA",G:G,"STANGK",L:L,"4;-1",V:V,"JAH")</f>
        <v>0</v>
      </c>
    </row>
    <row r="957" spans="15:43" s="115" customFormat="1">
      <c r="O957" s="91"/>
      <c r="X957" s="115">
        <f t="shared" si="139"/>
        <v>0</v>
      </c>
      <c r="Y957" s="115">
        <f t="shared" si="140"/>
        <v>0</v>
      </c>
      <c r="Z957" s="115" t="e">
        <f t="shared" si="141"/>
        <v>#VALUE!</v>
      </c>
      <c r="AA957" s="115">
        <f t="shared" si="142"/>
        <v>0</v>
      </c>
      <c r="AB957" s="246"/>
      <c r="AD957" s="375" t="s">
        <v>292</v>
      </c>
      <c r="AE957" s="376"/>
      <c r="AF957" s="376"/>
      <c r="AG957" s="257" t="e">
        <f>AG956/AG955</f>
        <v>#DIV/0!</v>
      </c>
      <c r="AI957" s="374" t="s">
        <v>292</v>
      </c>
      <c r="AJ957" s="374"/>
      <c r="AK957" s="374"/>
      <c r="AL957" s="246" t="e">
        <f>AL956/AL955</f>
        <v>#DIV/0!</v>
      </c>
      <c r="AN957" s="375" t="s">
        <v>292</v>
      </c>
      <c r="AO957" s="376"/>
      <c r="AP957" s="376"/>
      <c r="AQ957" s="257" t="e">
        <f>AQ956/AQ955</f>
        <v>#DIV/0!</v>
      </c>
    </row>
    <row r="958" spans="15:43" s="115" customFormat="1">
      <c r="O958" s="91"/>
      <c r="X958" s="115">
        <f t="shared" si="139"/>
        <v>0</v>
      </c>
      <c r="Y958" s="115">
        <f t="shared" si="140"/>
        <v>0</v>
      </c>
      <c r="Z958" s="115" t="e">
        <f t="shared" si="141"/>
        <v>#VALUE!</v>
      </c>
      <c r="AA958" s="115">
        <f t="shared" si="142"/>
        <v>0</v>
      </c>
      <c r="AB958" s="246"/>
      <c r="AD958" s="375" t="s">
        <v>724</v>
      </c>
      <c r="AE958" s="376"/>
      <c r="AF958" s="376"/>
      <c r="AG958" s="209">
        <f>COUNTIFS(D:D,"AA",G:G,"STANGK",L:L,"4;1",F:F,"ATONGOAL")</f>
        <v>0</v>
      </c>
      <c r="AI958" s="374" t="s">
        <v>724</v>
      </c>
      <c r="AJ958" s="374"/>
      <c r="AK958" s="374"/>
      <c r="AL958" s="115">
        <f>COUNTIFS(D:D,"AA",G:G,"STANGK",L:L,"4;0",F:F,"ATONGOAL")</f>
        <v>0</v>
      </c>
      <c r="AN958" s="375" t="s">
        <v>724</v>
      </c>
      <c r="AO958" s="376"/>
      <c r="AP958" s="376"/>
      <c r="AQ958" s="209">
        <f>COUNTIFS(D:D,"AA",G:G,"STANGK",L:L,"4;-1",F:F,"ATONGOAL")</f>
        <v>0</v>
      </c>
    </row>
    <row r="959" spans="15:43" s="115" customFormat="1">
      <c r="O959" s="91"/>
      <c r="X959" s="115">
        <f t="shared" si="139"/>
        <v>0</v>
      </c>
      <c r="Y959" s="115">
        <f t="shared" si="140"/>
        <v>0</v>
      </c>
      <c r="Z959" s="115" t="e">
        <f t="shared" si="141"/>
        <v>#VALUE!</v>
      </c>
      <c r="AA959" s="115">
        <f t="shared" si="142"/>
        <v>0</v>
      </c>
      <c r="AB959" s="246"/>
      <c r="AD959" s="375" t="s">
        <v>336</v>
      </c>
      <c r="AE959" s="376"/>
      <c r="AF959" s="376"/>
      <c r="AG959" s="209">
        <f>COUNTIFS(D:D,"AA",G:G,"STANGK",L:L,"4;1",F:F,"ATON")</f>
        <v>0</v>
      </c>
      <c r="AI959" s="374" t="s">
        <v>336</v>
      </c>
      <c r="AJ959" s="374"/>
      <c r="AK959" s="374"/>
      <c r="AL959" s="115">
        <f>COUNTIFS(D:D,"AA",G:G,"STANGK",L:L,"4;0",F:F,"ATON")</f>
        <v>0</v>
      </c>
      <c r="AN959" s="375" t="s">
        <v>336</v>
      </c>
      <c r="AO959" s="376"/>
      <c r="AP959" s="376"/>
      <c r="AQ959" s="209">
        <f>COUNTIFS(D:D,"AA",G:G,"STANGK",L:L,"4;-1",F:F,"ATON")</f>
        <v>0</v>
      </c>
    </row>
    <row r="960" spans="15:43" s="115" customFormat="1">
      <c r="O960" s="91"/>
      <c r="X960" s="115">
        <f t="shared" si="139"/>
        <v>0</v>
      </c>
      <c r="Y960" s="115">
        <f t="shared" si="140"/>
        <v>0</v>
      </c>
      <c r="Z960" s="115" t="e">
        <f t="shared" si="141"/>
        <v>#VALUE!</v>
      </c>
      <c r="AA960" s="115">
        <f t="shared" si="142"/>
        <v>0</v>
      </c>
      <c r="AB960" s="246"/>
      <c r="AD960" s="375" t="s">
        <v>337</v>
      </c>
      <c r="AE960" s="376"/>
      <c r="AF960" s="376"/>
      <c r="AG960" s="209">
        <f>COUNTIFS(D:D,"AA",G:G,"STANGK",L:L,"4;1",F:F,"ATOF")</f>
        <v>0</v>
      </c>
      <c r="AI960" s="374" t="s">
        <v>337</v>
      </c>
      <c r="AJ960" s="374"/>
      <c r="AK960" s="374"/>
      <c r="AL960" s="115">
        <f>COUNTIFS(D:D,"AA",G:G,"STANGK",L:L,"4;0",F:F,"ATOF")</f>
        <v>0</v>
      </c>
      <c r="AN960" s="375" t="s">
        <v>337</v>
      </c>
      <c r="AO960" s="376"/>
      <c r="AP960" s="376"/>
      <c r="AQ960" s="209">
        <f>COUNTIFS(D:D,"AA",G:G,"STANGK",L:L,"4;-1",F:F,"ATOF")</f>
        <v>0</v>
      </c>
    </row>
    <row r="961" spans="15:43" s="115" customFormat="1">
      <c r="O961" s="91"/>
      <c r="X961" s="115">
        <f t="shared" si="139"/>
        <v>0</v>
      </c>
      <c r="Y961" s="115">
        <f t="shared" si="140"/>
        <v>0</v>
      </c>
      <c r="Z961" s="115" t="e">
        <f t="shared" si="141"/>
        <v>#VALUE!</v>
      </c>
      <c r="AA961" s="115">
        <f t="shared" si="142"/>
        <v>0</v>
      </c>
      <c r="AB961" s="246"/>
      <c r="AD961" s="375" t="s">
        <v>338</v>
      </c>
      <c r="AE961" s="376"/>
      <c r="AF961" s="376"/>
      <c r="AG961" s="209">
        <f>COUNTIFS(D:D,"AA",G:G,"STANGK",L:L,"4;1",F:F,"ATBK")</f>
        <v>0</v>
      </c>
      <c r="AI961" s="374" t="s">
        <v>338</v>
      </c>
      <c r="AJ961" s="374"/>
      <c r="AK961" s="374"/>
      <c r="AL961" s="115">
        <f>COUNTIFS(D:D,"AA",G:G,"STANGK",L:L,"4;0",F:F,"ATBK")</f>
        <v>0</v>
      </c>
      <c r="AN961" s="375" t="s">
        <v>338</v>
      </c>
      <c r="AO961" s="376"/>
      <c r="AP961" s="376"/>
      <c r="AQ961" s="209">
        <f>COUNTIFS(D:D,"AA",G:G,"STANGK",L:L,"4;-1",F:F,"ATBK")</f>
        <v>0</v>
      </c>
    </row>
    <row r="962" spans="15:43" s="115" customFormat="1">
      <c r="O962" s="91"/>
      <c r="X962" s="115">
        <f t="shared" si="139"/>
        <v>0</v>
      </c>
      <c r="Y962" s="115">
        <f t="shared" si="140"/>
        <v>0</v>
      </c>
      <c r="Z962" s="115" t="e">
        <f t="shared" si="141"/>
        <v>#VALUE!</v>
      </c>
      <c r="AA962" s="115">
        <f t="shared" si="142"/>
        <v>0</v>
      </c>
      <c r="AB962" s="246"/>
      <c r="AD962" s="375" t="s">
        <v>315</v>
      </c>
      <c r="AE962" s="376"/>
      <c r="AF962" s="376"/>
      <c r="AG962" s="209">
        <f>COUNTIFS(D:D,"AA",G:G,"STANGK",L:L,"4;1",E:E,"POS",F:F,"WINSTAN")</f>
        <v>0</v>
      </c>
      <c r="AI962" s="374" t="s">
        <v>315</v>
      </c>
      <c r="AJ962" s="374"/>
      <c r="AK962" s="374"/>
      <c r="AL962" s="115">
        <f>COUNTIFS(D:D,"AA",G:G,"STANGK",L:L,"4;0",E:E,"POS",F:F,"WINSTAN")</f>
        <v>0</v>
      </c>
      <c r="AN962" s="375" t="s">
        <v>315</v>
      </c>
      <c r="AO962" s="376"/>
      <c r="AP962" s="376"/>
      <c r="AQ962" s="209">
        <f>COUNTIFS(D:D,"AA",G:G,"STANGK",L:L,"4;-1",E:E,"POS",F:F,"WINSTAN")</f>
        <v>0</v>
      </c>
    </row>
    <row r="963" spans="15:43" s="115" customFormat="1">
      <c r="O963" s="91"/>
      <c r="X963" s="115">
        <f t="shared" ref="X963:X1026" si="143">mapValues(E963,F963,"P265")</f>
        <v>0</v>
      </c>
      <c r="Y963" s="115">
        <f t="shared" ref="Y963:Y1026" si="144">X962+X963</f>
        <v>0</v>
      </c>
      <c r="Z963" s="115" t="e">
        <f t="shared" ref="Z963:Z1026" si="145">VALUE(MID(B963,FIND(" ",B963)+1,FIND(" ",B963,FIND(" ",B963)+1)-FIND(" ",B963)))</f>
        <v>#VALUE!</v>
      </c>
      <c r="AA963" s="115">
        <f t="shared" ref="AA963:AA1026" si="146">T963/1000</f>
        <v>0</v>
      </c>
      <c r="AB963" s="246"/>
      <c r="AD963" s="375" t="s">
        <v>339</v>
      </c>
      <c r="AE963" s="376"/>
      <c r="AF963" s="376"/>
      <c r="AG963" s="209">
        <f>COUNTIFS(D:D,"AA",G:G,"STANGK",L:L,"4;1",E:E,"POS",F:F,"WINSTANTI")</f>
        <v>0</v>
      </c>
      <c r="AI963" s="374" t="s">
        <v>339</v>
      </c>
      <c r="AJ963" s="374"/>
      <c r="AK963" s="374"/>
      <c r="AL963" s="115">
        <f>COUNTIFS(D:D,"AA",G:G,"STANGK",L:L,"4;0",E:E,"POS",F:F,"WINSTANTI")</f>
        <v>0</v>
      </c>
      <c r="AN963" s="375" t="s">
        <v>339</v>
      </c>
      <c r="AO963" s="376"/>
      <c r="AP963" s="376"/>
      <c r="AQ963" s="209">
        <f>COUNTIFS(D:D,"AA",G:G,"STANGK",L:L,"4;-1",E:E,"POS",F:F,"WINSTANTI")</f>
        <v>0</v>
      </c>
    </row>
    <row r="964" spans="15:43" s="115" customFormat="1">
      <c r="O964" s="91"/>
      <c r="X964" s="115">
        <f t="shared" si="143"/>
        <v>0</v>
      </c>
      <c r="Y964" s="115">
        <f t="shared" si="144"/>
        <v>0</v>
      </c>
      <c r="Z964" s="115" t="e">
        <f t="shared" si="145"/>
        <v>#VALUE!</v>
      </c>
      <c r="AA964" s="115">
        <f t="shared" si="146"/>
        <v>0</v>
      </c>
      <c r="AB964" s="246"/>
      <c r="AD964" s="375" t="s">
        <v>316</v>
      </c>
      <c r="AE964" s="376"/>
      <c r="AF964" s="376"/>
      <c r="AG964" s="209">
        <f>COUNTIFS(D:D,"AA",G:G,"STANGK",L:L,"4;1",F:F,"ENTRY")</f>
        <v>0</v>
      </c>
      <c r="AI964" s="374" t="s">
        <v>316</v>
      </c>
      <c r="AJ964" s="374"/>
      <c r="AK964" s="374"/>
      <c r="AL964" s="115">
        <f>COUNTIFS(D:D,"AA",G:G,"STANGK",L:L,"4;0",F:F,"ENTRY")</f>
        <v>0</v>
      </c>
      <c r="AN964" s="375" t="s">
        <v>316</v>
      </c>
      <c r="AO964" s="376"/>
      <c r="AP964" s="376"/>
      <c r="AQ964" s="209">
        <f>COUNTIFS(D:D,"AA",G:G,"STANGK",L:L,"4;-1",F:F,"ENTRY")</f>
        <v>0</v>
      </c>
    </row>
    <row r="965" spans="15:43" s="115" customFormat="1">
      <c r="O965" s="91"/>
      <c r="X965" s="115">
        <f t="shared" si="143"/>
        <v>0</v>
      </c>
      <c r="Y965" s="115">
        <f t="shared" si="144"/>
        <v>0</v>
      </c>
      <c r="Z965" s="115" t="e">
        <f t="shared" si="145"/>
        <v>#VALUE!</v>
      </c>
      <c r="AA965" s="115">
        <f t="shared" si="146"/>
        <v>0</v>
      </c>
      <c r="AB965" s="246"/>
      <c r="AD965" s="375" t="s">
        <v>293</v>
      </c>
      <c r="AE965" s="376"/>
      <c r="AF965" s="376"/>
      <c r="AG965" s="209">
        <f>COUNTIFS(D:D,"AA",G:G,"STANGK",L:L,"4;1",F:F,"KEEPOS")</f>
        <v>0</v>
      </c>
      <c r="AI965" s="374" t="s">
        <v>293</v>
      </c>
      <c r="AJ965" s="374"/>
      <c r="AK965" s="374"/>
      <c r="AL965" s="115">
        <f>COUNTIFS(D:D,"AA",G:G,"STANGK",L:L,"4;0",F:F,"KEEPOS")</f>
        <v>0</v>
      </c>
      <c r="AN965" s="375" t="s">
        <v>293</v>
      </c>
      <c r="AO965" s="376"/>
      <c r="AP965" s="376"/>
      <c r="AQ965" s="209">
        <f>COUNTIFS(D:D,"AA",G:G,"STANGK",L:L,"4;-1",F:F,"KEEPOS")</f>
        <v>0</v>
      </c>
    </row>
    <row r="966" spans="15:43" s="115" customFormat="1">
      <c r="O966" s="91"/>
      <c r="X966" s="115">
        <f t="shared" si="143"/>
        <v>0</v>
      </c>
      <c r="Y966" s="115">
        <f t="shared" si="144"/>
        <v>0</v>
      </c>
      <c r="Z966" s="115" t="e">
        <f t="shared" si="145"/>
        <v>#VALUE!</v>
      </c>
      <c r="AA966" s="115">
        <f t="shared" si="146"/>
        <v>0</v>
      </c>
      <c r="AB966" s="246"/>
      <c r="AD966" s="375" t="s">
        <v>317</v>
      </c>
      <c r="AE966" s="376"/>
      <c r="AF966" s="376"/>
      <c r="AG966" s="257" t="e">
        <f>SUM(AG958:AG965)/AG952</f>
        <v>#DIV/0!</v>
      </c>
      <c r="AI966" s="374" t="s">
        <v>317</v>
      </c>
      <c r="AJ966" s="374"/>
      <c r="AK966" s="374"/>
      <c r="AL966" s="246" t="e">
        <f>SUM(AL958:AL965)/AL952</f>
        <v>#DIV/0!</v>
      </c>
      <c r="AN966" s="375" t="s">
        <v>317</v>
      </c>
      <c r="AO966" s="376"/>
      <c r="AP966" s="376"/>
      <c r="AQ966" s="257" t="e">
        <f>SUM(AQ958:AQ965)/AQ952</f>
        <v>#DIV/0!</v>
      </c>
    </row>
    <row r="967" spans="15:43" s="115" customFormat="1">
      <c r="O967" s="91"/>
      <c r="X967" s="115">
        <f t="shared" si="143"/>
        <v>0</v>
      </c>
      <c r="Y967" s="115">
        <f t="shared" si="144"/>
        <v>0</v>
      </c>
      <c r="Z967" s="115" t="e">
        <f t="shared" si="145"/>
        <v>#VALUE!</v>
      </c>
      <c r="AA967" s="115">
        <f t="shared" si="146"/>
        <v>0</v>
      </c>
      <c r="AB967" s="246"/>
      <c r="AD967" s="208"/>
      <c r="AE967" s="165"/>
      <c r="AF967" s="165"/>
      <c r="AG967" s="209"/>
      <c r="AN967" s="208"/>
      <c r="AO967" s="165"/>
      <c r="AP967" s="165"/>
      <c r="AQ967" s="209"/>
    </row>
    <row r="968" spans="15:43" s="115" customFormat="1">
      <c r="O968" s="91"/>
      <c r="X968" s="115">
        <f t="shared" si="143"/>
        <v>0</v>
      </c>
      <c r="Y968" s="115">
        <f t="shared" si="144"/>
        <v>0</v>
      </c>
      <c r="Z968" s="115" t="e">
        <f t="shared" si="145"/>
        <v>#VALUE!</v>
      </c>
      <c r="AA968" s="115">
        <f t="shared" si="146"/>
        <v>0</v>
      </c>
      <c r="AB968" s="246"/>
      <c r="AD968" s="375" t="s">
        <v>270</v>
      </c>
      <c r="AE968" s="376"/>
      <c r="AF968" s="376"/>
      <c r="AG968" s="209">
        <f>COUNTIFS(D:D,"AA",G:G,"STANGK",L:L,"5;1")+AG952</f>
        <v>0</v>
      </c>
      <c r="AI968" s="374"/>
      <c r="AJ968" s="374"/>
      <c r="AK968" s="374"/>
      <c r="AN968" s="375" t="s">
        <v>270</v>
      </c>
      <c r="AO968" s="376"/>
      <c r="AP968" s="376"/>
      <c r="AQ968" s="209">
        <f>COUNTIFS(D:D,"AA",G:G,"STANGK",L:L,"5;-1")+AQ952</f>
        <v>0</v>
      </c>
    </row>
    <row r="969" spans="15:43" s="115" customFormat="1">
      <c r="O969" s="91"/>
      <c r="X969" s="115">
        <f t="shared" si="143"/>
        <v>0</v>
      </c>
      <c r="Y969" s="115">
        <f t="shared" si="144"/>
        <v>0</v>
      </c>
      <c r="Z969" s="115" t="e">
        <f t="shared" si="145"/>
        <v>#VALUE!</v>
      </c>
      <c r="AA969" s="115">
        <f t="shared" si="146"/>
        <v>0</v>
      </c>
      <c r="AB969" s="246"/>
      <c r="AD969" s="375" t="s">
        <v>271</v>
      </c>
      <c r="AE969" s="376"/>
      <c r="AF969" s="376"/>
      <c r="AG969" s="209">
        <f>COUNTIFS(D:D,"AA",G:G,"STANGK",L:L,"5;1",P:P,"JAH")+AG956</f>
        <v>0</v>
      </c>
      <c r="AI969" s="374"/>
      <c r="AJ969" s="374"/>
      <c r="AK969" s="374"/>
      <c r="AN969" s="375" t="s">
        <v>271</v>
      </c>
      <c r="AO969" s="376"/>
      <c r="AP969" s="376"/>
      <c r="AQ969" s="209">
        <f>COUNTIFS(D:D,"AA",G:G,"STANGK",L:L,"5;-1",P:P,"JAH")+AQ953</f>
        <v>0</v>
      </c>
    </row>
    <row r="970" spans="15:43" s="115" customFormat="1">
      <c r="O970" s="91"/>
      <c r="X970" s="115">
        <f t="shared" si="143"/>
        <v>0</v>
      </c>
      <c r="Y970" s="115">
        <f t="shared" si="144"/>
        <v>0</v>
      </c>
      <c r="Z970" s="115" t="e">
        <f t="shared" si="145"/>
        <v>#VALUE!</v>
      </c>
      <c r="AA970" s="115">
        <f t="shared" si="146"/>
        <v>0</v>
      </c>
      <c r="AB970" s="246"/>
      <c r="AD970" s="375" t="s">
        <v>272</v>
      </c>
      <c r="AE970" s="376"/>
      <c r="AF970" s="376"/>
      <c r="AG970" s="257" t="e">
        <f>AG969/AG968</f>
        <v>#DIV/0!</v>
      </c>
      <c r="AI970" s="374"/>
      <c r="AJ970" s="374"/>
      <c r="AK970" s="374"/>
      <c r="AL970" s="151"/>
      <c r="AN970" s="375" t="s">
        <v>272</v>
      </c>
      <c r="AO970" s="376"/>
      <c r="AP970" s="376"/>
      <c r="AQ970" s="257" t="e">
        <f>AQ969/AQ968</f>
        <v>#DIV/0!</v>
      </c>
    </row>
    <row r="971" spans="15:43" s="115" customFormat="1">
      <c r="O971" s="91"/>
      <c r="X971" s="115">
        <f t="shared" si="143"/>
        <v>0</v>
      </c>
      <c r="Y971" s="115">
        <f t="shared" si="144"/>
        <v>0</v>
      </c>
      <c r="Z971" s="115" t="e">
        <f t="shared" si="145"/>
        <v>#VALUE!</v>
      </c>
      <c r="AA971" s="115">
        <f t="shared" si="146"/>
        <v>0</v>
      </c>
      <c r="AB971" s="246"/>
      <c r="AD971" s="375" t="s">
        <v>318</v>
      </c>
      <c r="AE971" s="376"/>
      <c r="AF971" s="376"/>
      <c r="AG971" s="254">
        <f>COUNTIFS(D:D,"AA",G:G,"STANGK",L:L,"5;1",V:V,"JAH")+COUNTIFS(D:D,"AA",G:G,"STANGK",L:L,"5;1",V:V,"EI")+AG955</f>
        <v>0</v>
      </c>
      <c r="AI971" s="374"/>
      <c r="AJ971" s="374"/>
      <c r="AK971" s="374"/>
      <c r="AL971" s="178"/>
      <c r="AN971" s="375" t="s">
        <v>318</v>
      </c>
      <c r="AO971" s="376"/>
      <c r="AP971" s="376"/>
      <c r="AQ971" s="254">
        <f>COUNTIFS(D:D,"AA",G:G,"STANGK",L:L,"5;-1",V:V,"JAH")+COUNTIFS(D:D,"AA",G:G,"STANGK",L:L,"5;-1",V:V,"EI")+AQ955</f>
        <v>0</v>
      </c>
    </row>
    <row r="972" spans="15:43" s="115" customFormat="1">
      <c r="O972" s="91"/>
      <c r="X972" s="115">
        <f t="shared" si="143"/>
        <v>0</v>
      </c>
      <c r="Y972" s="115">
        <f t="shared" si="144"/>
        <v>0</v>
      </c>
      <c r="Z972" s="115" t="e">
        <f t="shared" si="145"/>
        <v>#VALUE!</v>
      </c>
      <c r="AA972" s="115">
        <f t="shared" si="146"/>
        <v>0</v>
      </c>
      <c r="AB972" s="246"/>
      <c r="AD972" s="375" t="s">
        <v>291</v>
      </c>
      <c r="AE972" s="376"/>
      <c r="AF972" s="376"/>
      <c r="AG972" s="209">
        <f>COUNTIFS(D:D,"AA",G:G,"STANGK",L:L,"5;1",V:V,"JAH")+AG956</f>
        <v>0</v>
      </c>
      <c r="AI972" s="374"/>
      <c r="AJ972" s="374"/>
      <c r="AK972" s="374"/>
      <c r="AN972" s="375" t="s">
        <v>291</v>
      </c>
      <c r="AO972" s="376"/>
      <c r="AP972" s="376"/>
      <c r="AQ972" s="209">
        <f>COUNTIFS(D:D,"AA",G:G,"STANGK",L:L,"5;-1",V:V,"JAH")+AQ956</f>
        <v>0</v>
      </c>
    </row>
    <row r="973" spans="15:43" s="115" customFormat="1">
      <c r="O973" s="91"/>
      <c r="X973" s="115">
        <f t="shared" si="143"/>
        <v>0</v>
      </c>
      <c r="Y973" s="115">
        <f t="shared" si="144"/>
        <v>0</v>
      </c>
      <c r="Z973" s="115" t="e">
        <f t="shared" si="145"/>
        <v>#VALUE!</v>
      </c>
      <c r="AA973" s="115">
        <f t="shared" si="146"/>
        <v>0</v>
      </c>
      <c r="AB973" s="246"/>
      <c r="AD973" s="375" t="s">
        <v>292</v>
      </c>
      <c r="AE973" s="376"/>
      <c r="AF973" s="376"/>
      <c r="AG973" s="257" t="e">
        <f>AG972/AG971</f>
        <v>#DIV/0!</v>
      </c>
      <c r="AI973" s="374"/>
      <c r="AJ973" s="374"/>
      <c r="AK973" s="374"/>
      <c r="AL973" s="151"/>
      <c r="AN973" s="375" t="s">
        <v>292</v>
      </c>
      <c r="AO973" s="376"/>
      <c r="AP973" s="376"/>
      <c r="AQ973" s="257" t="e">
        <f>AQ972/AQ971</f>
        <v>#DIV/0!</v>
      </c>
    </row>
    <row r="974" spans="15:43" s="115" customFormat="1">
      <c r="O974" s="91"/>
      <c r="X974" s="115">
        <f t="shared" si="143"/>
        <v>0</v>
      </c>
      <c r="Y974" s="115">
        <f t="shared" si="144"/>
        <v>0</v>
      </c>
      <c r="Z974" s="115" t="e">
        <f t="shared" si="145"/>
        <v>#VALUE!</v>
      </c>
      <c r="AA974" s="115">
        <f t="shared" si="146"/>
        <v>0</v>
      </c>
      <c r="AB974" s="246"/>
      <c r="AD974" s="375" t="s">
        <v>724</v>
      </c>
      <c r="AE974" s="376"/>
      <c r="AF974" s="376"/>
      <c r="AG974" s="209">
        <f>COUNTIFS(D:D,"AA",G:G,"STANGK",L:L,"5;1",F:F,"ATONGOAL")+AG958</f>
        <v>0</v>
      </c>
      <c r="AI974" s="374"/>
      <c r="AJ974" s="374"/>
      <c r="AK974" s="374"/>
      <c r="AN974" s="375" t="s">
        <v>724</v>
      </c>
      <c r="AO974" s="376"/>
      <c r="AP974" s="376"/>
      <c r="AQ974" s="209">
        <f>COUNTIFS(D:D,"AA",G:G,"STANGK",L:L,"5;-1",F:F,"ATONGOAL")+AQ958</f>
        <v>0</v>
      </c>
    </row>
    <row r="975" spans="15:43" s="115" customFormat="1">
      <c r="O975" s="91"/>
      <c r="X975" s="115">
        <f t="shared" si="143"/>
        <v>0</v>
      </c>
      <c r="Y975" s="115">
        <f t="shared" si="144"/>
        <v>0</v>
      </c>
      <c r="Z975" s="115" t="e">
        <f t="shared" si="145"/>
        <v>#VALUE!</v>
      </c>
      <c r="AA975" s="115">
        <f t="shared" si="146"/>
        <v>0</v>
      </c>
      <c r="AB975" s="246"/>
      <c r="AD975" s="375" t="s">
        <v>336</v>
      </c>
      <c r="AE975" s="376"/>
      <c r="AF975" s="376"/>
      <c r="AG975" s="209">
        <f>COUNTIFS(D:D,"AA",G:G,"STANGK",L:L,"5;1",F:F,"ATON")+AG959</f>
        <v>0</v>
      </c>
      <c r="AI975" s="374"/>
      <c r="AJ975" s="374"/>
      <c r="AK975" s="374"/>
      <c r="AN975" s="375" t="s">
        <v>336</v>
      </c>
      <c r="AO975" s="376"/>
      <c r="AP975" s="376"/>
      <c r="AQ975" s="209">
        <f>COUNTIFS(D:D,"AA",G:G,"STANGK",L:L,"5;-1",F:F,"ATON")+AQ959</f>
        <v>0</v>
      </c>
    </row>
    <row r="976" spans="15:43" s="115" customFormat="1">
      <c r="O976" s="91"/>
      <c r="X976" s="115">
        <f t="shared" si="143"/>
        <v>0</v>
      </c>
      <c r="Y976" s="115">
        <f t="shared" si="144"/>
        <v>0</v>
      </c>
      <c r="Z976" s="115" t="e">
        <f t="shared" si="145"/>
        <v>#VALUE!</v>
      </c>
      <c r="AA976" s="115">
        <f t="shared" si="146"/>
        <v>0</v>
      </c>
      <c r="AB976" s="246"/>
      <c r="AD976" s="375" t="s">
        <v>337</v>
      </c>
      <c r="AE976" s="376"/>
      <c r="AF976" s="376"/>
      <c r="AG976" s="209">
        <f>COUNTIFS(D:D,"AA",G:G,"STANGK",L:L,"5;1",F:F,"ATOF")+AG960</f>
        <v>0</v>
      </c>
      <c r="AI976" s="374"/>
      <c r="AJ976" s="374"/>
      <c r="AK976" s="374"/>
      <c r="AN976" s="375" t="s">
        <v>337</v>
      </c>
      <c r="AO976" s="376"/>
      <c r="AP976" s="376"/>
      <c r="AQ976" s="209">
        <f>COUNTIFS(D:D,"AA",G:G,"STANGK",L:L,"5;-1",F:F,"ATOF")+AQ960</f>
        <v>0</v>
      </c>
    </row>
    <row r="977" spans="15:49" s="115" customFormat="1">
      <c r="O977" s="91"/>
      <c r="X977" s="115">
        <f t="shared" si="143"/>
        <v>0</v>
      </c>
      <c r="Y977" s="115">
        <f t="shared" si="144"/>
        <v>0</v>
      </c>
      <c r="Z977" s="115" t="e">
        <f t="shared" si="145"/>
        <v>#VALUE!</v>
      </c>
      <c r="AA977" s="115">
        <f t="shared" si="146"/>
        <v>0</v>
      </c>
      <c r="AB977" s="246"/>
      <c r="AD977" s="375" t="s">
        <v>338</v>
      </c>
      <c r="AE977" s="376"/>
      <c r="AF977" s="376"/>
      <c r="AG977" s="209">
        <f>COUNTIFS(D:D,"AA",G:G,"STANGK",L:L,"5;1",F:F,"ATBK")+AG961</f>
        <v>0</v>
      </c>
      <c r="AI977" s="374"/>
      <c r="AJ977" s="374"/>
      <c r="AK977" s="374"/>
      <c r="AN977" s="375" t="s">
        <v>338</v>
      </c>
      <c r="AO977" s="376"/>
      <c r="AP977" s="376"/>
      <c r="AQ977" s="209">
        <f>COUNTIFS(D:D,"AA",G:G,"STANGK",L:L,"5;-1",F:F,"ATBK")+AQ961</f>
        <v>0</v>
      </c>
    </row>
    <row r="978" spans="15:49" s="115" customFormat="1">
      <c r="O978" s="91"/>
      <c r="X978" s="115">
        <f t="shared" si="143"/>
        <v>0</v>
      </c>
      <c r="Y978" s="115">
        <f t="shared" si="144"/>
        <v>0</v>
      </c>
      <c r="Z978" s="115" t="e">
        <f t="shared" si="145"/>
        <v>#VALUE!</v>
      </c>
      <c r="AA978" s="115">
        <f t="shared" si="146"/>
        <v>0</v>
      </c>
      <c r="AB978" s="246"/>
      <c r="AD978" s="375" t="s">
        <v>315</v>
      </c>
      <c r="AE978" s="376"/>
      <c r="AF978" s="376"/>
      <c r="AG978" s="209">
        <f>COUNTIFS(D:D,"AA",G:G,"STANGK",L:L,"5;1",E:E,"POS",F:F,"WINSTAN")+AG962</f>
        <v>0</v>
      </c>
      <c r="AI978" s="374"/>
      <c r="AJ978" s="374"/>
      <c r="AK978" s="374"/>
      <c r="AN978" s="375" t="s">
        <v>315</v>
      </c>
      <c r="AO978" s="376"/>
      <c r="AP978" s="376"/>
      <c r="AQ978" s="209">
        <f>COUNTIFS(D:D,"AA",G:G,"STANGK",L:L,"5;-1",E:E,"POS",F:F,"WINSTAN")+AQ962</f>
        <v>0</v>
      </c>
    </row>
    <row r="979" spans="15:49" s="115" customFormat="1">
      <c r="O979" s="91"/>
      <c r="X979" s="115">
        <f t="shared" si="143"/>
        <v>0</v>
      </c>
      <c r="Y979" s="115">
        <f t="shared" si="144"/>
        <v>0</v>
      </c>
      <c r="Z979" s="115" t="e">
        <f t="shared" si="145"/>
        <v>#VALUE!</v>
      </c>
      <c r="AA979" s="115">
        <f t="shared" si="146"/>
        <v>0</v>
      </c>
      <c r="AB979" s="246"/>
      <c r="AD979" s="375" t="s">
        <v>339</v>
      </c>
      <c r="AE979" s="376"/>
      <c r="AF979" s="376"/>
      <c r="AG979" s="209">
        <f>COUNTIFS(D:D,"AA",G:G,"STANGK",L:L,"5;1",E:E,"POS",F:F,"WINSTANTI")+AG963</f>
        <v>0</v>
      </c>
      <c r="AI979" s="374"/>
      <c r="AJ979" s="374"/>
      <c r="AK979" s="374"/>
      <c r="AN979" s="375" t="s">
        <v>339</v>
      </c>
      <c r="AO979" s="376"/>
      <c r="AP979" s="376"/>
      <c r="AQ979" s="209">
        <f>COUNTIFS(D:D,"AA",G:G,"STANGK",L:L,"5;-1",E:E,"POS",F:F,"WINSTANTI")+AQ963</f>
        <v>0</v>
      </c>
    </row>
    <row r="980" spans="15:49" s="115" customFormat="1">
      <c r="O980" s="91"/>
      <c r="X980" s="115">
        <f t="shared" si="143"/>
        <v>0</v>
      </c>
      <c r="Y980" s="115">
        <f t="shared" si="144"/>
        <v>0</v>
      </c>
      <c r="Z980" s="115" t="e">
        <f t="shared" si="145"/>
        <v>#VALUE!</v>
      </c>
      <c r="AA980" s="115">
        <f t="shared" si="146"/>
        <v>0</v>
      </c>
      <c r="AB980" s="246"/>
      <c r="AD980" s="375" t="s">
        <v>316</v>
      </c>
      <c r="AE980" s="376"/>
      <c r="AF980" s="376"/>
      <c r="AG980" s="209">
        <f>COUNTIFS(D:D,"AA",G:G,"STANGK",L:L,"5;1",F:F,"ENTRY")+AG964</f>
        <v>0</v>
      </c>
      <c r="AI980" s="374"/>
      <c r="AJ980" s="374"/>
      <c r="AK980" s="374"/>
      <c r="AN980" s="375" t="s">
        <v>316</v>
      </c>
      <c r="AO980" s="376"/>
      <c r="AP980" s="376"/>
      <c r="AQ980" s="209">
        <f>COUNTIFS(D:D,"AA",G:G,"STANGK",L:L,"5;-1",F:F,"ENTRY")+AQ964</f>
        <v>0</v>
      </c>
    </row>
    <row r="981" spans="15:49" s="115" customFormat="1">
      <c r="O981" s="91"/>
      <c r="X981" s="115">
        <f t="shared" si="143"/>
        <v>0</v>
      </c>
      <c r="Y981" s="115">
        <f t="shared" si="144"/>
        <v>0</v>
      </c>
      <c r="Z981" s="115" t="e">
        <f t="shared" si="145"/>
        <v>#VALUE!</v>
      </c>
      <c r="AA981" s="115">
        <f t="shared" si="146"/>
        <v>0</v>
      </c>
      <c r="AB981" s="246"/>
      <c r="AD981" s="375" t="s">
        <v>293</v>
      </c>
      <c r="AE981" s="376"/>
      <c r="AF981" s="376"/>
      <c r="AG981" s="209">
        <f>COUNTIFS(D:D,"AA",G:G,"STANGK",L:L,"5;1",F:F,"KEEPOS")+AG965</f>
        <v>0</v>
      </c>
      <c r="AI981" s="374"/>
      <c r="AJ981" s="374"/>
      <c r="AK981" s="374"/>
      <c r="AN981" s="375" t="s">
        <v>293</v>
      </c>
      <c r="AO981" s="376"/>
      <c r="AP981" s="376"/>
      <c r="AQ981" s="209">
        <f>COUNTIFS(D:D,"AA",G:G,"STANGK",L:L,"5;-1",F:F,"KEEPOS")+AQ965</f>
        <v>0</v>
      </c>
    </row>
    <row r="982" spans="15:49" s="115" customFormat="1">
      <c r="O982" s="91"/>
      <c r="X982" s="115">
        <f t="shared" si="143"/>
        <v>0</v>
      </c>
      <c r="Y982" s="115">
        <f t="shared" si="144"/>
        <v>0</v>
      </c>
      <c r="Z982" s="115" t="e">
        <f t="shared" si="145"/>
        <v>#VALUE!</v>
      </c>
      <c r="AA982" s="115">
        <f t="shared" si="146"/>
        <v>0</v>
      </c>
      <c r="AB982" s="246"/>
      <c r="AD982" s="386" t="s">
        <v>317</v>
      </c>
      <c r="AE982" s="383"/>
      <c r="AF982" s="383"/>
      <c r="AG982" s="258" t="e">
        <f>SUM(AG974:AG981)/AG968</f>
        <v>#DIV/0!</v>
      </c>
      <c r="AI982" s="374"/>
      <c r="AJ982" s="374"/>
      <c r="AK982" s="374"/>
      <c r="AL982" s="151"/>
      <c r="AN982" s="386" t="s">
        <v>317</v>
      </c>
      <c r="AO982" s="383"/>
      <c r="AP982" s="383"/>
      <c r="AQ982" s="258" t="e">
        <f>SUM(AQ974:AQ981)/AQ968</f>
        <v>#DIV/0!</v>
      </c>
    </row>
    <row r="983" spans="15:49">
      <c r="O983" s="91"/>
      <c r="X983" s="115">
        <f t="shared" si="143"/>
        <v>0</v>
      </c>
      <c r="Y983" s="115">
        <f t="shared" si="144"/>
        <v>0</v>
      </c>
      <c r="Z983" s="115" t="e">
        <f t="shared" si="145"/>
        <v>#VALUE!</v>
      </c>
      <c r="AA983" s="115">
        <f t="shared" si="146"/>
        <v>0</v>
      </c>
      <c r="AD983" s="374"/>
      <c r="AE983" s="374"/>
      <c r="AF983" s="374"/>
      <c r="AG983" s="115"/>
      <c r="AH983" s="115"/>
      <c r="AI983" s="374"/>
      <c r="AJ983" s="374"/>
      <c r="AK983" s="374"/>
      <c r="AL983" s="115"/>
      <c r="AM983" s="115"/>
      <c r="AN983" s="374"/>
      <c r="AO983" s="374"/>
      <c r="AP983" s="374"/>
      <c r="AQ983" s="115"/>
    </row>
    <row r="984" spans="15:49">
      <c r="O984" s="91"/>
      <c r="X984" s="115">
        <f t="shared" si="143"/>
        <v>0</v>
      </c>
      <c r="Y984" s="115">
        <f t="shared" si="144"/>
        <v>0</v>
      </c>
      <c r="Z984" s="115" t="e">
        <f t="shared" si="145"/>
        <v>#VALUE!</v>
      </c>
      <c r="AA984" s="115">
        <f t="shared" si="146"/>
        <v>0</v>
      </c>
    </row>
    <row r="985" spans="15:49">
      <c r="O985" s="91"/>
      <c r="X985" s="115">
        <f t="shared" si="143"/>
        <v>0</v>
      </c>
      <c r="Y985" s="115">
        <f t="shared" si="144"/>
        <v>0</v>
      </c>
      <c r="Z985" s="115" t="e">
        <f t="shared" si="145"/>
        <v>#VALUE!</v>
      </c>
      <c r="AA985" s="115">
        <f t="shared" si="146"/>
        <v>0</v>
      </c>
      <c r="AD985" s="115"/>
      <c r="AE985" s="115"/>
      <c r="AF985" s="115"/>
      <c r="AG985" s="374" t="s">
        <v>256</v>
      </c>
      <c r="AH985" s="374"/>
      <c r="AI985" s="374"/>
      <c r="AJ985" s="115"/>
      <c r="AK985" s="115"/>
      <c r="AL985" s="115"/>
      <c r="AM985" s="115"/>
      <c r="AN985" s="115"/>
      <c r="AO985" s="115"/>
      <c r="AP985" s="115"/>
      <c r="AQ985" s="115"/>
    </row>
    <row r="986" spans="15:49">
      <c r="O986" s="91"/>
      <c r="X986" s="115">
        <f t="shared" si="143"/>
        <v>0</v>
      </c>
      <c r="Y986" s="115">
        <f t="shared" si="144"/>
        <v>0</v>
      </c>
      <c r="Z986" s="115" t="e">
        <f t="shared" si="145"/>
        <v>#VALUE!</v>
      </c>
      <c r="AA986" s="115">
        <f t="shared" si="146"/>
        <v>0</v>
      </c>
      <c r="AD986" s="374"/>
      <c r="AE986" s="374"/>
      <c r="AF986" s="374"/>
      <c r="AG986" s="115"/>
      <c r="AH986" s="115"/>
      <c r="AI986" s="374" t="s">
        <v>220</v>
      </c>
      <c r="AJ986" s="374"/>
      <c r="AK986" s="374"/>
      <c r="AL986" s="115"/>
      <c r="AM986" s="115"/>
      <c r="AN986" s="115"/>
      <c r="AO986" s="115"/>
      <c r="AP986" s="115"/>
      <c r="AQ986" s="115"/>
    </row>
    <row r="987" spans="15:49">
      <c r="O987" s="91"/>
      <c r="X987" s="115">
        <f t="shared" si="143"/>
        <v>0</v>
      </c>
      <c r="Y987" s="115">
        <f t="shared" si="144"/>
        <v>0</v>
      </c>
      <c r="Z987" s="115" t="e">
        <f t="shared" si="145"/>
        <v>#VALUE!</v>
      </c>
      <c r="AA987" s="115">
        <f t="shared" si="146"/>
        <v>0</v>
      </c>
      <c r="AD987" s="186"/>
      <c r="AE987" s="186"/>
      <c r="AF987" s="115"/>
      <c r="AG987" s="115"/>
      <c r="AH987" s="115"/>
      <c r="AI987" s="115"/>
      <c r="AJ987" s="115"/>
      <c r="AK987" s="115"/>
      <c r="AL987" s="115"/>
      <c r="AM987" s="115"/>
      <c r="AN987" s="115"/>
      <c r="AO987" s="115"/>
      <c r="AP987" s="115"/>
      <c r="AQ987" s="115"/>
    </row>
    <row r="988" spans="15:49">
      <c r="O988" s="91"/>
      <c r="X988" s="115">
        <f t="shared" si="143"/>
        <v>0</v>
      </c>
      <c r="Y988" s="115">
        <f t="shared" si="144"/>
        <v>0</v>
      </c>
      <c r="Z988" s="115" t="e">
        <f t="shared" si="145"/>
        <v>#VALUE!</v>
      </c>
      <c r="AA988" s="115">
        <f t="shared" si="146"/>
        <v>0</v>
      </c>
      <c r="AD988" s="384" t="s">
        <v>270</v>
      </c>
      <c r="AE988" s="385"/>
      <c r="AF988" s="385"/>
      <c r="AG988" s="207">
        <f>COUNTIFS(D:D,"DD",G:G,"STANGK",L:L,"-2;1")+AG1004</f>
        <v>0</v>
      </c>
      <c r="AH988" s="115"/>
      <c r="AM988" s="115"/>
      <c r="AN988" s="384" t="s">
        <v>270</v>
      </c>
      <c r="AO988" s="385"/>
      <c r="AP988" s="385"/>
      <c r="AQ988" s="207">
        <f>COUNTIFS(D:D,"DD",G:G,"STANGK",L:L,"-2;-1")+AQ1004</f>
        <v>0</v>
      </c>
      <c r="AS988" s="115"/>
      <c r="AT988" s="374" t="s">
        <v>270</v>
      </c>
      <c r="AU988" s="374"/>
      <c r="AV988" s="374"/>
      <c r="AW988" s="115">
        <f>COUNTIFS(D:D,"DD",G:G,"STANGK")</f>
        <v>5</v>
      </c>
    </row>
    <row r="989" spans="15:49">
      <c r="O989" s="91"/>
      <c r="X989" s="115">
        <f t="shared" si="143"/>
        <v>0</v>
      </c>
      <c r="Y989" s="115">
        <f t="shared" si="144"/>
        <v>0</v>
      </c>
      <c r="Z989" s="115" t="e">
        <f t="shared" si="145"/>
        <v>#VALUE!</v>
      </c>
      <c r="AA989" s="115">
        <f t="shared" si="146"/>
        <v>0</v>
      </c>
      <c r="AD989" s="375" t="s">
        <v>271</v>
      </c>
      <c r="AE989" s="376"/>
      <c r="AF989" s="376"/>
      <c r="AG989" s="209">
        <f>COUNTIFS(D:D,"DD",G:G,"STANGK",L:L,"-2;1",P:P,"EI")+AG1005</f>
        <v>0</v>
      </c>
      <c r="AH989" s="115"/>
      <c r="AM989" s="115"/>
      <c r="AN989" s="375" t="s">
        <v>271</v>
      </c>
      <c r="AO989" s="376"/>
      <c r="AP989" s="376"/>
      <c r="AQ989" s="209">
        <f>COUNTIFS(D:D,"DD",G:G,"STANGK",L:L,"-2;-1",P:P,"EI")+AQ1005</f>
        <v>0</v>
      </c>
      <c r="AS989" s="115"/>
      <c r="AT989" s="374" t="s">
        <v>271</v>
      </c>
      <c r="AU989" s="374"/>
      <c r="AV989" s="374"/>
      <c r="AW989" s="115">
        <f>COUNTIFS(D:D,"DD",G:G,"STANGK",P:P,"EI")</f>
        <v>0</v>
      </c>
    </row>
    <row r="990" spans="15:49">
      <c r="O990" s="91"/>
      <c r="X990" s="115">
        <f t="shared" si="143"/>
        <v>0</v>
      </c>
      <c r="Y990" s="115">
        <f t="shared" si="144"/>
        <v>0</v>
      </c>
      <c r="Z990" s="115" t="e">
        <f t="shared" si="145"/>
        <v>#VALUE!</v>
      </c>
      <c r="AA990" s="115">
        <f t="shared" si="146"/>
        <v>0</v>
      </c>
      <c r="AD990" s="375" t="s">
        <v>272</v>
      </c>
      <c r="AE990" s="376"/>
      <c r="AF990" s="376"/>
      <c r="AG990" s="253" t="e">
        <f>AG989/AG988</f>
        <v>#DIV/0!</v>
      </c>
      <c r="AH990" s="115"/>
      <c r="AM990" s="115"/>
      <c r="AN990" s="375" t="s">
        <v>272</v>
      </c>
      <c r="AO990" s="376"/>
      <c r="AP990" s="376"/>
      <c r="AQ990" s="253" t="e">
        <f>AQ989/AQ988</f>
        <v>#DIV/0!</v>
      </c>
      <c r="AS990" s="115"/>
      <c r="AT990" s="374" t="s">
        <v>272</v>
      </c>
      <c r="AU990" s="374"/>
      <c r="AV990" s="374"/>
      <c r="AW990" s="151">
        <f>AW989/AW988</f>
        <v>0</v>
      </c>
    </row>
    <row r="991" spans="15:49" s="115" customFormat="1">
      <c r="O991" s="91"/>
      <c r="X991" s="115">
        <f t="shared" si="143"/>
        <v>0</v>
      </c>
      <c r="Y991" s="115">
        <f t="shared" si="144"/>
        <v>0</v>
      </c>
      <c r="Z991" s="115" t="e">
        <f t="shared" si="145"/>
        <v>#VALUE!</v>
      </c>
      <c r="AA991" s="115">
        <f t="shared" si="146"/>
        <v>0</v>
      </c>
      <c r="AB991" s="246"/>
      <c r="AD991" s="375" t="s">
        <v>318</v>
      </c>
      <c r="AE991" s="376"/>
      <c r="AF991" s="376"/>
      <c r="AG991" s="254">
        <f>COUNTIFS(D:D,"DD",G:G,"STANGK",L:L,"-2;1",V:V,"JAH")+COUNTIFS(D:D,"DD",G:G,"STANGK",L:L,"-2;1",V:V,"EI")+AG1007</f>
        <v>0</v>
      </c>
      <c r="AN991" s="375" t="s">
        <v>318</v>
      </c>
      <c r="AO991" s="376"/>
      <c r="AP991" s="376"/>
      <c r="AQ991" s="254">
        <f>COUNTIFS(D:D,"DD",G:G,"STANGK",L:L,"-2;-1",V:V,"JAH")+COUNTIFS(D:D,"DD",G:G,"STANGK",L:L,"-2;-1",V:V,"EI")+AQ1007</f>
        <v>0</v>
      </c>
      <c r="AT991" s="374" t="s">
        <v>318</v>
      </c>
      <c r="AU991" s="374"/>
      <c r="AV991" s="374"/>
      <c r="AW991" s="178">
        <f>COUNTIFS(D:D,"DD",G:G,"STANGK",V:V,"JAH")+COUNTIFS(D:D,"DD",G:G,"STANGK",V:V,"EI")</f>
        <v>0</v>
      </c>
    </row>
    <row r="992" spans="15:49" s="115" customFormat="1">
      <c r="O992" s="91"/>
      <c r="X992" s="115">
        <f t="shared" si="143"/>
        <v>0</v>
      </c>
      <c r="Y992" s="115">
        <f t="shared" si="144"/>
        <v>0</v>
      </c>
      <c r="Z992" s="115" t="e">
        <f t="shared" si="145"/>
        <v>#VALUE!</v>
      </c>
      <c r="AA992" s="115">
        <f t="shared" si="146"/>
        <v>0</v>
      </c>
      <c r="AB992" s="246"/>
      <c r="AD992" s="375" t="s">
        <v>291</v>
      </c>
      <c r="AE992" s="376"/>
      <c r="AF992" s="376"/>
      <c r="AG992" s="209">
        <f>COUNTIFS(D:D,"DD",G:G,"STANGK",L:L,"-2;1",V:V,"EI")+AG1008</f>
        <v>0</v>
      </c>
      <c r="AN992" s="375" t="s">
        <v>291</v>
      </c>
      <c r="AO992" s="376"/>
      <c r="AP992" s="376"/>
      <c r="AQ992" s="209">
        <f>COUNTIFS(D:D,"DD",G:G,"STANGK",L:L,"-2;-1",V:V,"EI")+AQ1008</f>
        <v>0</v>
      </c>
      <c r="AT992" s="374" t="s">
        <v>291</v>
      </c>
      <c r="AU992" s="374"/>
      <c r="AV992" s="374"/>
      <c r="AW992" s="115">
        <f>COUNTIFS(D:D,"DD",G:G,"STANGK",V:V,"EI")</f>
        <v>0</v>
      </c>
    </row>
    <row r="993" spans="15:49">
      <c r="O993" s="91"/>
      <c r="X993" s="115">
        <f t="shared" si="143"/>
        <v>0</v>
      </c>
      <c r="Y993" s="115">
        <f t="shared" si="144"/>
        <v>0</v>
      </c>
      <c r="Z993" s="115" t="e">
        <f t="shared" si="145"/>
        <v>#VALUE!</v>
      </c>
      <c r="AA993" s="115">
        <f t="shared" si="146"/>
        <v>0</v>
      </c>
      <c r="AD993" s="375" t="s">
        <v>292</v>
      </c>
      <c r="AE993" s="376"/>
      <c r="AF993" s="376"/>
      <c r="AG993" s="253" t="e">
        <f>AG992/AG991</f>
        <v>#DIV/0!</v>
      </c>
      <c r="AH993" s="115"/>
      <c r="AM993" s="115"/>
      <c r="AN993" s="375" t="s">
        <v>292</v>
      </c>
      <c r="AO993" s="376"/>
      <c r="AP993" s="376"/>
      <c r="AQ993" s="253" t="e">
        <f>AQ992/AQ991</f>
        <v>#DIV/0!</v>
      </c>
      <c r="AS993" s="115"/>
      <c r="AT993" s="374" t="s">
        <v>292</v>
      </c>
      <c r="AU993" s="374"/>
      <c r="AV993" s="374"/>
      <c r="AW993" s="151">
        <f>AW992/AW988</f>
        <v>0</v>
      </c>
    </row>
    <row r="994" spans="15:49">
      <c r="O994" s="91"/>
      <c r="X994" s="115">
        <f t="shared" si="143"/>
        <v>0</v>
      </c>
      <c r="Y994" s="115">
        <f t="shared" si="144"/>
        <v>0</v>
      </c>
      <c r="Z994" s="115" t="e">
        <f t="shared" si="145"/>
        <v>#VALUE!</v>
      </c>
      <c r="AA994" s="115">
        <f t="shared" si="146"/>
        <v>0</v>
      </c>
      <c r="AD994" s="375" t="s">
        <v>724</v>
      </c>
      <c r="AE994" s="376"/>
      <c r="AF994" s="376"/>
      <c r="AG994" s="209">
        <f>COUNTIFS(D:D,"DD",G:G,"STANGK",L:L,"-2;1",F:F,"ATONGOAL")+AG1010</f>
        <v>0</v>
      </c>
      <c r="AH994" s="115"/>
      <c r="AM994" s="115"/>
      <c r="AN994" s="375" t="s">
        <v>724</v>
      </c>
      <c r="AO994" s="376"/>
      <c r="AP994" s="376"/>
      <c r="AQ994" s="209">
        <f>COUNTIFS(D:D,"DD",G:G,"STANGK",L:L,"-2;-1",F:F,"ATONGOAL")+AQ1010</f>
        <v>0</v>
      </c>
      <c r="AS994" s="115"/>
      <c r="AT994" s="374" t="s">
        <v>724</v>
      </c>
      <c r="AU994" s="374"/>
      <c r="AV994" s="374"/>
      <c r="AW994" s="115">
        <f>COUNTIFS(D:D,"DD",G:G,"STANGK",F:F,"ATONGOAL")</f>
        <v>0</v>
      </c>
    </row>
    <row r="995" spans="15:49">
      <c r="O995" s="91"/>
      <c r="X995" s="115">
        <f t="shared" si="143"/>
        <v>0</v>
      </c>
      <c r="Y995" s="115">
        <f t="shared" si="144"/>
        <v>0</v>
      </c>
      <c r="Z995" s="115" t="e">
        <f t="shared" si="145"/>
        <v>#VALUE!</v>
      </c>
      <c r="AA995" s="115">
        <f t="shared" si="146"/>
        <v>0</v>
      </c>
      <c r="AD995" s="375" t="s">
        <v>336</v>
      </c>
      <c r="AE995" s="376"/>
      <c r="AF995" s="376"/>
      <c r="AG995" s="209">
        <f>COUNTIFS(D:D,"DD",G:G,"STANGK",L:L,"-2;1",F:F,"ATON")+AG1011</f>
        <v>0</v>
      </c>
      <c r="AH995" s="115"/>
      <c r="AM995" s="115"/>
      <c r="AN995" s="375" t="s">
        <v>336</v>
      </c>
      <c r="AO995" s="376"/>
      <c r="AP995" s="376"/>
      <c r="AQ995" s="209">
        <f>COUNTIFS(D:D,"DD",G:G,"STANGK",L:L,"-2;-1",F:F,"ATON")+AQ1011</f>
        <v>0</v>
      </c>
      <c r="AS995" s="115"/>
      <c r="AT995" s="374" t="s">
        <v>336</v>
      </c>
      <c r="AU995" s="374"/>
      <c r="AV995" s="374"/>
      <c r="AW995" s="115">
        <f>COUNTIFS(D:D,"DD",G:G,"STANGK",F:F,"ATON")</f>
        <v>0</v>
      </c>
    </row>
    <row r="996" spans="15:49" s="115" customFormat="1">
      <c r="O996" s="91"/>
      <c r="X996" s="115">
        <f t="shared" si="143"/>
        <v>0</v>
      </c>
      <c r="Y996" s="115">
        <f t="shared" si="144"/>
        <v>0</v>
      </c>
      <c r="Z996" s="115" t="e">
        <f t="shared" si="145"/>
        <v>#VALUE!</v>
      </c>
      <c r="AA996" s="115">
        <f t="shared" si="146"/>
        <v>0</v>
      </c>
      <c r="AB996" s="246"/>
      <c r="AD996" s="375" t="s">
        <v>337</v>
      </c>
      <c r="AE996" s="376"/>
      <c r="AF996" s="376"/>
      <c r="AG996" s="209">
        <f>COUNTIFS(D:D,"DD",G:G,"STANGK",L:L,"-2;1",F:F,"ATOF")+AG1012</f>
        <v>0</v>
      </c>
      <c r="AN996" s="375" t="s">
        <v>337</v>
      </c>
      <c r="AO996" s="376"/>
      <c r="AP996" s="376"/>
      <c r="AQ996" s="209">
        <f>COUNTIFS(D:D,"DD",G:G,"STANGK",L:L,"-2;-1",F:F,"ATOF")+AQ1012</f>
        <v>0</v>
      </c>
      <c r="AT996" s="374" t="s">
        <v>337</v>
      </c>
      <c r="AU996" s="374"/>
      <c r="AV996" s="374"/>
      <c r="AW996" s="115">
        <f>COUNTIFS(D:D,"DD",G:G,"STANGK",F:F,"ATOF")</f>
        <v>0</v>
      </c>
    </row>
    <row r="997" spans="15:49" s="115" customFormat="1">
      <c r="O997" s="91"/>
      <c r="X997" s="115">
        <f t="shared" si="143"/>
        <v>0</v>
      </c>
      <c r="Y997" s="115">
        <f t="shared" si="144"/>
        <v>0</v>
      </c>
      <c r="Z997" s="115" t="e">
        <f t="shared" si="145"/>
        <v>#VALUE!</v>
      </c>
      <c r="AA997" s="115">
        <f t="shared" si="146"/>
        <v>0</v>
      </c>
      <c r="AB997" s="246"/>
      <c r="AD997" s="375" t="s">
        <v>338</v>
      </c>
      <c r="AE997" s="376"/>
      <c r="AF997" s="376"/>
      <c r="AG997" s="209">
        <f>COUNTIFS(D:D,"DD",G:G,"STANGK",L:L,"-2;1",F:F,"ATBK")+AG1013</f>
        <v>0</v>
      </c>
      <c r="AN997" s="375" t="s">
        <v>338</v>
      </c>
      <c r="AO997" s="376"/>
      <c r="AP997" s="376"/>
      <c r="AQ997" s="209">
        <f>COUNTIFS(D:D,"DD",G:G,"STANGK",L:L,"-2;-1",F:F,"ATBK")+AQ1013</f>
        <v>0</v>
      </c>
      <c r="AT997" s="374" t="s">
        <v>338</v>
      </c>
      <c r="AU997" s="374"/>
      <c r="AV997" s="374"/>
      <c r="AW997" s="115">
        <f>COUNTIFS(D:D,"DD",G:G,"STANGK",F:F,"ATBK")</f>
        <v>0</v>
      </c>
    </row>
    <row r="998" spans="15:49">
      <c r="O998" s="91"/>
      <c r="X998" s="115">
        <f t="shared" si="143"/>
        <v>0</v>
      </c>
      <c r="Y998" s="115">
        <f t="shared" si="144"/>
        <v>0</v>
      </c>
      <c r="Z998" s="115" t="e">
        <f t="shared" si="145"/>
        <v>#VALUE!</v>
      </c>
      <c r="AA998" s="115">
        <f t="shared" si="146"/>
        <v>0</v>
      </c>
      <c r="AD998" s="375" t="s">
        <v>315</v>
      </c>
      <c r="AE998" s="376"/>
      <c r="AF998" s="376"/>
      <c r="AG998" s="209">
        <f>COUNTIFS(D:D,"DD",G:G,"STANGK",L:L,"-2;1",E:E,"NEG",F:F,"WINSTAN")+AG1014</f>
        <v>0</v>
      </c>
      <c r="AH998" s="115"/>
      <c r="AM998" s="115"/>
      <c r="AN998" s="375" t="s">
        <v>315</v>
      </c>
      <c r="AO998" s="376"/>
      <c r="AP998" s="376"/>
      <c r="AQ998" s="209">
        <f>COUNTIFS(D:D,"DD",G:G,"STANGK",L:L,"-2;-1",E:E,"NEG",F:F,"WINSTAN")+AQ1014</f>
        <v>0</v>
      </c>
      <c r="AS998" s="115"/>
      <c r="AT998" s="374" t="s">
        <v>315</v>
      </c>
      <c r="AU998" s="374"/>
      <c r="AV998" s="374"/>
      <c r="AW998" s="115">
        <f>COUNTIFS(D:D,"DD",G:G,"STANGK",E:E,"NEG",F:F,"WINSTAN")</f>
        <v>1</v>
      </c>
    </row>
    <row r="999" spans="15:49" s="115" customFormat="1">
      <c r="O999" s="91"/>
      <c r="X999" s="115">
        <f t="shared" si="143"/>
        <v>0</v>
      </c>
      <c r="Y999" s="115">
        <f t="shared" si="144"/>
        <v>0</v>
      </c>
      <c r="Z999" s="115" t="e">
        <f t="shared" si="145"/>
        <v>#VALUE!</v>
      </c>
      <c r="AA999" s="115">
        <f t="shared" si="146"/>
        <v>0</v>
      </c>
      <c r="AB999" s="246"/>
      <c r="AD999" s="375" t="s">
        <v>339</v>
      </c>
      <c r="AE999" s="376"/>
      <c r="AF999" s="376"/>
      <c r="AG999" s="209">
        <f>COUNTIFS(D:D,"DD",G:G,"STANGK",L:L,"-2;1",E:E,"NEG",F:F,"WINSTANTI")+AG1015</f>
        <v>0</v>
      </c>
      <c r="AN999" s="375" t="s">
        <v>339</v>
      </c>
      <c r="AO999" s="376"/>
      <c r="AP999" s="376"/>
      <c r="AQ999" s="209">
        <f>COUNTIFS(D:D,"DD",G:G,"STANGK",L:L,"-2;-1",E:E,"NEG",F:F,"WINSTANTI")+AQ1015</f>
        <v>0</v>
      </c>
      <c r="AT999" s="374" t="s">
        <v>339</v>
      </c>
      <c r="AU999" s="374"/>
      <c r="AV999" s="374"/>
      <c r="AW999" s="115">
        <f>COUNTIFS(D:D,"DD",G:G,"STANGK",E:E,"NEG",F:F,"WINSTANTI")</f>
        <v>0</v>
      </c>
    </row>
    <row r="1000" spans="15:49">
      <c r="O1000" s="91"/>
      <c r="X1000" s="115">
        <f t="shared" si="143"/>
        <v>0</v>
      </c>
      <c r="Y1000" s="115">
        <f t="shared" si="144"/>
        <v>0</v>
      </c>
      <c r="Z1000" s="115" t="e">
        <f t="shared" si="145"/>
        <v>#VALUE!</v>
      </c>
      <c r="AA1000" s="115">
        <f t="shared" si="146"/>
        <v>0</v>
      </c>
      <c r="AD1000" s="375" t="s">
        <v>316</v>
      </c>
      <c r="AE1000" s="376"/>
      <c r="AF1000" s="376"/>
      <c r="AG1000" s="209">
        <f>COUNTIFS(D:D,"DD",G:G,"STANGK",L:L,"-2;1",F:F,"ENTRY")+AG1016</f>
        <v>0</v>
      </c>
      <c r="AH1000" s="115"/>
      <c r="AM1000" s="115"/>
      <c r="AN1000" s="375" t="s">
        <v>316</v>
      </c>
      <c r="AO1000" s="376"/>
      <c r="AP1000" s="376"/>
      <c r="AQ1000" s="209">
        <f>COUNTIFS(D:D,"DD",G:G,"STANGK",L:L,"-2;-1",F:F,"ENTRY")+AQ1016</f>
        <v>0</v>
      </c>
      <c r="AS1000" s="115"/>
      <c r="AT1000" s="374" t="s">
        <v>316</v>
      </c>
      <c r="AU1000" s="374"/>
      <c r="AV1000" s="374"/>
      <c r="AW1000" s="115">
        <f>COUNTIFS(D:D,"DD",G:G,"STANGK",F:F,"ENTRY")</f>
        <v>0</v>
      </c>
    </row>
    <row r="1001" spans="15:49">
      <c r="O1001" s="91"/>
      <c r="X1001" s="115">
        <f t="shared" si="143"/>
        <v>0</v>
      </c>
      <c r="Y1001" s="115">
        <f t="shared" si="144"/>
        <v>0</v>
      </c>
      <c r="Z1001" s="115" t="e">
        <f t="shared" si="145"/>
        <v>#VALUE!</v>
      </c>
      <c r="AA1001" s="115">
        <f t="shared" si="146"/>
        <v>0</v>
      </c>
      <c r="AD1001" s="375" t="s">
        <v>293</v>
      </c>
      <c r="AE1001" s="376"/>
      <c r="AF1001" s="376"/>
      <c r="AG1001" s="209">
        <f>COUNTIFS(D:D,"DD",G:G,"STANGK",L:L,"-2;1",F:F,"KEEPOS")+AG1017</f>
        <v>0</v>
      </c>
      <c r="AH1001" s="115"/>
      <c r="AM1001" s="115"/>
      <c r="AN1001" s="375" t="s">
        <v>293</v>
      </c>
      <c r="AO1001" s="376"/>
      <c r="AP1001" s="376"/>
      <c r="AQ1001" s="209">
        <f>COUNTIFS(D:D,"DD",G:G,"STANGK",L:L,"-2;-1",F:F,"KEEPOS")+AQ1017</f>
        <v>0</v>
      </c>
      <c r="AS1001" s="115"/>
      <c r="AT1001" s="374" t="s">
        <v>293</v>
      </c>
      <c r="AU1001" s="374"/>
      <c r="AV1001" s="374"/>
      <c r="AW1001" s="115">
        <f>COUNTIFS(D:D,"DD",G:G,"STANGK",F:F,"KEEPOS")</f>
        <v>4</v>
      </c>
    </row>
    <row r="1002" spans="15:49">
      <c r="O1002" s="91"/>
      <c r="X1002" s="115">
        <f t="shared" si="143"/>
        <v>0</v>
      </c>
      <c r="Y1002" s="115">
        <f t="shared" si="144"/>
        <v>0</v>
      </c>
      <c r="Z1002" s="115" t="e">
        <f t="shared" si="145"/>
        <v>#VALUE!</v>
      </c>
      <c r="AA1002" s="115">
        <f t="shared" si="146"/>
        <v>0</v>
      </c>
      <c r="AD1002" s="375" t="s">
        <v>319</v>
      </c>
      <c r="AE1002" s="376"/>
      <c r="AF1002" s="376"/>
      <c r="AG1002" s="253" t="e">
        <f>SUM(AG994:AG1001)/AG988</f>
        <v>#DIV/0!</v>
      </c>
      <c r="AH1002" s="115"/>
      <c r="AM1002" s="115"/>
      <c r="AN1002" s="375" t="s">
        <v>319</v>
      </c>
      <c r="AO1002" s="376"/>
      <c r="AP1002" s="376"/>
      <c r="AQ1002" s="253" t="e">
        <f>SUM(AQ994:AQ1001)/AQ988</f>
        <v>#DIV/0!</v>
      </c>
      <c r="AS1002" s="115"/>
      <c r="AT1002" s="374" t="s">
        <v>317</v>
      </c>
      <c r="AU1002" s="374"/>
      <c r="AV1002" s="374"/>
      <c r="AW1002" s="151">
        <f>SUM(AW994:AW1001)/AW988</f>
        <v>1</v>
      </c>
    </row>
    <row r="1003" spans="15:49" s="115" customFormat="1">
      <c r="O1003" s="91"/>
      <c r="X1003" s="115">
        <f t="shared" si="143"/>
        <v>0</v>
      </c>
      <c r="Y1003" s="115">
        <f t="shared" si="144"/>
        <v>0</v>
      </c>
      <c r="Z1003" s="115" t="e">
        <f t="shared" si="145"/>
        <v>#VALUE!</v>
      </c>
      <c r="AA1003" s="115">
        <f t="shared" si="146"/>
        <v>0</v>
      </c>
      <c r="AB1003" s="246"/>
      <c r="AD1003" s="255"/>
      <c r="AE1003" s="68"/>
      <c r="AF1003" s="165"/>
      <c r="AG1003" s="209"/>
      <c r="AN1003" s="208"/>
      <c r="AO1003" s="165"/>
      <c r="AP1003" s="165"/>
      <c r="AQ1003" s="209"/>
    </row>
    <row r="1004" spans="15:49" s="115" customFormat="1">
      <c r="O1004" s="91"/>
      <c r="X1004" s="115">
        <f t="shared" si="143"/>
        <v>0</v>
      </c>
      <c r="Y1004" s="115">
        <f t="shared" si="144"/>
        <v>0</v>
      </c>
      <c r="Z1004" s="115" t="e">
        <f t="shared" si="145"/>
        <v>#VALUE!</v>
      </c>
      <c r="AA1004" s="115">
        <f t="shared" si="146"/>
        <v>0</v>
      </c>
      <c r="AB1004" s="246"/>
      <c r="AD1004" s="375" t="s">
        <v>270</v>
      </c>
      <c r="AE1004" s="376"/>
      <c r="AF1004" s="376"/>
      <c r="AG1004" s="209">
        <f>COUNTIFS(D:D,"DD",G:G,"STANGK",L:L,"-1;1")</f>
        <v>0</v>
      </c>
      <c r="AI1004" s="374" t="s">
        <v>270</v>
      </c>
      <c r="AJ1004" s="374"/>
      <c r="AK1004" s="374"/>
      <c r="AL1004" s="115">
        <f>COUNTIFS(D:D,"DD",G:G,"STANGK",L:L,"-1;0")</f>
        <v>0</v>
      </c>
      <c r="AN1004" s="375" t="s">
        <v>270</v>
      </c>
      <c r="AO1004" s="376"/>
      <c r="AP1004" s="376"/>
      <c r="AQ1004" s="209">
        <f>COUNTIFS(D:D,"DD",G:G,"STANGK",L:L,"-1;-1")</f>
        <v>0</v>
      </c>
    </row>
    <row r="1005" spans="15:49">
      <c r="O1005" s="91"/>
      <c r="X1005" s="115">
        <f t="shared" si="143"/>
        <v>0</v>
      </c>
      <c r="Y1005" s="115">
        <f t="shared" si="144"/>
        <v>0</v>
      </c>
      <c r="Z1005" s="115" t="e">
        <f t="shared" si="145"/>
        <v>#VALUE!</v>
      </c>
      <c r="AA1005" s="115">
        <f t="shared" si="146"/>
        <v>0</v>
      </c>
      <c r="AD1005" s="375" t="s">
        <v>271</v>
      </c>
      <c r="AE1005" s="376"/>
      <c r="AF1005" s="376"/>
      <c r="AG1005" s="209">
        <f>COUNTIFS(D:D,"DD",G:G,"STANGK",L:L,"-1;1",P:P,"EI")</f>
        <v>0</v>
      </c>
      <c r="AH1005" s="115"/>
      <c r="AI1005" s="374" t="s">
        <v>271</v>
      </c>
      <c r="AJ1005" s="374"/>
      <c r="AK1005" s="374"/>
      <c r="AL1005" s="115">
        <f>COUNTIFS(D:D,"DD",G:G,"STANGK",L:L,"-1;0",P:P,"EI")</f>
        <v>0</v>
      </c>
      <c r="AM1005" s="115"/>
      <c r="AN1005" s="375" t="s">
        <v>271</v>
      </c>
      <c r="AO1005" s="376"/>
      <c r="AP1005" s="376"/>
      <c r="AQ1005" s="209">
        <f>COUNTIFS(D:D,"DD",G:G,"STANGK",L:L,"-1;-1",P:P,"EI")</f>
        <v>0</v>
      </c>
      <c r="AS1005" s="115"/>
      <c r="AT1005" s="115"/>
      <c r="AU1005" s="115"/>
      <c r="AV1005" s="115"/>
      <c r="AW1005" s="115"/>
    </row>
    <row r="1006" spans="15:49">
      <c r="O1006" s="91"/>
      <c r="X1006" s="115">
        <f t="shared" si="143"/>
        <v>0</v>
      </c>
      <c r="Y1006" s="115">
        <f t="shared" si="144"/>
        <v>0</v>
      </c>
      <c r="Z1006" s="115" t="e">
        <f t="shared" si="145"/>
        <v>#VALUE!</v>
      </c>
      <c r="AA1006" s="115">
        <f t="shared" si="146"/>
        <v>0</v>
      </c>
      <c r="AD1006" s="375" t="s">
        <v>272</v>
      </c>
      <c r="AE1006" s="376"/>
      <c r="AF1006" s="376"/>
      <c r="AG1006" s="253" t="e">
        <f>AG1005/AG1004</f>
        <v>#DIV/0!</v>
      </c>
      <c r="AH1006" s="115"/>
      <c r="AI1006" s="374" t="s">
        <v>272</v>
      </c>
      <c r="AJ1006" s="374"/>
      <c r="AK1006" s="374"/>
      <c r="AL1006" s="151" t="e">
        <f>AL1005/AL1004</f>
        <v>#DIV/0!</v>
      </c>
      <c r="AM1006" s="115"/>
      <c r="AN1006" s="375" t="s">
        <v>272</v>
      </c>
      <c r="AO1006" s="376"/>
      <c r="AP1006" s="376"/>
      <c r="AQ1006" s="253" t="e">
        <f>AQ1005/AQ1004</f>
        <v>#DIV/0!</v>
      </c>
      <c r="AS1006" s="115"/>
      <c r="AT1006" s="115"/>
      <c r="AU1006" s="115"/>
      <c r="AV1006" s="115"/>
      <c r="AW1006" s="115"/>
    </row>
    <row r="1007" spans="15:49">
      <c r="O1007" s="91"/>
      <c r="X1007" s="115">
        <f t="shared" si="143"/>
        <v>0</v>
      </c>
      <c r="Y1007" s="115">
        <f t="shared" si="144"/>
        <v>0</v>
      </c>
      <c r="Z1007" s="115" t="e">
        <f t="shared" si="145"/>
        <v>#VALUE!</v>
      </c>
      <c r="AA1007" s="115">
        <f t="shared" si="146"/>
        <v>0</v>
      </c>
      <c r="AD1007" s="375" t="s">
        <v>318</v>
      </c>
      <c r="AE1007" s="376"/>
      <c r="AF1007" s="376"/>
      <c r="AG1007" s="254">
        <f>COUNTIFS(D:D,"DD",G:G,"STANGK",L:L,"-1;1",V:V,"JAH")+COUNTIFS(D:D,"DD",G:G,"STANGK",L:L,"-1;1",V:V,"EI")</f>
        <v>0</v>
      </c>
      <c r="AH1007" s="115"/>
      <c r="AI1007" s="374" t="s">
        <v>318</v>
      </c>
      <c r="AJ1007" s="374"/>
      <c r="AK1007" s="374"/>
      <c r="AL1007" s="178">
        <f>COUNTIFS(D:D,"DD",G:G,"STANGK",L:L,"-1;0",V:V,"JAH")+COUNTIFS(D:D,"DD",G:G,"STANGK",L:L,"-1;0",V:V,"EI")</f>
        <v>0</v>
      </c>
      <c r="AM1007" s="115"/>
      <c r="AN1007" s="375" t="s">
        <v>318</v>
      </c>
      <c r="AO1007" s="376"/>
      <c r="AP1007" s="376"/>
      <c r="AQ1007" s="254">
        <f>COUNTIFS(D:D,"DD",G:G,"STANGK",L:L,"-1;-1",V:V,"JAH")+COUNTIFS(D:D,"DD",G:G,"STANGK",L:L,"-1;-1",V:V,"EI")</f>
        <v>0</v>
      </c>
      <c r="AS1007" s="115"/>
      <c r="AT1007" s="115"/>
      <c r="AU1007" s="115"/>
      <c r="AV1007" s="115"/>
      <c r="AW1007" s="115"/>
    </row>
    <row r="1008" spans="15:49">
      <c r="O1008" s="91"/>
      <c r="X1008" s="115">
        <f t="shared" si="143"/>
        <v>0</v>
      </c>
      <c r="Y1008" s="115">
        <f t="shared" si="144"/>
        <v>0</v>
      </c>
      <c r="Z1008" s="115" t="e">
        <f t="shared" si="145"/>
        <v>#VALUE!</v>
      </c>
      <c r="AA1008" s="115">
        <f t="shared" si="146"/>
        <v>0</v>
      </c>
      <c r="AD1008" s="375" t="s">
        <v>291</v>
      </c>
      <c r="AE1008" s="376"/>
      <c r="AF1008" s="376"/>
      <c r="AG1008" s="209">
        <f>COUNTIFS(D:D,"DD",G:G,"STANGK",L:L,"-1;1",V:V,"EI")</f>
        <v>0</v>
      </c>
      <c r="AH1008" s="115"/>
      <c r="AI1008" s="374" t="s">
        <v>291</v>
      </c>
      <c r="AJ1008" s="374"/>
      <c r="AK1008" s="374"/>
      <c r="AL1008" s="115">
        <f>COUNTIFS(D:D,"DD",G:G,"STANGK",L:L,"-1;0",V:V,"EI")</f>
        <v>0</v>
      </c>
      <c r="AM1008" s="115"/>
      <c r="AN1008" s="375" t="s">
        <v>291</v>
      </c>
      <c r="AO1008" s="376"/>
      <c r="AP1008" s="376"/>
      <c r="AQ1008" s="209">
        <f>COUNTIFS(D:D,"DD",G:G,"STANGK",L:L,"-1;-1",V:V,"EI")</f>
        <v>0</v>
      </c>
      <c r="AS1008" s="115"/>
      <c r="AT1008" s="115"/>
      <c r="AU1008" s="115"/>
      <c r="AV1008" s="115"/>
      <c r="AW1008" s="115"/>
    </row>
    <row r="1009" spans="15:49">
      <c r="O1009" s="91"/>
      <c r="X1009" s="115">
        <f t="shared" si="143"/>
        <v>0</v>
      </c>
      <c r="Y1009" s="115">
        <f t="shared" si="144"/>
        <v>0</v>
      </c>
      <c r="Z1009" s="115" t="e">
        <f t="shared" si="145"/>
        <v>#VALUE!</v>
      </c>
      <c r="AA1009" s="115">
        <f t="shared" si="146"/>
        <v>0</v>
      </c>
      <c r="AD1009" s="375" t="s">
        <v>292</v>
      </c>
      <c r="AE1009" s="376"/>
      <c r="AF1009" s="376"/>
      <c r="AG1009" s="253" t="e">
        <f>AG1008/AG1007</f>
        <v>#DIV/0!</v>
      </c>
      <c r="AH1009" s="115"/>
      <c r="AI1009" s="374" t="s">
        <v>292</v>
      </c>
      <c r="AJ1009" s="374"/>
      <c r="AK1009" s="374"/>
      <c r="AL1009" s="151" t="e">
        <f>AL1008/AL1007</f>
        <v>#DIV/0!</v>
      </c>
      <c r="AM1009" s="115"/>
      <c r="AN1009" s="375" t="s">
        <v>292</v>
      </c>
      <c r="AO1009" s="376"/>
      <c r="AP1009" s="376"/>
      <c r="AQ1009" s="253" t="e">
        <f>AQ1008/AQ1007</f>
        <v>#DIV/0!</v>
      </c>
      <c r="AS1009" s="115"/>
      <c r="AT1009" s="115"/>
      <c r="AU1009" s="115"/>
      <c r="AV1009" s="115"/>
      <c r="AW1009" s="115"/>
    </row>
    <row r="1010" spans="15:49">
      <c r="O1010" s="91"/>
      <c r="X1010" s="115">
        <f t="shared" si="143"/>
        <v>0</v>
      </c>
      <c r="Y1010" s="115">
        <f t="shared" si="144"/>
        <v>0</v>
      </c>
      <c r="Z1010" s="115" t="e">
        <f t="shared" si="145"/>
        <v>#VALUE!</v>
      </c>
      <c r="AA1010" s="115">
        <f t="shared" si="146"/>
        <v>0</v>
      </c>
      <c r="AD1010" s="375" t="s">
        <v>724</v>
      </c>
      <c r="AE1010" s="376"/>
      <c r="AF1010" s="376"/>
      <c r="AG1010" s="209">
        <f>COUNTIFS(D:D,"DD",G:G,"STANGK",L:L,"-1;1",F:F,"ATONGOAL")</f>
        <v>0</v>
      </c>
      <c r="AH1010" s="115"/>
      <c r="AI1010" s="374" t="s">
        <v>724</v>
      </c>
      <c r="AJ1010" s="374"/>
      <c r="AK1010" s="374"/>
      <c r="AL1010" s="115">
        <f>COUNTIFS(D:D,"DD",G:G,"STANGK",L:L,"-1;0",F:F,"ATONGOAL")</f>
        <v>0</v>
      </c>
      <c r="AM1010" s="115"/>
      <c r="AN1010" s="375" t="s">
        <v>724</v>
      </c>
      <c r="AO1010" s="376"/>
      <c r="AP1010" s="376"/>
      <c r="AQ1010" s="209">
        <f>COUNTIFS(D:D,"DD",G:G,"STANGK",L:L,"-1;-1",F:F,"ATONGOAL")</f>
        <v>0</v>
      </c>
      <c r="AS1010" s="115"/>
      <c r="AT1010" s="115"/>
      <c r="AU1010" s="115"/>
      <c r="AV1010" s="115"/>
      <c r="AW1010" s="115"/>
    </row>
    <row r="1011" spans="15:49">
      <c r="O1011" s="91"/>
      <c r="X1011" s="115">
        <f t="shared" si="143"/>
        <v>0</v>
      </c>
      <c r="Y1011" s="115">
        <f t="shared" si="144"/>
        <v>0</v>
      </c>
      <c r="Z1011" s="115" t="e">
        <f t="shared" si="145"/>
        <v>#VALUE!</v>
      </c>
      <c r="AA1011" s="115">
        <f t="shared" si="146"/>
        <v>0</v>
      </c>
      <c r="AD1011" s="375" t="s">
        <v>336</v>
      </c>
      <c r="AE1011" s="376"/>
      <c r="AF1011" s="376"/>
      <c r="AG1011" s="209">
        <f>COUNTIFS(D:D,"DD",G:G,"STANGK",L:L,"-1;1",F:F,"ATON")</f>
        <v>0</v>
      </c>
      <c r="AH1011" s="115"/>
      <c r="AI1011" s="374" t="s">
        <v>336</v>
      </c>
      <c r="AJ1011" s="374"/>
      <c r="AK1011" s="374"/>
      <c r="AL1011" s="115">
        <f>COUNTIFS(D:D,"DD",G:G,"STANGK",L:L,"-1;0",F:F,"ATON")</f>
        <v>0</v>
      </c>
      <c r="AM1011" s="115"/>
      <c r="AN1011" s="375" t="s">
        <v>336</v>
      </c>
      <c r="AO1011" s="376"/>
      <c r="AP1011" s="376"/>
      <c r="AQ1011" s="209">
        <f>COUNTIFS(D:D,"DD",G:G,"STANGK",L:L,"-1;-1",F:F,"ATON")</f>
        <v>0</v>
      </c>
      <c r="AS1011" s="115"/>
      <c r="AT1011" s="115"/>
      <c r="AU1011" s="115"/>
      <c r="AV1011" s="115"/>
      <c r="AW1011" s="115"/>
    </row>
    <row r="1012" spans="15:49" s="115" customFormat="1">
      <c r="O1012" s="91"/>
      <c r="X1012" s="115">
        <f t="shared" si="143"/>
        <v>0</v>
      </c>
      <c r="Y1012" s="115">
        <f t="shared" si="144"/>
        <v>0</v>
      </c>
      <c r="Z1012" s="115" t="e">
        <f t="shared" si="145"/>
        <v>#VALUE!</v>
      </c>
      <c r="AA1012" s="115">
        <f t="shared" si="146"/>
        <v>0</v>
      </c>
      <c r="AB1012" s="246"/>
      <c r="AD1012" s="375" t="s">
        <v>337</v>
      </c>
      <c r="AE1012" s="376"/>
      <c r="AF1012" s="376"/>
      <c r="AG1012" s="209">
        <f>COUNTIFS(D:D,"DD",G:G,"STANGK",L:L,"-1;1",F:F,"ATOF")</f>
        <v>0</v>
      </c>
      <c r="AI1012" s="374" t="s">
        <v>337</v>
      </c>
      <c r="AJ1012" s="374"/>
      <c r="AK1012" s="374"/>
      <c r="AL1012" s="115">
        <f>COUNTIFS(D:D,"DD",G:G,"STANGK",L:L,"-1;0",F:F,"ATOF")</f>
        <v>0</v>
      </c>
      <c r="AN1012" s="375" t="s">
        <v>337</v>
      </c>
      <c r="AO1012" s="376"/>
      <c r="AP1012" s="376"/>
      <c r="AQ1012" s="209">
        <f>COUNTIFS(D:D,"DD",G:G,"STANGK",L:L,"-1;-1",F:F,"ATOF")</f>
        <v>0</v>
      </c>
    </row>
    <row r="1013" spans="15:49" s="115" customFormat="1">
      <c r="O1013" s="91"/>
      <c r="X1013" s="115">
        <f t="shared" si="143"/>
        <v>0</v>
      </c>
      <c r="Y1013" s="115">
        <f t="shared" si="144"/>
        <v>0</v>
      </c>
      <c r="Z1013" s="115" t="e">
        <f t="shared" si="145"/>
        <v>#VALUE!</v>
      </c>
      <c r="AA1013" s="115">
        <f t="shared" si="146"/>
        <v>0</v>
      </c>
      <c r="AB1013" s="246"/>
      <c r="AD1013" s="375" t="s">
        <v>338</v>
      </c>
      <c r="AE1013" s="376"/>
      <c r="AF1013" s="376"/>
      <c r="AG1013" s="209">
        <f>COUNTIFS(D:D,"DD",G:G,"STANGK",L:L,"-1;1",F:F,"ATBK")</f>
        <v>0</v>
      </c>
      <c r="AI1013" s="374" t="s">
        <v>338</v>
      </c>
      <c r="AJ1013" s="374"/>
      <c r="AK1013" s="374"/>
      <c r="AL1013" s="115">
        <f>COUNTIFS(D:D,"DD",G:G,"STANGK",L:L,"-1;0",F:F,"ATBK")</f>
        <v>0</v>
      </c>
      <c r="AN1013" s="375" t="s">
        <v>338</v>
      </c>
      <c r="AO1013" s="376"/>
      <c r="AP1013" s="376"/>
      <c r="AQ1013" s="209">
        <f>COUNTIFS(D:D,"DD",G:G,"STANGK",L:L,"-1;-1",F:F,"ATBK")</f>
        <v>0</v>
      </c>
    </row>
    <row r="1014" spans="15:49" s="115" customFormat="1">
      <c r="O1014" s="91"/>
      <c r="X1014" s="115">
        <f t="shared" si="143"/>
        <v>0</v>
      </c>
      <c r="Y1014" s="115">
        <f t="shared" si="144"/>
        <v>0</v>
      </c>
      <c r="Z1014" s="115" t="e">
        <f t="shared" si="145"/>
        <v>#VALUE!</v>
      </c>
      <c r="AA1014" s="115">
        <f t="shared" si="146"/>
        <v>0</v>
      </c>
      <c r="AB1014" s="246"/>
      <c r="AD1014" s="375" t="s">
        <v>315</v>
      </c>
      <c r="AE1014" s="376"/>
      <c r="AF1014" s="376"/>
      <c r="AG1014" s="209">
        <f>COUNTIFS(D:D,"DD",G:G,"STANGK",L:L,"-1;1",E:E,"NEG",F:F,"WINSTAN")</f>
        <v>0</v>
      </c>
      <c r="AI1014" s="374" t="s">
        <v>315</v>
      </c>
      <c r="AJ1014" s="374"/>
      <c r="AK1014" s="374"/>
      <c r="AL1014" s="115">
        <f>COUNTIFS(D:D,"DD",G:G,"STANGK",L:L,"-1;0",E:E,"NEG",F:F,"WINSTAN")</f>
        <v>0</v>
      </c>
      <c r="AN1014" s="375" t="s">
        <v>315</v>
      </c>
      <c r="AO1014" s="376"/>
      <c r="AP1014" s="376"/>
      <c r="AQ1014" s="209">
        <f>COUNTIFS(D:D,"DD",G:G,"STANGK",L:L,"-1;-1",E:E,"NEG",F:F,"WINSTAN")</f>
        <v>0</v>
      </c>
    </row>
    <row r="1015" spans="15:49" s="115" customFormat="1">
      <c r="O1015" s="91"/>
      <c r="X1015" s="115">
        <f t="shared" si="143"/>
        <v>0</v>
      </c>
      <c r="Y1015" s="115">
        <f t="shared" si="144"/>
        <v>0</v>
      </c>
      <c r="Z1015" s="115" t="e">
        <f t="shared" si="145"/>
        <v>#VALUE!</v>
      </c>
      <c r="AA1015" s="115">
        <f t="shared" si="146"/>
        <v>0</v>
      </c>
      <c r="AB1015" s="246"/>
      <c r="AD1015" s="375" t="s">
        <v>339</v>
      </c>
      <c r="AE1015" s="376"/>
      <c r="AF1015" s="376"/>
      <c r="AG1015" s="209">
        <f>COUNTIFS(D:D,"DD",G:G,"STANGK",L:L,"-1;1",E:E,"NEG",F:F,"WINSTANTI")</f>
        <v>0</v>
      </c>
      <c r="AI1015" s="374" t="s">
        <v>339</v>
      </c>
      <c r="AJ1015" s="374"/>
      <c r="AK1015" s="374"/>
      <c r="AL1015" s="115">
        <f>COUNTIFS(D:D,"DD",G:G,"STANGK",L:L,"-1;0",E:E,"NEG",F:F,"WINSTANTI")</f>
        <v>0</v>
      </c>
      <c r="AN1015" s="375" t="s">
        <v>339</v>
      </c>
      <c r="AO1015" s="376"/>
      <c r="AP1015" s="376"/>
      <c r="AQ1015" s="209">
        <f>COUNTIFS(D:D,"DD",G:G,"STANGK",L:L,"-1;-1",E:E,"NEG",F:F,"WINSTANTI")</f>
        <v>0</v>
      </c>
    </row>
    <row r="1016" spans="15:49" s="115" customFormat="1">
      <c r="O1016" s="91"/>
      <c r="X1016" s="115">
        <f t="shared" si="143"/>
        <v>0</v>
      </c>
      <c r="Y1016" s="115">
        <f t="shared" si="144"/>
        <v>0</v>
      </c>
      <c r="Z1016" s="115" t="e">
        <f t="shared" si="145"/>
        <v>#VALUE!</v>
      </c>
      <c r="AA1016" s="115">
        <f t="shared" si="146"/>
        <v>0</v>
      </c>
      <c r="AB1016" s="246"/>
      <c r="AD1016" s="375" t="s">
        <v>316</v>
      </c>
      <c r="AE1016" s="376"/>
      <c r="AF1016" s="376"/>
      <c r="AG1016" s="209">
        <f>COUNTIFS(D:D,"DD",G:G,"STANGK",L:L,"-1;1",F:F,"ENTRY")</f>
        <v>0</v>
      </c>
      <c r="AI1016" s="374" t="s">
        <v>316</v>
      </c>
      <c r="AJ1016" s="374"/>
      <c r="AK1016" s="374"/>
      <c r="AL1016" s="115">
        <f>COUNTIFS(D:D,"DD",G:G,"STANGK",L:L,"-1;0",F:F,"ENTRY")</f>
        <v>0</v>
      </c>
      <c r="AN1016" s="375" t="s">
        <v>316</v>
      </c>
      <c r="AO1016" s="376"/>
      <c r="AP1016" s="376"/>
      <c r="AQ1016" s="209">
        <f>COUNTIFS(D:D,"DD",G:G,"STANGK",L:L,"-1;-1",F:F,"ENTRY")</f>
        <v>0</v>
      </c>
    </row>
    <row r="1017" spans="15:49">
      <c r="O1017" s="91"/>
      <c r="X1017" s="115">
        <f t="shared" si="143"/>
        <v>0</v>
      </c>
      <c r="Y1017" s="115">
        <f t="shared" si="144"/>
        <v>0</v>
      </c>
      <c r="Z1017" s="115" t="e">
        <f t="shared" si="145"/>
        <v>#VALUE!</v>
      </c>
      <c r="AA1017" s="115">
        <f t="shared" si="146"/>
        <v>0</v>
      </c>
      <c r="AD1017" s="375" t="s">
        <v>293</v>
      </c>
      <c r="AE1017" s="376"/>
      <c r="AF1017" s="376"/>
      <c r="AG1017" s="209">
        <f>COUNTIFS(D:D,"DD",G:G,"STANGK",L:L,"-1;1",F:F,"KEEPOS")</f>
        <v>0</v>
      </c>
      <c r="AH1017" s="115"/>
      <c r="AI1017" s="374" t="s">
        <v>293</v>
      </c>
      <c r="AJ1017" s="374"/>
      <c r="AK1017" s="374"/>
      <c r="AL1017" s="115">
        <f>COUNTIFS(D:D,"DD",G:G,"STANGK",L:L,"-1;0",F:F,"KEEPOS")</f>
        <v>0</v>
      </c>
      <c r="AM1017" s="115"/>
      <c r="AN1017" s="375" t="s">
        <v>293</v>
      </c>
      <c r="AO1017" s="376"/>
      <c r="AP1017" s="376"/>
      <c r="AQ1017" s="209">
        <f>COUNTIFS(D:D,"DD",G:G,"STANGK",L:L,"-1;-1",F:F,"KEEPOS")</f>
        <v>0</v>
      </c>
      <c r="AS1017" s="115"/>
      <c r="AT1017" s="115"/>
      <c r="AU1017" s="115"/>
      <c r="AV1017" s="115"/>
      <c r="AW1017" s="115"/>
    </row>
    <row r="1018" spans="15:49">
      <c r="O1018" s="91"/>
      <c r="X1018" s="115">
        <f t="shared" si="143"/>
        <v>0</v>
      </c>
      <c r="Y1018" s="115">
        <f t="shared" si="144"/>
        <v>0</v>
      </c>
      <c r="Z1018" s="115" t="e">
        <f t="shared" si="145"/>
        <v>#VALUE!</v>
      </c>
      <c r="AA1018" s="115">
        <f t="shared" si="146"/>
        <v>0</v>
      </c>
      <c r="AD1018" s="386" t="s">
        <v>319</v>
      </c>
      <c r="AE1018" s="383"/>
      <c r="AF1018" s="383"/>
      <c r="AG1018" s="256" t="e">
        <f>SUM(AG1010:AG1017)/AG1004</f>
        <v>#DIV/0!</v>
      </c>
      <c r="AH1018" s="115"/>
      <c r="AI1018" s="374" t="s">
        <v>319</v>
      </c>
      <c r="AJ1018" s="374"/>
      <c r="AK1018" s="374"/>
      <c r="AL1018" s="151" t="e">
        <f>SUM(AL1010:AL1017)/AL1004</f>
        <v>#DIV/0!</v>
      </c>
      <c r="AM1018" s="115"/>
      <c r="AN1018" s="386" t="s">
        <v>319</v>
      </c>
      <c r="AO1018" s="383"/>
      <c r="AP1018" s="383"/>
      <c r="AQ1018" s="256" t="e">
        <f>SUM(AQ1010:AQ1017)/AQ1004</f>
        <v>#DIV/0!</v>
      </c>
      <c r="AS1018" s="115"/>
      <c r="AT1018" s="115"/>
      <c r="AU1018" s="115"/>
      <c r="AV1018" s="115"/>
      <c r="AW1018" s="115"/>
    </row>
    <row r="1019" spans="15:49">
      <c r="O1019" s="91"/>
      <c r="X1019" s="115">
        <f t="shared" si="143"/>
        <v>0</v>
      </c>
      <c r="Y1019" s="115">
        <f t="shared" si="144"/>
        <v>0</v>
      </c>
      <c r="Z1019" s="115" t="e">
        <f t="shared" si="145"/>
        <v>#VALUE!</v>
      </c>
      <c r="AA1019" s="115">
        <f t="shared" si="146"/>
        <v>0</v>
      </c>
      <c r="AD1019" s="374"/>
      <c r="AE1019" s="374"/>
      <c r="AF1019" s="374"/>
      <c r="AG1019" s="151"/>
      <c r="AH1019" s="115"/>
      <c r="AI1019" s="374"/>
      <c r="AJ1019" s="374"/>
      <c r="AK1019" s="374"/>
      <c r="AL1019" s="151"/>
      <c r="AM1019" s="115"/>
      <c r="AN1019" s="374"/>
      <c r="AO1019" s="374"/>
      <c r="AP1019" s="374"/>
      <c r="AQ1019" s="151"/>
      <c r="AS1019" s="115"/>
      <c r="AT1019" s="115"/>
      <c r="AU1019" s="115"/>
      <c r="AV1019" s="115"/>
      <c r="AW1019" s="115"/>
    </row>
    <row r="1020" spans="15:49">
      <c r="O1020" s="91"/>
      <c r="X1020" s="115">
        <f t="shared" si="143"/>
        <v>0</v>
      </c>
      <c r="Y1020" s="115">
        <f t="shared" si="144"/>
        <v>0</v>
      </c>
      <c r="Z1020" s="115" t="e">
        <f t="shared" si="145"/>
        <v>#VALUE!</v>
      </c>
      <c r="AA1020" s="115">
        <f t="shared" si="146"/>
        <v>0</v>
      </c>
      <c r="AD1020" s="374" t="s">
        <v>270</v>
      </c>
      <c r="AE1020" s="374"/>
      <c r="AF1020" s="374"/>
      <c r="AG1020" s="115">
        <f>COUNTIFS(D:D,"DD",G:G,"STANGK",L:L,"0;1")</f>
        <v>0</v>
      </c>
      <c r="AH1020" s="115"/>
      <c r="AI1020" s="374" t="s">
        <v>270</v>
      </c>
      <c r="AJ1020" s="374"/>
      <c r="AK1020" s="374"/>
      <c r="AL1020" s="115">
        <f>COUNTIFS(D:D,"DD",G:G,"STANGK",L:L,"0;0")</f>
        <v>0</v>
      </c>
      <c r="AM1020" s="115"/>
      <c r="AN1020" s="374" t="s">
        <v>270</v>
      </c>
      <c r="AO1020" s="374"/>
      <c r="AP1020" s="374"/>
      <c r="AQ1020" s="115">
        <f>COUNTIFS(D:D,"DD",G:G,"STANGK",L:L,"0;-1")</f>
        <v>0</v>
      </c>
      <c r="AS1020" s="115"/>
      <c r="AT1020" s="115"/>
      <c r="AU1020" s="115"/>
      <c r="AV1020" s="115"/>
      <c r="AW1020" s="115"/>
    </row>
    <row r="1021" spans="15:49">
      <c r="O1021" s="91"/>
      <c r="X1021" s="115">
        <f t="shared" si="143"/>
        <v>0</v>
      </c>
      <c r="Y1021" s="115">
        <f t="shared" si="144"/>
        <v>0</v>
      </c>
      <c r="Z1021" s="115" t="e">
        <f t="shared" si="145"/>
        <v>#VALUE!</v>
      </c>
      <c r="AA1021" s="115">
        <f t="shared" si="146"/>
        <v>0</v>
      </c>
      <c r="AD1021" s="374" t="s">
        <v>271</v>
      </c>
      <c r="AE1021" s="374"/>
      <c r="AF1021" s="374"/>
      <c r="AG1021" s="115">
        <f>COUNTIFS(D:D,"DD",G:G,"STANGK",L:L,"0;1",P:P,"EI")</f>
        <v>0</v>
      </c>
      <c r="AH1021" s="115"/>
      <c r="AI1021" s="374" t="s">
        <v>271</v>
      </c>
      <c r="AJ1021" s="374"/>
      <c r="AK1021" s="374"/>
      <c r="AL1021" s="115">
        <f>COUNTIFS(D:D,"DD",G:G,"STANGK",L:L,"0;0",P:P,"EI")</f>
        <v>0</v>
      </c>
      <c r="AM1021" s="115"/>
      <c r="AN1021" s="374" t="s">
        <v>271</v>
      </c>
      <c r="AO1021" s="374"/>
      <c r="AP1021" s="374"/>
      <c r="AQ1021" s="115">
        <f>COUNTIFS(D:D,"DD",G:G,"STANGK",L:L,"0;-1",P:P,"EI")</f>
        <v>0</v>
      </c>
      <c r="AS1021" s="115"/>
      <c r="AT1021" s="115"/>
      <c r="AU1021" s="115"/>
      <c r="AV1021" s="115"/>
      <c r="AW1021" s="115"/>
    </row>
    <row r="1022" spans="15:49">
      <c r="O1022" s="91"/>
      <c r="X1022" s="115">
        <f t="shared" si="143"/>
        <v>0</v>
      </c>
      <c r="Y1022" s="115">
        <f t="shared" si="144"/>
        <v>0</v>
      </c>
      <c r="Z1022" s="115" t="e">
        <f t="shared" si="145"/>
        <v>#VALUE!</v>
      </c>
      <c r="AA1022" s="115">
        <f t="shared" si="146"/>
        <v>0</v>
      </c>
      <c r="AD1022" s="374" t="s">
        <v>272</v>
      </c>
      <c r="AE1022" s="374"/>
      <c r="AF1022" s="374"/>
      <c r="AG1022" s="151" t="e">
        <f>AG1021/AG1020</f>
        <v>#DIV/0!</v>
      </c>
      <c r="AH1022" s="115"/>
      <c r="AI1022" s="374" t="s">
        <v>272</v>
      </c>
      <c r="AJ1022" s="374"/>
      <c r="AK1022" s="374"/>
      <c r="AL1022" s="151" t="e">
        <f>AL1021/AL1020</f>
        <v>#DIV/0!</v>
      </c>
      <c r="AM1022" s="115"/>
      <c r="AN1022" s="374" t="s">
        <v>272</v>
      </c>
      <c r="AO1022" s="374"/>
      <c r="AP1022" s="374"/>
      <c r="AQ1022" s="151" t="e">
        <f>AQ1021/AQ1020</f>
        <v>#DIV/0!</v>
      </c>
      <c r="AS1022" s="115"/>
      <c r="AT1022" s="115"/>
      <c r="AU1022" s="115"/>
      <c r="AV1022" s="115"/>
      <c r="AW1022" s="115"/>
    </row>
    <row r="1023" spans="15:49">
      <c r="O1023" s="91"/>
      <c r="X1023" s="115">
        <f t="shared" si="143"/>
        <v>0</v>
      </c>
      <c r="Y1023" s="115">
        <f t="shared" si="144"/>
        <v>0</v>
      </c>
      <c r="Z1023" s="115" t="e">
        <f t="shared" si="145"/>
        <v>#VALUE!</v>
      </c>
      <c r="AA1023" s="115">
        <f t="shared" si="146"/>
        <v>0</v>
      </c>
      <c r="AC1023" s="91"/>
      <c r="AD1023" s="374" t="s">
        <v>318</v>
      </c>
      <c r="AE1023" s="374"/>
      <c r="AF1023" s="374"/>
      <c r="AG1023" s="178">
        <f>COUNTIFS(D:D,"DD",G:G,"STANGK",L:L,"0;1",V:V,"JAH")+COUNTIFS(D:D,"DD",G:G,"STANGK",L:L,"0;1",V:V,"EI")</f>
        <v>0</v>
      </c>
      <c r="AH1023" s="115"/>
      <c r="AI1023" s="374" t="s">
        <v>318</v>
      </c>
      <c r="AJ1023" s="374"/>
      <c r="AK1023" s="374"/>
      <c r="AL1023" s="178">
        <f>COUNTIFS(D:D,"DD",G:G,"STANGK",L:L,"0;0",V:V,"JAH")+COUNTIFS(D:D,"DD",G:G,"STANGK",L:L,"0;0",V:V,"EI")</f>
        <v>0</v>
      </c>
      <c r="AM1023" s="115"/>
      <c r="AN1023" s="374" t="s">
        <v>318</v>
      </c>
      <c r="AO1023" s="374"/>
      <c r="AP1023" s="374"/>
      <c r="AQ1023" s="178">
        <f>COUNTIFS(D:D,"DD",G:G,"STANGK",L:L,"0;-1",V:V,"JAH")+COUNTIFS(D:D,"DD",G:G,"STANGK",L:L,"0;-1",V:V,"EI")</f>
        <v>0</v>
      </c>
      <c r="AS1023" s="115"/>
      <c r="AT1023" s="115"/>
      <c r="AU1023" s="115"/>
      <c r="AV1023" s="115"/>
      <c r="AW1023" s="115"/>
    </row>
    <row r="1024" spans="15:49" s="115" customFormat="1">
      <c r="O1024" s="91"/>
      <c r="X1024" s="115">
        <f t="shared" si="143"/>
        <v>0</v>
      </c>
      <c r="Y1024" s="115">
        <f t="shared" si="144"/>
        <v>0</v>
      </c>
      <c r="Z1024" s="115" t="e">
        <f t="shared" si="145"/>
        <v>#VALUE!</v>
      </c>
      <c r="AA1024" s="115">
        <f t="shared" si="146"/>
        <v>0</v>
      </c>
      <c r="AB1024" s="246"/>
      <c r="AC1024" s="91"/>
      <c r="AD1024" s="374" t="s">
        <v>291</v>
      </c>
      <c r="AE1024" s="374"/>
      <c r="AF1024" s="374"/>
      <c r="AG1024" s="115">
        <f>COUNTIFS(D:D,"DD",G:G,"STANGK",L:L,"0;1",V:V,"EI")</f>
        <v>0</v>
      </c>
      <c r="AI1024" s="374" t="s">
        <v>291</v>
      </c>
      <c r="AJ1024" s="374"/>
      <c r="AK1024" s="374"/>
      <c r="AL1024" s="115">
        <f>COUNTIFS(D:D,"DD",G:G,"STANGK",L:L,"0;0",V:V,"EI")</f>
        <v>0</v>
      </c>
      <c r="AN1024" s="374" t="s">
        <v>291</v>
      </c>
      <c r="AO1024" s="374"/>
      <c r="AP1024" s="374"/>
      <c r="AQ1024" s="115">
        <f>COUNTIFS(D:D,"DD",G:G,"STANGK",L:L,"0;-1",V:V,"EI")</f>
        <v>0</v>
      </c>
    </row>
    <row r="1025" spans="15:49" s="115" customFormat="1">
      <c r="O1025" s="91"/>
      <c r="X1025" s="115">
        <f t="shared" si="143"/>
        <v>0</v>
      </c>
      <c r="Y1025" s="115">
        <f t="shared" si="144"/>
        <v>0</v>
      </c>
      <c r="Z1025" s="115" t="e">
        <f t="shared" si="145"/>
        <v>#VALUE!</v>
      </c>
      <c r="AA1025" s="115">
        <f t="shared" si="146"/>
        <v>0</v>
      </c>
      <c r="AB1025" s="246"/>
      <c r="AC1025" s="91"/>
      <c r="AD1025" s="374" t="s">
        <v>292</v>
      </c>
      <c r="AE1025" s="374"/>
      <c r="AF1025" s="374"/>
      <c r="AG1025" s="151" t="e">
        <f>AG1024/AG1023</f>
        <v>#DIV/0!</v>
      </c>
      <c r="AI1025" s="374" t="s">
        <v>292</v>
      </c>
      <c r="AJ1025" s="374"/>
      <c r="AK1025" s="374"/>
      <c r="AL1025" s="151" t="e">
        <f>AL1024/AL1023</f>
        <v>#DIV/0!</v>
      </c>
      <c r="AN1025" s="374" t="s">
        <v>292</v>
      </c>
      <c r="AO1025" s="374"/>
      <c r="AP1025" s="374"/>
      <c r="AQ1025" s="151" t="e">
        <f>AQ1024/AQ1023</f>
        <v>#DIV/0!</v>
      </c>
    </row>
    <row r="1026" spans="15:49">
      <c r="O1026" s="91"/>
      <c r="X1026" s="115">
        <f t="shared" si="143"/>
        <v>0</v>
      </c>
      <c r="Y1026" s="115">
        <f t="shared" si="144"/>
        <v>0</v>
      </c>
      <c r="Z1026" s="115" t="e">
        <f t="shared" si="145"/>
        <v>#VALUE!</v>
      </c>
      <c r="AA1026" s="115">
        <f t="shared" si="146"/>
        <v>0</v>
      </c>
      <c r="AC1026" s="91"/>
      <c r="AD1026" s="374" t="s">
        <v>724</v>
      </c>
      <c r="AE1026" s="374"/>
      <c r="AF1026" s="374"/>
      <c r="AG1026" s="115">
        <f>COUNTIFS(D:D,"DD",G:G,"STANGK",L:L,"0;1",F:F,"ATONGOAL")</f>
        <v>0</v>
      </c>
      <c r="AH1026" s="115"/>
      <c r="AI1026" s="374" t="s">
        <v>724</v>
      </c>
      <c r="AJ1026" s="374"/>
      <c r="AK1026" s="374"/>
      <c r="AL1026" s="115">
        <f>COUNTIFS(D:D,"DD",G:G,"STANGK",L:L,"0;0",F:F,"ATONGOAL")</f>
        <v>0</v>
      </c>
      <c r="AM1026" s="115"/>
      <c r="AN1026" s="374" t="s">
        <v>724</v>
      </c>
      <c r="AO1026" s="374"/>
      <c r="AP1026" s="374"/>
      <c r="AQ1026" s="115">
        <f>COUNTIFS(D:D,"DD",G:G,"STANGK",L:L,"0;-1",F:F,"ATONGOAL")</f>
        <v>0</v>
      </c>
      <c r="AS1026" s="115"/>
      <c r="AT1026" s="115"/>
      <c r="AU1026" s="115"/>
      <c r="AV1026" s="115"/>
      <c r="AW1026" s="115"/>
    </row>
    <row r="1027" spans="15:49">
      <c r="O1027" s="91"/>
      <c r="X1027" s="115">
        <f t="shared" ref="X1027:X1090" si="147">mapValues(E1027,F1027,"P265")</f>
        <v>0</v>
      </c>
      <c r="Y1027" s="115">
        <f t="shared" ref="Y1027:Y1090" si="148">X1026+X1027</f>
        <v>0</v>
      </c>
      <c r="Z1027" s="115" t="e">
        <f t="shared" ref="Z1027:Z1090" si="149">VALUE(MID(B1027,FIND(" ",B1027)+1,FIND(" ",B1027,FIND(" ",B1027)+1)-FIND(" ",B1027)))</f>
        <v>#VALUE!</v>
      </c>
      <c r="AA1027" s="115">
        <f t="shared" ref="AA1027:AA1090" si="150">T1027/1000</f>
        <v>0</v>
      </c>
      <c r="AC1027" s="91"/>
      <c r="AD1027" s="374" t="s">
        <v>336</v>
      </c>
      <c r="AE1027" s="374"/>
      <c r="AF1027" s="374"/>
      <c r="AG1027" s="115">
        <f>COUNTIFS(D:D,"DD",G:G,"STANGK",L:L,"0;1",F:F,"ATON")</f>
        <v>0</v>
      </c>
      <c r="AH1027" s="115"/>
      <c r="AI1027" s="374" t="s">
        <v>336</v>
      </c>
      <c r="AJ1027" s="374"/>
      <c r="AK1027" s="374"/>
      <c r="AL1027" s="115">
        <f>COUNTIFS(D:D,"DD",G:G,"STANGK",L:L,"0;0",F:F,"ATON")</f>
        <v>0</v>
      </c>
      <c r="AM1027" s="115"/>
      <c r="AN1027" s="374" t="s">
        <v>336</v>
      </c>
      <c r="AO1027" s="374"/>
      <c r="AP1027" s="374"/>
      <c r="AQ1027" s="115">
        <f>COUNTIFS(D:D,"DD",G:G,"STANGK",L:L,"0;-1",F:F,"ATON")</f>
        <v>0</v>
      </c>
      <c r="AS1027" s="115"/>
      <c r="AT1027" s="115"/>
      <c r="AU1027" s="115"/>
      <c r="AV1027" s="115"/>
      <c r="AW1027" s="115"/>
    </row>
    <row r="1028" spans="15:49" s="115" customFormat="1">
      <c r="O1028" s="91"/>
      <c r="X1028" s="115">
        <f t="shared" si="147"/>
        <v>0</v>
      </c>
      <c r="Y1028" s="115">
        <f t="shared" si="148"/>
        <v>0</v>
      </c>
      <c r="Z1028" s="115" t="e">
        <f t="shared" si="149"/>
        <v>#VALUE!</v>
      </c>
      <c r="AA1028" s="115">
        <f t="shared" si="150"/>
        <v>0</v>
      </c>
      <c r="AB1028" s="246"/>
      <c r="AC1028" s="91"/>
      <c r="AD1028" s="374" t="s">
        <v>337</v>
      </c>
      <c r="AE1028" s="374"/>
      <c r="AF1028" s="374"/>
      <c r="AG1028" s="115">
        <f>COUNTIFS(D:D,"DD",G:G,"STANGK",L:L,"0;1",F:F,"ATOF")</f>
        <v>0</v>
      </c>
      <c r="AI1028" s="374" t="s">
        <v>337</v>
      </c>
      <c r="AJ1028" s="374"/>
      <c r="AK1028" s="374"/>
      <c r="AL1028" s="115">
        <f>COUNTIFS(D:D,"DD",G:G,"STANGK",L:L,"0;0",F:F,"ATOF")</f>
        <v>0</v>
      </c>
      <c r="AN1028" s="374" t="s">
        <v>337</v>
      </c>
      <c r="AO1028" s="374"/>
      <c r="AP1028" s="374"/>
      <c r="AQ1028" s="115">
        <f>COUNTIFS(D:D,"DD",G:G,"STANGK",L:L,"0;-1",F:F,"ATOF")</f>
        <v>0</v>
      </c>
    </row>
    <row r="1029" spans="15:49" s="115" customFormat="1">
      <c r="O1029" s="91"/>
      <c r="X1029" s="115">
        <f t="shared" si="147"/>
        <v>0</v>
      </c>
      <c r="Y1029" s="115">
        <f t="shared" si="148"/>
        <v>0</v>
      </c>
      <c r="Z1029" s="115" t="e">
        <f t="shared" si="149"/>
        <v>#VALUE!</v>
      </c>
      <c r="AA1029" s="115">
        <f t="shared" si="150"/>
        <v>0</v>
      </c>
      <c r="AB1029" s="246"/>
      <c r="AC1029" s="91"/>
      <c r="AD1029" s="374" t="s">
        <v>338</v>
      </c>
      <c r="AE1029" s="374"/>
      <c r="AF1029" s="374"/>
      <c r="AG1029" s="115">
        <f>COUNTIFS(D:D,"DD",G:G,"STANGK",L:L,"0;1",F:F,"ATBK")</f>
        <v>0</v>
      </c>
      <c r="AI1029" s="374" t="s">
        <v>338</v>
      </c>
      <c r="AJ1029" s="374"/>
      <c r="AK1029" s="374"/>
      <c r="AL1029" s="115">
        <f>COUNTIFS(D:D,"DD",G:G,"STANGK",L:L,"0;0",F:F,"ATBK")</f>
        <v>0</v>
      </c>
      <c r="AN1029" s="374" t="s">
        <v>338</v>
      </c>
      <c r="AO1029" s="374"/>
      <c r="AP1029" s="374"/>
      <c r="AQ1029" s="115">
        <f>COUNTIFS(D:D,"DD",G:G,"STANGK",L:L,"0;-1",F:F,"ATBK")</f>
        <v>0</v>
      </c>
    </row>
    <row r="1030" spans="15:49">
      <c r="O1030" s="91"/>
      <c r="X1030" s="115">
        <f t="shared" si="147"/>
        <v>0</v>
      </c>
      <c r="Y1030" s="115">
        <f t="shared" si="148"/>
        <v>0</v>
      </c>
      <c r="Z1030" s="115" t="e">
        <f t="shared" si="149"/>
        <v>#VALUE!</v>
      </c>
      <c r="AA1030" s="115">
        <f t="shared" si="150"/>
        <v>0</v>
      </c>
      <c r="AC1030" s="91"/>
      <c r="AD1030" s="374" t="s">
        <v>315</v>
      </c>
      <c r="AE1030" s="374"/>
      <c r="AF1030" s="374"/>
      <c r="AG1030" s="115">
        <f>COUNTIFS(D:D,"DD",G:G,"STANGK",L:L,"0;1",E:E,"NEG",F:F,"WINSTAN")</f>
        <v>0</v>
      </c>
      <c r="AH1030" s="115"/>
      <c r="AI1030" s="374" t="s">
        <v>315</v>
      </c>
      <c r="AJ1030" s="374"/>
      <c r="AK1030" s="374"/>
      <c r="AL1030" s="115">
        <f>COUNTIFS(D:D,"DD",G:G,"STANGK",L:L,"0;0",E:E,"NEG",F:F,"WINSTAN")</f>
        <v>0</v>
      </c>
      <c r="AM1030" s="115"/>
      <c r="AN1030" s="374" t="s">
        <v>315</v>
      </c>
      <c r="AO1030" s="374"/>
      <c r="AP1030" s="374"/>
      <c r="AQ1030" s="115">
        <f>COUNTIFS(D:D,"DD",G:G,"STANGK",L:L,"0;-1",E:E,"NEG",F:F,"WINSTAN")</f>
        <v>0</v>
      </c>
      <c r="AS1030" s="115"/>
      <c r="AT1030" s="115"/>
      <c r="AU1030" s="115"/>
      <c r="AV1030" s="115"/>
      <c r="AW1030" s="115"/>
    </row>
    <row r="1031" spans="15:49" s="115" customFormat="1">
      <c r="O1031" s="91"/>
      <c r="X1031" s="115">
        <f t="shared" si="147"/>
        <v>0</v>
      </c>
      <c r="Y1031" s="115">
        <f t="shared" si="148"/>
        <v>0</v>
      </c>
      <c r="Z1031" s="115" t="e">
        <f t="shared" si="149"/>
        <v>#VALUE!</v>
      </c>
      <c r="AA1031" s="115">
        <f t="shared" si="150"/>
        <v>0</v>
      </c>
      <c r="AB1031" s="246"/>
      <c r="AC1031" s="91"/>
      <c r="AD1031" s="374" t="s">
        <v>339</v>
      </c>
      <c r="AE1031" s="374"/>
      <c r="AF1031" s="374"/>
      <c r="AG1031" s="115">
        <f>COUNTIFS(D:D,"DD",G:G,"STANGK",L:L,"0;1",E:E,"NEG",F:F,"WINSTANTI")</f>
        <v>0</v>
      </c>
      <c r="AI1031" s="374" t="s">
        <v>339</v>
      </c>
      <c r="AJ1031" s="374"/>
      <c r="AK1031" s="374"/>
      <c r="AL1031" s="115">
        <f>COUNTIFS(D:D,"DD",G:G,"STANGK",L:L,"0;0",E:E,"NEG",F:F,"WINSTANTI")</f>
        <v>0</v>
      </c>
      <c r="AN1031" s="374" t="s">
        <v>339</v>
      </c>
      <c r="AO1031" s="374"/>
      <c r="AP1031" s="374"/>
      <c r="AQ1031" s="115">
        <f>COUNTIFS(D:D,"DD",G:G,"STANGK",L:L,"0;-1",E:E,"NEG",F:F,"WINSTANTI")</f>
        <v>0</v>
      </c>
    </row>
    <row r="1032" spans="15:49">
      <c r="O1032" s="91"/>
      <c r="X1032" s="115">
        <f t="shared" si="147"/>
        <v>0</v>
      </c>
      <c r="Y1032" s="115">
        <f t="shared" si="148"/>
        <v>0</v>
      </c>
      <c r="Z1032" s="115" t="e">
        <f t="shared" si="149"/>
        <v>#VALUE!</v>
      </c>
      <c r="AA1032" s="115">
        <f t="shared" si="150"/>
        <v>0</v>
      </c>
      <c r="AC1032" s="91"/>
      <c r="AD1032" s="374" t="s">
        <v>316</v>
      </c>
      <c r="AE1032" s="374"/>
      <c r="AF1032" s="374"/>
      <c r="AG1032" s="115">
        <f>COUNTIFS(D:D,"DD",G:G,"STANGK",L:L,"0;1",F:F,"ENTRY")</f>
        <v>0</v>
      </c>
      <c r="AH1032" s="115"/>
      <c r="AI1032" s="374" t="s">
        <v>316</v>
      </c>
      <c r="AJ1032" s="374"/>
      <c r="AK1032" s="374"/>
      <c r="AL1032" s="115">
        <f>COUNTIFS(D:D,"DD",G:G,"STANGK",L:L,"0;0",F:F,"ENTRY")</f>
        <v>0</v>
      </c>
      <c r="AM1032" s="115"/>
      <c r="AN1032" s="374" t="s">
        <v>316</v>
      </c>
      <c r="AO1032" s="374"/>
      <c r="AP1032" s="374"/>
      <c r="AQ1032" s="115">
        <f>COUNTIFS(D:D,"DD",G:G,"STANGK",L:L,"0;-1",F:F,"ENTRY")</f>
        <v>0</v>
      </c>
      <c r="AS1032" s="115"/>
      <c r="AT1032" s="115"/>
      <c r="AU1032" s="115"/>
      <c r="AV1032" s="115"/>
      <c r="AW1032" s="115"/>
    </row>
    <row r="1033" spans="15:49">
      <c r="O1033" s="91"/>
      <c r="X1033" s="115">
        <f t="shared" si="147"/>
        <v>0</v>
      </c>
      <c r="Y1033" s="115">
        <f t="shared" si="148"/>
        <v>0</v>
      </c>
      <c r="Z1033" s="115" t="e">
        <f t="shared" si="149"/>
        <v>#VALUE!</v>
      </c>
      <c r="AA1033" s="115">
        <f t="shared" si="150"/>
        <v>0</v>
      </c>
      <c r="AC1033" s="91"/>
      <c r="AD1033" s="374" t="s">
        <v>293</v>
      </c>
      <c r="AE1033" s="374"/>
      <c r="AF1033" s="374"/>
      <c r="AG1033" s="115">
        <f>COUNTIFS(D:D,"DD",G:G,"STANGK",L:L,"0;1",F:F,"KEEPOS")</f>
        <v>0</v>
      </c>
      <c r="AH1033" s="115"/>
      <c r="AI1033" s="374" t="s">
        <v>293</v>
      </c>
      <c r="AJ1033" s="374"/>
      <c r="AK1033" s="374"/>
      <c r="AL1033" s="115">
        <f>COUNTIFS(D:D,"DD",G:G,"STANGK",L:L,"0;0",F:F,"KEEPOS")</f>
        <v>0</v>
      </c>
      <c r="AM1033" s="115"/>
      <c r="AN1033" s="374" t="s">
        <v>293</v>
      </c>
      <c r="AO1033" s="374"/>
      <c r="AP1033" s="374"/>
      <c r="AQ1033" s="115">
        <f>COUNTIFS(D:D,"DD",G:G,"STANGK",L:L,"0;-1",F:F,"KEEPOS")</f>
        <v>0</v>
      </c>
      <c r="AS1033" s="115"/>
      <c r="AT1033" s="115"/>
      <c r="AU1033" s="115"/>
      <c r="AV1033" s="115"/>
      <c r="AW1033" s="115"/>
    </row>
    <row r="1034" spans="15:49">
      <c r="O1034" s="91"/>
      <c r="X1034" s="115">
        <f t="shared" si="147"/>
        <v>0</v>
      </c>
      <c r="Y1034" s="115">
        <f t="shared" si="148"/>
        <v>0</v>
      </c>
      <c r="Z1034" s="115" t="e">
        <f t="shared" si="149"/>
        <v>#VALUE!</v>
      </c>
      <c r="AA1034" s="115">
        <f t="shared" si="150"/>
        <v>0</v>
      </c>
      <c r="AC1034" s="91"/>
      <c r="AD1034" s="374" t="s">
        <v>319</v>
      </c>
      <c r="AE1034" s="374"/>
      <c r="AF1034" s="374"/>
      <c r="AG1034" s="151" t="e">
        <f>SUM(AG1026:AG1033)/AG1020</f>
        <v>#DIV/0!</v>
      </c>
      <c r="AH1034" s="115"/>
      <c r="AI1034" s="374" t="s">
        <v>319</v>
      </c>
      <c r="AJ1034" s="374"/>
      <c r="AK1034" s="374"/>
      <c r="AL1034" s="151" t="e">
        <f>SUM(AL1026:AL1033)/AL1020</f>
        <v>#DIV/0!</v>
      </c>
      <c r="AM1034" s="115"/>
      <c r="AN1034" s="374" t="s">
        <v>319</v>
      </c>
      <c r="AO1034" s="374"/>
      <c r="AP1034" s="374"/>
      <c r="AQ1034" s="151" t="e">
        <f>SUM(AQ1026:AQ1033)/AQ1020</f>
        <v>#DIV/0!</v>
      </c>
      <c r="AS1034" s="115"/>
      <c r="AT1034" s="115"/>
      <c r="AU1034" s="115"/>
      <c r="AV1034" s="115"/>
      <c r="AW1034" s="115"/>
    </row>
    <row r="1035" spans="15:49">
      <c r="O1035" s="91"/>
      <c r="X1035" s="115">
        <f t="shared" si="147"/>
        <v>0</v>
      </c>
      <c r="Y1035" s="115">
        <f t="shared" si="148"/>
        <v>0</v>
      </c>
      <c r="Z1035" s="115" t="e">
        <f t="shared" si="149"/>
        <v>#VALUE!</v>
      </c>
      <c r="AA1035" s="115">
        <f t="shared" si="150"/>
        <v>0</v>
      </c>
      <c r="AC1035" s="91"/>
      <c r="AD1035" s="374"/>
      <c r="AE1035" s="374"/>
      <c r="AF1035" s="374"/>
      <c r="AG1035" s="115"/>
      <c r="AH1035" s="115"/>
      <c r="AI1035" s="374"/>
      <c r="AJ1035" s="374"/>
      <c r="AK1035" s="374"/>
      <c r="AL1035" s="115"/>
      <c r="AM1035" s="115"/>
      <c r="AN1035" s="374"/>
      <c r="AO1035" s="374"/>
      <c r="AP1035" s="374"/>
      <c r="AQ1035" s="115"/>
      <c r="AS1035" s="115"/>
      <c r="AT1035" s="115"/>
      <c r="AU1035" s="115"/>
      <c r="AV1035" s="115"/>
      <c r="AW1035" s="115"/>
    </row>
    <row r="1036" spans="15:49" s="115" customFormat="1">
      <c r="O1036" s="91"/>
      <c r="X1036" s="115">
        <f t="shared" si="147"/>
        <v>0</v>
      </c>
      <c r="Y1036" s="115">
        <f t="shared" si="148"/>
        <v>0</v>
      </c>
      <c r="Z1036" s="115" t="e">
        <f t="shared" si="149"/>
        <v>#VALUE!</v>
      </c>
      <c r="AA1036" s="115">
        <f t="shared" si="150"/>
        <v>0</v>
      </c>
      <c r="AB1036" s="246"/>
      <c r="AC1036" s="91"/>
      <c r="AD1036" s="374" t="s">
        <v>270</v>
      </c>
      <c r="AE1036" s="374"/>
      <c r="AF1036" s="374"/>
      <c r="AG1036" s="115">
        <f>COUNTIFS(D:D,"DD",G:G,"STANGK",L:L,"1;1")</f>
        <v>0</v>
      </c>
      <c r="AI1036" s="374" t="s">
        <v>270</v>
      </c>
      <c r="AJ1036" s="374"/>
      <c r="AK1036" s="374"/>
      <c r="AL1036" s="115">
        <f>COUNTIFS(D:D,"DD",G:G,"STANGK",L:L,"1;0")</f>
        <v>0</v>
      </c>
      <c r="AN1036" s="374" t="s">
        <v>270</v>
      </c>
      <c r="AO1036" s="374"/>
      <c r="AP1036" s="374"/>
      <c r="AQ1036" s="115">
        <f>COUNTIFS(D:D,"DD",G:G,"STANGK",L:L,"1;-1")</f>
        <v>0</v>
      </c>
    </row>
    <row r="1037" spans="15:49" s="115" customFormat="1">
      <c r="O1037" s="91"/>
      <c r="X1037" s="115">
        <f t="shared" si="147"/>
        <v>0</v>
      </c>
      <c r="Y1037" s="115">
        <f t="shared" si="148"/>
        <v>0</v>
      </c>
      <c r="Z1037" s="115" t="e">
        <f t="shared" si="149"/>
        <v>#VALUE!</v>
      </c>
      <c r="AA1037" s="115">
        <f t="shared" si="150"/>
        <v>0</v>
      </c>
      <c r="AB1037" s="246"/>
      <c r="AC1037" s="91"/>
      <c r="AD1037" s="374" t="s">
        <v>271</v>
      </c>
      <c r="AE1037" s="374"/>
      <c r="AF1037" s="374"/>
      <c r="AG1037" s="115">
        <f>COUNTIFS(D:D,"DD",G:G,"STANGK",L:L,"1;1",P:P,"EI")</f>
        <v>0</v>
      </c>
      <c r="AI1037" s="374" t="s">
        <v>271</v>
      </c>
      <c r="AJ1037" s="374"/>
      <c r="AK1037" s="374"/>
      <c r="AL1037" s="115">
        <f>COUNTIFS(D:D,"DD",G:G,"STANGK",L:L,"1;0",P:P,"EI")</f>
        <v>0</v>
      </c>
      <c r="AN1037" s="374" t="s">
        <v>271</v>
      </c>
      <c r="AO1037" s="374"/>
      <c r="AP1037" s="374"/>
      <c r="AQ1037" s="115">
        <f>COUNTIFS(D:D,"DD",G:G,"STANGK",L:L,"1;-1",P:P,"EI")</f>
        <v>0</v>
      </c>
    </row>
    <row r="1038" spans="15:49">
      <c r="O1038" s="91"/>
      <c r="X1038" s="115">
        <f t="shared" si="147"/>
        <v>0</v>
      </c>
      <c r="Y1038" s="115">
        <f t="shared" si="148"/>
        <v>0</v>
      </c>
      <c r="Z1038" s="115" t="e">
        <f t="shared" si="149"/>
        <v>#VALUE!</v>
      </c>
      <c r="AA1038" s="115">
        <f t="shared" si="150"/>
        <v>0</v>
      </c>
      <c r="AC1038" s="91"/>
      <c r="AD1038" s="374" t="s">
        <v>272</v>
      </c>
      <c r="AE1038" s="374"/>
      <c r="AF1038" s="374"/>
      <c r="AG1038" s="151" t="e">
        <f>AG1037/AG1036</f>
        <v>#DIV/0!</v>
      </c>
      <c r="AH1038" s="115"/>
      <c r="AI1038" s="374" t="s">
        <v>272</v>
      </c>
      <c r="AJ1038" s="374"/>
      <c r="AK1038" s="374"/>
      <c r="AL1038" s="151" t="e">
        <f>AL1037/AL1036</f>
        <v>#DIV/0!</v>
      </c>
      <c r="AM1038" s="115"/>
      <c r="AN1038" s="374" t="s">
        <v>272</v>
      </c>
      <c r="AO1038" s="374"/>
      <c r="AP1038" s="374"/>
      <c r="AQ1038" s="151" t="e">
        <f>AQ1037/AQ1036</f>
        <v>#DIV/0!</v>
      </c>
      <c r="AS1038" s="115"/>
      <c r="AT1038" s="115"/>
      <c r="AU1038" s="115"/>
      <c r="AV1038" s="115"/>
      <c r="AW1038" s="115"/>
    </row>
    <row r="1039" spans="15:49">
      <c r="O1039" s="91"/>
      <c r="X1039" s="115">
        <f t="shared" si="147"/>
        <v>0</v>
      </c>
      <c r="Y1039" s="115">
        <f t="shared" si="148"/>
        <v>0</v>
      </c>
      <c r="Z1039" s="115" t="e">
        <f t="shared" si="149"/>
        <v>#VALUE!</v>
      </c>
      <c r="AA1039" s="115">
        <f t="shared" si="150"/>
        <v>0</v>
      </c>
      <c r="AC1039" s="91"/>
      <c r="AD1039" s="374" t="s">
        <v>318</v>
      </c>
      <c r="AE1039" s="374"/>
      <c r="AF1039" s="374"/>
      <c r="AG1039" s="178">
        <f>COUNTIFS(D:D,"DD",G:G,"STANGK",L:L,"1;1",V:V,"JAH")+COUNTIFS(D:D,"DD",G:G,"STANGK",L:L,"1;1",V:V,"EI")</f>
        <v>0</v>
      </c>
      <c r="AH1039" s="115"/>
      <c r="AI1039" s="374" t="s">
        <v>318</v>
      </c>
      <c r="AJ1039" s="374"/>
      <c r="AK1039" s="374"/>
      <c r="AL1039" s="178">
        <f>COUNTIFS(D:D,"DD",G:G,"STANGK",L:L,"1;0",V:V,"JAH")+COUNTIFS(D:D,"DD",G:G,"STANGK",L:L,"1;0",V:V,"EI")</f>
        <v>0</v>
      </c>
      <c r="AM1039" s="115"/>
      <c r="AN1039" s="374" t="s">
        <v>318</v>
      </c>
      <c r="AO1039" s="374"/>
      <c r="AP1039" s="374"/>
      <c r="AQ1039" s="178">
        <f>COUNTIFS(D:D,"DD",G:G,"STANGK",L:L,"1;-1",V:V,"JAH")+COUNTIFS(D:D,"DD",G:G,"STANGK",L:L,"-1;-1",V:V,"EI")</f>
        <v>0</v>
      </c>
      <c r="AS1039" s="115"/>
      <c r="AT1039" s="115"/>
      <c r="AU1039" s="115"/>
      <c r="AV1039" s="115"/>
      <c r="AW1039" s="115"/>
    </row>
    <row r="1040" spans="15:49">
      <c r="O1040" s="91"/>
      <c r="X1040" s="115">
        <f t="shared" si="147"/>
        <v>0</v>
      </c>
      <c r="Y1040" s="115">
        <f t="shared" si="148"/>
        <v>0</v>
      </c>
      <c r="Z1040" s="115" t="e">
        <f t="shared" si="149"/>
        <v>#VALUE!</v>
      </c>
      <c r="AA1040" s="115">
        <f t="shared" si="150"/>
        <v>0</v>
      </c>
      <c r="AC1040" s="91"/>
      <c r="AD1040" s="374" t="s">
        <v>291</v>
      </c>
      <c r="AE1040" s="374"/>
      <c r="AF1040" s="374"/>
      <c r="AG1040" s="115">
        <f>COUNTIFS(D:D,"DD",G:G,"STANGK",L:L,"1;1",V:V,"EI")</f>
        <v>0</v>
      </c>
      <c r="AH1040" s="115"/>
      <c r="AI1040" s="374" t="s">
        <v>291</v>
      </c>
      <c r="AJ1040" s="374"/>
      <c r="AK1040" s="374"/>
      <c r="AL1040" s="115">
        <f>COUNTIFS(D:D,"DD",G:G,"STANGK",L:L,"1;0",V:V,"EI")</f>
        <v>0</v>
      </c>
      <c r="AM1040" s="115"/>
      <c r="AN1040" s="374" t="s">
        <v>291</v>
      </c>
      <c r="AO1040" s="374"/>
      <c r="AP1040" s="374"/>
      <c r="AQ1040" s="115">
        <f>COUNTIFS(D:D,"DD",G:G,"STANGK",L:L,"1;-1",V:V,"EI")</f>
        <v>0</v>
      </c>
      <c r="AS1040" s="115"/>
      <c r="AT1040" s="115"/>
      <c r="AU1040" s="115"/>
      <c r="AV1040" s="115"/>
      <c r="AW1040" s="115"/>
    </row>
    <row r="1041" spans="15:49">
      <c r="O1041" s="91"/>
      <c r="X1041" s="115">
        <f t="shared" si="147"/>
        <v>0</v>
      </c>
      <c r="Y1041" s="115">
        <f t="shared" si="148"/>
        <v>0</v>
      </c>
      <c r="Z1041" s="115" t="e">
        <f t="shared" si="149"/>
        <v>#VALUE!</v>
      </c>
      <c r="AA1041" s="115">
        <f t="shared" si="150"/>
        <v>0</v>
      </c>
      <c r="AC1041" s="91"/>
      <c r="AD1041" s="374" t="s">
        <v>292</v>
      </c>
      <c r="AE1041" s="374"/>
      <c r="AF1041" s="374"/>
      <c r="AG1041" s="151" t="e">
        <f>AG1040/AG1039</f>
        <v>#DIV/0!</v>
      </c>
      <c r="AH1041" s="115"/>
      <c r="AI1041" s="374" t="s">
        <v>292</v>
      </c>
      <c r="AJ1041" s="374"/>
      <c r="AK1041" s="374"/>
      <c r="AL1041" s="151" t="e">
        <f>AL1040/AL1039</f>
        <v>#DIV/0!</v>
      </c>
      <c r="AM1041" s="115"/>
      <c r="AN1041" s="374" t="s">
        <v>292</v>
      </c>
      <c r="AO1041" s="374"/>
      <c r="AP1041" s="374"/>
      <c r="AQ1041" s="151" t="e">
        <f>AQ1040/AQ1039</f>
        <v>#DIV/0!</v>
      </c>
      <c r="AS1041" s="115"/>
      <c r="AT1041" s="115"/>
      <c r="AU1041" s="115"/>
      <c r="AV1041" s="115"/>
      <c r="AW1041" s="115"/>
    </row>
    <row r="1042" spans="15:49">
      <c r="O1042" s="91"/>
      <c r="X1042" s="115">
        <f t="shared" si="147"/>
        <v>0</v>
      </c>
      <c r="Y1042" s="115">
        <f t="shared" si="148"/>
        <v>0</v>
      </c>
      <c r="Z1042" s="115" t="e">
        <f t="shared" si="149"/>
        <v>#VALUE!</v>
      </c>
      <c r="AA1042" s="115">
        <f t="shared" si="150"/>
        <v>0</v>
      </c>
      <c r="AC1042" s="91"/>
      <c r="AD1042" s="374" t="s">
        <v>724</v>
      </c>
      <c r="AE1042" s="374"/>
      <c r="AF1042" s="374"/>
      <c r="AG1042" s="115">
        <f>COUNTIFS(D:D,"DD",G:G,"STANGK",L:L,"1;1",F:F,"ATONGOAL")</f>
        <v>0</v>
      </c>
      <c r="AH1042" s="115"/>
      <c r="AI1042" s="374" t="s">
        <v>724</v>
      </c>
      <c r="AJ1042" s="374"/>
      <c r="AK1042" s="374"/>
      <c r="AL1042" s="115">
        <f>COUNTIFS(D:D,"DD",G:G,"STANGK",L:L,"1;0",F:F,"ATONGOAL")</f>
        <v>0</v>
      </c>
      <c r="AM1042" s="115"/>
      <c r="AN1042" s="374" t="s">
        <v>724</v>
      </c>
      <c r="AO1042" s="374"/>
      <c r="AP1042" s="374"/>
      <c r="AQ1042" s="115">
        <f>COUNTIFS(D:D,"DD",G:G,"STANGK",L:L,"1;-1",F:F,"ATONGOAL")</f>
        <v>0</v>
      </c>
      <c r="AS1042" s="115"/>
      <c r="AT1042" s="115"/>
      <c r="AU1042" s="115"/>
      <c r="AV1042" s="115"/>
      <c r="AW1042" s="115"/>
    </row>
    <row r="1043" spans="15:49">
      <c r="O1043" s="91"/>
      <c r="X1043" s="115">
        <f t="shared" si="147"/>
        <v>0</v>
      </c>
      <c r="Y1043" s="115">
        <f t="shared" si="148"/>
        <v>0</v>
      </c>
      <c r="Z1043" s="115" t="e">
        <f t="shared" si="149"/>
        <v>#VALUE!</v>
      </c>
      <c r="AA1043" s="115">
        <f t="shared" si="150"/>
        <v>0</v>
      </c>
      <c r="AC1043" s="91"/>
      <c r="AD1043" s="374" t="s">
        <v>336</v>
      </c>
      <c r="AE1043" s="374"/>
      <c r="AF1043" s="374"/>
      <c r="AG1043" s="115">
        <f>COUNTIFS(D:D,"DD",G:G,"STANGK",L:L,"1;1",F:F,"ATON")</f>
        <v>0</v>
      </c>
      <c r="AH1043" s="115"/>
      <c r="AI1043" s="374" t="s">
        <v>336</v>
      </c>
      <c r="AJ1043" s="374"/>
      <c r="AK1043" s="374"/>
      <c r="AL1043" s="115">
        <f>COUNTIFS(D:D,"DD",G:G,"STANGK",L:L,"1;0",F:F,"ATON")</f>
        <v>0</v>
      </c>
      <c r="AM1043" s="115"/>
      <c r="AN1043" s="374" t="s">
        <v>336</v>
      </c>
      <c r="AO1043" s="374"/>
      <c r="AP1043" s="374"/>
      <c r="AQ1043" s="115">
        <f>COUNTIFS(D:D,"DD",G:G,"STANGK",L:L,"1;-1",F:F,"ATON")</f>
        <v>0</v>
      </c>
      <c r="AS1043" s="115"/>
      <c r="AT1043" s="115"/>
      <c r="AU1043" s="115"/>
      <c r="AV1043" s="115"/>
      <c r="AW1043" s="115"/>
    </row>
    <row r="1044" spans="15:49" s="115" customFormat="1">
      <c r="O1044" s="91"/>
      <c r="X1044" s="115">
        <f t="shared" si="147"/>
        <v>0</v>
      </c>
      <c r="Y1044" s="115">
        <f t="shared" si="148"/>
        <v>0</v>
      </c>
      <c r="Z1044" s="115" t="e">
        <f t="shared" si="149"/>
        <v>#VALUE!</v>
      </c>
      <c r="AA1044" s="115">
        <f t="shared" si="150"/>
        <v>0</v>
      </c>
      <c r="AB1044" s="246"/>
      <c r="AC1044" s="91"/>
      <c r="AD1044" s="374" t="s">
        <v>337</v>
      </c>
      <c r="AE1044" s="374"/>
      <c r="AF1044" s="374"/>
      <c r="AG1044" s="115">
        <f>COUNTIFS(D:D,"DD",G:G,"STANGK",L:L,"1;1",F:F,"ATOF")</f>
        <v>0</v>
      </c>
      <c r="AI1044" s="374" t="s">
        <v>337</v>
      </c>
      <c r="AJ1044" s="374"/>
      <c r="AK1044" s="374"/>
      <c r="AL1044" s="115">
        <f>COUNTIFS(D:D,"DD",G:G,"STANGK",L:L,"1;0",F:F,"ATOF")</f>
        <v>0</v>
      </c>
      <c r="AN1044" s="374" t="s">
        <v>337</v>
      </c>
      <c r="AO1044" s="374"/>
      <c r="AP1044" s="374"/>
      <c r="AQ1044" s="115">
        <f>COUNTIFS(D:D,"DD",G:G,"STANGK",L:L,"1;-1",F:F,"ATOF")</f>
        <v>0</v>
      </c>
    </row>
    <row r="1045" spans="15:49" s="115" customFormat="1">
      <c r="O1045" s="91"/>
      <c r="X1045" s="115">
        <f t="shared" si="147"/>
        <v>0</v>
      </c>
      <c r="Y1045" s="115">
        <f t="shared" si="148"/>
        <v>0</v>
      </c>
      <c r="Z1045" s="115" t="e">
        <f t="shared" si="149"/>
        <v>#VALUE!</v>
      </c>
      <c r="AA1045" s="115">
        <f t="shared" si="150"/>
        <v>0</v>
      </c>
      <c r="AB1045" s="246"/>
      <c r="AC1045" s="91"/>
      <c r="AD1045" s="374" t="s">
        <v>338</v>
      </c>
      <c r="AE1045" s="374"/>
      <c r="AF1045" s="374"/>
      <c r="AG1045" s="115">
        <f>COUNTIFS(D:D,"DD",G:G,"STANGK",L:L,"1;1",F:F,"ATBK")</f>
        <v>0</v>
      </c>
      <c r="AI1045" s="374" t="s">
        <v>338</v>
      </c>
      <c r="AJ1045" s="374"/>
      <c r="AK1045" s="374"/>
      <c r="AL1045" s="115">
        <f>COUNTIFS(D:D,"DD",G:G,"STANGK",L:L,"1;0",F:F,"ATBK")</f>
        <v>0</v>
      </c>
      <c r="AN1045" s="374" t="s">
        <v>338</v>
      </c>
      <c r="AO1045" s="374"/>
      <c r="AP1045" s="374"/>
      <c r="AQ1045" s="115">
        <f>COUNTIFS(D:D,"DD",G:G,"STANGK",L:L,"1;-1",F:F,"ATBK")</f>
        <v>0</v>
      </c>
    </row>
    <row r="1046" spans="15:49">
      <c r="O1046" s="91"/>
      <c r="X1046" s="115">
        <f t="shared" si="147"/>
        <v>0</v>
      </c>
      <c r="Y1046" s="115">
        <f t="shared" si="148"/>
        <v>0</v>
      </c>
      <c r="Z1046" s="115" t="e">
        <f t="shared" si="149"/>
        <v>#VALUE!</v>
      </c>
      <c r="AA1046" s="115">
        <f t="shared" si="150"/>
        <v>0</v>
      </c>
      <c r="AC1046" s="91"/>
      <c r="AD1046" s="374" t="s">
        <v>315</v>
      </c>
      <c r="AE1046" s="374"/>
      <c r="AF1046" s="374"/>
      <c r="AG1046" s="115">
        <f>COUNTIFS(D:D,"DD",G:G,"STANGK",L:L,"1;1",E:E,"NEG",F:F,"WINSTAN")</f>
        <v>0</v>
      </c>
      <c r="AH1046" s="115"/>
      <c r="AI1046" s="374" t="s">
        <v>315</v>
      </c>
      <c r="AJ1046" s="374"/>
      <c r="AK1046" s="374"/>
      <c r="AL1046" s="115">
        <f>COUNTIFS(D:D,"DD",G:G,"STANGK",L:L,"1;0",E:E,"NEG",F:F,"WINSTAN")</f>
        <v>0</v>
      </c>
      <c r="AM1046" s="115"/>
      <c r="AN1046" s="374" t="s">
        <v>315</v>
      </c>
      <c r="AO1046" s="374"/>
      <c r="AP1046" s="374"/>
      <c r="AQ1046" s="115">
        <f>COUNTIFS(D:D,"DD",G:G,"STANGK",L:L,"1;-1",E:E,"NEG",F:F,"WINSTAN")</f>
        <v>0</v>
      </c>
      <c r="AS1046" s="115"/>
      <c r="AT1046" s="115"/>
      <c r="AU1046" s="115"/>
      <c r="AV1046" s="115"/>
      <c r="AW1046" s="115"/>
    </row>
    <row r="1047" spans="15:49" s="115" customFormat="1">
      <c r="O1047" s="91"/>
      <c r="X1047" s="115">
        <f t="shared" si="147"/>
        <v>0</v>
      </c>
      <c r="Y1047" s="115">
        <f t="shared" si="148"/>
        <v>0</v>
      </c>
      <c r="Z1047" s="115" t="e">
        <f t="shared" si="149"/>
        <v>#VALUE!</v>
      </c>
      <c r="AA1047" s="115">
        <f t="shared" si="150"/>
        <v>0</v>
      </c>
      <c r="AB1047" s="246"/>
      <c r="AC1047" s="91"/>
      <c r="AD1047" s="374" t="s">
        <v>339</v>
      </c>
      <c r="AE1047" s="374"/>
      <c r="AF1047" s="374"/>
      <c r="AG1047" s="115">
        <f>COUNTIFS(D:D,"DD",G:G,"STANGK",L:L,"1;1",E:E,"NEG",F:F,"WINSTANTI")</f>
        <v>0</v>
      </c>
      <c r="AI1047" s="374" t="s">
        <v>339</v>
      </c>
      <c r="AJ1047" s="374"/>
      <c r="AK1047" s="374"/>
      <c r="AL1047" s="115">
        <f>COUNTIFS(D:D,"DD",G:G,"STANGK",L:L,"1;0",E:E,"NEG",F:F,"WINSTANTI")</f>
        <v>0</v>
      </c>
      <c r="AN1047" s="374" t="s">
        <v>339</v>
      </c>
      <c r="AO1047" s="374"/>
      <c r="AP1047" s="374"/>
      <c r="AQ1047" s="115">
        <f>COUNTIFS(D:D,"DD",G:G,"STANGK",L:L,"1;-1",E:E,"NEG",F:F,"WINSTANTI")</f>
        <v>0</v>
      </c>
    </row>
    <row r="1048" spans="15:49" s="115" customFormat="1">
      <c r="O1048" s="91"/>
      <c r="X1048" s="115">
        <f t="shared" si="147"/>
        <v>0</v>
      </c>
      <c r="Y1048" s="115">
        <f t="shared" si="148"/>
        <v>0</v>
      </c>
      <c r="Z1048" s="115" t="e">
        <f t="shared" si="149"/>
        <v>#VALUE!</v>
      </c>
      <c r="AA1048" s="115">
        <f t="shared" si="150"/>
        <v>0</v>
      </c>
      <c r="AB1048" s="246"/>
      <c r="AC1048" s="91"/>
      <c r="AD1048" s="374" t="s">
        <v>316</v>
      </c>
      <c r="AE1048" s="374"/>
      <c r="AF1048" s="374"/>
      <c r="AG1048" s="115">
        <f>COUNTIFS(D:D,"DD",G:G,"STANGK",L:L,"1;1",F:F,"ENTRY")</f>
        <v>0</v>
      </c>
      <c r="AI1048" s="374" t="s">
        <v>316</v>
      </c>
      <c r="AJ1048" s="374"/>
      <c r="AK1048" s="374"/>
      <c r="AL1048" s="115">
        <f>COUNTIFS(D:D,"DD",G:G,"STANGK",L:L,"1;0",F:F,"ENTRY")</f>
        <v>0</v>
      </c>
      <c r="AN1048" s="374" t="s">
        <v>316</v>
      </c>
      <c r="AO1048" s="374"/>
      <c r="AP1048" s="374"/>
      <c r="AQ1048" s="115">
        <f>COUNTIFS(D:D,"DD",G:G,"STANGK",L:L,"1;-1",F:F,"ENTRY")</f>
        <v>0</v>
      </c>
    </row>
    <row r="1049" spans="15:49" s="115" customFormat="1">
      <c r="O1049" s="91"/>
      <c r="X1049" s="115">
        <f t="shared" si="147"/>
        <v>0</v>
      </c>
      <c r="Y1049" s="115">
        <f t="shared" si="148"/>
        <v>0</v>
      </c>
      <c r="Z1049" s="115" t="e">
        <f t="shared" si="149"/>
        <v>#VALUE!</v>
      </c>
      <c r="AA1049" s="115">
        <f t="shared" si="150"/>
        <v>0</v>
      </c>
      <c r="AB1049" s="246"/>
      <c r="AC1049" s="91"/>
      <c r="AD1049" s="374" t="s">
        <v>293</v>
      </c>
      <c r="AE1049" s="374"/>
      <c r="AF1049" s="374"/>
      <c r="AG1049" s="115">
        <f>COUNTIFS(D:D,"DD",G:G,"STANGK",L:L,"1;1",F:F,"KEEPOS")</f>
        <v>0</v>
      </c>
      <c r="AI1049" s="374" t="s">
        <v>293</v>
      </c>
      <c r="AJ1049" s="374"/>
      <c r="AK1049" s="374"/>
      <c r="AL1049" s="115">
        <f>COUNTIFS(D:D,"DD",G:G,"STANGK",L:L,"1;0",F:F,"KEEPOS")</f>
        <v>0</v>
      </c>
      <c r="AN1049" s="374" t="s">
        <v>293</v>
      </c>
      <c r="AO1049" s="374"/>
      <c r="AP1049" s="374"/>
      <c r="AQ1049" s="115">
        <f>COUNTIFS(D:D,"DD",G:G,"STANGK",L:L,"1;-1",F:F,"KEEPOS")</f>
        <v>0</v>
      </c>
    </row>
    <row r="1050" spans="15:49">
      <c r="O1050" s="91"/>
      <c r="X1050" s="115">
        <f t="shared" si="147"/>
        <v>0</v>
      </c>
      <c r="Y1050" s="115">
        <f t="shared" si="148"/>
        <v>0</v>
      </c>
      <c r="Z1050" s="115" t="e">
        <f t="shared" si="149"/>
        <v>#VALUE!</v>
      </c>
      <c r="AA1050" s="115">
        <f t="shared" si="150"/>
        <v>0</v>
      </c>
      <c r="AC1050" s="91"/>
      <c r="AD1050" s="374" t="s">
        <v>319</v>
      </c>
      <c r="AE1050" s="374"/>
      <c r="AF1050" s="374"/>
      <c r="AG1050" s="151" t="e">
        <f>SUM(AG1042:AG1049)/AG1036</f>
        <v>#DIV/0!</v>
      </c>
      <c r="AH1050" s="115"/>
      <c r="AI1050" s="374" t="s">
        <v>319</v>
      </c>
      <c r="AJ1050" s="374"/>
      <c r="AK1050" s="374"/>
      <c r="AL1050" s="151" t="e">
        <f>SUM(AL1042:AL1049)/AL1036</f>
        <v>#DIV/0!</v>
      </c>
      <c r="AM1050" s="115"/>
      <c r="AN1050" s="374" t="s">
        <v>319</v>
      </c>
      <c r="AO1050" s="374"/>
      <c r="AP1050" s="374"/>
      <c r="AQ1050" s="151" t="e">
        <f>SUM(AQ1042:AQ1049)/AQ1036</f>
        <v>#DIV/0!</v>
      </c>
      <c r="AS1050" s="115"/>
      <c r="AT1050" s="115"/>
      <c r="AU1050" s="115"/>
      <c r="AV1050" s="115"/>
      <c r="AW1050" s="115"/>
    </row>
    <row r="1051" spans="15:49">
      <c r="O1051" s="91"/>
      <c r="X1051" s="115">
        <f t="shared" si="147"/>
        <v>0</v>
      </c>
      <c r="Y1051" s="115">
        <f t="shared" si="148"/>
        <v>0</v>
      </c>
      <c r="Z1051" s="115" t="e">
        <f t="shared" si="149"/>
        <v>#VALUE!</v>
      </c>
      <c r="AA1051" s="115">
        <f t="shared" si="150"/>
        <v>0</v>
      </c>
      <c r="AC1051" s="91"/>
      <c r="AD1051" s="200"/>
      <c r="AE1051" s="200"/>
      <c r="AF1051" s="200"/>
      <c r="AG1051" s="115"/>
      <c r="AH1051" s="115"/>
      <c r="AI1051" s="200"/>
      <c r="AJ1051" s="200"/>
      <c r="AK1051" s="200"/>
      <c r="AL1051" s="115"/>
      <c r="AM1051" s="115"/>
      <c r="AN1051" s="200"/>
      <c r="AO1051" s="200"/>
      <c r="AP1051" s="200"/>
      <c r="AQ1051" s="115"/>
      <c r="AS1051" s="115"/>
      <c r="AT1051" s="115"/>
      <c r="AU1051" s="115"/>
      <c r="AV1051" s="115"/>
      <c r="AW1051" s="115"/>
    </row>
    <row r="1052" spans="15:49">
      <c r="O1052" s="91"/>
      <c r="X1052" s="115">
        <f t="shared" si="147"/>
        <v>0</v>
      </c>
      <c r="Y1052" s="115">
        <f t="shared" si="148"/>
        <v>0</v>
      </c>
      <c r="Z1052" s="115" t="e">
        <f t="shared" si="149"/>
        <v>#VALUE!</v>
      </c>
      <c r="AA1052" s="115">
        <f t="shared" si="150"/>
        <v>0</v>
      </c>
      <c r="AC1052" s="91"/>
      <c r="AD1052" s="374" t="s">
        <v>270</v>
      </c>
      <c r="AE1052" s="374"/>
      <c r="AF1052" s="374"/>
      <c r="AG1052" s="115">
        <f>COUNTIFS(D:D,"DD",G:G,"STANGK",L:L,"2;1")</f>
        <v>0</v>
      </c>
      <c r="AH1052" s="115"/>
      <c r="AI1052" s="374" t="s">
        <v>270</v>
      </c>
      <c r="AJ1052" s="374"/>
      <c r="AK1052" s="374"/>
      <c r="AL1052" s="115">
        <f>COUNTIFS(D:D,"DD",G:G,"STANGK",L:L,"2;0")</f>
        <v>0</v>
      </c>
      <c r="AM1052" s="115"/>
      <c r="AN1052" s="374" t="s">
        <v>270</v>
      </c>
      <c r="AO1052" s="374"/>
      <c r="AP1052" s="374"/>
      <c r="AQ1052" s="115">
        <f>COUNTIFS(D:D,"DD",G:G,"STANGK",L:L,"2;-1")</f>
        <v>0</v>
      </c>
      <c r="AS1052" s="115"/>
      <c r="AT1052" s="115"/>
      <c r="AU1052" s="115"/>
      <c r="AV1052" s="115"/>
      <c r="AW1052" s="115"/>
    </row>
    <row r="1053" spans="15:49">
      <c r="O1053" s="91"/>
      <c r="X1053" s="115">
        <f t="shared" si="147"/>
        <v>0</v>
      </c>
      <c r="Y1053" s="115">
        <f t="shared" si="148"/>
        <v>0</v>
      </c>
      <c r="Z1053" s="115" t="e">
        <f t="shared" si="149"/>
        <v>#VALUE!</v>
      </c>
      <c r="AA1053" s="115">
        <f t="shared" si="150"/>
        <v>0</v>
      </c>
      <c r="AC1053" s="91"/>
      <c r="AD1053" s="374" t="s">
        <v>271</v>
      </c>
      <c r="AE1053" s="374"/>
      <c r="AF1053" s="374"/>
      <c r="AG1053" s="115">
        <f>COUNTIFS(D:D,"DD",G:G,"STANGK",L:L,"2;1",P:P,"EI")</f>
        <v>0</v>
      </c>
      <c r="AH1053" s="115"/>
      <c r="AI1053" s="374" t="s">
        <v>271</v>
      </c>
      <c r="AJ1053" s="374"/>
      <c r="AK1053" s="374"/>
      <c r="AL1053" s="115">
        <f>COUNTIFS(D:D,"DD",G:G,"STANGK",L:L,"2;0",P:P,"EI")</f>
        <v>0</v>
      </c>
      <c r="AM1053" s="115"/>
      <c r="AN1053" s="374" t="s">
        <v>271</v>
      </c>
      <c r="AO1053" s="374"/>
      <c r="AP1053" s="374"/>
      <c r="AQ1053" s="115">
        <f>COUNTIFS(D:D,"DD",G:G,"STANGK",L:L,"2;-1",P:P,"EI")</f>
        <v>0</v>
      </c>
      <c r="AS1053" s="115"/>
      <c r="AT1053" s="115"/>
      <c r="AU1053" s="115"/>
      <c r="AV1053" s="115"/>
      <c r="AW1053" s="115"/>
    </row>
    <row r="1054" spans="15:49">
      <c r="O1054" s="91"/>
      <c r="X1054" s="115">
        <f t="shared" si="147"/>
        <v>0</v>
      </c>
      <c r="Y1054" s="115">
        <f t="shared" si="148"/>
        <v>0</v>
      </c>
      <c r="Z1054" s="115" t="e">
        <f t="shared" si="149"/>
        <v>#VALUE!</v>
      </c>
      <c r="AA1054" s="115">
        <f t="shared" si="150"/>
        <v>0</v>
      </c>
      <c r="AC1054" s="91"/>
      <c r="AD1054" s="374" t="s">
        <v>272</v>
      </c>
      <c r="AE1054" s="374"/>
      <c r="AF1054" s="374"/>
      <c r="AG1054" s="151" t="e">
        <f>AG1053/AG1052</f>
        <v>#DIV/0!</v>
      </c>
      <c r="AH1054" s="115"/>
      <c r="AI1054" s="374" t="s">
        <v>272</v>
      </c>
      <c r="AJ1054" s="374"/>
      <c r="AK1054" s="374"/>
      <c r="AL1054" s="151" t="e">
        <f>AL1053/AL1052</f>
        <v>#DIV/0!</v>
      </c>
      <c r="AM1054" s="115"/>
      <c r="AN1054" s="374" t="s">
        <v>272</v>
      </c>
      <c r="AO1054" s="374"/>
      <c r="AP1054" s="374"/>
      <c r="AQ1054" s="151" t="e">
        <f>AQ1053/AQ1052</f>
        <v>#DIV/0!</v>
      </c>
      <c r="AS1054" s="115"/>
      <c r="AT1054" s="115"/>
      <c r="AU1054" s="115"/>
      <c r="AV1054" s="115"/>
      <c r="AW1054" s="115"/>
    </row>
    <row r="1055" spans="15:49">
      <c r="O1055" s="91"/>
      <c r="X1055" s="115">
        <f t="shared" si="147"/>
        <v>0</v>
      </c>
      <c r="Y1055" s="115">
        <f t="shared" si="148"/>
        <v>0</v>
      </c>
      <c r="Z1055" s="115" t="e">
        <f t="shared" si="149"/>
        <v>#VALUE!</v>
      </c>
      <c r="AA1055" s="115">
        <f t="shared" si="150"/>
        <v>0</v>
      </c>
      <c r="AC1055" s="91"/>
      <c r="AD1055" s="374" t="s">
        <v>318</v>
      </c>
      <c r="AE1055" s="374"/>
      <c r="AF1055" s="374"/>
      <c r="AG1055" s="178">
        <f>COUNTIFS(D:D,"DD",G:G,"STANGK",L:L,"2;1",V:V,"JAH")+COUNTIFS(D:D,"DD",G:G,"STANGK",L:L,"2;1",V:V,"EI")</f>
        <v>0</v>
      </c>
      <c r="AH1055" s="115"/>
      <c r="AI1055" s="374" t="s">
        <v>318</v>
      </c>
      <c r="AJ1055" s="374"/>
      <c r="AK1055" s="374"/>
      <c r="AL1055" s="178">
        <f>COUNTIFS(D:D,"DD",G:G,"STANGK",L:L,"2;0",V:V,"JAH")+COUNTIFS(D:D,"DD",G:G,"STANGK",L:L,"2;0",V:V,"EI")</f>
        <v>0</v>
      </c>
      <c r="AM1055" s="115"/>
      <c r="AN1055" s="374" t="s">
        <v>318</v>
      </c>
      <c r="AO1055" s="374"/>
      <c r="AP1055" s="374"/>
      <c r="AQ1055" s="178">
        <f>COUNTIFS(D:D,"DD",G:G,"STANGK",L:L,"2;-1",V:V,"JAH")+COUNTIFS(D:D,"DD",G:G,"STANGK",L:L,"2;-1",V:V,"EI")</f>
        <v>0</v>
      </c>
      <c r="AS1055" s="115"/>
      <c r="AT1055" s="115"/>
      <c r="AU1055" s="115"/>
      <c r="AV1055" s="115"/>
      <c r="AW1055" s="115"/>
    </row>
    <row r="1056" spans="15:49">
      <c r="O1056" s="91"/>
      <c r="X1056" s="115">
        <f t="shared" si="147"/>
        <v>0</v>
      </c>
      <c r="Y1056" s="115">
        <f t="shared" si="148"/>
        <v>0</v>
      </c>
      <c r="Z1056" s="115" t="e">
        <f t="shared" si="149"/>
        <v>#VALUE!</v>
      </c>
      <c r="AA1056" s="115">
        <f t="shared" si="150"/>
        <v>0</v>
      </c>
      <c r="AC1056" s="91"/>
      <c r="AD1056" s="374" t="s">
        <v>291</v>
      </c>
      <c r="AE1056" s="374"/>
      <c r="AF1056" s="374"/>
      <c r="AG1056" s="115">
        <f>COUNTIFS(D:D,"DD",G:G,"STANGK",L:L,"2;1",V:V,"EI")</f>
        <v>0</v>
      </c>
      <c r="AH1056" s="115"/>
      <c r="AI1056" s="374" t="s">
        <v>291</v>
      </c>
      <c r="AJ1056" s="374"/>
      <c r="AK1056" s="374"/>
      <c r="AL1056" s="115">
        <f>COUNTIFS(D:D,"DD",G:G,"STANGK",L:L,"2;0",V:V,"EI")</f>
        <v>0</v>
      </c>
      <c r="AM1056" s="115"/>
      <c r="AN1056" s="374" t="s">
        <v>291</v>
      </c>
      <c r="AO1056" s="374"/>
      <c r="AP1056" s="374"/>
      <c r="AQ1056" s="115">
        <f>COUNTIFS(D:D,"DD",G:G,"STANGK",L:L,"2;-1",V:V,"EI")</f>
        <v>0</v>
      </c>
      <c r="AS1056" s="115"/>
      <c r="AT1056" s="115"/>
      <c r="AU1056" s="115"/>
      <c r="AV1056" s="115"/>
      <c r="AW1056" s="115"/>
    </row>
    <row r="1057" spans="15:49">
      <c r="O1057" s="91"/>
      <c r="X1057" s="115">
        <f t="shared" si="147"/>
        <v>0</v>
      </c>
      <c r="Y1057" s="115">
        <f t="shared" si="148"/>
        <v>0</v>
      </c>
      <c r="Z1057" s="115" t="e">
        <f t="shared" si="149"/>
        <v>#VALUE!</v>
      </c>
      <c r="AA1057" s="115">
        <f t="shared" si="150"/>
        <v>0</v>
      </c>
      <c r="AC1057" s="91"/>
      <c r="AD1057" s="374" t="s">
        <v>292</v>
      </c>
      <c r="AE1057" s="374"/>
      <c r="AF1057" s="374"/>
      <c r="AG1057" s="151" t="e">
        <f>AG1056/AG1055</f>
        <v>#DIV/0!</v>
      </c>
      <c r="AH1057" s="115"/>
      <c r="AI1057" s="374" t="s">
        <v>292</v>
      </c>
      <c r="AJ1057" s="374"/>
      <c r="AK1057" s="374"/>
      <c r="AL1057" s="151" t="e">
        <f>AL1056/AL1055</f>
        <v>#DIV/0!</v>
      </c>
      <c r="AM1057" s="115"/>
      <c r="AN1057" s="374" t="s">
        <v>292</v>
      </c>
      <c r="AO1057" s="374"/>
      <c r="AP1057" s="374"/>
      <c r="AQ1057" s="151" t="e">
        <f>AQ1056/AQ1055</f>
        <v>#DIV/0!</v>
      </c>
      <c r="AS1057" s="115"/>
      <c r="AT1057" s="115"/>
      <c r="AU1057" s="115"/>
      <c r="AV1057" s="115"/>
      <c r="AW1057" s="115"/>
    </row>
    <row r="1058" spans="15:49">
      <c r="O1058" s="91"/>
      <c r="X1058" s="115">
        <f t="shared" si="147"/>
        <v>0</v>
      </c>
      <c r="Y1058" s="115">
        <f t="shared" si="148"/>
        <v>0</v>
      </c>
      <c r="Z1058" s="115" t="e">
        <f t="shared" si="149"/>
        <v>#VALUE!</v>
      </c>
      <c r="AA1058" s="115">
        <f t="shared" si="150"/>
        <v>0</v>
      </c>
      <c r="AC1058" s="91"/>
      <c r="AD1058" s="374" t="s">
        <v>724</v>
      </c>
      <c r="AE1058" s="374"/>
      <c r="AF1058" s="374"/>
      <c r="AG1058" s="115">
        <f>COUNTIFS(D:D,"DD",G:G,"STANGK",L:L,"2;1",F:F,"ATONGOAL")</f>
        <v>0</v>
      </c>
      <c r="AH1058" s="115"/>
      <c r="AI1058" s="374" t="s">
        <v>724</v>
      </c>
      <c r="AJ1058" s="374"/>
      <c r="AK1058" s="374"/>
      <c r="AL1058" s="115">
        <f>COUNTIFS(D:D,"DD",G:G,"STANGK",L:L,"2;0",F:F,"ATONGOAL")</f>
        <v>0</v>
      </c>
      <c r="AM1058" s="115"/>
      <c r="AN1058" s="374" t="s">
        <v>724</v>
      </c>
      <c r="AO1058" s="374"/>
      <c r="AP1058" s="374"/>
      <c r="AQ1058" s="115">
        <f>COUNTIFS(D:D,"DD",G:G,"STANGK",L:L,"2;-1",F:F,"ATONGOAL")</f>
        <v>0</v>
      </c>
      <c r="AS1058" s="115"/>
      <c r="AT1058" s="115"/>
      <c r="AU1058" s="115"/>
      <c r="AV1058" s="115"/>
      <c r="AW1058" s="115"/>
    </row>
    <row r="1059" spans="15:49">
      <c r="O1059" s="91"/>
      <c r="X1059" s="115">
        <f t="shared" si="147"/>
        <v>0</v>
      </c>
      <c r="Y1059" s="115">
        <f t="shared" si="148"/>
        <v>0</v>
      </c>
      <c r="Z1059" s="115" t="e">
        <f t="shared" si="149"/>
        <v>#VALUE!</v>
      </c>
      <c r="AA1059" s="115">
        <f t="shared" si="150"/>
        <v>0</v>
      </c>
      <c r="AC1059" s="91"/>
      <c r="AD1059" s="374" t="s">
        <v>336</v>
      </c>
      <c r="AE1059" s="374"/>
      <c r="AF1059" s="374"/>
      <c r="AG1059" s="115">
        <f>COUNTIFS(D:D,"DD",G:G,"STANGK",L:L,"2;1",F:F,"ATON")</f>
        <v>0</v>
      </c>
      <c r="AH1059" s="115"/>
      <c r="AI1059" s="374" t="s">
        <v>336</v>
      </c>
      <c r="AJ1059" s="374"/>
      <c r="AK1059" s="374"/>
      <c r="AL1059" s="115">
        <f>COUNTIFS(D:D,"DD",G:G,"STANGK",L:L,"2;0",F:F,"ATON")</f>
        <v>0</v>
      </c>
      <c r="AM1059" s="115"/>
      <c r="AN1059" s="374" t="s">
        <v>336</v>
      </c>
      <c r="AO1059" s="374"/>
      <c r="AP1059" s="374"/>
      <c r="AQ1059" s="115">
        <f>COUNTIFS(D:D,"DD",G:G,"STANGK",L:L,"2;-1",F:F,"ATON")</f>
        <v>0</v>
      </c>
      <c r="AS1059" s="115"/>
      <c r="AT1059" s="115"/>
      <c r="AU1059" s="115"/>
      <c r="AV1059" s="115"/>
      <c r="AW1059" s="115"/>
    </row>
    <row r="1060" spans="15:49" s="115" customFormat="1">
      <c r="O1060" s="91"/>
      <c r="X1060" s="115">
        <f t="shared" si="147"/>
        <v>0</v>
      </c>
      <c r="Y1060" s="115">
        <f t="shared" si="148"/>
        <v>0</v>
      </c>
      <c r="Z1060" s="115" t="e">
        <f t="shared" si="149"/>
        <v>#VALUE!</v>
      </c>
      <c r="AA1060" s="115">
        <f t="shared" si="150"/>
        <v>0</v>
      </c>
      <c r="AB1060" s="246"/>
      <c r="AC1060" s="91"/>
      <c r="AD1060" s="374" t="s">
        <v>337</v>
      </c>
      <c r="AE1060" s="374"/>
      <c r="AF1060" s="374"/>
      <c r="AG1060" s="115">
        <f>COUNTIFS(D:D,"DD",G:G,"STANGK",L:L,"2;1",F:F,"ATOF")</f>
        <v>0</v>
      </c>
      <c r="AI1060" s="374" t="s">
        <v>337</v>
      </c>
      <c r="AJ1060" s="374"/>
      <c r="AK1060" s="374"/>
      <c r="AL1060" s="115">
        <f>COUNTIFS(D:D,"DD",G:G,"STANGK",L:L,"2;0",F:F,"ATOF")</f>
        <v>0</v>
      </c>
      <c r="AN1060" s="374" t="s">
        <v>337</v>
      </c>
      <c r="AO1060" s="374"/>
      <c r="AP1060" s="374"/>
      <c r="AQ1060" s="115">
        <f>COUNTIFS(D:D,"DD",G:G,"STANGK",L:L,"2;-1",F:F,"ATOF")</f>
        <v>0</v>
      </c>
    </row>
    <row r="1061" spans="15:49" s="115" customFormat="1">
      <c r="O1061" s="91"/>
      <c r="X1061" s="115">
        <f t="shared" si="147"/>
        <v>0</v>
      </c>
      <c r="Y1061" s="115">
        <f t="shared" si="148"/>
        <v>0</v>
      </c>
      <c r="Z1061" s="115" t="e">
        <f t="shared" si="149"/>
        <v>#VALUE!</v>
      </c>
      <c r="AA1061" s="115">
        <f t="shared" si="150"/>
        <v>0</v>
      </c>
      <c r="AB1061" s="246"/>
      <c r="AC1061" s="91"/>
      <c r="AD1061" s="374" t="s">
        <v>338</v>
      </c>
      <c r="AE1061" s="374"/>
      <c r="AF1061" s="374"/>
      <c r="AG1061" s="115">
        <f>COUNTIFS(D:D,"DD",G:G,"STANGK",L:L,"2;1",F:F,"ATBK")</f>
        <v>0</v>
      </c>
      <c r="AI1061" s="374" t="s">
        <v>338</v>
      </c>
      <c r="AJ1061" s="374"/>
      <c r="AK1061" s="374"/>
      <c r="AL1061" s="115">
        <f>COUNTIFS(D:D,"DD",G:G,"STANGK",L:L,"2;0",F:F,"ATBK")</f>
        <v>0</v>
      </c>
      <c r="AN1061" s="374" t="s">
        <v>338</v>
      </c>
      <c r="AO1061" s="374"/>
      <c r="AP1061" s="374"/>
      <c r="AQ1061" s="115">
        <f>COUNTIFS(D:D,"DD",G:G,"STANGK",L:L,"2;-1",F:F,"ATBK")</f>
        <v>0</v>
      </c>
    </row>
    <row r="1062" spans="15:49">
      <c r="O1062" s="91"/>
      <c r="X1062" s="115">
        <f t="shared" si="147"/>
        <v>0</v>
      </c>
      <c r="Y1062" s="115">
        <f t="shared" si="148"/>
        <v>0</v>
      </c>
      <c r="Z1062" s="115" t="e">
        <f t="shared" si="149"/>
        <v>#VALUE!</v>
      </c>
      <c r="AA1062" s="115">
        <f t="shared" si="150"/>
        <v>0</v>
      </c>
      <c r="AC1062" s="91"/>
      <c r="AD1062" s="374" t="s">
        <v>315</v>
      </c>
      <c r="AE1062" s="374"/>
      <c r="AF1062" s="374"/>
      <c r="AG1062" s="115">
        <f>COUNTIFS(D:D,"DD",G:G,"STANGK",L:L,"2;1",E:E,"NEG",F:F,"WINSTAN")</f>
        <v>0</v>
      </c>
      <c r="AH1062" s="115"/>
      <c r="AI1062" s="374" t="s">
        <v>315</v>
      </c>
      <c r="AJ1062" s="374"/>
      <c r="AK1062" s="374"/>
      <c r="AL1062" s="115">
        <f>COUNTIFS(D:D,"DD",G:G,"STANGK",L:L,"2;0",E:E,"NEG",F:F,"WINSTAN")</f>
        <v>0</v>
      </c>
      <c r="AM1062" s="115"/>
      <c r="AN1062" s="374" t="s">
        <v>315</v>
      </c>
      <c r="AO1062" s="374"/>
      <c r="AP1062" s="374"/>
      <c r="AQ1062" s="115">
        <f>COUNTIFS(D:D,"DD",G:G,"STANGK",L:L,"2;-1",E:E,"NEG",F:F,"WINSTAN")</f>
        <v>0</v>
      </c>
      <c r="AS1062" s="115"/>
      <c r="AT1062" s="115"/>
      <c r="AU1062" s="115"/>
      <c r="AV1062" s="115"/>
      <c r="AW1062" s="115"/>
    </row>
    <row r="1063" spans="15:49" s="115" customFormat="1">
      <c r="O1063" s="91"/>
      <c r="X1063" s="115">
        <f t="shared" si="147"/>
        <v>0</v>
      </c>
      <c r="Y1063" s="115">
        <f t="shared" si="148"/>
        <v>0</v>
      </c>
      <c r="Z1063" s="115" t="e">
        <f t="shared" si="149"/>
        <v>#VALUE!</v>
      </c>
      <c r="AA1063" s="115">
        <f t="shared" si="150"/>
        <v>0</v>
      </c>
      <c r="AB1063" s="246"/>
      <c r="AC1063" s="91"/>
      <c r="AD1063" s="374" t="s">
        <v>339</v>
      </c>
      <c r="AE1063" s="374"/>
      <c r="AF1063" s="374"/>
      <c r="AG1063" s="115">
        <f>COUNTIFS(D:D,"DD",G:G,"STANGK",L:L,"2;1",E:E,"NEG",F:F,"WINSTANTI")</f>
        <v>0</v>
      </c>
      <c r="AI1063" s="374" t="s">
        <v>339</v>
      </c>
      <c r="AJ1063" s="374"/>
      <c r="AK1063" s="374"/>
      <c r="AL1063" s="115">
        <f>COUNTIFS(D:D,"DD",G:G,"STANGK",L:L,"2;0",E:E,"NEG",F:F,"WINSTANTI")</f>
        <v>0</v>
      </c>
      <c r="AN1063" s="374" t="s">
        <v>339</v>
      </c>
      <c r="AO1063" s="374"/>
      <c r="AP1063" s="374"/>
      <c r="AQ1063" s="115">
        <f>COUNTIFS(D:D,"DD",G:G,"STANGK",L:L,"2;-1",E:E,"NEG",F:F,"WINSTANTI")</f>
        <v>0</v>
      </c>
    </row>
    <row r="1064" spans="15:49">
      <c r="O1064" s="91"/>
      <c r="X1064" s="115">
        <f t="shared" si="147"/>
        <v>0</v>
      </c>
      <c r="Y1064" s="115">
        <f t="shared" si="148"/>
        <v>0</v>
      </c>
      <c r="Z1064" s="115" t="e">
        <f t="shared" si="149"/>
        <v>#VALUE!</v>
      </c>
      <c r="AA1064" s="115">
        <f t="shared" si="150"/>
        <v>0</v>
      </c>
      <c r="AC1064" s="91"/>
      <c r="AD1064" s="374" t="s">
        <v>316</v>
      </c>
      <c r="AE1064" s="374"/>
      <c r="AF1064" s="374"/>
      <c r="AG1064" s="115">
        <f>COUNTIFS(D:D,"DD",G:G,"STANGK",L:L,"2;1",F:F,"ENTRY")</f>
        <v>0</v>
      </c>
      <c r="AH1064" s="115"/>
      <c r="AI1064" s="374" t="s">
        <v>316</v>
      </c>
      <c r="AJ1064" s="374"/>
      <c r="AK1064" s="374"/>
      <c r="AL1064" s="115">
        <f>COUNTIFS(D:D,"DD",G:G,"STANGK",L:L,"2;0",F:F,"ENTRY")</f>
        <v>0</v>
      </c>
      <c r="AM1064" s="115"/>
      <c r="AN1064" s="374" t="s">
        <v>316</v>
      </c>
      <c r="AO1064" s="374"/>
      <c r="AP1064" s="374"/>
      <c r="AQ1064" s="115">
        <f>COUNTIFS(D:D,"DD",G:G,"STANGK",L:L,"2;-1",F:F,"ENTRY")</f>
        <v>0</v>
      </c>
      <c r="AS1064" s="115"/>
      <c r="AT1064" s="115"/>
      <c r="AU1064" s="115"/>
      <c r="AV1064" s="115"/>
      <c r="AW1064" s="115"/>
    </row>
    <row r="1065" spans="15:49">
      <c r="O1065" s="91"/>
      <c r="X1065" s="115">
        <f t="shared" si="147"/>
        <v>0</v>
      </c>
      <c r="Y1065" s="115">
        <f t="shared" si="148"/>
        <v>0</v>
      </c>
      <c r="Z1065" s="115" t="e">
        <f t="shared" si="149"/>
        <v>#VALUE!</v>
      </c>
      <c r="AA1065" s="115">
        <f t="shared" si="150"/>
        <v>0</v>
      </c>
      <c r="AC1065" s="91"/>
      <c r="AD1065" s="374" t="s">
        <v>293</v>
      </c>
      <c r="AE1065" s="374"/>
      <c r="AF1065" s="374"/>
      <c r="AG1065" s="115">
        <f>COUNTIFS(D:D,"DD",G:G,"STANGK",L:L,"2;1",F:F,"KEEPOS")</f>
        <v>0</v>
      </c>
      <c r="AH1065" s="115"/>
      <c r="AI1065" s="374" t="s">
        <v>293</v>
      </c>
      <c r="AJ1065" s="374"/>
      <c r="AK1065" s="374"/>
      <c r="AL1065" s="115">
        <f>COUNTIFS(D:D,"DD",G:G,"STANGK",L:L,"2;0",F:F,"KEEPOS")</f>
        <v>0</v>
      </c>
      <c r="AM1065" s="115"/>
      <c r="AN1065" s="374" t="s">
        <v>293</v>
      </c>
      <c r="AO1065" s="374"/>
      <c r="AP1065" s="374"/>
      <c r="AQ1065" s="115">
        <f>COUNTIFS(D:D,"DD",G:G,"STANGK",L:L,"2;-1",F:F,"KEEPOS")</f>
        <v>0</v>
      </c>
      <c r="AS1065" s="115"/>
      <c r="AT1065" s="115"/>
      <c r="AU1065" s="115"/>
      <c r="AV1065" s="115"/>
      <c r="AW1065" s="115"/>
    </row>
    <row r="1066" spans="15:49">
      <c r="O1066" s="91"/>
      <c r="X1066" s="115">
        <f t="shared" si="147"/>
        <v>0</v>
      </c>
      <c r="Y1066" s="115">
        <f t="shared" si="148"/>
        <v>0</v>
      </c>
      <c r="Z1066" s="115" t="e">
        <f t="shared" si="149"/>
        <v>#VALUE!</v>
      </c>
      <c r="AA1066" s="115">
        <f t="shared" si="150"/>
        <v>0</v>
      </c>
      <c r="AC1066" s="91"/>
      <c r="AD1066" s="374" t="s">
        <v>319</v>
      </c>
      <c r="AE1066" s="374"/>
      <c r="AF1066" s="374"/>
      <c r="AG1066" s="151" t="e">
        <f>SUM(AG1058:AG1065)/AG1052</f>
        <v>#DIV/0!</v>
      </c>
      <c r="AH1066" s="115"/>
      <c r="AI1066" s="374" t="s">
        <v>319</v>
      </c>
      <c r="AJ1066" s="374"/>
      <c r="AK1066" s="374"/>
      <c r="AL1066" s="151" t="e">
        <f>SUM(AL1058:AL1065)/AL1052</f>
        <v>#DIV/0!</v>
      </c>
      <c r="AM1066" s="115"/>
      <c r="AN1066" s="374" t="s">
        <v>319</v>
      </c>
      <c r="AO1066" s="374"/>
      <c r="AP1066" s="374"/>
      <c r="AQ1066" s="151" t="e">
        <f>SUM(AQ1058:AQ1065)/AQ1052</f>
        <v>#DIV/0!</v>
      </c>
      <c r="AS1066" s="115"/>
      <c r="AT1066" s="115"/>
      <c r="AU1066" s="115"/>
      <c r="AV1066" s="115"/>
      <c r="AW1066" s="115"/>
    </row>
    <row r="1067" spans="15:49">
      <c r="O1067" s="91"/>
      <c r="X1067" s="115">
        <f t="shared" si="147"/>
        <v>0</v>
      </c>
      <c r="Y1067" s="115">
        <f t="shared" si="148"/>
        <v>0</v>
      </c>
      <c r="Z1067" s="115" t="e">
        <f t="shared" si="149"/>
        <v>#VALUE!</v>
      </c>
      <c r="AA1067" s="115">
        <f t="shared" si="150"/>
        <v>0</v>
      </c>
      <c r="AC1067" s="91"/>
      <c r="AD1067" s="115"/>
      <c r="AE1067" s="115"/>
      <c r="AF1067" s="115"/>
      <c r="AG1067" s="115"/>
      <c r="AH1067" s="115"/>
      <c r="AI1067" s="115"/>
      <c r="AJ1067" s="115"/>
      <c r="AK1067" s="115"/>
      <c r="AL1067" s="115"/>
      <c r="AM1067" s="115"/>
      <c r="AN1067" s="115"/>
      <c r="AO1067" s="115"/>
      <c r="AP1067" s="115"/>
      <c r="AQ1067" s="115"/>
      <c r="AS1067" s="115"/>
      <c r="AT1067" s="115"/>
      <c r="AU1067" s="115"/>
      <c r="AV1067" s="115"/>
      <c r="AW1067" s="115"/>
    </row>
    <row r="1068" spans="15:49">
      <c r="O1068" s="91"/>
      <c r="X1068" s="115">
        <f t="shared" si="147"/>
        <v>0</v>
      </c>
      <c r="Y1068" s="115">
        <f t="shared" si="148"/>
        <v>0</v>
      </c>
      <c r="Z1068" s="115" t="e">
        <f t="shared" si="149"/>
        <v>#VALUE!</v>
      </c>
      <c r="AA1068" s="115">
        <f t="shared" si="150"/>
        <v>0</v>
      </c>
      <c r="AC1068" s="91"/>
      <c r="AD1068" s="374" t="s">
        <v>270</v>
      </c>
      <c r="AE1068" s="374"/>
      <c r="AF1068" s="374"/>
      <c r="AG1068" s="115">
        <f>COUNTIFS(D:D,"DD",G:G,"STANGK",L:L,"3;1")</f>
        <v>0</v>
      </c>
      <c r="AH1068" s="115"/>
      <c r="AI1068" s="374" t="s">
        <v>270</v>
      </c>
      <c r="AJ1068" s="374"/>
      <c r="AK1068" s="374"/>
      <c r="AL1068" s="115">
        <f>COUNTIFS(D:D,"DD",G:G,"STANGK",L:L,"3;0")</f>
        <v>0</v>
      </c>
      <c r="AM1068" s="115"/>
      <c r="AN1068" s="374" t="s">
        <v>270</v>
      </c>
      <c r="AO1068" s="374"/>
      <c r="AP1068" s="374"/>
      <c r="AQ1068" s="115">
        <f>COUNTIFS(D:D,"DD",G:G,"STANGK",L:L,"3;-1")</f>
        <v>0</v>
      </c>
      <c r="AS1068" s="115"/>
      <c r="AT1068" s="115"/>
      <c r="AU1068" s="115"/>
      <c r="AV1068" s="115"/>
      <c r="AW1068" s="115"/>
    </row>
    <row r="1069" spans="15:49">
      <c r="O1069" s="91"/>
      <c r="X1069" s="115">
        <f t="shared" si="147"/>
        <v>0</v>
      </c>
      <c r="Y1069" s="115">
        <f t="shared" si="148"/>
        <v>0</v>
      </c>
      <c r="Z1069" s="115" t="e">
        <f t="shared" si="149"/>
        <v>#VALUE!</v>
      </c>
      <c r="AA1069" s="115">
        <f t="shared" si="150"/>
        <v>0</v>
      </c>
      <c r="AC1069" s="91"/>
      <c r="AD1069" s="374" t="s">
        <v>271</v>
      </c>
      <c r="AE1069" s="374"/>
      <c r="AF1069" s="374"/>
      <c r="AG1069" s="115">
        <f>COUNTIFS(D:D,"DD",G:G,"STANGK",L:L,"3;1",P:P,"EI")</f>
        <v>0</v>
      </c>
      <c r="AH1069" s="115"/>
      <c r="AI1069" s="374" t="s">
        <v>271</v>
      </c>
      <c r="AJ1069" s="374"/>
      <c r="AK1069" s="374"/>
      <c r="AL1069" s="115">
        <f>COUNTIFS(D:D,"DD",G:G,"STANGK",L:L,"3;0",P:P,"EI")</f>
        <v>0</v>
      </c>
      <c r="AM1069" s="115"/>
      <c r="AN1069" s="374" t="s">
        <v>271</v>
      </c>
      <c r="AO1069" s="374"/>
      <c r="AP1069" s="374"/>
      <c r="AQ1069" s="115">
        <f>COUNTIFS(D:D,"DD",G:G,"STANGK",L:L,"3;-1",P:P,"EI")</f>
        <v>0</v>
      </c>
      <c r="AS1069" s="115"/>
      <c r="AT1069" s="115"/>
      <c r="AU1069" s="115"/>
      <c r="AV1069" s="115"/>
      <c r="AW1069" s="115"/>
    </row>
    <row r="1070" spans="15:49">
      <c r="O1070" s="91"/>
      <c r="X1070" s="115">
        <f t="shared" si="147"/>
        <v>0</v>
      </c>
      <c r="Y1070" s="115">
        <f t="shared" si="148"/>
        <v>0</v>
      </c>
      <c r="Z1070" s="115" t="e">
        <f t="shared" si="149"/>
        <v>#VALUE!</v>
      </c>
      <c r="AA1070" s="115">
        <f t="shared" si="150"/>
        <v>0</v>
      </c>
      <c r="AC1070" s="91"/>
      <c r="AD1070" s="374" t="s">
        <v>272</v>
      </c>
      <c r="AE1070" s="374"/>
      <c r="AF1070" s="374"/>
      <c r="AG1070" s="151" t="e">
        <f>AG1069/AG1068</f>
        <v>#DIV/0!</v>
      </c>
      <c r="AH1070" s="115"/>
      <c r="AI1070" s="374" t="s">
        <v>272</v>
      </c>
      <c r="AJ1070" s="374"/>
      <c r="AK1070" s="374"/>
      <c r="AL1070" s="151" t="e">
        <f>AL1069/AL1068</f>
        <v>#DIV/0!</v>
      </c>
      <c r="AM1070" s="115"/>
      <c r="AN1070" s="374" t="s">
        <v>272</v>
      </c>
      <c r="AO1070" s="374"/>
      <c r="AP1070" s="374"/>
      <c r="AQ1070" s="151" t="e">
        <f>AQ1069/AQ1068</f>
        <v>#DIV/0!</v>
      </c>
      <c r="AS1070" s="115"/>
      <c r="AT1070" s="115"/>
      <c r="AU1070" s="115"/>
      <c r="AV1070" s="115"/>
      <c r="AW1070" s="115"/>
    </row>
    <row r="1071" spans="15:49">
      <c r="O1071" s="91"/>
      <c r="X1071" s="115">
        <f t="shared" si="147"/>
        <v>0</v>
      </c>
      <c r="Y1071" s="115">
        <f t="shared" si="148"/>
        <v>0</v>
      </c>
      <c r="Z1071" s="115" t="e">
        <f t="shared" si="149"/>
        <v>#VALUE!</v>
      </c>
      <c r="AA1071" s="115">
        <f t="shared" si="150"/>
        <v>0</v>
      </c>
      <c r="AC1071" s="91"/>
      <c r="AD1071" s="374" t="s">
        <v>318</v>
      </c>
      <c r="AE1071" s="374"/>
      <c r="AF1071" s="374"/>
      <c r="AG1071" s="178">
        <f>COUNTIFS(D:D,"DD",G:G,"STANGK",L:L,"3;1",V:V,"JAH")+COUNTIFS(D:D,"DD",G:G,"STANGK",L:L,"3;1",V:V,"EI")</f>
        <v>0</v>
      </c>
      <c r="AH1071" s="115"/>
      <c r="AI1071" s="374" t="s">
        <v>318</v>
      </c>
      <c r="AJ1071" s="374"/>
      <c r="AK1071" s="374"/>
      <c r="AL1071" s="178">
        <f>COUNTIFS(D:D,"DD",G:G,"STANGK",L:L,"3;0",V:V,"JAH")+COUNTIFS(D:D,"DD",G:G,"STANGK",L:L,"3;0",V:V,"EI")</f>
        <v>0</v>
      </c>
      <c r="AM1071" s="115"/>
      <c r="AN1071" s="374" t="s">
        <v>318</v>
      </c>
      <c r="AO1071" s="374"/>
      <c r="AP1071" s="374"/>
      <c r="AQ1071" s="178">
        <f>COUNTIFS(D:D,"DD",G:G,"STANGK",L:L,"3;-1",V:V,"JAH")+COUNTIFS(D:D,"DD",G:G,"STANGK",L:L,"3;-1",V:V,"EI")</f>
        <v>0</v>
      </c>
      <c r="AS1071" s="115"/>
      <c r="AT1071" s="115"/>
      <c r="AU1071" s="115"/>
      <c r="AV1071" s="115"/>
      <c r="AW1071" s="115"/>
    </row>
    <row r="1072" spans="15:49">
      <c r="O1072" s="91"/>
      <c r="X1072" s="115">
        <f t="shared" si="147"/>
        <v>0</v>
      </c>
      <c r="Y1072" s="115">
        <f t="shared" si="148"/>
        <v>0</v>
      </c>
      <c r="Z1072" s="115" t="e">
        <f t="shared" si="149"/>
        <v>#VALUE!</v>
      </c>
      <c r="AA1072" s="115">
        <f t="shared" si="150"/>
        <v>0</v>
      </c>
      <c r="AC1072" s="91"/>
      <c r="AD1072" s="374" t="s">
        <v>291</v>
      </c>
      <c r="AE1072" s="374"/>
      <c r="AF1072" s="374"/>
      <c r="AG1072" s="115">
        <f>COUNTIFS(D:D,"DD",G:G,"STANGK",L:L,"3;1",V:V,"EI")</f>
        <v>0</v>
      </c>
      <c r="AH1072" s="115"/>
      <c r="AI1072" s="374" t="s">
        <v>291</v>
      </c>
      <c r="AJ1072" s="374"/>
      <c r="AK1072" s="374"/>
      <c r="AL1072" s="115">
        <f>COUNTIFS(D:D,"DD",G:G,"STANGK",L:L,"3;0",V:V,"EI")</f>
        <v>0</v>
      </c>
      <c r="AM1072" s="115"/>
      <c r="AN1072" s="374" t="s">
        <v>291</v>
      </c>
      <c r="AO1072" s="374"/>
      <c r="AP1072" s="374"/>
      <c r="AQ1072" s="115">
        <f>COUNTIFS(D:D,"DD",G:G,"STANGK",L:L,"3;-1",V:V,"EI")</f>
        <v>0</v>
      </c>
      <c r="AS1072" s="115"/>
      <c r="AT1072" s="115"/>
      <c r="AU1072" s="115"/>
      <c r="AV1072" s="115"/>
      <c r="AW1072" s="115"/>
    </row>
    <row r="1073" spans="15:49">
      <c r="O1073" s="91"/>
      <c r="X1073" s="115">
        <f t="shared" si="147"/>
        <v>0</v>
      </c>
      <c r="Y1073" s="115">
        <f t="shared" si="148"/>
        <v>0</v>
      </c>
      <c r="Z1073" s="115" t="e">
        <f t="shared" si="149"/>
        <v>#VALUE!</v>
      </c>
      <c r="AA1073" s="115">
        <f t="shared" si="150"/>
        <v>0</v>
      </c>
      <c r="AC1073" s="91"/>
      <c r="AD1073" s="374" t="s">
        <v>292</v>
      </c>
      <c r="AE1073" s="374"/>
      <c r="AF1073" s="374"/>
      <c r="AG1073" s="151" t="e">
        <f>AG1072/AG1071</f>
        <v>#DIV/0!</v>
      </c>
      <c r="AH1073" s="115"/>
      <c r="AI1073" s="374" t="s">
        <v>292</v>
      </c>
      <c r="AJ1073" s="374"/>
      <c r="AK1073" s="374"/>
      <c r="AL1073" s="151" t="e">
        <f>AL1072/AL1071</f>
        <v>#DIV/0!</v>
      </c>
      <c r="AM1073" s="115"/>
      <c r="AN1073" s="374" t="s">
        <v>292</v>
      </c>
      <c r="AO1073" s="374"/>
      <c r="AP1073" s="374"/>
      <c r="AQ1073" s="151" t="e">
        <f>AQ1072/AQ1071</f>
        <v>#DIV/0!</v>
      </c>
      <c r="AS1073" s="115"/>
      <c r="AT1073" s="115"/>
      <c r="AU1073" s="115"/>
      <c r="AV1073" s="115"/>
      <c r="AW1073" s="115"/>
    </row>
    <row r="1074" spans="15:49">
      <c r="O1074" s="91"/>
      <c r="X1074" s="115">
        <f t="shared" si="147"/>
        <v>0</v>
      </c>
      <c r="Y1074" s="115">
        <f t="shared" si="148"/>
        <v>0</v>
      </c>
      <c r="Z1074" s="115" t="e">
        <f t="shared" si="149"/>
        <v>#VALUE!</v>
      </c>
      <c r="AA1074" s="115">
        <f t="shared" si="150"/>
        <v>0</v>
      </c>
      <c r="AC1074" s="91"/>
      <c r="AD1074" s="374" t="s">
        <v>724</v>
      </c>
      <c r="AE1074" s="374"/>
      <c r="AF1074" s="374"/>
      <c r="AG1074" s="115">
        <f>COUNTIFS(D:D,"DD",G:G,"STANGK",L:L,"3;1",F:F,"ATONGOAL")</f>
        <v>0</v>
      </c>
      <c r="AH1074" s="115"/>
      <c r="AI1074" s="374" t="s">
        <v>724</v>
      </c>
      <c r="AJ1074" s="374"/>
      <c r="AK1074" s="374"/>
      <c r="AL1074" s="115">
        <f>COUNTIFS(D:D,"DD",G:G,"STANGK",L:L,"3;0",F:F,"ATONGOAL")</f>
        <v>0</v>
      </c>
      <c r="AM1074" s="115"/>
      <c r="AN1074" s="374" t="s">
        <v>724</v>
      </c>
      <c r="AO1074" s="374"/>
      <c r="AP1074" s="374"/>
      <c r="AQ1074" s="115">
        <f>COUNTIFS(D:D,"DD",G:G,"STANGK",L:L,"3;-1",F:F,"ATONGOAL")</f>
        <v>0</v>
      </c>
      <c r="AS1074" s="115"/>
      <c r="AT1074" s="115"/>
      <c r="AU1074" s="115"/>
      <c r="AV1074" s="115"/>
      <c r="AW1074" s="115"/>
    </row>
    <row r="1075" spans="15:49">
      <c r="O1075" s="91"/>
      <c r="X1075" s="115">
        <f t="shared" si="147"/>
        <v>0</v>
      </c>
      <c r="Y1075" s="115">
        <f t="shared" si="148"/>
        <v>0</v>
      </c>
      <c r="Z1075" s="115" t="e">
        <f t="shared" si="149"/>
        <v>#VALUE!</v>
      </c>
      <c r="AA1075" s="115">
        <f t="shared" si="150"/>
        <v>0</v>
      </c>
      <c r="AC1075" s="91"/>
      <c r="AD1075" s="374" t="s">
        <v>336</v>
      </c>
      <c r="AE1075" s="374"/>
      <c r="AF1075" s="374"/>
      <c r="AG1075" s="115">
        <f>COUNTIFS(D:D,"DD",G:G,"STANGK",L:L,"3;1",F:F,"ATON")</f>
        <v>0</v>
      </c>
      <c r="AH1075" s="115"/>
      <c r="AI1075" s="374" t="s">
        <v>336</v>
      </c>
      <c r="AJ1075" s="374"/>
      <c r="AK1075" s="374"/>
      <c r="AL1075" s="115">
        <f>COUNTIFS(D:D,"DD",G:G,"STANGK",L:L,"3;0",F:F,"ATON")</f>
        <v>0</v>
      </c>
      <c r="AM1075" s="115"/>
      <c r="AN1075" s="374" t="s">
        <v>336</v>
      </c>
      <c r="AO1075" s="374"/>
      <c r="AP1075" s="374"/>
      <c r="AQ1075" s="115">
        <f>COUNTIFS(D:D,"DD",G:G,"STANGK",L:L,"3;-1",F:F,"ATON")</f>
        <v>0</v>
      </c>
      <c r="AS1075" s="115"/>
      <c r="AT1075" s="115"/>
      <c r="AU1075" s="115"/>
      <c r="AV1075" s="115"/>
      <c r="AW1075" s="115"/>
    </row>
    <row r="1076" spans="15:49" s="115" customFormat="1">
      <c r="O1076" s="91"/>
      <c r="X1076" s="115">
        <f t="shared" si="147"/>
        <v>0</v>
      </c>
      <c r="Y1076" s="115">
        <f t="shared" si="148"/>
        <v>0</v>
      </c>
      <c r="Z1076" s="115" t="e">
        <f t="shared" si="149"/>
        <v>#VALUE!</v>
      </c>
      <c r="AA1076" s="115">
        <f t="shared" si="150"/>
        <v>0</v>
      </c>
      <c r="AB1076" s="246"/>
      <c r="AC1076" s="91"/>
      <c r="AD1076" s="374" t="s">
        <v>337</v>
      </c>
      <c r="AE1076" s="374"/>
      <c r="AF1076" s="374"/>
      <c r="AG1076" s="115">
        <f>COUNTIFS(D:D,"DD",G:G,"STANGK",L:L,"3;1",F:F,"ATOF")</f>
        <v>0</v>
      </c>
      <c r="AI1076" s="374" t="s">
        <v>337</v>
      </c>
      <c r="AJ1076" s="374"/>
      <c r="AK1076" s="374"/>
      <c r="AL1076" s="115">
        <f>COUNTIFS(D:D,"DD",G:G,"STANGK",L:L,"3;0",F:F,"ATOF")</f>
        <v>0</v>
      </c>
      <c r="AN1076" s="374" t="s">
        <v>337</v>
      </c>
      <c r="AO1076" s="374"/>
      <c r="AP1076" s="374"/>
      <c r="AQ1076" s="115">
        <f>COUNTIFS(D:D,"DD",G:G,"STANGK",L:L,"3;-1",F:F,"ATOF")</f>
        <v>0</v>
      </c>
    </row>
    <row r="1077" spans="15:49" s="115" customFormat="1">
      <c r="O1077" s="91"/>
      <c r="X1077" s="115">
        <f t="shared" si="147"/>
        <v>0</v>
      </c>
      <c r="Y1077" s="115">
        <f t="shared" si="148"/>
        <v>0</v>
      </c>
      <c r="Z1077" s="115" t="e">
        <f t="shared" si="149"/>
        <v>#VALUE!</v>
      </c>
      <c r="AA1077" s="115">
        <f t="shared" si="150"/>
        <v>0</v>
      </c>
      <c r="AB1077" s="246"/>
      <c r="AC1077" s="91"/>
      <c r="AD1077" s="374" t="s">
        <v>338</v>
      </c>
      <c r="AE1077" s="374"/>
      <c r="AF1077" s="374"/>
      <c r="AG1077" s="115">
        <f>COUNTIFS(D:D,"DD",G:G,"STANGK",L:L,"3;1",F:F,"ATBK")</f>
        <v>0</v>
      </c>
      <c r="AI1077" s="374" t="s">
        <v>338</v>
      </c>
      <c r="AJ1077" s="374"/>
      <c r="AK1077" s="374"/>
      <c r="AL1077" s="115">
        <f>COUNTIFS(D:D,"DD",G:G,"STANGK",L:L,"3;0",F:F,"ATBK")</f>
        <v>0</v>
      </c>
      <c r="AN1077" s="374" t="s">
        <v>338</v>
      </c>
      <c r="AO1077" s="374"/>
      <c r="AP1077" s="374"/>
      <c r="AQ1077" s="115">
        <f>COUNTIFS(D:D,"DD",G:G,"STANGK",L:L,"3;-1",F:F,"ATBK")</f>
        <v>0</v>
      </c>
    </row>
    <row r="1078" spans="15:49">
      <c r="O1078" s="91"/>
      <c r="X1078" s="115">
        <f t="shared" si="147"/>
        <v>0</v>
      </c>
      <c r="Y1078" s="115">
        <f t="shared" si="148"/>
        <v>0</v>
      </c>
      <c r="Z1078" s="115" t="e">
        <f t="shared" si="149"/>
        <v>#VALUE!</v>
      </c>
      <c r="AA1078" s="115">
        <f t="shared" si="150"/>
        <v>0</v>
      </c>
      <c r="AC1078" s="91"/>
      <c r="AD1078" s="374" t="s">
        <v>315</v>
      </c>
      <c r="AE1078" s="374"/>
      <c r="AF1078" s="374"/>
      <c r="AG1078" s="115">
        <f>COUNTIFS(D:D,"DD",G:G,"STANGK",L:L,"3;1",E:E,"NEG",F:F,"WINSTAN")</f>
        <v>0</v>
      </c>
      <c r="AH1078" s="115"/>
      <c r="AI1078" s="374" t="s">
        <v>315</v>
      </c>
      <c r="AJ1078" s="374"/>
      <c r="AK1078" s="374"/>
      <c r="AL1078" s="115">
        <f>COUNTIFS(D:D,"DD",G:G,"STANGK",L:L,"3;0",E:E,"NEG",F:F,"WINSTAN")</f>
        <v>0</v>
      </c>
      <c r="AM1078" s="115"/>
      <c r="AN1078" s="374" t="s">
        <v>315</v>
      </c>
      <c r="AO1078" s="374"/>
      <c r="AP1078" s="374"/>
      <c r="AQ1078" s="115">
        <f>COUNTIFS(D:D,"DD",G:G,"STANGK",L:L,"3;-1",E:E,"NEG",F:F,"WINSTAN")</f>
        <v>0</v>
      </c>
      <c r="AS1078" s="115"/>
      <c r="AT1078" s="115"/>
      <c r="AU1078" s="115"/>
      <c r="AV1078" s="115"/>
      <c r="AW1078" s="115"/>
    </row>
    <row r="1079" spans="15:49" s="115" customFormat="1">
      <c r="O1079" s="91"/>
      <c r="X1079" s="115">
        <f t="shared" si="147"/>
        <v>0</v>
      </c>
      <c r="Y1079" s="115">
        <f t="shared" si="148"/>
        <v>0</v>
      </c>
      <c r="Z1079" s="115" t="e">
        <f t="shared" si="149"/>
        <v>#VALUE!</v>
      </c>
      <c r="AA1079" s="115">
        <f t="shared" si="150"/>
        <v>0</v>
      </c>
      <c r="AB1079" s="246"/>
      <c r="AC1079" s="91"/>
      <c r="AD1079" s="374" t="s">
        <v>339</v>
      </c>
      <c r="AE1079" s="374"/>
      <c r="AF1079" s="374"/>
      <c r="AG1079" s="115">
        <f>COUNTIFS(D:D,"DD",G:G,"STANGK",L:L,"3;1",E:E,"NEG",F:F,"WINSTANTI")</f>
        <v>0</v>
      </c>
      <c r="AI1079" s="374" t="s">
        <v>339</v>
      </c>
      <c r="AJ1079" s="374"/>
      <c r="AK1079" s="374"/>
      <c r="AL1079" s="115">
        <f>COUNTIFS(D:D,"DD",G:G,"STANGK",L:L,"3;0",E:E,"NEG",F:F,"WINSTANTI")</f>
        <v>0</v>
      </c>
      <c r="AN1079" s="374" t="s">
        <v>339</v>
      </c>
      <c r="AO1079" s="374"/>
      <c r="AP1079" s="374"/>
      <c r="AQ1079" s="115">
        <f>COUNTIFS(D:D,"DD",G:G,"STANGK",L:L,"3;-1",E:E,"NEG",F:F,"WINSTANTI")</f>
        <v>0</v>
      </c>
    </row>
    <row r="1080" spans="15:49">
      <c r="O1080" s="91"/>
      <c r="X1080" s="115">
        <f t="shared" si="147"/>
        <v>0</v>
      </c>
      <c r="Y1080" s="115">
        <f t="shared" si="148"/>
        <v>0</v>
      </c>
      <c r="Z1080" s="115" t="e">
        <f t="shared" si="149"/>
        <v>#VALUE!</v>
      </c>
      <c r="AA1080" s="115">
        <f t="shared" si="150"/>
        <v>0</v>
      </c>
      <c r="AC1080" s="91"/>
      <c r="AD1080" s="374" t="s">
        <v>316</v>
      </c>
      <c r="AE1080" s="374"/>
      <c r="AF1080" s="374"/>
      <c r="AG1080" s="115">
        <f>COUNTIFS(D:D,"DD",G:G,"STANGK",L:L,"3;1",F:F,"ENTRY")</f>
        <v>0</v>
      </c>
      <c r="AH1080" s="115"/>
      <c r="AI1080" s="374" t="s">
        <v>316</v>
      </c>
      <c r="AJ1080" s="374"/>
      <c r="AK1080" s="374"/>
      <c r="AL1080" s="115">
        <f>COUNTIFS(D:D,"DD",G:G,"STANGK",L:L,"3;0",F:F,"ENTRY")</f>
        <v>0</v>
      </c>
      <c r="AM1080" s="115"/>
      <c r="AN1080" s="374" t="s">
        <v>316</v>
      </c>
      <c r="AO1080" s="374"/>
      <c r="AP1080" s="374"/>
      <c r="AQ1080" s="115">
        <f>COUNTIFS(D:D,"DD",G:G,"STANGK",L:L,"3;-1",F:F,"ENTRY")</f>
        <v>0</v>
      </c>
      <c r="AS1080" s="115"/>
      <c r="AT1080" s="115"/>
      <c r="AU1080" s="115"/>
      <c r="AV1080" s="115"/>
      <c r="AW1080" s="115"/>
    </row>
    <row r="1081" spans="15:49">
      <c r="O1081" s="91"/>
      <c r="X1081" s="115">
        <f t="shared" si="147"/>
        <v>0</v>
      </c>
      <c r="Y1081" s="115">
        <f t="shared" si="148"/>
        <v>0</v>
      </c>
      <c r="Z1081" s="115" t="e">
        <f t="shared" si="149"/>
        <v>#VALUE!</v>
      </c>
      <c r="AA1081" s="115">
        <f t="shared" si="150"/>
        <v>0</v>
      </c>
      <c r="AC1081" s="91"/>
      <c r="AD1081" s="374" t="s">
        <v>293</v>
      </c>
      <c r="AE1081" s="374"/>
      <c r="AF1081" s="374"/>
      <c r="AG1081" s="115">
        <f>COUNTIFS(D:D,"DD",G:G,"STANGK",L:L,"3;1",F:F,"KEEPOS")</f>
        <v>0</v>
      </c>
      <c r="AH1081" s="115"/>
      <c r="AI1081" s="374" t="s">
        <v>293</v>
      </c>
      <c r="AJ1081" s="374"/>
      <c r="AK1081" s="374"/>
      <c r="AL1081" s="115">
        <f>COUNTIFS(D:D,"DD",G:G,"STANGK",L:L,"3;0",F:F,"KEEPOS")</f>
        <v>0</v>
      </c>
      <c r="AM1081" s="115"/>
      <c r="AN1081" s="374" t="s">
        <v>293</v>
      </c>
      <c r="AO1081" s="374"/>
      <c r="AP1081" s="374"/>
      <c r="AQ1081" s="115">
        <f>COUNTIFS(D:D,"DD",G:G,"STANGK",L:L,"3;-1",F:F,"KEEPOS")</f>
        <v>0</v>
      </c>
      <c r="AS1081" s="115"/>
      <c r="AT1081" s="115"/>
      <c r="AU1081" s="115"/>
      <c r="AV1081" s="115"/>
      <c r="AW1081" s="115"/>
    </row>
    <row r="1082" spans="15:49">
      <c r="O1082" s="91"/>
      <c r="X1082" s="115">
        <f t="shared" si="147"/>
        <v>0</v>
      </c>
      <c r="Y1082" s="115">
        <f t="shared" si="148"/>
        <v>0</v>
      </c>
      <c r="Z1082" s="115" t="e">
        <f t="shared" si="149"/>
        <v>#VALUE!</v>
      </c>
      <c r="AA1082" s="115">
        <f t="shared" si="150"/>
        <v>0</v>
      </c>
      <c r="AC1082" s="91"/>
      <c r="AD1082" s="374" t="s">
        <v>319</v>
      </c>
      <c r="AE1082" s="374"/>
      <c r="AF1082" s="374"/>
      <c r="AG1082" s="151" t="e">
        <f>SUM(AG1074:AG1081)/AG1068</f>
        <v>#DIV/0!</v>
      </c>
      <c r="AH1082" s="115"/>
      <c r="AI1082" s="374" t="s">
        <v>319</v>
      </c>
      <c r="AJ1082" s="374"/>
      <c r="AK1082" s="374"/>
      <c r="AL1082" s="151" t="e">
        <f>SUM(AL1074:AL1081)/AL1068</f>
        <v>#DIV/0!</v>
      </c>
      <c r="AM1082" s="115"/>
      <c r="AN1082" s="374" t="s">
        <v>319</v>
      </c>
      <c r="AO1082" s="374"/>
      <c r="AP1082" s="374"/>
      <c r="AQ1082" s="151" t="e">
        <f>SUM(AQ1074:AQ1081)/AQ1068</f>
        <v>#DIV/0!</v>
      </c>
      <c r="AS1082" s="115"/>
      <c r="AT1082" s="115"/>
      <c r="AU1082" s="115"/>
      <c r="AV1082" s="115"/>
      <c r="AW1082" s="115"/>
    </row>
    <row r="1083" spans="15:49">
      <c r="O1083" s="91"/>
      <c r="X1083" s="115">
        <f t="shared" si="147"/>
        <v>0</v>
      </c>
      <c r="Y1083" s="115">
        <f t="shared" si="148"/>
        <v>0</v>
      </c>
      <c r="Z1083" s="115" t="e">
        <f t="shared" si="149"/>
        <v>#VALUE!</v>
      </c>
      <c r="AA1083" s="115">
        <f t="shared" si="150"/>
        <v>0</v>
      </c>
      <c r="AC1083" s="91"/>
      <c r="AD1083" s="115"/>
      <c r="AE1083" s="115"/>
      <c r="AF1083" s="115"/>
      <c r="AG1083" s="115"/>
      <c r="AH1083" s="115"/>
      <c r="AI1083" s="115"/>
      <c r="AJ1083" s="115"/>
      <c r="AK1083" s="115"/>
      <c r="AL1083" s="115"/>
      <c r="AM1083" s="115"/>
      <c r="AN1083" s="115"/>
      <c r="AO1083" s="115"/>
      <c r="AP1083" s="115"/>
      <c r="AQ1083" s="115"/>
      <c r="AS1083" s="115"/>
      <c r="AT1083" s="115"/>
      <c r="AU1083" s="115"/>
      <c r="AV1083" s="115"/>
      <c r="AW1083" s="115"/>
    </row>
    <row r="1084" spans="15:49">
      <c r="O1084" s="91"/>
      <c r="X1084" s="115">
        <f t="shared" si="147"/>
        <v>0</v>
      </c>
      <c r="Y1084" s="115">
        <f t="shared" si="148"/>
        <v>0</v>
      </c>
      <c r="Z1084" s="115" t="e">
        <f t="shared" si="149"/>
        <v>#VALUE!</v>
      </c>
      <c r="AA1084" s="115">
        <f t="shared" si="150"/>
        <v>0</v>
      </c>
      <c r="AC1084" s="91"/>
      <c r="AD1084" s="384" t="s">
        <v>270</v>
      </c>
      <c r="AE1084" s="385"/>
      <c r="AF1084" s="385"/>
      <c r="AG1084" s="207">
        <f>COUNTIFS(D:D,"DD",G:G,"STANGK",L:L,"4;1")</f>
        <v>0</v>
      </c>
      <c r="AH1084" s="115"/>
      <c r="AI1084" s="374" t="s">
        <v>270</v>
      </c>
      <c r="AJ1084" s="374"/>
      <c r="AK1084" s="374"/>
      <c r="AL1084" s="115">
        <f>COUNTIFS(D:D,"DD",G:G,"STANGK",L:L,"4;0")</f>
        <v>0</v>
      </c>
      <c r="AM1084" s="115"/>
      <c r="AN1084" s="384" t="s">
        <v>270</v>
      </c>
      <c r="AO1084" s="385"/>
      <c r="AP1084" s="385"/>
      <c r="AQ1084" s="207">
        <f>COUNTIFS(D:D,"DD",G:G,"STANGK",L:L,"4;-1")</f>
        <v>0</v>
      </c>
      <c r="AS1084" s="115"/>
      <c r="AT1084" s="115"/>
      <c r="AU1084" s="115"/>
      <c r="AV1084" s="115"/>
      <c r="AW1084" s="115"/>
    </row>
    <row r="1085" spans="15:49">
      <c r="O1085" s="91"/>
      <c r="X1085" s="115">
        <f t="shared" si="147"/>
        <v>0</v>
      </c>
      <c r="Y1085" s="115">
        <f t="shared" si="148"/>
        <v>0</v>
      </c>
      <c r="Z1085" s="115" t="e">
        <f t="shared" si="149"/>
        <v>#VALUE!</v>
      </c>
      <c r="AA1085" s="115">
        <f t="shared" si="150"/>
        <v>0</v>
      </c>
      <c r="AC1085" s="91"/>
      <c r="AD1085" s="375" t="s">
        <v>271</v>
      </c>
      <c r="AE1085" s="376"/>
      <c r="AF1085" s="376"/>
      <c r="AG1085" s="209">
        <f>COUNTIFS(D:D,"DD",G:G,"STANGK",L:L,"4;1",P:P,"EI")</f>
        <v>0</v>
      </c>
      <c r="AH1085" s="115"/>
      <c r="AI1085" s="374" t="s">
        <v>271</v>
      </c>
      <c r="AJ1085" s="374"/>
      <c r="AK1085" s="374"/>
      <c r="AL1085" s="115">
        <f>COUNTIFS(D:D,"DD",G:G,"STANGK",L:L,"4;0",P:P,"EI")</f>
        <v>0</v>
      </c>
      <c r="AM1085" s="115"/>
      <c r="AN1085" s="375" t="s">
        <v>271</v>
      </c>
      <c r="AO1085" s="376"/>
      <c r="AP1085" s="376"/>
      <c r="AQ1085" s="209">
        <f>COUNTIFS(D:D,"DD",G:G,"STANGK",L:L,"4;-1",P:P,"EI")</f>
        <v>0</v>
      </c>
      <c r="AS1085" s="115"/>
      <c r="AT1085" s="115"/>
      <c r="AU1085" s="115"/>
      <c r="AV1085" s="115"/>
      <c r="AW1085" s="115"/>
    </row>
    <row r="1086" spans="15:49">
      <c r="O1086" s="91"/>
      <c r="X1086" s="115">
        <f t="shared" si="147"/>
        <v>0</v>
      </c>
      <c r="Y1086" s="115">
        <f t="shared" si="148"/>
        <v>0</v>
      </c>
      <c r="Z1086" s="115" t="e">
        <f t="shared" si="149"/>
        <v>#VALUE!</v>
      </c>
      <c r="AA1086" s="115">
        <f t="shared" si="150"/>
        <v>0</v>
      </c>
      <c r="AC1086" s="91"/>
      <c r="AD1086" s="375" t="s">
        <v>272</v>
      </c>
      <c r="AE1086" s="376"/>
      <c r="AF1086" s="376"/>
      <c r="AG1086" s="253" t="e">
        <f>AG1085/AG1084</f>
        <v>#DIV/0!</v>
      </c>
      <c r="AH1086" s="115"/>
      <c r="AI1086" s="374" t="s">
        <v>272</v>
      </c>
      <c r="AJ1086" s="374"/>
      <c r="AK1086" s="374"/>
      <c r="AL1086" s="151" t="e">
        <f>AL1085/AL1084</f>
        <v>#DIV/0!</v>
      </c>
      <c r="AM1086" s="115"/>
      <c r="AN1086" s="375" t="s">
        <v>272</v>
      </c>
      <c r="AO1086" s="376"/>
      <c r="AP1086" s="376"/>
      <c r="AQ1086" s="253" t="e">
        <f>AQ1085/AQ1084</f>
        <v>#DIV/0!</v>
      </c>
      <c r="AS1086" s="115"/>
      <c r="AT1086" s="115"/>
      <c r="AU1086" s="115"/>
      <c r="AV1086" s="115"/>
      <c r="AW1086" s="115"/>
    </row>
    <row r="1087" spans="15:49">
      <c r="O1087" s="91"/>
      <c r="X1087" s="115">
        <f t="shared" si="147"/>
        <v>0</v>
      </c>
      <c r="Y1087" s="115">
        <f t="shared" si="148"/>
        <v>0</v>
      </c>
      <c r="Z1087" s="115" t="e">
        <f t="shared" si="149"/>
        <v>#VALUE!</v>
      </c>
      <c r="AA1087" s="115">
        <f t="shared" si="150"/>
        <v>0</v>
      </c>
      <c r="AC1087" s="91"/>
      <c r="AD1087" s="375" t="s">
        <v>318</v>
      </c>
      <c r="AE1087" s="376"/>
      <c r="AF1087" s="376"/>
      <c r="AG1087" s="254">
        <f>COUNTIFS(D:D,"DD",G:G,"STANGK",L:L,"4;1",V:V,"JAH")+COUNTIFS(D:D,"DD",G:G,"STANGK",L:L,"4;1",V:V,"EI")</f>
        <v>0</v>
      </c>
      <c r="AH1087" s="115"/>
      <c r="AI1087" s="374" t="s">
        <v>318</v>
      </c>
      <c r="AJ1087" s="374"/>
      <c r="AK1087" s="374"/>
      <c r="AL1087" s="178">
        <f>COUNTIFS(D:D,"DD",G:G,"STANGK",L:L,"4;0",V:V,"JAH")+COUNTIFS(D:D,"DD",G:G,"STANGK",L:L,"4;0",V:V,"EI")</f>
        <v>0</v>
      </c>
      <c r="AM1087" s="115"/>
      <c r="AN1087" s="375" t="s">
        <v>318</v>
      </c>
      <c r="AO1087" s="376"/>
      <c r="AP1087" s="376"/>
      <c r="AQ1087" s="254">
        <f>COUNTIFS(D:D,"DD",G:G,"STANGK",L:L,"4;-1",V:V,"JAH")+COUNTIFS(D:D,"DD",G:G,"STANGK",L:L,"4;-1",V:V,"EI")</f>
        <v>0</v>
      </c>
      <c r="AS1087" s="115"/>
      <c r="AT1087" s="115"/>
      <c r="AU1087" s="115"/>
      <c r="AV1087" s="115"/>
      <c r="AW1087" s="115"/>
    </row>
    <row r="1088" spans="15:49">
      <c r="O1088" s="91"/>
      <c r="X1088" s="115">
        <f t="shared" si="147"/>
        <v>0</v>
      </c>
      <c r="Y1088" s="115">
        <f t="shared" si="148"/>
        <v>0</v>
      </c>
      <c r="Z1088" s="115" t="e">
        <f t="shared" si="149"/>
        <v>#VALUE!</v>
      </c>
      <c r="AA1088" s="115">
        <f t="shared" si="150"/>
        <v>0</v>
      </c>
      <c r="AC1088" s="91"/>
      <c r="AD1088" s="375" t="s">
        <v>291</v>
      </c>
      <c r="AE1088" s="376"/>
      <c r="AF1088" s="376"/>
      <c r="AG1088" s="209">
        <f>COUNTIFS(D:D,"DD",G:G,"STANGK",L:L,"4;1",V:V,"EI")</f>
        <v>0</v>
      </c>
      <c r="AH1088" s="115"/>
      <c r="AI1088" s="374" t="s">
        <v>291</v>
      </c>
      <c r="AJ1088" s="374"/>
      <c r="AK1088" s="374"/>
      <c r="AL1088" s="115">
        <f>COUNTIFS(D:D,"DD",G:G,"STANGK",L:L,"4;0",V:V,"EI")</f>
        <v>0</v>
      </c>
      <c r="AM1088" s="115"/>
      <c r="AN1088" s="375" t="s">
        <v>291</v>
      </c>
      <c r="AO1088" s="376"/>
      <c r="AP1088" s="376"/>
      <c r="AQ1088" s="209">
        <f>COUNTIFS(D:D,"DD",G:G,"STANGK",L:L,"4;-1",V:V,"EI")</f>
        <v>0</v>
      </c>
      <c r="AS1088" s="115"/>
      <c r="AT1088" s="115"/>
      <c r="AU1088" s="115"/>
      <c r="AV1088" s="115"/>
      <c r="AW1088" s="115"/>
    </row>
    <row r="1089" spans="15:49">
      <c r="O1089" s="91"/>
      <c r="X1089" s="115">
        <f t="shared" si="147"/>
        <v>0</v>
      </c>
      <c r="Y1089" s="115">
        <f t="shared" si="148"/>
        <v>0</v>
      </c>
      <c r="Z1089" s="115" t="e">
        <f t="shared" si="149"/>
        <v>#VALUE!</v>
      </c>
      <c r="AA1089" s="115">
        <f t="shared" si="150"/>
        <v>0</v>
      </c>
      <c r="AC1089" s="91"/>
      <c r="AD1089" s="375" t="s">
        <v>292</v>
      </c>
      <c r="AE1089" s="376"/>
      <c r="AF1089" s="376"/>
      <c r="AG1089" s="253" t="e">
        <f>AG1088/AG1087</f>
        <v>#DIV/0!</v>
      </c>
      <c r="AH1089" s="115"/>
      <c r="AI1089" s="374" t="s">
        <v>292</v>
      </c>
      <c r="AJ1089" s="374"/>
      <c r="AK1089" s="374"/>
      <c r="AL1089" s="151" t="e">
        <f>AL1088/AL1087</f>
        <v>#DIV/0!</v>
      </c>
      <c r="AM1089" s="115"/>
      <c r="AN1089" s="375" t="s">
        <v>292</v>
      </c>
      <c r="AO1089" s="376"/>
      <c r="AP1089" s="376"/>
      <c r="AQ1089" s="253" t="e">
        <f>AQ1088/AQ1087</f>
        <v>#DIV/0!</v>
      </c>
      <c r="AS1089" s="115"/>
      <c r="AT1089" s="115"/>
      <c r="AU1089" s="115"/>
      <c r="AV1089" s="115"/>
      <c r="AW1089" s="115"/>
    </row>
    <row r="1090" spans="15:49">
      <c r="O1090" s="91"/>
      <c r="X1090" s="115">
        <f t="shared" si="147"/>
        <v>0</v>
      </c>
      <c r="Y1090" s="115">
        <f t="shared" si="148"/>
        <v>0</v>
      </c>
      <c r="Z1090" s="115" t="e">
        <f t="shared" si="149"/>
        <v>#VALUE!</v>
      </c>
      <c r="AA1090" s="115">
        <f t="shared" si="150"/>
        <v>0</v>
      </c>
      <c r="AC1090" s="91"/>
      <c r="AD1090" s="375" t="s">
        <v>724</v>
      </c>
      <c r="AE1090" s="376"/>
      <c r="AF1090" s="376"/>
      <c r="AG1090" s="209">
        <f>COUNTIFS(D:D,"DD",G:G,"STANGK",L:L,"4;1",F:F,"ATONGOAL")</f>
        <v>0</v>
      </c>
      <c r="AH1090" s="115"/>
      <c r="AI1090" s="374" t="s">
        <v>724</v>
      </c>
      <c r="AJ1090" s="374"/>
      <c r="AK1090" s="374"/>
      <c r="AL1090" s="115">
        <f>COUNTIFS(D:D,"DD",G:G,"STANGK",L:L,"4;0",F:F,"ATONGOAL")</f>
        <v>0</v>
      </c>
      <c r="AM1090" s="115"/>
      <c r="AN1090" s="375" t="s">
        <v>724</v>
      </c>
      <c r="AO1090" s="376"/>
      <c r="AP1090" s="376"/>
      <c r="AQ1090" s="209">
        <f>COUNTIFS(D:D,"DD",G:G,"STANGK",L:L,"4;-1",F:F,"ATONGOAL")</f>
        <v>0</v>
      </c>
      <c r="AS1090" s="115"/>
      <c r="AT1090" s="115"/>
      <c r="AU1090" s="115"/>
      <c r="AV1090" s="115"/>
      <c r="AW1090" s="115"/>
    </row>
    <row r="1091" spans="15:49">
      <c r="O1091" s="91"/>
      <c r="X1091" s="115">
        <f t="shared" ref="X1091:X1154" si="151">mapValues(E1091,F1091,"P265")</f>
        <v>0</v>
      </c>
      <c r="Y1091" s="115">
        <f t="shared" ref="Y1091:Y1154" si="152">X1090+X1091</f>
        <v>0</v>
      </c>
      <c r="Z1091" s="115" t="e">
        <f t="shared" ref="Z1091:Z1154" si="153">VALUE(MID(B1091,FIND(" ",B1091)+1,FIND(" ",B1091,FIND(" ",B1091)+1)-FIND(" ",B1091)))</f>
        <v>#VALUE!</v>
      </c>
      <c r="AA1091" s="115">
        <f t="shared" ref="AA1091:AA1154" si="154">T1091/1000</f>
        <v>0</v>
      </c>
      <c r="AC1091" s="91"/>
      <c r="AD1091" s="375" t="s">
        <v>336</v>
      </c>
      <c r="AE1091" s="376"/>
      <c r="AF1091" s="376"/>
      <c r="AG1091" s="209">
        <f>COUNTIFS(D:D,"DD",G:G,"STANGK",L:L,"4;1",F:F,"ATON")</f>
        <v>0</v>
      </c>
      <c r="AH1091" s="115"/>
      <c r="AI1091" s="374" t="s">
        <v>336</v>
      </c>
      <c r="AJ1091" s="374"/>
      <c r="AK1091" s="374"/>
      <c r="AL1091" s="115">
        <f>COUNTIFS(D:D,"DD",G:G,"STANGK",L:L,"4;0",F:F,"ATON")</f>
        <v>0</v>
      </c>
      <c r="AM1091" s="115"/>
      <c r="AN1091" s="375" t="s">
        <v>336</v>
      </c>
      <c r="AO1091" s="376"/>
      <c r="AP1091" s="376"/>
      <c r="AQ1091" s="209">
        <f>COUNTIFS(D:D,"DD",G:G,"STANGK",L:L,"4;-1",F:F,"ATON")</f>
        <v>0</v>
      </c>
      <c r="AS1091" s="115"/>
      <c r="AT1091" s="115"/>
      <c r="AU1091" s="115"/>
      <c r="AV1091" s="115"/>
      <c r="AW1091" s="115"/>
    </row>
    <row r="1092" spans="15:49" s="115" customFormat="1">
      <c r="O1092" s="91"/>
      <c r="X1092" s="115">
        <f t="shared" si="151"/>
        <v>0</v>
      </c>
      <c r="Y1092" s="115">
        <f t="shared" si="152"/>
        <v>0</v>
      </c>
      <c r="Z1092" s="115" t="e">
        <f t="shared" si="153"/>
        <v>#VALUE!</v>
      </c>
      <c r="AA1092" s="115">
        <f t="shared" si="154"/>
        <v>0</v>
      </c>
      <c r="AB1092" s="246"/>
      <c r="AC1092" s="91"/>
      <c r="AD1092" s="375" t="s">
        <v>337</v>
      </c>
      <c r="AE1092" s="376"/>
      <c r="AF1092" s="376"/>
      <c r="AG1092" s="209">
        <f>COUNTIFS(D:D,"DD",G:G,"STANGK",L:L,"4;1",F:F,"ATOF")</f>
        <v>0</v>
      </c>
      <c r="AI1092" s="374" t="s">
        <v>337</v>
      </c>
      <c r="AJ1092" s="374"/>
      <c r="AK1092" s="374"/>
      <c r="AL1092" s="115">
        <f>COUNTIFS(D:D,"DD",G:G,"STANGK",L:L,"4;0",F:F,"ATOF")</f>
        <v>0</v>
      </c>
      <c r="AN1092" s="375" t="s">
        <v>337</v>
      </c>
      <c r="AO1092" s="376"/>
      <c r="AP1092" s="376"/>
      <c r="AQ1092" s="209">
        <f>COUNTIFS(D:D,"DD",G:G,"STANGK",L:L,"4;-1",F:F,"ATOF")</f>
        <v>0</v>
      </c>
    </row>
    <row r="1093" spans="15:49" s="115" customFormat="1">
      <c r="O1093" s="91"/>
      <c r="X1093" s="115">
        <f t="shared" si="151"/>
        <v>0</v>
      </c>
      <c r="Y1093" s="115">
        <f t="shared" si="152"/>
        <v>0</v>
      </c>
      <c r="Z1093" s="115" t="e">
        <f t="shared" si="153"/>
        <v>#VALUE!</v>
      </c>
      <c r="AA1093" s="115">
        <f t="shared" si="154"/>
        <v>0</v>
      </c>
      <c r="AB1093" s="246"/>
      <c r="AC1093" s="91"/>
      <c r="AD1093" s="375" t="s">
        <v>338</v>
      </c>
      <c r="AE1093" s="376"/>
      <c r="AF1093" s="376"/>
      <c r="AG1093" s="209">
        <f>COUNTIFS(D:D,"DD",G:G,"STANGK",L:L,"4;1",F:F,"ATBK")</f>
        <v>0</v>
      </c>
      <c r="AI1093" s="374" t="s">
        <v>338</v>
      </c>
      <c r="AJ1093" s="374"/>
      <c r="AK1093" s="374"/>
      <c r="AL1093" s="115">
        <f>COUNTIFS(D:D,"DD",G:G,"STANGK",L:L,"4;0",F:F,"ATBK")</f>
        <v>0</v>
      </c>
      <c r="AN1093" s="375" t="s">
        <v>338</v>
      </c>
      <c r="AO1093" s="376"/>
      <c r="AP1093" s="376"/>
      <c r="AQ1093" s="209">
        <f>COUNTIFS(D:D,"DD",G:G,"STANGK",L:L,"4;-1",F:F,"ATBK")</f>
        <v>0</v>
      </c>
    </row>
    <row r="1094" spans="15:49">
      <c r="O1094" s="91"/>
      <c r="X1094" s="115">
        <f t="shared" si="151"/>
        <v>0</v>
      </c>
      <c r="Y1094" s="115">
        <f t="shared" si="152"/>
        <v>0</v>
      </c>
      <c r="Z1094" s="115" t="e">
        <f t="shared" si="153"/>
        <v>#VALUE!</v>
      </c>
      <c r="AA1094" s="115">
        <f t="shared" si="154"/>
        <v>0</v>
      </c>
      <c r="AC1094" s="91"/>
      <c r="AD1094" s="375" t="s">
        <v>315</v>
      </c>
      <c r="AE1094" s="376"/>
      <c r="AF1094" s="376"/>
      <c r="AG1094" s="209">
        <f>COUNTIFS(D:D,"DD",G:G,"STANGK",L:L,"4;1",E:E,"NEG",F:F,"WINSTAN")</f>
        <v>0</v>
      </c>
      <c r="AH1094" s="115"/>
      <c r="AI1094" s="374" t="s">
        <v>315</v>
      </c>
      <c r="AJ1094" s="374"/>
      <c r="AK1094" s="374"/>
      <c r="AL1094" s="115">
        <f>COUNTIFS(D:D,"DD",G:G,"STANGK",L:L,"4;0",E:E,"NEG",F:F,"WINSTAN")</f>
        <v>0</v>
      </c>
      <c r="AM1094" s="115"/>
      <c r="AN1094" s="375" t="s">
        <v>315</v>
      </c>
      <c r="AO1094" s="376"/>
      <c r="AP1094" s="376"/>
      <c r="AQ1094" s="209">
        <f>COUNTIFS(D:D,"DD",G:G,"STANGK",L:L,"4;-1",E:E,"NEG",F:F,"WINSTAN")</f>
        <v>0</v>
      </c>
      <c r="AS1094" s="115"/>
      <c r="AT1094" s="115"/>
      <c r="AU1094" s="115"/>
      <c r="AV1094" s="115"/>
      <c r="AW1094" s="115"/>
    </row>
    <row r="1095" spans="15:49" s="115" customFormat="1">
      <c r="O1095" s="91"/>
      <c r="X1095" s="115">
        <f t="shared" si="151"/>
        <v>0</v>
      </c>
      <c r="Y1095" s="115">
        <f t="shared" si="152"/>
        <v>0</v>
      </c>
      <c r="Z1095" s="115" t="e">
        <f t="shared" si="153"/>
        <v>#VALUE!</v>
      </c>
      <c r="AA1095" s="115">
        <f t="shared" si="154"/>
        <v>0</v>
      </c>
      <c r="AB1095" s="246"/>
      <c r="AC1095" s="91"/>
      <c r="AD1095" s="375" t="s">
        <v>339</v>
      </c>
      <c r="AE1095" s="376"/>
      <c r="AF1095" s="376"/>
      <c r="AG1095" s="209">
        <f>COUNTIFS(D:D,"DD",G:G,"STANGK",L:L,"4;1",E:E,"NEG",F:F,"WINSTANTI")</f>
        <v>0</v>
      </c>
      <c r="AI1095" s="374" t="s">
        <v>339</v>
      </c>
      <c r="AJ1095" s="374"/>
      <c r="AK1095" s="374"/>
      <c r="AL1095" s="115">
        <f>COUNTIFS(D:D,"DD",G:G,"STANGK",L:L,"4;0",E:E,"NEG",F:F,"WINSTANTI")</f>
        <v>0</v>
      </c>
      <c r="AN1095" s="375" t="s">
        <v>339</v>
      </c>
      <c r="AO1095" s="376"/>
      <c r="AP1095" s="376"/>
      <c r="AQ1095" s="209">
        <f>COUNTIFS(D:D,"DD",G:G,"STANGK",L:L,"4;-1",E:E,"NEG",F:F,"WINSTANTI")</f>
        <v>0</v>
      </c>
    </row>
    <row r="1096" spans="15:49">
      <c r="O1096" s="91"/>
      <c r="X1096" s="115">
        <f t="shared" si="151"/>
        <v>0</v>
      </c>
      <c r="Y1096" s="115">
        <f t="shared" si="152"/>
        <v>0</v>
      </c>
      <c r="Z1096" s="115" t="e">
        <f t="shared" si="153"/>
        <v>#VALUE!</v>
      </c>
      <c r="AA1096" s="115">
        <f t="shared" si="154"/>
        <v>0</v>
      </c>
      <c r="AC1096" s="91"/>
      <c r="AD1096" s="375" t="s">
        <v>316</v>
      </c>
      <c r="AE1096" s="376"/>
      <c r="AF1096" s="376"/>
      <c r="AG1096" s="209">
        <f>COUNTIFS(D:D,"DD",G:G,"STANGK",L:L,"4;1",F:F,"ENTRY")</f>
        <v>0</v>
      </c>
      <c r="AH1096" s="115"/>
      <c r="AI1096" s="374" t="s">
        <v>316</v>
      </c>
      <c r="AJ1096" s="374"/>
      <c r="AK1096" s="374"/>
      <c r="AL1096" s="115">
        <f>COUNTIFS(D:D,"DD",G:G,"STANGK",L:L,"4;0",F:F,"ENTRY")</f>
        <v>0</v>
      </c>
      <c r="AM1096" s="115"/>
      <c r="AN1096" s="375" t="s">
        <v>316</v>
      </c>
      <c r="AO1096" s="376"/>
      <c r="AP1096" s="376"/>
      <c r="AQ1096" s="209">
        <f>COUNTIFS(D:D,"DD",G:G,"STANGK",L:L,"4;-1",F:F,"ENTRY")</f>
        <v>0</v>
      </c>
      <c r="AS1096" s="115"/>
      <c r="AT1096" s="115"/>
      <c r="AU1096" s="115"/>
      <c r="AV1096" s="115"/>
      <c r="AW1096" s="115"/>
    </row>
    <row r="1097" spans="15:49">
      <c r="O1097" s="91"/>
      <c r="X1097" s="115">
        <f t="shared" si="151"/>
        <v>0</v>
      </c>
      <c r="Y1097" s="115">
        <f t="shared" si="152"/>
        <v>0</v>
      </c>
      <c r="Z1097" s="115" t="e">
        <f t="shared" si="153"/>
        <v>#VALUE!</v>
      </c>
      <c r="AA1097" s="115">
        <f t="shared" si="154"/>
        <v>0</v>
      </c>
      <c r="AC1097" s="91"/>
      <c r="AD1097" s="375" t="s">
        <v>293</v>
      </c>
      <c r="AE1097" s="376"/>
      <c r="AF1097" s="376"/>
      <c r="AG1097" s="209">
        <f>COUNTIFS(D:D,"DD",G:G,"STANGK",L:L,"4;1",F:F,"KEEPOS")</f>
        <v>0</v>
      </c>
      <c r="AH1097" s="115"/>
      <c r="AI1097" s="374" t="s">
        <v>293</v>
      </c>
      <c r="AJ1097" s="374"/>
      <c r="AK1097" s="374"/>
      <c r="AL1097" s="115">
        <f>COUNTIFS(D:D,"DD",G:G,"STANGK",L:L,"4;0",F:F,"KEEPOS")</f>
        <v>0</v>
      </c>
      <c r="AM1097" s="115"/>
      <c r="AN1097" s="375" t="s">
        <v>293</v>
      </c>
      <c r="AO1097" s="376"/>
      <c r="AP1097" s="376"/>
      <c r="AQ1097" s="209">
        <f>COUNTIFS(D:D,"DD",G:G,"STANGK",L:L,"4;-1",F:F,"KEEPOS")</f>
        <v>0</v>
      </c>
      <c r="AS1097" s="115"/>
      <c r="AT1097" s="115"/>
      <c r="AU1097" s="115"/>
      <c r="AV1097" s="115"/>
      <c r="AW1097" s="115"/>
    </row>
    <row r="1098" spans="15:49">
      <c r="O1098" s="91"/>
      <c r="X1098" s="115">
        <f t="shared" si="151"/>
        <v>0</v>
      </c>
      <c r="Y1098" s="115">
        <f t="shared" si="152"/>
        <v>0</v>
      </c>
      <c r="Z1098" s="115" t="e">
        <f t="shared" si="153"/>
        <v>#VALUE!</v>
      </c>
      <c r="AA1098" s="115">
        <f t="shared" si="154"/>
        <v>0</v>
      </c>
      <c r="AC1098" s="91"/>
      <c r="AD1098" s="375" t="s">
        <v>319</v>
      </c>
      <c r="AE1098" s="376"/>
      <c r="AF1098" s="376"/>
      <c r="AG1098" s="253" t="e">
        <f>SUM(AG1090:AG1097)/AG1084</f>
        <v>#DIV/0!</v>
      </c>
      <c r="AH1098" s="115"/>
      <c r="AI1098" s="374" t="s">
        <v>319</v>
      </c>
      <c r="AJ1098" s="374"/>
      <c r="AK1098" s="374"/>
      <c r="AL1098" s="151" t="e">
        <f>SUM(AL1090:AL1097)/AL1084</f>
        <v>#DIV/0!</v>
      </c>
      <c r="AM1098" s="115"/>
      <c r="AN1098" s="375" t="s">
        <v>319</v>
      </c>
      <c r="AO1098" s="376"/>
      <c r="AP1098" s="376"/>
      <c r="AQ1098" s="253" t="e">
        <f>SUM(AQ1090:AQ1097)/AQ1084</f>
        <v>#DIV/0!</v>
      </c>
      <c r="AS1098" s="115"/>
      <c r="AT1098" s="115"/>
      <c r="AU1098" s="115"/>
      <c r="AV1098" s="115"/>
      <c r="AW1098" s="115"/>
    </row>
    <row r="1099" spans="15:49">
      <c r="O1099" s="91"/>
      <c r="X1099" s="115">
        <f t="shared" si="151"/>
        <v>0</v>
      </c>
      <c r="Y1099" s="115">
        <f t="shared" si="152"/>
        <v>0</v>
      </c>
      <c r="Z1099" s="115" t="e">
        <f t="shared" si="153"/>
        <v>#VALUE!</v>
      </c>
      <c r="AA1099" s="115">
        <f t="shared" si="154"/>
        <v>0</v>
      </c>
      <c r="AC1099" s="91"/>
      <c r="AD1099" s="208"/>
      <c r="AE1099" s="165"/>
      <c r="AF1099" s="165"/>
      <c r="AG1099" s="209"/>
      <c r="AH1099" s="115"/>
      <c r="AI1099" s="115"/>
      <c r="AJ1099" s="115"/>
      <c r="AK1099" s="115"/>
      <c r="AL1099" s="115"/>
      <c r="AM1099" s="115"/>
      <c r="AN1099" s="208"/>
      <c r="AO1099" s="165"/>
      <c r="AP1099" s="165"/>
      <c r="AQ1099" s="209"/>
      <c r="AS1099" s="115"/>
      <c r="AT1099" s="115"/>
      <c r="AU1099" s="115"/>
      <c r="AV1099" s="115"/>
      <c r="AW1099" s="115"/>
    </row>
    <row r="1100" spans="15:49">
      <c r="O1100" s="91"/>
      <c r="X1100" s="115">
        <f t="shared" si="151"/>
        <v>0</v>
      </c>
      <c r="Y1100" s="115">
        <f t="shared" si="152"/>
        <v>0</v>
      </c>
      <c r="Z1100" s="115" t="e">
        <f t="shared" si="153"/>
        <v>#VALUE!</v>
      </c>
      <c r="AA1100" s="115">
        <f t="shared" si="154"/>
        <v>0</v>
      </c>
      <c r="AC1100" s="91"/>
      <c r="AD1100" s="375" t="s">
        <v>270</v>
      </c>
      <c r="AE1100" s="376"/>
      <c r="AF1100" s="376"/>
      <c r="AG1100" s="209">
        <f>COUNTIFS(D:D,"DD",G:G,"STANGK",L:L,"5;1")+AG1084</f>
        <v>0</v>
      </c>
      <c r="AH1100" s="115"/>
      <c r="AI1100" s="374" t="s">
        <v>270</v>
      </c>
      <c r="AJ1100" s="374"/>
      <c r="AK1100" s="374"/>
      <c r="AL1100" s="115">
        <f>COUNTIFS(D:D,"DD",G:G,"STANGK",L:L,"5;0")</f>
        <v>0</v>
      </c>
      <c r="AM1100" s="115"/>
      <c r="AN1100" s="375" t="s">
        <v>270</v>
      </c>
      <c r="AO1100" s="376"/>
      <c r="AP1100" s="376"/>
      <c r="AQ1100" s="209">
        <f>COUNTIFS(D:D,"DD",G:G,"STANGK",L:L,"5;-1")+AQ1084</f>
        <v>0</v>
      </c>
      <c r="AS1100" s="115"/>
      <c r="AT1100" s="115"/>
      <c r="AU1100" s="115"/>
      <c r="AV1100" s="115"/>
      <c r="AW1100" s="115"/>
    </row>
    <row r="1101" spans="15:49">
      <c r="O1101" s="91"/>
      <c r="X1101" s="115">
        <f t="shared" si="151"/>
        <v>0</v>
      </c>
      <c r="Y1101" s="115">
        <f t="shared" si="152"/>
        <v>0</v>
      </c>
      <c r="Z1101" s="115" t="e">
        <f t="shared" si="153"/>
        <v>#VALUE!</v>
      </c>
      <c r="AA1101" s="115">
        <f t="shared" si="154"/>
        <v>0</v>
      </c>
      <c r="AC1101" s="91"/>
      <c r="AD1101" s="375" t="s">
        <v>271</v>
      </c>
      <c r="AE1101" s="376"/>
      <c r="AF1101" s="376"/>
      <c r="AG1101" s="209">
        <f>COUNTIFS(D:D,"DD",G:G,"STANGK",L:L,"5;1",P:P,"EI")+AG1085</f>
        <v>0</v>
      </c>
      <c r="AH1101" s="115"/>
      <c r="AI1101" s="374" t="s">
        <v>271</v>
      </c>
      <c r="AJ1101" s="374"/>
      <c r="AK1101" s="374"/>
      <c r="AL1101" s="115">
        <f>COUNTIFS(D:D,"DD",G:G,"STANGK",L:L,"5;0",P:P,"EI")</f>
        <v>0</v>
      </c>
      <c r="AM1101" s="115"/>
      <c r="AN1101" s="375" t="s">
        <v>271</v>
      </c>
      <c r="AO1101" s="376"/>
      <c r="AP1101" s="376"/>
      <c r="AQ1101" s="209">
        <f>COUNTIFS(D:D,"DD",G:G,"STANGK",L:L,"5;-1",P:P,"EI")+AQ1085</f>
        <v>0</v>
      </c>
      <c r="AS1101" s="115"/>
      <c r="AT1101" s="115"/>
      <c r="AU1101" s="115"/>
      <c r="AV1101" s="115"/>
      <c r="AW1101" s="115"/>
    </row>
    <row r="1102" spans="15:49">
      <c r="O1102" s="91"/>
      <c r="X1102" s="115">
        <f t="shared" si="151"/>
        <v>0</v>
      </c>
      <c r="Y1102" s="115">
        <f t="shared" si="152"/>
        <v>0</v>
      </c>
      <c r="Z1102" s="115" t="e">
        <f t="shared" si="153"/>
        <v>#VALUE!</v>
      </c>
      <c r="AA1102" s="115">
        <f t="shared" si="154"/>
        <v>0</v>
      </c>
      <c r="AC1102" s="91"/>
      <c r="AD1102" s="375" t="s">
        <v>272</v>
      </c>
      <c r="AE1102" s="376"/>
      <c r="AF1102" s="376"/>
      <c r="AG1102" s="253" t="e">
        <f>AG1101/AG1100</f>
        <v>#DIV/0!</v>
      </c>
      <c r="AH1102" s="115"/>
      <c r="AI1102" s="374" t="s">
        <v>272</v>
      </c>
      <c r="AJ1102" s="374"/>
      <c r="AK1102" s="374"/>
      <c r="AL1102" s="151" t="e">
        <f>AL1101/AL1100</f>
        <v>#DIV/0!</v>
      </c>
      <c r="AM1102" s="115"/>
      <c r="AN1102" s="375" t="s">
        <v>272</v>
      </c>
      <c r="AO1102" s="376"/>
      <c r="AP1102" s="376"/>
      <c r="AQ1102" s="253" t="e">
        <f>AQ1101/AQ1100</f>
        <v>#DIV/0!</v>
      </c>
      <c r="AS1102" s="115"/>
      <c r="AT1102" s="115"/>
      <c r="AU1102" s="115"/>
      <c r="AV1102" s="115"/>
      <c r="AW1102" s="115"/>
    </row>
    <row r="1103" spans="15:49">
      <c r="O1103" s="91"/>
      <c r="X1103" s="115">
        <f t="shared" si="151"/>
        <v>0</v>
      </c>
      <c r="Y1103" s="115">
        <f t="shared" si="152"/>
        <v>0</v>
      </c>
      <c r="Z1103" s="115" t="e">
        <f t="shared" si="153"/>
        <v>#VALUE!</v>
      </c>
      <c r="AA1103" s="115">
        <f t="shared" si="154"/>
        <v>0</v>
      </c>
      <c r="AC1103" s="91"/>
      <c r="AD1103" s="375" t="s">
        <v>318</v>
      </c>
      <c r="AE1103" s="376"/>
      <c r="AF1103" s="376"/>
      <c r="AG1103" s="254">
        <f>COUNTIFS(D:D,"DD",G:G,"STANGK",L:L,"5;1",V:V,"JAH")+COUNTIFS(D:D,"DD",G:G,"STANGK",L:L,"5;1",V:V,"EI")+AG1087</f>
        <v>0</v>
      </c>
      <c r="AH1103" s="115"/>
      <c r="AI1103" s="374" t="s">
        <v>318</v>
      </c>
      <c r="AJ1103" s="374"/>
      <c r="AK1103" s="374"/>
      <c r="AL1103" s="178">
        <f>COUNTIFS(D:D,"DD",G:G,"STANGK",L:L,"5;0",V:V,"JAH")+COUNTIFS(D:D,"DD",G:G,"STANGK",L:L,"5;0",V:V,"EI")</f>
        <v>0</v>
      </c>
      <c r="AM1103" s="115"/>
      <c r="AN1103" s="375" t="s">
        <v>318</v>
      </c>
      <c r="AO1103" s="376"/>
      <c r="AP1103" s="376"/>
      <c r="AQ1103" s="254">
        <f>COUNTIFS(D:D,"DD",G:G,"STANGK",L:L,"5;-1",V:V,"JAH")+COUNTIFS(D:D,"DD",G:G,"STANGK",L:L,"-1;-1",V:V,"EI")+AQ1087</f>
        <v>0</v>
      </c>
      <c r="AS1103" s="115"/>
      <c r="AT1103" s="115"/>
      <c r="AU1103" s="115"/>
      <c r="AV1103" s="115"/>
      <c r="AW1103" s="115"/>
    </row>
    <row r="1104" spans="15:49">
      <c r="O1104" s="91"/>
      <c r="X1104" s="115">
        <f t="shared" si="151"/>
        <v>0</v>
      </c>
      <c r="Y1104" s="115">
        <f t="shared" si="152"/>
        <v>0</v>
      </c>
      <c r="Z1104" s="115" t="e">
        <f t="shared" si="153"/>
        <v>#VALUE!</v>
      </c>
      <c r="AA1104" s="115">
        <f t="shared" si="154"/>
        <v>0</v>
      </c>
      <c r="AC1104" s="91"/>
      <c r="AD1104" s="375" t="s">
        <v>291</v>
      </c>
      <c r="AE1104" s="376"/>
      <c r="AF1104" s="376"/>
      <c r="AG1104" s="209">
        <f>COUNTIFS(D:D,"DD",G:G,"STANGK",L:L,"5;1",V:V,"EI")+AG1088</f>
        <v>0</v>
      </c>
      <c r="AH1104" s="115"/>
      <c r="AI1104" s="374" t="s">
        <v>291</v>
      </c>
      <c r="AJ1104" s="374"/>
      <c r="AK1104" s="374"/>
      <c r="AL1104" s="115">
        <f>COUNTIFS(D:D,"DD",G:G,"STANGK",L:L,"5;0",V:V,"EI")</f>
        <v>0</v>
      </c>
      <c r="AM1104" s="115"/>
      <c r="AN1104" s="375" t="s">
        <v>291</v>
      </c>
      <c r="AO1104" s="376"/>
      <c r="AP1104" s="376"/>
      <c r="AQ1104" s="209">
        <f>COUNTIFS(D:D,"DD",G:G,"STANGK",L:L,"5;-1",V:V,"EI")+AQ1088</f>
        <v>0</v>
      </c>
      <c r="AS1104" s="115"/>
      <c r="AT1104" s="115"/>
      <c r="AU1104" s="115"/>
      <c r="AV1104" s="115"/>
      <c r="AW1104" s="115"/>
    </row>
    <row r="1105" spans="15:49">
      <c r="O1105" s="91"/>
      <c r="X1105" s="115">
        <f t="shared" si="151"/>
        <v>0</v>
      </c>
      <c r="Y1105" s="115">
        <f t="shared" si="152"/>
        <v>0</v>
      </c>
      <c r="Z1105" s="115" t="e">
        <f t="shared" si="153"/>
        <v>#VALUE!</v>
      </c>
      <c r="AA1105" s="115">
        <f t="shared" si="154"/>
        <v>0</v>
      </c>
      <c r="AC1105" s="91"/>
      <c r="AD1105" s="375" t="s">
        <v>292</v>
      </c>
      <c r="AE1105" s="376"/>
      <c r="AF1105" s="376"/>
      <c r="AG1105" s="253" t="e">
        <f>AG1104/AG1103</f>
        <v>#DIV/0!</v>
      </c>
      <c r="AH1105" s="115"/>
      <c r="AI1105" s="374" t="s">
        <v>292</v>
      </c>
      <c r="AJ1105" s="374"/>
      <c r="AK1105" s="374"/>
      <c r="AL1105" s="151" t="e">
        <f>AL1104/AL1103</f>
        <v>#DIV/0!</v>
      </c>
      <c r="AM1105" s="115"/>
      <c r="AN1105" s="375" t="s">
        <v>292</v>
      </c>
      <c r="AO1105" s="376"/>
      <c r="AP1105" s="376"/>
      <c r="AQ1105" s="253" t="e">
        <f>AQ1104/AQ1103</f>
        <v>#DIV/0!</v>
      </c>
      <c r="AS1105" s="115"/>
      <c r="AT1105" s="115"/>
      <c r="AU1105" s="115"/>
      <c r="AV1105" s="115"/>
      <c r="AW1105" s="115"/>
    </row>
    <row r="1106" spans="15:49">
      <c r="O1106" s="91"/>
      <c r="X1106" s="115">
        <f t="shared" si="151"/>
        <v>0</v>
      </c>
      <c r="Y1106" s="115">
        <f t="shared" si="152"/>
        <v>0</v>
      </c>
      <c r="Z1106" s="115" t="e">
        <f t="shared" si="153"/>
        <v>#VALUE!</v>
      </c>
      <c r="AA1106" s="115">
        <f t="shared" si="154"/>
        <v>0</v>
      </c>
      <c r="AC1106" s="91"/>
      <c r="AD1106" s="375" t="s">
        <v>724</v>
      </c>
      <c r="AE1106" s="376"/>
      <c r="AF1106" s="376"/>
      <c r="AG1106" s="209">
        <f>COUNTIFS(D:D,"DD",G:G,"STANGK",L:L,"5;1",F:F,"ATONGOAL")+AG1090</f>
        <v>0</v>
      </c>
      <c r="AH1106" s="115"/>
      <c r="AI1106" s="374" t="s">
        <v>724</v>
      </c>
      <c r="AJ1106" s="374"/>
      <c r="AK1106" s="374"/>
      <c r="AL1106" s="115">
        <f>COUNTIFS(D:D,"DD",G:G,"STANGK",L:L,"5;0",F:F,"ATONGOAL")</f>
        <v>0</v>
      </c>
      <c r="AM1106" s="115"/>
      <c r="AN1106" s="375" t="s">
        <v>724</v>
      </c>
      <c r="AO1106" s="376"/>
      <c r="AP1106" s="376"/>
      <c r="AQ1106" s="209">
        <f>COUNTIFS(D:D,"DD",G:G,"STANGK",L:L,"5;-1",F:F,"ATONGOAL")+AQ1090</f>
        <v>0</v>
      </c>
      <c r="AS1106" s="115"/>
      <c r="AT1106" s="115"/>
      <c r="AU1106" s="115"/>
      <c r="AV1106" s="115"/>
      <c r="AW1106" s="115"/>
    </row>
    <row r="1107" spans="15:49">
      <c r="O1107" s="91"/>
      <c r="X1107" s="115">
        <f t="shared" si="151"/>
        <v>0</v>
      </c>
      <c r="Y1107" s="115">
        <f t="shared" si="152"/>
        <v>0</v>
      </c>
      <c r="Z1107" s="115" t="e">
        <f t="shared" si="153"/>
        <v>#VALUE!</v>
      </c>
      <c r="AA1107" s="115">
        <f t="shared" si="154"/>
        <v>0</v>
      </c>
      <c r="AC1107" s="91"/>
      <c r="AD1107" s="375" t="s">
        <v>336</v>
      </c>
      <c r="AE1107" s="376"/>
      <c r="AF1107" s="376"/>
      <c r="AG1107" s="209">
        <f>COUNTIFS(D:D,"DD",G:G,"STANGK",L:L,"5;1",F:F,"ATON")+AG1091</f>
        <v>0</v>
      </c>
      <c r="AH1107" s="115"/>
      <c r="AI1107" s="374" t="s">
        <v>336</v>
      </c>
      <c r="AJ1107" s="374"/>
      <c r="AK1107" s="374"/>
      <c r="AL1107" s="115">
        <f>COUNTIFS(D:D,"DD",G:G,"STANGK",L:L,"5;0",F:F,"ATON")</f>
        <v>0</v>
      </c>
      <c r="AM1107" s="115"/>
      <c r="AN1107" s="375" t="s">
        <v>336</v>
      </c>
      <c r="AO1107" s="376"/>
      <c r="AP1107" s="376"/>
      <c r="AQ1107" s="209">
        <f>COUNTIFS(D:D,"DD",G:G,"STANGK",L:L,"5;-1",F:F,"ATON")+AQ1091</f>
        <v>0</v>
      </c>
      <c r="AS1107" s="115"/>
      <c r="AT1107" s="115"/>
      <c r="AU1107" s="115"/>
      <c r="AV1107" s="115"/>
      <c r="AW1107" s="115"/>
    </row>
    <row r="1108" spans="15:49" s="115" customFormat="1">
      <c r="O1108" s="91"/>
      <c r="X1108" s="115">
        <f t="shared" si="151"/>
        <v>0</v>
      </c>
      <c r="Y1108" s="115">
        <f t="shared" si="152"/>
        <v>0</v>
      </c>
      <c r="Z1108" s="115" t="e">
        <f t="shared" si="153"/>
        <v>#VALUE!</v>
      </c>
      <c r="AA1108" s="115">
        <f t="shared" si="154"/>
        <v>0</v>
      </c>
      <c r="AB1108" s="246"/>
      <c r="AC1108" s="91"/>
      <c r="AD1108" s="375" t="s">
        <v>337</v>
      </c>
      <c r="AE1108" s="376"/>
      <c r="AF1108" s="376"/>
      <c r="AG1108" s="209">
        <f>COUNTIFS(D:D,"DD",G:G,"STANGK",L:L,"5;1",F:F,"ATOF")+AG1092</f>
        <v>0</v>
      </c>
      <c r="AI1108" s="374" t="s">
        <v>337</v>
      </c>
      <c r="AJ1108" s="374"/>
      <c r="AK1108" s="374"/>
      <c r="AL1108" s="115">
        <f>COUNTIFS(D:D,"DD",G:G,"STANGK",L:L,"5;0",F:F,"ATOF")</f>
        <v>0</v>
      </c>
      <c r="AN1108" s="375" t="s">
        <v>337</v>
      </c>
      <c r="AO1108" s="376"/>
      <c r="AP1108" s="376"/>
      <c r="AQ1108" s="209">
        <f>COUNTIFS(D:D,"DD",G:G,"STANGK",L:L,"5;-1",F:F,"ATOF")+AQ1092</f>
        <v>0</v>
      </c>
    </row>
    <row r="1109" spans="15:49" s="115" customFormat="1">
      <c r="O1109" s="91"/>
      <c r="X1109" s="115">
        <f t="shared" si="151"/>
        <v>0</v>
      </c>
      <c r="Y1109" s="115">
        <f t="shared" si="152"/>
        <v>0</v>
      </c>
      <c r="Z1109" s="115" t="e">
        <f t="shared" si="153"/>
        <v>#VALUE!</v>
      </c>
      <c r="AA1109" s="115">
        <f t="shared" si="154"/>
        <v>0</v>
      </c>
      <c r="AB1109" s="246"/>
      <c r="AC1109" s="91"/>
      <c r="AD1109" s="375" t="s">
        <v>338</v>
      </c>
      <c r="AE1109" s="376"/>
      <c r="AF1109" s="376"/>
      <c r="AG1109" s="209">
        <f>COUNTIFS(D:D,"DD",G:G,"STANGK",L:L,"5;1",F:F,"ATBK")+AG1093</f>
        <v>0</v>
      </c>
      <c r="AI1109" s="374" t="s">
        <v>338</v>
      </c>
      <c r="AJ1109" s="374"/>
      <c r="AK1109" s="374"/>
      <c r="AL1109" s="115">
        <f>COUNTIFS(D:D,"DD",G:G,"STANGK",L:L,"5;0",F:F,"ATBK")</f>
        <v>0</v>
      </c>
      <c r="AN1109" s="375" t="s">
        <v>338</v>
      </c>
      <c r="AO1109" s="376"/>
      <c r="AP1109" s="376"/>
      <c r="AQ1109" s="209">
        <f>COUNTIFS(D:D,"DD",G:G,"STANGK",L:L,"5;-1",F:F,"ATBK")+AQ1093</f>
        <v>0</v>
      </c>
    </row>
    <row r="1110" spans="15:49">
      <c r="O1110" s="91"/>
      <c r="X1110" s="115">
        <f t="shared" si="151"/>
        <v>0</v>
      </c>
      <c r="Y1110" s="115">
        <f t="shared" si="152"/>
        <v>0</v>
      </c>
      <c r="Z1110" s="115" t="e">
        <f t="shared" si="153"/>
        <v>#VALUE!</v>
      </c>
      <c r="AA1110" s="115">
        <f t="shared" si="154"/>
        <v>0</v>
      </c>
      <c r="AC1110" s="91"/>
      <c r="AD1110" s="375" t="s">
        <v>315</v>
      </c>
      <c r="AE1110" s="376"/>
      <c r="AF1110" s="376"/>
      <c r="AG1110" s="209">
        <f>COUNTIFS(D:D,"DD",G:G,"STANGK",L:L,"5;1",E:E,"NEG",F:F,"WINSTAN")+AG1094</f>
        <v>0</v>
      </c>
      <c r="AH1110" s="115"/>
      <c r="AI1110" s="374" t="s">
        <v>315</v>
      </c>
      <c r="AJ1110" s="374"/>
      <c r="AK1110" s="374"/>
      <c r="AL1110" s="115">
        <f>COUNTIFS(D:D,"DD",G:G,"STANGK",L:L,"5;0",E:E,"NEG",F:F,"WINSTAN")</f>
        <v>0</v>
      </c>
      <c r="AM1110" s="115"/>
      <c r="AN1110" s="375" t="s">
        <v>315</v>
      </c>
      <c r="AO1110" s="376"/>
      <c r="AP1110" s="376"/>
      <c r="AQ1110" s="209">
        <f>COUNTIFS(D:D,"DD",G:G,"STANGK",L:L,"5;-1",E:E,"NEG",F:F,"WINSTAN")+AQ1094</f>
        <v>0</v>
      </c>
      <c r="AS1110" s="115"/>
      <c r="AT1110" s="115"/>
      <c r="AU1110" s="115"/>
      <c r="AV1110" s="115"/>
      <c r="AW1110" s="115"/>
    </row>
    <row r="1111" spans="15:49" s="115" customFormat="1">
      <c r="O1111" s="91"/>
      <c r="X1111" s="115">
        <f t="shared" si="151"/>
        <v>0</v>
      </c>
      <c r="Y1111" s="115">
        <f t="shared" si="152"/>
        <v>0</v>
      </c>
      <c r="Z1111" s="115" t="e">
        <f t="shared" si="153"/>
        <v>#VALUE!</v>
      </c>
      <c r="AA1111" s="115">
        <f t="shared" si="154"/>
        <v>0</v>
      </c>
      <c r="AB1111" s="246"/>
      <c r="AC1111" s="91"/>
      <c r="AD1111" s="375" t="s">
        <v>339</v>
      </c>
      <c r="AE1111" s="376"/>
      <c r="AF1111" s="376"/>
      <c r="AG1111" s="209">
        <f>COUNTIFS(D:D,"DD",G:G,"STANGK",L:L,"5;1",E:E,"NEG",F:F,"WINSTANTI")+AG1095</f>
        <v>0</v>
      </c>
      <c r="AI1111" s="374" t="s">
        <v>339</v>
      </c>
      <c r="AJ1111" s="374"/>
      <c r="AK1111" s="374"/>
      <c r="AL1111" s="115">
        <f>COUNTIFS(D:D,"DD",G:G,"STANGK",L:L,"5;0",E:E,"NEG",F:F,"WINSTANTI")</f>
        <v>0</v>
      </c>
      <c r="AN1111" s="375" t="s">
        <v>339</v>
      </c>
      <c r="AO1111" s="376"/>
      <c r="AP1111" s="376"/>
      <c r="AQ1111" s="209">
        <f>COUNTIFS(D:D,"DD",G:G,"STANGK",L:L,"5;-1",E:E,"NEG",F:F,"WINSTANTI")+AQ1095</f>
        <v>0</v>
      </c>
    </row>
    <row r="1112" spans="15:49">
      <c r="O1112" s="91"/>
      <c r="X1112" s="115">
        <f t="shared" si="151"/>
        <v>0</v>
      </c>
      <c r="Y1112" s="115">
        <f t="shared" si="152"/>
        <v>0</v>
      </c>
      <c r="Z1112" s="115" t="e">
        <f t="shared" si="153"/>
        <v>#VALUE!</v>
      </c>
      <c r="AA1112" s="115">
        <f t="shared" si="154"/>
        <v>0</v>
      </c>
      <c r="AC1112" s="91"/>
      <c r="AD1112" s="375" t="s">
        <v>316</v>
      </c>
      <c r="AE1112" s="376"/>
      <c r="AF1112" s="376"/>
      <c r="AG1112" s="209">
        <f>COUNTIFS(D:D,"DD",G:G,"STANGK",L:L,"5;1",F:F,"ENTRY")+AG1096</f>
        <v>0</v>
      </c>
      <c r="AH1112" s="115"/>
      <c r="AI1112" s="374" t="s">
        <v>316</v>
      </c>
      <c r="AJ1112" s="374"/>
      <c r="AK1112" s="374"/>
      <c r="AL1112" s="115">
        <f>COUNTIFS(D:D,"DD",G:G,"STANGK",L:L,"5;0",F:F,"ENTRY")</f>
        <v>0</v>
      </c>
      <c r="AM1112" s="115"/>
      <c r="AN1112" s="375" t="s">
        <v>316</v>
      </c>
      <c r="AO1112" s="376"/>
      <c r="AP1112" s="376"/>
      <c r="AQ1112" s="209">
        <f>COUNTIFS(D:D,"DD",G:G,"STANGK",L:L,"5;-1",F:F,"ENTRY")+AQ1096</f>
        <v>0</v>
      </c>
      <c r="AS1112" s="115"/>
      <c r="AT1112" s="115"/>
      <c r="AU1112" s="115"/>
      <c r="AV1112" s="115"/>
      <c r="AW1112" s="115"/>
    </row>
    <row r="1113" spans="15:49">
      <c r="O1113" s="91"/>
      <c r="X1113" s="115">
        <f t="shared" si="151"/>
        <v>0</v>
      </c>
      <c r="Y1113" s="115">
        <f t="shared" si="152"/>
        <v>0</v>
      </c>
      <c r="Z1113" s="115" t="e">
        <f t="shared" si="153"/>
        <v>#VALUE!</v>
      </c>
      <c r="AA1113" s="115">
        <f t="shared" si="154"/>
        <v>0</v>
      </c>
      <c r="AC1113" s="91"/>
      <c r="AD1113" s="375" t="s">
        <v>293</v>
      </c>
      <c r="AE1113" s="376"/>
      <c r="AF1113" s="376"/>
      <c r="AG1113" s="209">
        <f>COUNTIFS(D:D,"DD",G:G,"STANGK",L:L,"5;1",F:F,"KEEPOS")+AG1097</f>
        <v>0</v>
      </c>
      <c r="AH1113" s="115"/>
      <c r="AI1113" s="374" t="s">
        <v>293</v>
      </c>
      <c r="AJ1113" s="374"/>
      <c r="AK1113" s="374"/>
      <c r="AL1113" s="115">
        <f>COUNTIFS(D:D,"DD",G:G,"STANGK",L:L,"5;0",F:F,"KEEPOS")</f>
        <v>0</v>
      </c>
      <c r="AM1113" s="115"/>
      <c r="AN1113" s="375" t="s">
        <v>293</v>
      </c>
      <c r="AO1113" s="376"/>
      <c r="AP1113" s="376"/>
      <c r="AQ1113" s="209">
        <f>COUNTIFS(D:D,"DD",G:G,"STANGK",L:L,"5;-1",F:F,"KEEPOS")+AQ1097</f>
        <v>0</v>
      </c>
      <c r="AS1113" s="115"/>
      <c r="AT1113" s="115"/>
      <c r="AU1113" s="115"/>
      <c r="AV1113" s="115"/>
      <c r="AW1113" s="115"/>
    </row>
    <row r="1114" spans="15:49">
      <c r="O1114" s="91"/>
      <c r="X1114" s="115">
        <f t="shared" si="151"/>
        <v>0</v>
      </c>
      <c r="Y1114" s="115">
        <f t="shared" si="152"/>
        <v>0</v>
      </c>
      <c r="Z1114" s="115" t="e">
        <f t="shared" si="153"/>
        <v>#VALUE!</v>
      </c>
      <c r="AA1114" s="115">
        <f t="shared" si="154"/>
        <v>0</v>
      </c>
      <c r="AC1114" s="91"/>
      <c r="AD1114" s="386" t="s">
        <v>319</v>
      </c>
      <c r="AE1114" s="383"/>
      <c r="AF1114" s="383"/>
      <c r="AG1114" s="256" t="e">
        <f>SUM(AG1106:AG1113)/AG1100</f>
        <v>#DIV/0!</v>
      </c>
      <c r="AH1114" s="115"/>
      <c r="AI1114" s="374" t="s">
        <v>319</v>
      </c>
      <c r="AJ1114" s="374"/>
      <c r="AK1114" s="374"/>
      <c r="AL1114" s="151" t="e">
        <f>SUM(AL1106:AL1113)/AL1100</f>
        <v>#DIV/0!</v>
      </c>
      <c r="AM1114" s="115"/>
      <c r="AN1114" s="386" t="s">
        <v>319</v>
      </c>
      <c r="AO1114" s="383"/>
      <c r="AP1114" s="383"/>
      <c r="AQ1114" s="256" t="e">
        <f>SUM(AQ1106:AQ1113)/AQ1100</f>
        <v>#DIV/0!</v>
      </c>
      <c r="AS1114" s="115"/>
      <c r="AT1114" s="115"/>
      <c r="AU1114" s="115"/>
      <c r="AV1114" s="115"/>
      <c r="AW1114" s="115"/>
    </row>
    <row r="1115" spans="15:49">
      <c r="O1115" s="91"/>
      <c r="X1115" s="115">
        <f t="shared" si="151"/>
        <v>0</v>
      </c>
      <c r="Y1115" s="115">
        <f t="shared" si="152"/>
        <v>0</v>
      </c>
      <c r="Z1115" s="115" t="e">
        <f t="shared" si="153"/>
        <v>#VALUE!</v>
      </c>
      <c r="AA1115" s="115">
        <f t="shared" si="154"/>
        <v>0</v>
      </c>
      <c r="AC1115" s="91"/>
    </row>
    <row r="1116" spans="15:49">
      <c r="O1116" s="91"/>
      <c r="X1116" s="115">
        <f t="shared" si="151"/>
        <v>0</v>
      </c>
      <c r="Y1116" s="115">
        <f t="shared" si="152"/>
        <v>0</v>
      </c>
      <c r="Z1116" s="115" t="e">
        <f t="shared" si="153"/>
        <v>#VALUE!</v>
      </c>
      <c r="AA1116" s="115">
        <f t="shared" si="154"/>
        <v>0</v>
      </c>
      <c r="AC1116" s="91"/>
    </row>
    <row r="1117" spans="15:49">
      <c r="O1117" s="91"/>
      <c r="X1117" s="115">
        <f t="shared" si="151"/>
        <v>0</v>
      </c>
      <c r="Y1117" s="115">
        <f t="shared" si="152"/>
        <v>0</v>
      </c>
      <c r="Z1117" s="115" t="e">
        <f t="shared" si="153"/>
        <v>#VALUE!</v>
      </c>
      <c r="AA1117" s="115">
        <f t="shared" si="154"/>
        <v>0</v>
      </c>
      <c r="AC1117" s="91"/>
    </row>
    <row r="1118" spans="15:49">
      <c r="O1118" s="91"/>
      <c r="X1118" s="115">
        <f t="shared" si="151"/>
        <v>0</v>
      </c>
      <c r="Y1118" s="115">
        <f t="shared" si="152"/>
        <v>0</v>
      </c>
      <c r="Z1118" s="115" t="e">
        <f t="shared" si="153"/>
        <v>#VALUE!</v>
      </c>
      <c r="AA1118" s="115">
        <f t="shared" si="154"/>
        <v>0</v>
      </c>
      <c r="AC1118" s="91"/>
    </row>
    <row r="1119" spans="15:49">
      <c r="O1119" s="91"/>
      <c r="X1119" s="115">
        <f t="shared" si="151"/>
        <v>0</v>
      </c>
      <c r="Y1119" s="115">
        <f t="shared" si="152"/>
        <v>0</v>
      </c>
      <c r="Z1119" s="115" t="e">
        <f t="shared" si="153"/>
        <v>#VALUE!</v>
      </c>
      <c r="AA1119" s="115">
        <f t="shared" si="154"/>
        <v>0</v>
      </c>
      <c r="AC1119" s="91"/>
      <c r="AD1119" s="115"/>
      <c r="AE1119" s="115"/>
      <c r="AF1119" s="115"/>
      <c r="AG1119" s="381" t="s">
        <v>27</v>
      </c>
      <c r="AH1119" s="381"/>
      <c r="AI1119" s="381"/>
      <c r="AJ1119" s="381"/>
      <c r="AK1119" s="381"/>
      <c r="AL1119" s="381"/>
      <c r="AM1119" s="381"/>
      <c r="AN1119" s="115"/>
      <c r="AO1119" s="115"/>
      <c r="AP1119" s="115"/>
      <c r="AQ1119" s="115"/>
      <c r="AS1119" s="115"/>
      <c r="AT1119" s="115"/>
      <c r="AU1119" s="115"/>
      <c r="AV1119" s="115"/>
      <c r="AW1119" s="115"/>
    </row>
    <row r="1120" spans="15:49">
      <c r="O1120" s="91"/>
      <c r="X1120" s="115">
        <f t="shared" si="151"/>
        <v>0</v>
      </c>
      <c r="Y1120" s="115">
        <f t="shared" si="152"/>
        <v>0</v>
      </c>
      <c r="Z1120" s="115" t="e">
        <f t="shared" si="153"/>
        <v>#VALUE!</v>
      </c>
      <c r="AA1120" s="115">
        <f t="shared" si="154"/>
        <v>0</v>
      </c>
      <c r="AC1120" s="91"/>
      <c r="AD1120" s="115"/>
      <c r="AE1120" s="115"/>
      <c r="AF1120" s="115"/>
      <c r="AG1120" s="381"/>
      <c r="AH1120" s="381"/>
      <c r="AI1120" s="381"/>
      <c r="AJ1120" s="381"/>
      <c r="AK1120" s="381"/>
      <c r="AL1120" s="381"/>
      <c r="AM1120" s="381"/>
      <c r="AN1120" s="115"/>
      <c r="AO1120" s="115"/>
      <c r="AP1120" s="115"/>
      <c r="AQ1120" s="115"/>
      <c r="AS1120" s="115"/>
      <c r="AT1120" s="115"/>
      <c r="AU1120" s="115"/>
      <c r="AV1120" s="115"/>
      <c r="AW1120" s="115"/>
    </row>
    <row r="1121" spans="15:49">
      <c r="O1121" s="91"/>
      <c r="X1121" s="115">
        <f t="shared" si="151"/>
        <v>0</v>
      </c>
      <c r="Y1121" s="115">
        <f t="shared" si="152"/>
        <v>0</v>
      </c>
      <c r="Z1121" s="115" t="e">
        <f t="shared" si="153"/>
        <v>#VALUE!</v>
      </c>
      <c r="AA1121" s="115">
        <f t="shared" si="154"/>
        <v>0</v>
      </c>
      <c r="AC1121" s="91"/>
      <c r="AD1121" s="115"/>
      <c r="AE1121" s="115"/>
      <c r="AF1121" s="115"/>
      <c r="AG1121" s="374" t="s">
        <v>290</v>
      </c>
      <c r="AH1121" s="374"/>
      <c r="AI1121" s="374"/>
      <c r="AJ1121" s="115"/>
      <c r="AK1121" s="115"/>
      <c r="AL1121" s="115"/>
      <c r="AM1121" s="115"/>
      <c r="AN1121" s="115"/>
      <c r="AO1121" s="115"/>
      <c r="AP1121" s="115"/>
      <c r="AQ1121" s="115"/>
      <c r="AS1121" s="115"/>
      <c r="AT1121" s="115"/>
      <c r="AU1121" s="115"/>
      <c r="AV1121" s="115"/>
      <c r="AW1121" s="115"/>
    </row>
    <row r="1122" spans="15:49">
      <c r="O1122" s="91"/>
      <c r="X1122" s="115">
        <f t="shared" si="151"/>
        <v>0</v>
      </c>
      <c r="Y1122" s="115">
        <f t="shared" si="152"/>
        <v>0</v>
      </c>
      <c r="Z1122" s="115" t="e">
        <f t="shared" si="153"/>
        <v>#VALUE!</v>
      </c>
      <c r="AA1122" s="115">
        <f t="shared" si="154"/>
        <v>0</v>
      </c>
      <c r="AC1122" s="91"/>
      <c r="AD1122" s="374"/>
      <c r="AE1122" s="374"/>
      <c r="AF1122" s="374"/>
      <c r="AG1122" s="115"/>
      <c r="AH1122" s="115">
        <f>COUNTIFS(D:D,"AA",G:G,"STANGK")</f>
        <v>6</v>
      </c>
      <c r="AI1122" s="374" t="s">
        <v>220</v>
      </c>
      <c r="AJ1122" s="374"/>
      <c r="AK1122" s="374"/>
      <c r="AL1122" s="115"/>
      <c r="AM1122" s="115"/>
      <c r="AN1122" s="115"/>
      <c r="AO1122" s="115"/>
      <c r="AP1122" s="115"/>
      <c r="AQ1122" s="115"/>
      <c r="AS1122" s="115"/>
      <c r="AT1122" s="115"/>
      <c r="AU1122" s="115"/>
      <c r="AV1122" s="115"/>
      <c r="AW1122" s="115"/>
    </row>
    <row r="1123" spans="15:49">
      <c r="O1123" s="91"/>
      <c r="X1123" s="115">
        <f t="shared" si="151"/>
        <v>0</v>
      </c>
      <c r="Y1123" s="115">
        <f t="shared" si="152"/>
        <v>0</v>
      </c>
      <c r="Z1123" s="115" t="e">
        <f t="shared" si="153"/>
        <v>#VALUE!</v>
      </c>
      <c r="AA1123" s="115">
        <f t="shared" si="154"/>
        <v>0</v>
      </c>
      <c r="AC1123" s="91"/>
      <c r="AD1123" s="204"/>
      <c r="AE1123" s="204"/>
      <c r="AF1123" s="115"/>
      <c r="AG1123" s="115"/>
      <c r="AH1123" s="115"/>
      <c r="AI1123" s="115"/>
      <c r="AJ1123" s="115"/>
      <c r="AK1123" s="115"/>
      <c r="AL1123" s="115"/>
      <c r="AM1123" s="115"/>
      <c r="AN1123" s="115"/>
      <c r="AO1123" s="115"/>
      <c r="AP1123" s="115"/>
      <c r="AQ1123" s="115"/>
      <c r="AS1123" s="115"/>
      <c r="AT1123" s="115"/>
      <c r="AU1123" s="115"/>
      <c r="AV1123" s="115"/>
      <c r="AW1123" s="115"/>
    </row>
    <row r="1124" spans="15:49">
      <c r="O1124" s="91"/>
      <c r="X1124" s="115">
        <f t="shared" si="151"/>
        <v>0</v>
      </c>
      <c r="Y1124" s="115">
        <f t="shared" si="152"/>
        <v>0</v>
      </c>
      <c r="Z1124" s="115" t="e">
        <f t="shared" si="153"/>
        <v>#VALUE!</v>
      </c>
      <c r="AA1124" s="115">
        <f t="shared" si="154"/>
        <v>0</v>
      </c>
      <c r="AC1124" s="91"/>
      <c r="AD1124" s="384" t="s">
        <v>270</v>
      </c>
      <c r="AE1124" s="385"/>
      <c r="AF1124" s="385"/>
      <c r="AG1124" s="207">
        <f>COUNTIFS(D:D,"AA",G:G,"STANGS",L:L,"-2;1")+AG1140</f>
        <v>0</v>
      </c>
      <c r="AH1124" s="115"/>
      <c r="AI1124" s="374" t="s">
        <v>270</v>
      </c>
      <c r="AJ1124" s="374"/>
      <c r="AK1124" s="374"/>
      <c r="AL1124" s="115">
        <f>COUNTIFS(D:D,"AA",G:G,"STANGS",L:L,"-2;0")</f>
        <v>0</v>
      </c>
      <c r="AM1124" s="115"/>
      <c r="AN1124" s="384" t="s">
        <v>270</v>
      </c>
      <c r="AO1124" s="385"/>
      <c r="AP1124" s="385"/>
      <c r="AQ1124" s="207">
        <f>COUNTIFS(D:D,"AA",G:G,"STANGS",L:L,"-2;-1")+AQ1140</f>
        <v>0</v>
      </c>
      <c r="AS1124" s="115"/>
      <c r="AT1124" s="374" t="s">
        <v>270</v>
      </c>
      <c r="AU1124" s="374"/>
      <c r="AV1124" s="374"/>
      <c r="AW1124" s="115">
        <f>COUNTIFS(D:D,"AA",G:G,"STANGS")</f>
        <v>9</v>
      </c>
    </row>
    <row r="1125" spans="15:49">
      <c r="O1125" s="91"/>
      <c r="X1125" s="115">
        <f t="shared" si="151"/>
        <v>0</v>
      </c>
      <c r="Y1125" s="115">
        <f t="shared" si="152"/>
        <v>0</v>
      </c>
      <c r="Z1125" s="115" t="e">
        <f t="shared" si="153"/>
        <v>#VALUE!</v>
      </c>
      <c r="AA1125" s="115">
        <f t="shared" si="154"/>
        <v>0</v>
      </c>
      <c r="AC1125" s="91"/>
      <c r="AD1125" s="375" t="s">
        <v>271</v>
      </c>
      <c r="AE1125" s="376"/>
      <c r="AF1125" s="376"/>
      <c r="AG1125" s="209">
        <f>COUNTIFS(D:D,"AA",G:G,"STANGS",L:L,"-2;1",P:P,"JAH")+AG1141</f>
        <v>0</v>
      </c>
      <c r="AH1125" s="115"/>
      <c r="AI1125" s="374" t="s">
        <v>271</v>
      </c>
      <c r="AJ1125" s="374"/>
      <c r="AK1125" s="374"/>
      <c r="AL1125" s="115">
        <f>COUNTIFS(D:D,"AA",G:G,"STANGS",L:L,"-2;0",P:P,"JAH")</f>
        <v>0</v>
      </c>
      <c r="AM1125" s="115"/>
      <c r="AN1125" s="375" t="s">
        <v>271</v>
      </c>
      <c r="AO1125" s="376"/>
      <c r="AP1125" s="376"/>
      <c r="AQ1125" s="209">
        <f>COUNTIFS(D:D,"AA",G:G,"STANGS",L:L,"-2;-1",P:P,"JAH")+AQ1141</f>
        <v>0</v>
      </c>
      <c r="AS1125" s="115"/>
      <c r="AT1125" s="374" t="s">
        <v>271</v>
      </c>
      <c r="AU1125" s="374"/>
      <c r="AV1125" s="374"/>
      <c r="AW1125" s="115">
        <f>COUNTIFS(D:D,"AA",G:G,"STANGS",P:P,"JAH")</f>
        <v>0</v>
      </c>
    </row>
    <row r="1126" spans="15:49">
      <c r="O1126" s="91"/>
      <c r="X1126" s="115">
        <f t="shared" si="151"/>
        <v>0</v>
      </c>
      <c r="Y1126" s="115">
        <f t="shared" si="152"/>
        <v>0</v>
      </c>
      <c r="Z1126" s="115" t="e">
        <f t="shared" si="153"/>
        <v>#VALUE!</v>
      </c>
      <c r="AA1126" s="115">
        <f t="shared" si="154"/>
        <v>0</v>
      </c>
      <c r="AC1126" s="91"/>
      <c r="AD1126" s="375" t="s">
        <v>272</v>
      </c>
      <c r="AE1126" s="376"/>
      <c r="AF1126" s="376"/>
      <c r="AG1126" s="253" t="e">
        <f>AG1125/AG1124</f>
        <v>#DIV/0!</v>
      </c>
      <c r="AH1126" s="115"/>
      <c r="AI1126" s="374" t="s">
        <v>272</v>
      </c>
      <c r="AJ1126" s="374"/>
      <c r="AK1126" s="374"/>
      <c r="AL1126" s="151" t="e">
        <f>AL1125/AL1124</f>
        <v>#DIV/0!</v>
      </c>
      <c r="AM1126" s="115"/>
      <c r="AN1126" s="375" t="s">
        <v>272</v>
      </c>
      <c r="AO1126" s="376"/>
      <c r="AP1126" s="376"/>
      <c r="AQ1126" s="253" t="e">
        <f>AQ1125/AQ1124</f>
        <v>#DIV/0!</v>
      </c>
      <c r="AS1126" s="115"/>
      <c r="AT1126" s="374" t="s">
        <v>272</v>
      </c>
      <c r="AU1126" s="374"/>
      <c r="AV1126" s="374"/>
      <c r="AW1126" s="151">
        <f>AW1125/AW1124</f>
        <v>0</v>
      </c>
    </row>
    <row r="1127" spans="15:49">
      <c r="O1127" s="91"/>
      <c r="X1127" s="115">
        <f t="shared" si="151"/>
        <v>0</v>
      </c>
      <c r="Y1127" s="115">
        <f t="shared" si="152"/>
        <v>0</v>
      </c>
      <c r="Z1127" s="115" t="e">
        <f t="shared" si="153"/>
        <v>#VALUE!</v>
      </c>
      <c r="AA1127" s="115">
        <f t="shared" si="154"/>
        <v>0</v>
      </c>
      <c r="AC1127" s="91"/>
      <c r="AD1127" s="375" t="s">
        <v>318</v>
      </c>
      <c r="AE1127" s="376"/>
      <c r="AF1127" s="376"/>
      <c r="AG1127" s="254">
        <f>COUNTIFS(D:D,"AA",G:G,"STANGS",L:L,"-2;1",V:V,"JAH")+COUNTIFS(D:D,"AA",G:G,"STANGS",L:L,"-2;1",V:V,"EI")+AG1143</f>
        <v>0</v>
      </c>
      <c r="AH1127" s="115"/>
      <c r="AI1127" s="374" t="s">
        <v>318</v>
      </c>
      <c r="AJ1127" s="374"/>
      <c r="AK1127" s="374"/>
      <c r="AL1127" s="178">
        <f>COUNTIFS(D:D,"AA",G:G,"STANGS",L:L,"-2;0",V:V,"JAH")+COUNTIFS(D:D,"AA",G:G,"STANGS",L:L,"-2;0",V:V,"EI")</f>
        <v>0</v>
      </c>
      <c r="AM1127" s="115"/>
      <c r="AN1127" s="375" t="s">
        <v>318</v>
      </c>
      <c r="AO1127" s="376"/>
      <c r="AP1127" s="376"/>
      <c r="AQ1127" s="254">
        <f>COUNTIFS(D:D,"AA",G:G,"STANGS",L:L,"-2;-1",V:V,"JAH")+COUNTIFS(D:D,"AA",G:G,"STANGS",L:L,"-2;-1",V:V,"EI")+AQ1143</f>
        <v>0</v>
      </c>
      <c r="AS1127" s="115"/>
      <c r="AT1127" s="374" t="s">
        <v>318</v>
      </c>
      <c r="AU1127" s="374"/>
      <c r="AV1127" s="374"/>
      <c r="AW1127" s="178">
        <f>COUNTIFS(D:D,"AA",G:G,"STANGS",V:V,"JAH")+COUNTIFS(D:D,"AA",G:G,"STANGS",V:V,"EI")</f>
        <v>0</v>
      </c>
    </row>
    <row r="1128" spans="15:49">
      <c r="O1128" s="91"/>
      <c r="X1128" s="115">
        <f t="shared" si="151"/>
        <v>0</v>
      </c>
      <c r="Y1128" s="115">
        <f t="shared" si="152"/>
        <v>0</v>
      </c>
      <c r="Z1128" s="115" t="e">
        <f t="shared" si="153"/>
        <v>#VALUE!</v>
      </c>
      <c r="AA1128" s="115">
        <f t="shared" si="154"/>
        <v>0</v>
      </c>
      <c r="AC1128" s="91"/>
      <c r="AD1128" s="375" t="s">
        <v>291</v>
      </c>
      <c r="AE1128" s="376"/>
      <c r="AF1128" s="376"/>
      <c r="AG1128" s="209">
        <f>COUNTIFS(D:D,"AA",G:G,"STANGS",L:L,"-2;1",V:V,"JAH")+AG1144</f>
        <v>0</v>
      </c>
      <c r="AH1128" s="115"/>
      <c r="AI1128" s="374" t="s">
        <v>291</v>
      </c>
      <c r="AJ1128" s="374"/>
      <c r="AK1128" s="374"/>
      <c r="AL1128" s="115">
        <f>COUNTIFS(D:D,"AA",G:G,"STANGS",L:L,"-2;0",V:V,"JAH")</f>
        <v>0</v>
      </c>
      <c r="AM1128" s="115"/>
      <c r="AN1128" s="375" t="s">
        <v>291</v>
      </c>
      <c r="AO1128" s="376"/>
      <c r="AP1128" s="376"/>
      <c r="AQ1128" s="209">
        <f>COUNTIFS(D:D,"AA",G:G,"STANGS",L:L,"-2;-1",V:V,"JAH")+AQ1144</f>
        <v>0</v>
      </c>
      <c r="AS1128" s="115"/>
      <c r="AT1128" s="374" t="s">
        <v>291</v>
      </c>
      <c r="AU1128" s="374"/>
      <c r="AV1128" s="374"/>
      <c r="AW1128" s="115">
        <f>COUNTIFS(D:D,"AA",G:G,"STANGS",V:V,"JAH")</f>
        <v>0</v>
      </c>
    </row>
    <row r="1129" spans="15:49">
      <c r="O1129" s="91"/>
      <c r="X1129" s="115">
        <f t="shared" si="151"/>
        <v>0</v>
      </c>
      <c r="Y1129" s="115">
        <f t="shared" si="152"/>
        <v>0</v>
      </c>
      <c r="Z1129" s="115" t="e">
        <f t="shared" si="153"/>
        <v>#VALUE!</v>
      </c>
      <c r="AA1129" s="115">
        <f t="shared" si="154"/>
        <v>0</v>
      </c>
      <c r="AC1129" s="91"/>
      <c r="AD1129" s="375" t="s">
        <v>292</v>
      </c>
      <c r="AE1129" s="376"/>
      <c r="AF1129" s="376"/>
      <c r="AG1129" s="253" t="e">
        <f>AG1128/AG1127</f>
        <v>#DIV/0!</v>
      </c>
      <c r="AH1129" s="115"/>
      <c r="AI1129" s="374" t="s">
        <v>292</v>
      </c>
      <c r="AJ1129" s="374"/>
      <c r="AK1129" s="374"/>
      <c r="AL1129" s="151" t="e">
        <f>AL1128/AL1127</f>
        <v>#DIV/0!</v>
      </c>
      <c r="AM1129" s="115"/>
      <c r="AN1129" s="375" t="s">
        <v>292</v>
      </c>
      <c r="AO1129" s="376"/>
      <c r="AP1129" s="376"/>
      <c r="AQ1129" s="253" t="e">
        <f>AQ1128/AQ1127</f>
        <v>#DIV/0!</v>
      </c>
      <c r="AS1129" s="115"/>
      <c r="AT1129" s="374" t="s">
        <v>292</v>
      </c>
      <c r="AU1129" s="374"/>
      <c r="AV1129" s="374"/>
      <c r="AW1129" s="151">
        <f>AW1128/AW1124</f>
        <v>0</v>
      </c>
    </row>
    <row r="1130" spans="15:49">
      <c r="O1130" s="91"/>
      <c r="X1130" s="115">
        <f t="shared" si="151"/>
        <v>0</v>
      </c>
      <c r="Y1130" s="115">
        <f t="shared" si="152"/>
        <v>0</v>
      </c>
      <c r="Z1130" s="115" t="e">
        <f t="shared" si="153"/>
        <v>#VALUE!</v>
      </c>
      <c r="AA1130" s="115">
        <f t="shared" si="154"/>
        <v>0</v>
      </c>
      <c r="AC1130" s="91"/>
      <c r="AD1130" s="375" t="s">
        <v>724</v>
      </c>
      <c r="AE1130" s="376"/>
      <c r="AF1130" s="376"/>
      <c r="AG1130" s="209">
        <f>COUNTIFS(D:D,"AA",G:G,"STANGS",L:L,"-2;1",F:F,"ATONGOAL")+AG1146</f>
        <v>0</v>
      </c>
      <c r="AH1130" s="115"/>
      <c r="AI1130" s="374" t="s">
        <v>724</v>
      </c>
      <c r="AJ1130" s="374"/>
      <c r="AK1130" s="374"/>
      <c r="AL1130" s="115">
        <f>COUNTIFS(D:D,"AA",G:G,"STANGS",L:L,"-2;0",F:F,"ATONGOAL")</f>
        <v>0</v>
      </c>
      <c r="AM1130" s="115"/>
      <c r="AN1130" s="375" t="s">
        <v>724</v>
      </c>
      <c r="AO1130" s="376"/>
      <c r="AP1130" s="376"/>
      <c r="AQ1130" s="209">
        <f>COUNTIFS(D:D,"AA",G:G,"STANGS",L:L,"-2;-1",F:F,"ATONGOAL")+AQ1146</f>
        <v>0</v>
      </c>
      <c r="AS1130" s="115"/>
      <c r="AT1130" s="374" t="s">
        <v>724</v>
      </c>
      <c r="AU1130" s="374"/>
      <c r="AV1130" s="374"/>
      <c r="AW1130" s="115">
        <f>COUNTIFS(D:D,"AA",G:G,"STANGS",F:F,"ATONGOAL")</f>
        <v>0</v>
      </c>
    </row>
    <row r="1131" spans="15:49">
      <c r="O1131" s="91"/>
      <c r="X1131" s="115">
        <f t="shared" si="151"/>
        <v>0</v>
      </c>
      <c r="Y1131" s="115">
        <f t="shared" si="152"/>
        <v>0</v>
      </c>
      <c r="Z1131" s="115" t="e">
        <f t="shared" si="153"/>
        <v>#VALUE!</v>
      </c>
      <c r="AA1131" s="115">
        <f t="shared" si="154"/>
        <v>0</v>
      </c>
      <c r="AC1131" s="91"/>
      <c r="AD1131" s="375" t="s">
        <v>336</v>
      </c>
      <c r="AE1131" s="376"/>
      <c r="AF1131" s="376"/>
      <c r="AG1131" s="209">
        <f>COUNTIFS(D:D,"AA",G:G,"STANGS",L:L,"-2;1",F:F,"ATON")+AG1147</f>
        <v>0</v>
      </c>
      <c r="AH1131" s="115"/>
      <c r="AI1131" s="374" t="s">
        <v>336</v>
      </c>
      <c r="AJ1131" s="374"/>
      <c r="AK1131" s="374"/>
      <c r="AL1131" s="115">
        <f>COUNTIFS(D:D,"AA",G:G,"STANGS",L:L,"-2;0",F:F,"ATON")</f>
        <v>0</v>
      </c>
      <c r="AM1131" s="115"/>
      <c r="AN1131" s="375" t="s">
        <v>336</v>
      </c>
      <c r="AO1131" s="376"/>
      <c r="AP1131" s="376"/>
      <c r="AQ1131" s="209">
        <f>COUNTIFS(D:D,"AA",G:G,"STANGS",L:L,"-2;-1",F:F,"ATON")+AQ1147</f>
        <v>0</v>
      </c>
      <c r="AS1131" s="115"/>
      <c r="AT1131" s="374" t="s">
        <v>336</v>
      </c>
      <c r="AU1131" s="374"/>
      <c r="AV1131" s="374"/>
      <c r="AW1131" s="115">
        <f>COUNTIFS(D:D,"AA",G:G,"STANGS",F:F,"ATON")</f>
        <v>0</v>
      </c>
    </row>
    <row r="1132" spans="15:49" s="115" customFormat="1">
      <c r="O1132" s="91"/>
      <c r="X1132" s="115">
        <f t="shared" si="151"/>
        <v>0</v>
      </c>
      <c r="Y1132" s="115">
        <f t="shared" si="152"/>
        <v>0</v>
      </c>
      <c r="Z1132" s="115" t="e">
        <f t="shared" si="153"/>
        <v>#VALUE!</v>
      </c>
      <c r="AA1132" s="115">
        <f t="shared" si="154"/>
        <v>0</v>
      </c>
      <c r="AB1132" s="246"/>
      <c r="AC1132" s="91"/>
      <c r="AD1132" s="375" t="s">
        <v>337</v>
      </c>
      <c r="AE1132" s="376"/>
      <c r="AF1132" s="376"/>
      <c r="AG1132" s="209">
        <f>COUNTIFS(D:D,"AA",G:G,"STANGS",L:L,"-2;1",F:F,"ATOF")+AG1148</f>
        <v>0</v>
      </c>
      <c r="AI1132" s="374" t="s">
        <v>337</v>
      </c>
      <c r="AJ1132" s="374"/>
      <c r="AK1132" s="374"/>
      <c r="AL1132" s="115">
        <f>COUNTIFS(D:D,"AA",G:G,"STANGS",L:L,"-2;0",F:F,"ATOF")</f>
        <v>0</v>
      </c>
      <c r="AN1132" s="375" t="s">
        <v>337</v>
      </c>
      <c r="AO1132" s="376"/>
      <c r="AP1132" s="376"/>
      <c r="AQ1132" s="209">
        <f>COUNTIFS(D:D,"AA",G:G,"STANGS",L:L,"-2;-1",F:F,"ATOF")+AQ1148</f>
        <v>0</v>
      </c>
      <c r="AT1132" s="374" t="s">
        <v>337</v>
      </c>
      <c r="AU1132" s="374"/>
      <c r="AV1132" s="374"/>
      <c r="AW1132" s="115">
        <f>COUNTIFS(D:D,"AA",G:G,"STANGS",F:F,"ATOF")</f>
        <v>0</v>
      </c>
    </row>
    <row r="1133" spans="15:49" s="115" customFormat="1">
      <c r="O1133" s="91"/>
      <c r="X1133" s="115">
        <f t="shared" si="151"/>
        <v>0</v>
      </c>
      <c r="Y1133" s="115">
        <f t="shared" si="152"/>
        <v>0</v>
      </c>
      <c r="Z1133" s="115" t="e">
        <f t="shared" si="153"/>
        <v>#VALUE!</v>
      </c>
      <c r="AA1133" s="115">
        <f t="shared" si="154"/>
        <v>0</v>
      </c>
      <c r="AB1133" s="246"/>
      <c r="AC1133" s="91"/>
      <c r="AD1133" s="375" t="s">
        <v>338</v>
      </c>
      <c r="AE1133" s="376"/>
      <c r="AF1133" s="376"/>
      <c r="AG1133" s="209">
        <f>COUNTIFS(D:D,"AA",G:G,"STANGS",L:L,"-2;1",F:F,"ATBK")+AG1149</f>
        <v>0</v>
      </c>
      <c r="AI1133" s="374" t="s">
        <v>338</v>
      </c>
      <c r="AJ1133" s="374"/>
      <c r="AK1133" s="374"/>
      <c r="AL1133" s="115">
        <f>COUNTIFS(D:D,"AA",G:G,"STANGS",L:L,"-2;0",F:F,"ATBK")</f>
        <v>0</v>
      </c>
      <c r="AN1133" s="375" t="s">
        <v>338</v>
      </c>
      <c r="AO1133" s="376"/>
      <c r="AP1133" s="376"/>
      <c r="AQ1133" s="209">
        <f>COUNTIFS(D:D,"AA",G:G,"STANGS",L:L,"-2;-1",F:F,"ATBK")+AQ1149</f>
        <v>0</v>
      </c>
      <c r="AT1133" s="374" t="s">
        <v>338</v>
      </c>
      <c r="AU1133" s="374"/>
      <c r="AV1133" s="374"/>
      <c r="AW1133" s="115">
        <f>COUNTIFS(D:D,"AA",G:G,"STANGS",F:F,"ATBK")</f>
        <v>0</v>
      </c>
    </row>
    <row r="1134" spans="15:49">
      <c r="O1134" s="91"/>
      <c r="X1134" s="115">
        <f t="shared" si="151"/>
        <v>0</v>
      </c>
      <c r="Y1134" s="115">
        <f t="shared" si="152"/>
        <v>0</v>
      </c>
      <c r="Z1134" s="115" t="e">
        <f t="shared" si="153"/>
        <v>#VALUE!</v>
      </c>
      <c r="AA1134" s="115">
        <f t="shared" si="154"/>
        <v>0</v>
      </c>
      <c r="AC1134" s="91"/>
      <c r="AD1134" s="375" t="s">
        <v>315</v>
      </c>
      <c r="AE1134" s="376"/>
      <c r="AF1134" s="376"/>
      <c r="AG1134" s="209">
        <f>COUNTIFS(D:D,"AA",G:G,"STANGS",L:L,"-2;1",E:E,"POS",F:F,"WINSTAN")+AG1150</f>
        <v>0</v>
      </c>
      <c r="AH1134" s="115"/>
      <c r="AI1134" s="374" t="s">
        <v>315</v>
      </c>
      <c r="AJ1134" s="374"/>
      <c r="AK1134" s="374"/>
      <c r="AL1134" s="115">
        <f>COUNTIFS(D:D,"AA",G:G,"STANGS",L:L,"-2;0",E:E,"POS",F:F,"WINSTAN")</f>
        <v>0</v>
      </c>
      <c r="AM1134" s="115"/>
      <c r="AN1134" s="375" t="s">
        <v>315</v>
      </c>
      <c r="AO1134" s="376"/>
      <c r="AP1134" s="376"/>
      <c r="AQ1134" s="209">
        <f>COUNTIFS(D:D,"AA",G:G,"STANGS",L:L,"-2;-1",E:E,"POS",F:F,"WINSTAN")+AQ1150</f>
        <v>0</v>
      </c>
      <c r="AS1134" s="115"/>
      <c r="AT1134" s="374" t="s">
        <v>315</v>
      </c>
      <c r="AU1134" s="374"/>
      <c r="AV1134" s="374"/>
      <c r="AW1134" s="115">
        <f>COUNTIFS(D:D,"AA",G:G,"STANGS",E:E,"POS",F:F,"WINSTAN")</f>
        <v>1</v>
      </c>
    </row>
    <row r="1135" spans="15:49" s="115" customFormat="1">
      <c r="O1135" s="91"/>
      <c r="X1135" s="115">
        <f t="shared" si="151"/>
        <v>0</v>
      </c>
      <c r="Y1135" s="115">
        <f t="shared" si="152"/>
        <v>0</v>
      </c>
      <c r="Z1135" s="115" t="e">
        <f t="shared" si="153"/>
        <v>#VALUE!</v>
      </c>
      <c r="AA1135" s="115">
        <f t="shared" si="154"/>
        <v>0</v>
      </c>
      <c r="AB1135" s="246"/>
      <c r="AC1135" s="91"/>
      <c r="AD1135" s="375" t="s">
        <v>339</v>
      </c>
      <c r="AE1135" s="376"/>
      <c r="AF1135" s="376"/>
      <c r="AG1135" s="209">
        <f>COUNTIFS(D:D,"AA",G:G,"STANGS",L:L,"-2;1",E:E,"POS",F:F,"WINSTANTI")+AG1151</f>
        <v>0</v>
      </c>
      <c r="AI1135" s="374" t="s">
        <v>339</v>
      </c>
      <c r="AJ1135" s="374"/>
      <c r="AK1135" s="374"/>
      <c r="AL1135" s="115">
        <f>COUNTIFS(D:D,"AA",G:G,"STANGS",L:L,"-2;0",E:E,"POS",F:F,"WINSTANTI")</f>
        <v>0</v>
      </c>
      <c r="AN1135" s="375" t="s">
        <v>339</v>
      </c>
      <c r="AO1135" s="376"/>
      <c r="AP1135" s="376"/>
      <c r="AQ1135" s="209">
        <f>COUNTIFS(D:D,"AA",G:G,"STANGS",L:L,"-2;-1",E:E,"POS",F:F,"WINSTANTI")+AQ1151</f>
        <v>0</v>
      </c>
      <c r="AT1135" s="374" t="s">
        <v>339</v>
      </c>
      <c r="AU1135" s="374"/>
      <c r="AV1135" s="374"/>
      <c r="AW1135" s="115">
        <f>COUNTIFS(D:D,"AA",G:G,"STANGS",E:E,"POS",F:F,"WINSTANTI")</f>
        <v>0</v>
      </c>
    </row>
    <row r="1136" spans="15:49">
      <c r="O1136" s="91"/>
      <c r="X1136" s="115">
        <f t="shared" si="151"/>
        <v>0</v>
      </c>
      <c r="Y1136" s="115">
        <f t="shared" si="152"/>
        <v>0</v>
      </c>
      <c r="Z1136" s="115" t="e">
        <f t="shared" si="153"/>
        <v>#VALUE!</v>
      </c>
      <c r="AA1136" s="115">
        <f t="shared" si="154"/>
        <v>0</v>
      </c>
      <c r="AC1136" s="91"/>
      <c r="AD1136" s="375" t="s">
        <v>316</v>
      </c>
      <c r="AE1136" s="376"/>
      <c r="AF1136" s="376"/>
      <c r="AG1136" s="209">
        <f>COUNTIFS(D:D,"AA",G:G,"STANGS",L:L,"-2;1",F:F,"ENTRY")+AG1152</f>
        <v>0</v>
      </c>
      <c r="AH1136" s="115"/>
      <c r="AI1136" s="374" t="s">
        <v>316</v>
      </c>
      <c r="AJ1136" s="374"/>
      <c r="AK1136" s="374"/>
      <c r="AL1136" s="115">
        <f>COUNTIFS(D:D,"AA",G:G,"STANGS",L:L,"-2;0",F:F,"ENTRY")</f>
        <v>0</v>
      </c>
      <c r="AM1136" s="115"/>
      <c r="AN1136" s="375" t="s">
        <v>316</v>
      </c>
      <c r="AO1136" s="376"/>
      <c r="AP1136" s="376"/>
      <c r="AQ1136" s="209">
        <f>COUNTIFS(D:D,"AA",G:G,"STANGS",L:L,"-2;-1",F:F,"ENTRY")+AQ1152</f>
        <v>0</v>
      </c>
      <c r="AS1136" s="115"/>
      <c r="AT1136" s="374" t="s">
        <v>316</v>
      </c>
      <c r="AU1136" s="374"/>
      <c r="AV1136" s="374"/>
      <c r="AW1136" s="115">
        <f>COUNTIFS(D:D,"AA",G:G,"STANGS",F:F,"ENTRY")</f>
        <v>0</v>
      </c>
    </row>
    <row r="1137" spans="15:49">
      <c r="O1137" s="91"/>
      <c r="X1137" s="115">
        <f t="shared" si="151"/>
        <v>0</v>
      </c>
      <c r="Y1137" s="115">
        <f t="shared" si="152"/>
        <v>0</v>
      </c>
      <c r="Z1137" s="115" t="e">
        <f t="shared" si="153"/>
        <v>#VALUE!</v>
      </c>
      <c r="AA1137" s="115">
        <f t="shared" si="154"/>
        <v>0</v>
      </c>
      <c r="AC1137" s="91"/>
      <c r="AD1137" s="375" t="s">
        <v>293</v>
      </c>
      <c r="AE1137" s="376"/>
      <c r="AF1137" s="376"/>
      <c r="AG1137" s="209">
        <f>COUNTIFS(D:D,"AA",G:G,"STANGS",L:L,"-2;1",F:F,"KEEPOS")+AG1153</f>
        <v>0</v>
      </c>
      <c r="AH1137" s="115"/>
      <c r="AI1137" s="374" t="s">
        <v>293</v>
      </c>
      <c r="AJ1137" s="374"/>
      <c r="AK1137" s="374"/>
      <c r="AL1137" s="115">
        <f>COUNTIFS(D:D,"AA",G:G,"STANGS",L:L,"-2;0",F:F,"KEEPOS")</f>
        <v>0</v>
      </c>
      <c r="AM1137" s="115"/>
      <c r="AN1137" s="375" t="s">
        <v>293</v>
      </c>
      <c r="AO1137" s="376"/>
      <c r="AP1137" s="376"/>
      <c r="AQ1137" s="209">
        <f>COUNTIFS(D:D,"AA",G:G,"STANGS",L:L,"-2;-1",F:F,"KEEPOS")+AQ1153</f>
        <v>0</v>
      </c>
      <c r="AS1137" s="115"/>
      <c r="AT1137" s="374" t="s">
        <v>293</v>
      </c>
      <c r="AU1137" s="374"/>
      <c r="AV1137" s="374"/>
      <c r="AW1137" s="115">
        <f>COUNTIFS(D:D,"AA",G:G,"STANGS",F:F,"KEEPOS")</f>
        <v>2</v>
      </c>
    </row>
    <row r="1138" spans="15:49">
      <c r="O1138" s="91"/>
      <c r="X1138" s="115">
        <f t="shared" si="151"/>
        <v>0</v>
      </c>
      <c r="Y1138" s="115">
        <f t="shared" si="152"/>
        <v>0</v>
      </c>
      <c r="Z1138" s="115" t="e">
        <f t="shared" si="153"/>
        <v>#VALUE!</v>
      </c>
      <c r="AA1138" s="115">
        <f t="shared" si="154"/>
        <v>0</v>
      </c>
      <c r="AC1138" s="91"/>
      <c r="AD1138" s="375" t="s">
        <v>317</v>
      </c>
      <c r="AE1138" s="376"/>
      <c r="AF1138" s="376"/>
      <c r="AG1138" s="253" t="e">
        <f>SUM(AG1130:AG1137)/AG1124</f>
        <v>#DIV/0!</v>
      </c>
      <c r="AH1138" s="115"/>
      <c r="AI1138" s="374" t="s">
        <v>317</v>
      </c>
      <c r="AJ1138" s="374"/>
      <c r="AK1138" s="374"/>
      <c r="AL1138" s="151" t="e">
        <f>SUM(AL1130:AL1137)/AL1124</f>
        <v>#DIV/0!</v>
      </c>
      <c r="AM1138" s="115"/>
      <c r="AN1138" s="375" t="s">
        <v>317</v>
      </c>
      <c r="AO1138" s="376"/>
      <c r="AP1138" s="376"/>
      <c r="AQ1138" s="253" t="e">
        <f>SUM(AQ1130:AQ1137)/AQ1124</f>
        <v>#DIV/0!</v>
      </c>
      <c r="AS1138" s="115"/>
      <c r="AT1138" s="374" t="s">
        <v>317</v>
      </c>
      <c r="AU1138" s="374"/>
      <c r="AV1138" s="374"/>
      <c r="AW1138" s="151">
        <f>SUM(AW1130:AW1137)/AW1124</f>
        <v>0.33333333333333331</v>
      </c>
    </row>
    <row r="1139" spans="15:49">
      <c r="O1139" s="91"/>
      <c r="X1139" s="115">
        <f t="shared" si="151"/>
        <v>0</v>
      </c>
      <c r="Y1139" s="115">
        <f t="shared" si="152"/>
        <v>0</v>
      </c>
      <c r="Z1139" s="115" t="e">
        <f t="shared" si="153"/>
        <v>#VALUE!</v>
      </c>
      <c r="AA1139" s="115">
        <f t="shared" si="154"/>
        <v>0</v>
      </c>
      <c r="AC1139" s="91"/>
      <c r="AD1139" s="255"/>
      <c r="AE1139" s="68"/>
      <c r="AF1139" s="165"/>
      <c r="AG1139" s="209"/>
      <c r="AH1139" s="115"/>
      <c r="AI1139" s="115"/>
      <c r="AJ1139" s="115"/>
      <c r="AK1139" s="115"/>
      <c r="AL1139" s="115"/>
      <c r="AM1139" s="115"/>
      <c r="AN1139" s="208"/>
      <c r="AO1139" s="165"/>
      <c r="AP1139" s="165"/>
      <c r="AQ1139" s="209"/>
      <c r="AS1139" s="115"/>
      <c r="AT1139" s="115"/>
      <c r="AU1139" s="115"/>
      <c r="AV1139" s="115"/>
      <c r="AW1139" s="115"/>
    </row>
    <row r="1140" spans="15:49">
      <c r="O1140" s="91"/>
      <c r="X1140" s="115">
        <f t="shared" si="151"/>
        <v>0</v>
      </c>
      <c r="Y1140" s="115">
        <f t="shared" si="152"/>
        <v>0</v>
      </c>
      <c r="Z1140" s="115" t="e">
        <f t="shared" si="153"/>
        <v>#VALUE!</v>
      </c>
      <c r="AA1140" s="115">
        <f t="shared" si="154"/>
        <v>0</v>
      </c>
      <c r="AC1140" s="91"/>
      <c r="AD1140" s="375" t="s">
        <v>270</v>
      </c>
      <c r="AE1140" s="376"/>
      <c r="AF1140" s="376"/>
      <c r="AG1140" s="209">
        <f>COUNTIFS(D:D,"AA",G:G,"STANGS",L:L,"-1;1")</f>
        <v>0</v>
      </c>
      <c r="AH1140" s="115"/>
      <c r="AI1140" s="374" t="s">
        <v>270</v>
      </c>
      <c r="AJ1140" s="374"/>
      <c r="AK1140" s="374"/>
      <c r="AL1140" s="115">
        <f>COUNTIFS(D:D,"AA",G:G,"STANGS",L:L,"-1;0")</f>
        <v>0</v>
      </c>
      <c r="AM1140" s="115"/>
      <c r="AN1140" s="375" t="s">
        <v>270</v>
      </c>
      <c r="AO1140" s="376"/>
      <c r="AP1140" s="376"/>
      <c r="AQ1140" s="209">
        <f>COUNTIFS(D:D,"AA",G:G,"STANGS",L:L,"-1;-1")</f>
        <v>0</v>
      </c>
      <c r="AS1140" s="115"/>
      <c r="AT1140" s="115"/>
      <c r="AU1140" s="115"/>
      <c r="AV1140" s="115"/>
      <c r="AW1140" s="115"/>
    </row>
    <row r="1141" spans="15:49">
      <c r="O1141" s="91"/>
      <c r="X1141" s="115">
        <f t="shared" si="151"/>
        <v>0</v>
      </c>
      <c r="Y1141" s="115">
        <f t="shared" si="152"/>
        <v>0</v>
      </c>
      <c r="Z1141" s="115" t="e">
        <f t="shared" si="153"/>
        <v>#VALUE!</v>
      </c>
      <c r="AA1141" s="115">
        <f t="shared" si="154"/>
        <v>0</v>
      </c>
      <c r="AC1141" s="91"/>
      <c r="AD1141" s="375" t="s">
        <v>271</v>
      </c>
      <c r="AE1141" s="376"/>
      <c r="AF1141" s="376"/>
      <c r="AG1141" s="209">
        <f>COUNTIFS(D:D,"AA",G:G,"STANGS",L:L,"-1;1",P:P,"JAH")</f>
        <v>0</v>
      </c>
      <c r="AH1141" s="115"/>
      <c r="AI1141" s="374" t="s">
        <v>271</v>
      </c>
      <c r="AJ1141" s="374"/>
      <c r="AK1141" s="374"/>
      <c r="AL1141" s="115">
        <f>COUNTIFS(D:D,"AA",G:G,"STANGS",L:L,"-1;0",P:P,"JAH")</f>
        <v>0</v>
      </c>
      <c r="AM1141" s="115"/>
      <c r="AN1141" s="375" t="s">
        <v>271</v>
      </c>
      <c r="AO1141" s="376"/>
      <c r="AP1141" s="376"/>
      <c r="AQ1141" s="209">
        <f>COUNTIFS(D:D,"AA",G:G,"STANGS",L:L,"-1;-1",P:P,"JAH")</f>
        <v>0</v>
      </c>
      <c r="AS1141" s="115"/>
      <c r="AT1141" s="115"/>
      <c r="AU1141" s="115"/>
      <c r="AV1141" s="115"/>
      <c r="AW1141" s="115"/>
    </row>
    <row r="1142" spans="15:49">
      <c r="O1142" s="91"/>
      <c r="X1142" s="115">
        <f t="shared" si="151"/>
        <v>0</v>
      </c>
      <c r="Y1142" s="115">
        <f t="shared" si="152"/>
        <v>0</v>
      </c>
      <c r="Z1142" s="115" t="e">
        <f t="shared" si="153"/>
        <v>#VALUE!</v>
      </c>
      <c r="AA1142" s="115">
        <f t="shared" si="154"/>
        <v>0</v>
      </c>
      <c r="AC1142" s="91"/>
      <c r="AD1142" s="375" t="s">
        <v>272</v>
      </c>
      <c r="AE1142" s="376"/>
      <c r="AF1142" s="376"/>
      <c r="AG1142" s="253" t="e">
        <f>AG1141/AG1140</f>
        <v>#DIV/0!</v>
      </c>
      <c r="AH1142" s="115"/>
      <c r="AI1142" s="374" t="s">
        <v>272</v>
      </c>
      <c r="AJ1142" s="374"/>
      <c r="AK1142" s="374"/>
      <c r="AL1142" s="151" t="e">
        <f>AL1141/AL1140</f>
        <v>#DIV/0!</v>
      </c>
      <c r="AM1142" s="115"/>
      <c r="AN1142" s="375" t="s">
        <v>272</v>
      </c>
      <c r="AO1142" s="376"/>
      <c r="AP1142" s="376"/>
      <c r="AQ1142" s="253" t="e">
        <f>AQ1141/AQ1140</f>
        <v>#DIV/0!</v>
      </c>
      <c r="AS1142" s="115"/>
      <c r="AT1142" s="115"/>
      <c r="AU1142" s="115"/>
      <c r="AV1142" s="115"/>
      <c r="AW1142" s="115"/>
    </row>
    <row r="1143" spans="15:49">
      <c r="O1143" s="91"/>
      <c r="X1143" s="115">
        <f t="shared" si="151"/>
        <v>0</v>
      </c>
      <c r="Y1143" s="115">
        <f t="shared" si="152"/>
        <v>0</v>
      </c>
      <c r="Z1143" s="115" t="e">
        <f t="shared" si="153"/>
        <v>#VALUE!</v>
      </c>
      <c r="AA1143" s="115">
        <f t="shared" si="154"/>
        <v>0</v>
      </c>
      <c r="AC1143" s="91"/>
      <c r="AD1143" s="375" t="s">
        <v>318</v>
      </c>
      <c r="AE1143" s="376"/>
      <c r="AF1143" s="376"/>
      <c r="AG1143" s="254">
        <f>COUNTIFS(D:D,"AA",G:G,"STANGS",L:L,"-1;1",V:V,"JAH")+COUNTIFS(D:D,"AA",G:G,"STANGK",L:L,"-1;1",V:V,"EI")</f>
        <v>0</v>
      </c>
      <c r="AH1143" s="115"/>
      <c r="AI1143" s="374" t="s">
        <v>318</v>
      </c>
      <c r="AJ1143" s="374"/>
      <c r="AK1143" s="374"/>
      <c r="AL1143" s="178">
        <f>COUNTIFS(D:D,"AA",G:G,"STANGS",L:L,"-1;0",V:V,"JAH")+COUNTIFS(D:D,"AA",G:G,"STANGS",L:L,"-1;0",V:V,"EI")</f>
        <v>0</v>
      </c>
      <c r="AM1143" s="115"/>
      <c r="AN1143" s="375" t="s">
        <v>318</v>
      </c>
      <c r="AO1143" s="376"/>
      <c r="AP1143" s="376"/>
      <c r="AQ1143" s="254">
        <f>COUNTIFS(D:D,"AA",G:G,"STANGS",L:L,"-1;-1",V:V,"JAH")+COUNTIFS(D:D,"AA",G:G,"STANGS",L:L,"-1;-1",V:V,"EI")</f>
        <v>0</v>
      </c>
      <c r="AS1143" s="115"/>
      <c r="AT1143" s="115"/>
      <c r="AU1143" s="115"/>
      <c r="AV1143" s="115"/>
      <c r="AW1143" s="115"/>
    </row>
    <row r="1144" spans="15:49">
      <c r="O1144" s="91"/>
      <c r="X1144" s="115">
        <f t="shared" si="151"/>
        <v>0</v>
      </c>
      <c r="Y1144" s="115">
        <f t="shared" si="152"/>
        <v>0</v>
      </c>
      <c r="Z1144" s="115" t="e">
        <f t="shared" si="153"/>
        <v>#VALUE!</v>
      </c>
      <c r="AA1144" s="115">
        <f t="shared" si="154"/>
        <v>0</v>
      </c>
      <c r="AC1144" s="91"/>
      <c r="AD1144" s="375" t="s">
        <v>291</v>
      </c>
      <c r="AE1144" s="376"/>
      <c r="AF1144" s="376"/>
      <c r="AG1144" s="209">
        <f>COUNTIFS(D:D,"AA",G:G,"STANGS",L:L,"-1;1",V:V,"JAH")</f>
        <v>0</v>
      </c>
      <c r="AH1144" s="115"/>
      <c r="AI1144" s="374" t="s">
        <v>291</v>
      </c>
      <c r="AJ1144" s="374"/>
      <c r="AK1144" s="374"/>
      <c r="AL1144" s="115">
        <f>COUNTIFS(D:D,"AA",G:G,"STANGS",L:L,"-1;0",V:V,"JAH")</f>
        <v>0</v>
      </c>
      <c r="AM1144" s="115"/>
      <c r="AN1144" s="375" t="s">
        <v>291</v>
      </c>
      <c r="AO1144" s="376"/>
      <c r="AP1144" s="376"/>
      <c r="AQ1144" s="209">
        <f>COUNTIFS(D:D,"AA",G:G,"STANGS",L:L,"-1;-1",V:V,"JAH")</f>
        <v>0</v>
      </c>
      <c r="AS1144" s="115"/>
      <c r="AT1144" s="115"/>
      <c r="AU1144" s="115"/>
      <c r="AV1144" s="115"/>
      <c r="AW1144" s="115"/>
    </row>
    <row r="1145" spans="15:49">
      <c r="O1145" s="91"/>
      <c r="X1145" s="115">
        <f t="shared" si="151"/>
        <v>0</v>
      </c>
      <c r="Y1145" s="115">
        <f t="shared" si="152"/>
        <v>0</v>
      </c>
      <c r="Z1145" s="115" t="e">
        <f t="shared" si="153"/>
        <v>#VALUE!</v>
      </c>
      <c r="AA1145" s="115">
        <f t="shared" si="154"/>
        <v>0</v>
      </c>
      <c r="AC1145" s="91"/>
      <c r="AD1145" s="375" t="s">
        <v>292</v>
      </c>
      <c r="AE1145" s="376"/>
      <c r="AF1145" s="376"/>
      <c r="AG1145" s="253" t="e">
        <f>AG1144/AG1143</f>
        <v>#DIV/0!</v>
      </c>
      <c r="AH1145" s="115"/>
      <c r="AI1145" s="374" t="s">
        <v>292</v>
      </c>
      <c r="AJ1145" s="374"/>
      <c r="AK1145" s="374"/>
      <c r="AL1145" s="151" t="e">
        <f>AL1144/AL1143</f>
        <v>#DIV/0!</v>
      </c>
      <c r="AM1145" s="115"/>
      <c r="AN1145" s="375" t="s">
        <v>292</v>
      </c>
      <c r="AO1145" s="376"/>
      <c r="AP1145" s="376"/>
      <c r="AQ1145" s="253" t="e">
        <f>AQ1144/AQ1143</f>
        <v>#DIV/0!</v>
      </c>
      <c r="AS1145" s="115"/>
      <c r="AT1145" s="115"/>
      <c r="AU1145" s="115"/>
      <c r="AV1145" s="115"/>
      <c r="AW1145" s="115"/>
    </row>
    <row r="1146" spans="15:49">
      <c r="O1146" s="91"/>
      <c r="X1146" s="115">
        <f t="shared" si="151"/>
        <v>0</v>
      </c>
      <c r="Y1146" s="115">
        <f t="shared" si="152"/>
        <v>0</v>
      </c>
      <c r="Z1146" s="115" t="e">
        <f t="shared" si="153"/>
        <v>#VALUE!</v>
      </c>
      <c r="AA1146" s="115">
        <f t="shared" si="154"/>
        <v>0</v>
      </c>
      <c r="AC1146" s="91"/>
      <c r="AD1146" s="375" t="s">
        <v>724</v>
      </c>
      <c r="AE1146" s="376"/>
      <c r="AF1146" s="376"/>
      <c r="AG1146" s="209">
        <f>COUNTIFS(D:D,"AA",G:G,"STANGS",L:L,"-1;1",F:F,"ATONGOAL")</f>
        <v>0</v>
      </c>
      <c r="AH1146" s="115"/>
      <c r="AI1146" s="374" t="s">
        <v>724</v>
      </c>
      <c r="AJ1146" s="374"/>
      <c r="AK1146" s="374"/>
      <c r="AL1146" s="115">
        <f>COUNTIFS(D:D,"AA",G:G,"STANGS",L:L,"-1;0",F:F,"ATONGOAL")</f>
        <v>0</v>
      </c>
      <c r="AM1146" s="115"/>
      <c r="AN1146" s="375" t="s">
        <v>724</v>
      </c>
      <c r="AO1146" s="376"/>
      <c r="AP1146" s="376"/>
      <c r="AQ1146" s="209">
        <f>COUNTIFS(D:D,"AA",G:G,"STANGS",L:L,"-1;-1",F:F,"ATONGOAL")</f>
        <v>0</v>
      </c>
      <c r="AS1146" s="115"/>
      <c r="AT1146" s="115"/>
      <c r="AU1146" s="115"/>
      <c r="AV1146" s="115"/>
      <c r="AW1146" s="115"/>
    </row>
    <row r="1147" spans="15:49">
      <c r="O1147" s="91"/>
      <c r="X1147" s="115">
        <f t="shared" si="151"/>
        <v>0</v>
      </c>
      <c r="Y1147" s="115">
        <f t="shared" si="152"/>
        <v>0</v>
      </c>
      <c r="Z1147" s="115" t="e">
        <f t="shared" si="153"/>
        <v>#VALUE!</v>
      </c>
      <c r="AA1147" s="115">
        <f t="shared" si="154"/>
        <v>0</v>
      </c>
      <c r="AC1147" s="91"/>
      <c r="AD1147" s="375" t="s">
        <v>336</v>
      </c>
      <c r="AE1147" s="376"/>
      <c r="AF1147" s="376"/>
      <c r="AG1147" s="209">
        <f>COUNTIFS(D:D,"AA",G:G,"STANGS",L:L,"-1;1",F:F,"ATON")</f>
        <v>0</v>
      </c>
      <c r="AH1147" s="115"/>
      <c r="AI1147" s="374" t="s">
        <v>336</v>
      </c>
      <c r="AJ1147" s="374"/>
      <c r="AK1147" s="374"/>
      <c r="AL1147" s="115">
        <f>COUNTIFS(D:D,"AA",G:G,"STANGS",L:L,"-1;0",F:F,"ATON")</f>
        <v>0</v>
      </c>
      <c r="AM1147" s="115"/>
      <c r="AN1147" s="375" t="s">
        <v>336</v>
      </c>
      <c r="AO1147" s="376"/>
      <c r="AP1147" s="376"/>
      <c r="AQ1147" s="209">
        <f>COUNTIFS(D:D,"AA",G:G,"STANGS",L:L,"-1;-1",F:F,"ATON")</f>
        <v>0</v>
      </c>
      <c r="AS1147" s="115"/>
      <c r="AT1147" s="115"/>
      <c r="AU1147" s="115"/>
      <c r="AV1147" s="115"/>
      <c r="AW1147" s="115"/>
    </row>
    <row r="1148" spans="15:49" s="115" customFormat="1">
      <c r="O1148" s="91"/>
      <c r="X1148" s="115">
        <f t="shared" si="151"/>
        <v>0</v>
      </c>
      <c r="Y1148" s="115">
        <f t="shared" si="152"/>
        <v>0</v>
      </c>
      <c r="Z1148" s="115" t="e">
        <f t="shared" si="153"/>
        <v>#VALUE!</v>
      </c>
      <c r="AA1148" s="115">
        <f t="shared" si="154"/>
        <v>0</v>
      </c>
      <c r="AB1148" s="246"/>
      <c r="AC1148" s="91"/>
      <c r="AD1148" s="375" t="s">
        <v>337</v>
      </c>
      <c r="AE1148" s="376"/>
      <c r="AF1148" s="376"/>
      <c r="AG1148" s="209">
        <f>COUNTIFS(D:D,"AA",G:G,"STANGS",L:L,"-1;1",F:F,"ATOF")</f>
        <v>0</v>
      </c>
      <c r="AI1148" s="374" t="s">
        <v>337</v>
      </c>
      <c r="AJ1148" s="374"/>
      <c r="AK1148" s="374"/>
      <c r="AL1148" s="115">
        <f>COUNTIFS(D:D,"AA",G:G,"STANGS",L:L,"-1;0",F:F,"ATOF")</f>
        <v>0</v>
      </c>
      <c r="AN1148" s="375" t="s">
        <v>337</v>
      </c>
      <c r="AO1148" s="376"/>
      <c r="AP1148" s="376"/>
      <c r="AQ1148" s="209">
        <f>COUNTIFS(D:D,"AA",G:G,"STANGS",L:L,"-1;-1",F:F,"ATOF")</f>
        <v>0</v>
      </c>
    </row>
    <row r="1149" spans="15:49" s="115" customFormat="1">
      <c r="O1149" s="91"/>
      <c r="X1149" s="115">
        <f t="shared" si="151"/>
        <v>0</v>
      </c>
      <c r="Y1149" s="115">
        <f t="shared" si="152"/>
        <v>0</v>
      </c>
      <c r="Z1149" s="115" t="e">
        <f t="shared" si="153"/>
        <v>#VALUE!</v>
      </c>
      <c r="AA1149" s="115">
        <f t="shared" si="154"/>
        <v>0</v>
      </c>
      <c r="AB1149" s="246"/>
      <c r="AC1149" s="91"/>
      <c r="AD1149" s="375" t="s">
        <v>338</v>
      </c>
      <c r="AE1149" s="376"/>
      <c r="AF1149" s="376"/>
      <c r="AG1149" s="209">
        <f>COUNTIFS(D:D,"AA",G:G,"STANGS",L:L,"-1;1",F:F,"ATBK")</f>
        <v>0</v>
      </c>
      <c r="AI1149" s="374" t="s">
        <v>338</v>
      </c>
      <c r="AJ1149" s="374"/>
      <c r="AK1149" s="374"/>
      <c r="AL1149" s="115">
        <f>COUNTIFS(D:D,"AA",G:G,"STANGS",L:L,"-1;0",F:F,"ATBK")</f>
        <v>0</v>
      </c>
      <c r="AN1149" s="375" t="s">
        <v>338</v>
      </c>
      <c r="AO1149" s="376"/>
      <c r="AP1149" s="376"/>
      <c r="AQ1149" s="209">
        <f>COUNTIFS(D:D,"AA",G:G,"STANGS",L:L,"-1;-1",F:F,"ATBK")</f>
        <v>0</v>
      </c>
    </row>
    <row r="1150" spans="15:49">
      <c r="O1150" s="91"/>
      <c r="X1150" s="115">
        <f t="shared" si="151"/>
        <v>0</v>
      </c>
      <c r="Y1150" s="115">
        <f t="shared" si="152"/>
        <v>0</v>
      </c>
      <c r="Z1150" s="115" t="e">
        <f t="shared" si="153"/>
        <v>#VALUE!</v>
      </c>
      <c r="AA1150" s="115">
        <f t="shared" si="154"/>
        <v>0</v>
      </c>
      <c r="AC1150" s="91"/>
      <c r="AD1150" s="375" t="s">
        <v>315</v>
      </c>
      <c r="AE1150" s="376"/>
      <c r="AF1150" s="376"/>
      <c r="AG1150" s="209">
        <f>COUNTIFS(D:D,"AA",G:G,"STANGS",L:L,"-1;1",E:E,"POS",F:F,"WINSTAN")</f>
        <v>0</v>
      </c>
      <c r="AH1150" s="115"/>
      <c r="AI1150" s="374" t="s">
        <v>315</v>
      </c>
      <c r="AJ1150" s="374"/>
      <c r="AK1150" s="374"/>
      <c r="AL1150" s="115">
        <f>COUNTIFS(D:D,"AA",G:G,"STANGS",L:L,"-1;0",E:E,"POS",F:F,"WINSTAN")</f>
        <v>0</v>
      </c>
      <c r="AM1150" s="115"/>
      <c r="AN1150" s="375" t="s">
        <v>315</v>
      </c>
      <c r="AO1150" s="376"/>
      <c r="AP1150" s="376"/>
      <c r="AQ1150" s="209">
        <f>COUNTIFS(D:D,"AA",G:G,"STANGS",L:L,"-1;-1",E:E,"POS",F:F,"WINSTAN")</f>
        <v>0</v>
      </c>
      <c r="AS1150" s="115"/>
      <c r="AT1150" s="115"/>
      <c r="AU1150" s="115"/>
      <c r="AV1150" s="115"/>
      <c r="AW1150" s="115"/>
    </row>
    <row r="1151" spans="15:49" s="115" customFormat="1">
      <c r="O1151" s="91"/>
      <c r="X1151" s="115">
        <f t="shared" si="151"/>
        <v>0</v>
      </c>
      <c r="Y1151" s="115">
        <f t="shared" si="152"/>
        <v>0</v>
      </c>
      <c r="Z1151" s="115" t="e">
        <f t="shared" si="153"/>
        <v>#VALUE!</v>
      </c>
      <c r="AA1151" s="115">
        <f t="shared" si="154"/>
        <v>0</v>
      </c>
      <c r="AB1151" s="246"/>
      <c r="AC1151" s="91"/>
      <c r="AD1151" s="375" t="s">
        <v>339</v>
      </c>
      <c r="AE1151" s="376"/>
      <c r="AF1151" s="376"/>
      <c r="AG1151" s="209">
        <f>COUNTIFS(D:D,"AA",G:G,"STANGS",L:L,"-1;1",E:E,"POS",F:F,"WINSTANTI")</f>
        <v>0</v>
      </c>
      <c r="AI1151" s="374" t="s">
        <v>339</v>
      </c>
      <c r="AJ1151" s="374"/>
      <c r="AK1151" s="374"/>
      <c r="AL1151" s="115">
        <f>COUNTIFS(D:D,"AA",G:G,"STANGS",L:L,"-1;0",E:E,"POS",F:F,"WINSTANTI")</f>
        <v>0</v>
      </c>
      <c r="AN1151" s="375" t="s">
        <v>339</v>
      </c>
      <c r="AO1151" s="376"/>
      <c r="AP1151" s="376"/>
      <c r="AQ1151" s="209">
        <f>COUNTIFS(D:D,"AA",G:G,"STANGS",L:L,"-1;-1",E:E,"POS",F:F,"WINSTANTI")</f>
        <v>0</v>
      </c>
    </row>
    <row r="1152" spans="15:49">
      <c r="O1152" s="91"/>
      <c r="X1152" s="115">
        <f t="shared" si="151"/>
        <v>0</v>
      </c>
      <c r="Y1152" s="115">
        <f t="shared" si="152"/>
        <v>0</v>
      </c>
      <c r="Z1152" s="115" t="e">
        <f t="shared" si="153"/>
        <v>#VALUE!</v>
      </c>
      <c r="AA1152" s="115">
        <f t="shared" si="154"/>
        <v>0</v>
      </c>
      <c r="AC1152" s="91"/>
      <c r="AD1152" s="375" t="s">
        <v>316</v>
      </c>
      <c r="AE1152" s="376"/>
      <c r="AF1152" s="376"/>
      <c r="AG1152" s="209">
        <f>COUNTIFS(D:D,"AA",G:G,"STANGS",L:L,"-1;1",F:F,"ENTRY")</f>
        <v>0</v>
      </c>
      <c r="AH1152" s="115"/>
      <c r="AI1152" s="374" t="s">
        <v>316</v>
      </c>
      <c r="AJ1152" s="374"/>
      <c r="AK1152" s="374"/>
      <c r="AL1152" s="115">
        <f>COUNTIFS(D:D,"AA",G:G,"STANGS",L:L,"-1;0",F:F,"ENTRY")</f>
        <v>0</v>
      </c>
      <c r="AM1152" s="115"/>
      <c r="AN1152" s="375" t="s">
        <v>316</v>
      </c>
      <c r="AO1152" s="376"/>
      <c r="AP1152" s="376"/>
      <c r="AQ1152" s="209">
        <f>COUNTIFS(D:D,"AA",G:G,"STANGS",L:L,"-1;-1",F:F,"ENTRY")</f>
        <v>0</v>
      </c>
      <c r="AS1152" s="115"/>
      <c r="AT1152" s="115"/>
      <c r="AU1152" s="115"/>
      <c r="AV1152" s="115"/>
      <c r="AW1152" s="115"/>
    </row>
    <row r="1153" spans="15:49">
      <c r="O1153" s="91"/>
      <c r="X1153" s="115">
        <f t="shared" si="151"/>
        <v>0</v>
      </c>
      <c r="Y1153" s="115">
        <f t="shared" si="152"/>
        <v>0</v>
      </c>
      <c r="Z1153" s="115" t="e">
        <f t="shared" si="153"/>
        <v>#VALUE!</v>
      </c>
      <c r="AA1153" s="115">
        <f t="shared" si="154"/>
        <v>0</v>
      </c>
      <c r="AC1153" s="91"/>
      <c r="AD1153" s="375" t="s">
        <v>293</v>
      </c>
      <c r="AE1153" s="376"/>
      <c r="AF1153" s="376"/>
      <c r="AG1153" s="209">
        <f>COUNTIFS(D:D,"AA",G:G,"STANGS",L:L,"-1;1",F:F,"KEEPOS")</f>
        <v>0</v>
      </c>
      <c r="AH1153" s="115"/>
      <c r="AI1153" s="374" t="s">
        <v>293</v>
      </c>
      <c r="AJ1153" s="374"/>
      <c r="AK1153" s="374"/>
      <c r="AL1153" s="115">
        <f>COUNTIFS(D:D,"AA",G:G,"STANGS",L:L,"-1;0",F:F,"KEEPOS")</f>
        <v>0</v>
      </c>
      <c r="AM1153" s="115"/>
      <c r="AN1153" s="375" t="s">
        <v>293</v>
      </c>
      <c r="AO1153" s="376"/>
      <c r="AP1153" s="376"/>
      <c r="AQ1153" s="209">
        <f>COUNTIFS(D:D,"AA",G:G,"STANGS",L:L,"-1;-1",F:F,"KEEPOS")</f>
        <v>0</v>
      </c>
      <c r="AS1153" s="115"/>
      <c r="AT1153" s="115"/>
      <c r="AU1153" s="115"/>
      <c r="AV1153" s="115"/>
      <c r="AW1153" s="115"/>
    </row>
    <row r="1154" spans="15:49">
      <c r="O1154" s="91"/>
      <c r="X1154" s="115">
        <f t="shared" si="151"/>
        <v>0</v>
      </c>
      <c r="Y1154" s="115">
        <f t="shared" si="152"/>
        <v>0</v>
      </c>
      <c r="Z1154" s="115" t="e">
        <f t="shared" si="153"/>
        <v>#VALUE!</v>
      </c>
      <c r="AA1154" s="115">
        <f t="shared" si="154"/>
        <v>0</v>
      </c>
      <c r="AC1154" s="91"/>
      <c r="AD1154" s="386" t="s">
        <v>317</v>
      </c>
      <c r="AE1154" s="383"/>
      <c r="AF1154" s="383"/>
      <c r="AG1154" s="256" t="e">
        <f>SUM(AG1146:AG1153)/AG1140</f>
        <v>#DIV/0!</v>
      </c>
      <c r="AH1154" s="115"/>
      <c r="AI1154" s="374" t="s">
        <v>317</v>
      </c>
      <c r="AJ1154" s="374"/>
      <c r="AK1154" s="374"/>
      <c r="AL1154" s="115" t="e">
        <f>SUM(AL1146:AL1153)/AL1140</f>
        <v>#DIV/0!</v>
      </c>
      <c r="AM1154" s="115"/>
      <c r="AN1154" s="386" t="s">
        <v>317</v>
      </c>
      <c r="AO1154" s="383"/>
      <c r="AP1154" s="383"/>
      <c r="AQ1154" s="256" t="e">
        <f>SUM(AQ1146:AQ1153)/AQ1140</f>
        <v>#DIV/0!</v>
      </c>
      <c r="AS1154" s="115"/>
      <c r="AT1154" s="115"/>
      <c r="AU1154" s="115"/>
      <c r="AV1154" s="115"/>
      <c r="AW1154" s="115"/>
    </row>
    <row r="1155" spans="15:49">
      <c r="O1155" s="91"/>
      <c r="X1155" s="115">
        <f t="shared" ref="X1155:X1218" si="155">mapValues(E1155,F1155,"P265")</f>
        <v>0</v>
      </c>
      <c r="Y1155" s="115">
        <f t="shared" ref="Y1155:Y1218" si="156">X1154+X1155</f>
        <v>0</v>
      </c>
      <c r="Z1155" s="115" t="e">
        <f t="shared" ref="Z1155:Z1218" si="157">VALUE(MID(B1155,FIND(" ",B1155)+1,FIND(" ",B1155,FIND(" ",B1155)+1)-FIND(" ",B1155)))</f>
        <v>#VALUE!</v>
      </c>
      <c r="AA1155" s="115">
        <f t="shared" ref="AA1155:AA1218" si="158">T1155/1000</f>
        <v>0</v>
      </c>
      <c r="AC1155" s="91"/>
      <c r="AD1155" s="374"/>
      <c r="AE1155" s="374"/>
      <c r="AF1155" s="374"/>
      <c r="AG1155" s="151"/>
      <c r="AH1155" s="115"/>
      <c r="AI1155" s="374"/>
      <c r="AJ1155" s="374"/>
      <c r="AK1155" s="374"/>
      <c r="AL1155" s="151"/>
      <c r="AM1155" s="115"/>
      <c r="AN1155" s="374"/>
      <c r="AO1155" s="374"/>
      <c r="AP1155" s="374"/>
      <c r="AQ1155" s="151"/>
      <c r="AS1155" s="115"/>
      <c r="AT1155" s="115"/>
      <c r="AU1155" s="115"/>
      <c r="AV1155" s="115"/>
      <c r="AW1155" s="115"/>
    </row>
    <row r="1156" spans="15:49">
      <c r="O1156" s="91"/>
      <c r="X1156" s="115">
        <f t="shared" si="155"/>
        <v>0</v>
      </c>
      <c r="Y1156" s="115">
        <f t="shared" si="156"/>
        <v>0</v>
      </c>
      <c r="Z1156" s="115" t="e">
        <f t="shared" si="157"/>
        <v>#VALUE!</v>
      </c>
      <c r="AA1156" s="115">
        <f t="shared" si="158"/>
        <v>0</v>
      </c>
      <c r="AC1156" s="91"/>
      <c r="AD1156" s="374" t="s">
        <v>270</v>
      </c>
      <c r="AE1156" s="374"/>
      <c r="AF1156" s="374"/>
      <c r="AG1156" s="115">
        <f>COUNTIFS(D:D,"AA",G:G,"STANGS",L:L,"0;1")</f>
        <v>0</v>
      </c>
      <c r="AH1156" s="115"/>
      <c r="AI1156" s="374" t="s">
        <v>270</v>
      </c>
      <c r="AJ1156" s="374"/>
      <c r="AK1156" s="374"/>
      <c r="AL1156" s="115">
        <f>COUNTIFS(D:D,"AA",G:G,"STANGS",L:L,"0;0")</f>
        <v>0</v>
      </c>
      <c r="AM1156" s="115"/>
      <c r="AN1156" s="374" t="s">
        <v>270</v>
      </c>
      <c r="AO1156" s="374"/>
      <c r="AP1156" s="374"/>
      <c r="AQ1156" s="115">
        <f>COUNTIFS(D:D,"AA",G:G,"STANGS",L:L,"0;-1")</f>
        <v>0</v>
      </c>
      <c r="AS1156" s="115"/>
      <c r="AT1156" s="115"/>
      <c r="AU1156" s="115"/>
      <c r="AV1156" s="115"/>
      <c r="AW1156" s="115"/>
    </row>
    <row r="1157" spans="15:49">
      <c r="O1157" s="91"/>
      <c r="X1157" s="115">
        <f t="shared" si="155"/>
        <v>0</v>
      </c>
      <c r="Y1157" s="115">
        <f t="shared" si="156"/>
        <v>0</v>
      </c>
      <c r="Z1157" s="115" t="e">
        <f t="shared" si="157"/>
        <v>#VALUE!</v>
      </c>
      <c r="AA1157" s="115">
        <f t="shared" si="158"/>
        <v>0</v>
      </c>
      <c r="AC1157" s="91"/>
      <c r="AD1157" s="374" t="s">
        <v>271</v>
      </c>
      <c r="AE1157" s="374"/>
      <c r="AF1157" s="374"/>
      <c r="AG1157" s="115">
        <f>COUNTIFS(D:D,"AA",G:G,"STANGS",L:L,"0;1",P:P,"JAH")</f>
        <v>0</v>
      </c>
      <c r="AH1157" s="115"/>
      <c r="AI1157" s="374" t="s">
        <v>271</v>
      </c>
      <c r="AJ1157" s="374"/>
      <c r="AK1157" s="374"/>
      <c r="AL1157" s="115">
        <f>COUNTIFS(D:D,"AA",G:G,"STANGS",L:L,"0;0",P:P,"JAH")</f>
        <v>0</v>
      </c>
      <c r="AM1157" s="115"/>
      <c r="AN1157" s="374" t="s">
        <v>271</v>
      </c>
      <c r="AO1157" s="374"/>
      <c r="AP1157" s="374"/>
      <c r="AQ1157" s="115">
        <f>COUNTIFS(D:D,"AA",G:G,"STANGS",L:L,"0;-1",P:P,"JAH")</f>
        <v>0</v>
      </c>
      <c r="AS1157" s="115"/>
      <c r="AT1157" s="115"/>
      <c r="AU1157" s="115"/>
      <c r="AV1157" s="115"/>
      <c r="AW1157" s="115"/>
    </row>
    <row r="1158" spans="15:49">
      <c r="O1158" s="91"/>
      <c r="X1158" s="115">
        <f t="shared" si="155"/>
        <v>0</v>
      </c>
      <c r="Y1158" s="115">
        <f t="shared" si="156"/>
        <v>0</v>
      </c>
      <c r="Z1158" s="115" t="e">
        <f t="shared" si="157"/>
        <v>#VALUE!</v>
      </c>
      <c r="AA1158" s="115">
        <f t="shared" si="158"/>
        <v>0</v>
      </c>
      <c r="AC1158" s="91"/>
      <c r="AD1158" s="374" t="s">
        <v>272</v>
      </c>
      <c r="AE1158" s="374"/>
      <c r="AF1158" s="374"/>
      <c r="AG1158" s="151" t="e">
        <f>AG1157/AG1156</f>
        <v>#DIV/0!</v>
      </c>
      <c r="AH1158" s="115"/>
      <c r="AI1158" s="374" t="s">
        <v>272</v>
      </c>
      <c r="AJ1158" s="374"/>
      <c r="AK1158" s="374"/>
      <c r="AL1158" s="151" t="e">
        <f>AL1157/AL1156</f>
        <v>#DIV/0!</v>
      </c>
      <c r="AM1158" s="115"/>
      <c r="AN1158" s="374" t="s">
        <v>272</v>
      </c>
      <c r="AO1158" s="374"/>
      <c r="AP1158" s="374"/>
      <c r="AQ1158" s="151" t="e">
        <f>AQ1157/AQ1156</f>
        <v>#DIV/0!</v>
      </c>
      <c r="AS1158" s="115"/>
      <c r="AT1158" s="115"/>
      <c r="AU1158" s="115"/>
      <c r="AV1158" s="115"/>
      <c r="AW1158" s="115"/>
    </row>
    <row r="1159" spans="15:49">
      <c r="O1159" s="91"/>
      <c r="X1159" s="115">
        <f t="shared" si="155"/>
        <v>0</v>
      </c>
      <c r="Y1159" s="115">
        <f t="shared" si="156"/>
        <v>0</v>
      </c>
      <c r="Z1159" s="115" t="e">
        <f t="shared" si="157"/>
        <v>#VALUE!</v>
      </c>
      <c r="AA1159" s="115">
        <f t="shared" si="158"/>
        <v>0</v>
      </c>
      <c r="AC1159" s="91"/>
      <c r="AD1159" s="374" t="s">
        <v>318</v>
      </c>
      <c r="AE1159" s="374"/>
      <c r="AF1159" s="374"/>
      <c r="AG1159" s="178">
        <f>COUNTIFS(D:D,"AA",G:G,"STANGS",L:L,"0;1",V:V,"JAH")+COUNTIFS(D:D,"AA",G:G,"STANGS",L:L,"0;1",V:V,"EI")</f>
        <v>0</v>
      </c>
      <c r="AH1159" s="115"/>
      <c r="AI1159" s="374" t="s">
        <v>318</v>
      </c>
      <c r="AJ1159" s="374"/>
      <c r="AK1159" s="374"/>
      <c r="AL1159" s="178">
        <f>COUNTIFS(D:D,"AA",G:G,"STANGS",L:L,"0;0",V:V,"JAH")+COUNTIFS(D:D,"AA",G:G,"STANGS",L:L,"0;0",V:V,"EI")</f>
        <v>0</v>
      </c>
      <c r="AM1159" s="115"/>
      <c r="AN1159" s="374" t="s">
        <v>318</v>
      </c>
      <c r="AO1159" s="374"/>
      <c r="AP1159" s="374"/>
      <c r="AQ1159" s="178">
        <f>COUNTIFS(D:D,"AA",G:G,"STANGS",L:L,"0;-1",V:V,"JAH")+COUNTIFS(D:D,"AA",G:G,"STANGS",L:L,"0;-1",V:V,"EI")</f>
        <v>0</v>
      </c>
      <c r="AS1159" s="115"/>
      <c r="AT1159" s="115"/>
      <c r="AU1159" s="115"/>
      <c r="AV1159" s="115"/>
      <c r="AW1159" s="115"/>
    </row>
    <row r="1160" spans="15:49">
      <c r="O1160" s="91"/>
      <c r="X1160" s="115">
        <f t="shared" si="155"/>
        <v>0</v>
      </c>
      <c r="Y1160" s="115">
        <f t="shared" si="156"/>
        <v>0</v>
      </c>
      <c r="Z1160" s="115" t="e">
        <f t="shared" si="157"/>
        <v>#VALUE!</v>
      </c>
      <c r="AA1160" s="115">
        <f t="shared" si="158"/>
        <v>0</v>
      </c>
      <c r="AC1160" s="91"/>
      <c r="AD1160" s="374" t="s">
        <v>291</v>
      </c>
      <c r="AE1160" s="374"/>
      <c r="AF1160" s="374"/>
      <c r="AG1160" s="115">
        <f>COUNTIFS(D:D,"AA",G:G,"STANGS",L:L,"0;1",V:V,"JAH")</f>
        <v>0</v>
      </c>
      <c r="AH1160" s="115"/>
      <c r="AI1160" s="374" t="s">
        <v>291</v>
      </c>
      <c r="AJ1160" s="374"/>
      <c r="AK1160" s="374"/>
      <c r="AL1160" s="115">
        <f>COUNTIFS(D:D,"AA",G:G,"STANGS",L:L,"0;0",V:V,"JAH")</f>
        <v>0</v>
      </c>
      <c r="AM1160" s="115"/>
      <c r="AN1160" s="374" t="s">
        <v>291</v>
      </c>
      <c r="AO1160" s="374"/>
      <c r="AP1160" s="374"/>
      <c r="AQ1160" s="115">
        <f>COUNTIFS(D:D,"AA",G:G,"STANGS",L:L,"0;-1",V:V,"JAH")</f>
        <v>0</v>
      </c>
      <c r="AS1160" s="115"/>
      <c r="AT1160" s="115"/>
      <c r="AU1160" s="115"/>
      <c r="AV1160" s="115"/>
      <c r="AW1160" s="115"/>
    </row>
    <row r="1161" spans="15:49">
      <c r="O1161" s="91"/>
      <c r="X1161" s="115">
        <f t="shared" si="155"/>
        <v>0</v>
      </c>
      <c r="Y1161" s="115">
        <f t="shared" si="156"/>
        <v>0</v>
      </c>
      <c r="Z1161" s="115" t="e">
        <f t="shared" si="157"/>
        <v>#VALUE!</v>
      </c>
      <c r="AA1161" s="115">
        <f t="shared" si="158"/>
        <v>0</v>
      </c>
      <c r="AC1161" s="91"/>
      <c r="AD1161" s="374" t="s">
        <v>292</v>
      </c>
      <c r="AE1161" s="374"/>
      <c r="AF1161" s="374"/>
      <c r="AG1161" s="151" t="e">
        <f>AG1160/AG1159</f>
        <v>#DIV/0!</v>
      </c>
      <c r="AH1161" s="115"/>
      <c r="AI1161" s="374" t="s">
        <v>292</v>
      </c>
      <c r="AJ1161" s="374"/>
      <c r="AK1161" s="374"/>
      <c r="AL1161" s="151" t="e">
        <f>AL1160/AL1159</f>
        <v>#DIV/0!</v>
      </c>
      <c r="AM1161" s="115"/>
      <c r="AN1161" s="374" t="s">
        <v>292</v>
      </c>
      <c r="AO1161" s="374"/>
      <c r="AP1161" s="374"/>
      <c r="AQ1161" s="151" t="e">
        <f>AQ1160/AQ1159</f>
        <v>#DIV/0!</v>
      </c>
      <c r="AS1161" s="115"/>
      <c r="AT1161" s="115"/>
      <c r="AU1161" s="115"/>
      <c r="AV1161" s="115"/>
      <c r="AW1161" s="115"/>
    </row>
    <row r="1162" spans="15:49">
      <c r="O1162" s="91"/>
      <c r="X1162" s="115">
        <f t="shared" si="155"/>
        <v>0</v>
      </c>
      <c r="Y1162" s="115">
        <f t="shared" si="156"/>
        <v>0</v>
      </c>
      <c r="Z1162" s="115" t="e">
        <f t="shared" si="157"/>
        <v>#VALUE!</v>
      </c>
      <c r="AA1162" s="115">
        <f t="shared" si="158"/>
        <v>0</v>
      </c>
      <c r="AC1162" s="91"/>
      <c r="AD1162" s="374" t="s">
        <v>724</v>
      </c>
      <c r="AE1162" s="374"/>
      <c r="AF1162" s="374"/>
      <c r="AG1162" s="115">
        <f>COUNTIFS(D:D,"AA",G:G,"STANGS",L:L,"0;1",F:F,"ATONGOAL")</f>
        <v>0</v>
      </c>
      <c r="AH1162" s="115"/>
      <c r="AI1162" s="374" t="s">
        <v>724</v>
      </c>
      <c r="AJ1162" s="374"/>
      <c r="AK1162" s="374"/>
      <c r="AL1162" s="115">
        <f>COUNTIFS(D:D,"AA",G:G,"STANGS",L:L,"0;0",F:F,"ATONGOAL")</f>
        <v>0</v>
      </c>
      <c r="AM1162" s="115"/>
      <c r="AN1162" s="374" t="s">
        <v>724</v>
      </c>
      <c r="AO1162" s="374"/>
      <c r="AP1162" s="374"/>
      <c r="AQ1162" s="115">
        <f>COUNTIFS(D:D,"AA",G:G,"STANGS",L:L,"0;-1",F:F,"ATONGOAL")</f>
        <v>0</v>
      </c>
      <c r="AS1162" s="115"/>
      <c r="AT1162" s="115"/>
      <c r="AU1162" s="115"/>
      <c r="AV1162" s="115"/>
      <c r="AW1162" s="115"/>
    </row>
    <row r="1163" spans="15:49">
      <c r="O1163" s="91"/>
      <c r="X1163" s="115">
        <f t="shared" si="155"/>
        <v>0</v>
      </c>
      <c r="Y1163" s="115">
        <f t="shared" si="156"/>
        <v>0</v>
      </c>
      <c r="Z1163" s="115" t="e">
        <f t="shared" si="157"/>
        <v>#VALUE!</v>
      </c>
      <c r="AA1163" s="115">
        <f t="shared" si="158"/>
        <v>0</v>
      </c>
      <c r="AC1163" s="91"/>
      <c r="AD1163" s="374" t="s">
        <v>336</v>
      </c>
      <c r="AE1163" s="374"/>
      <c r="AF1163" s="374"/>
      <c r="AG1163" s="115">
        <f>COUNTIFS(D:D,"AA",G:G,"STANGS",L:L,"0;1",F:F,"ATON")</f>
        <v>0</v>
      </c>
      <c r="AH1163" s="115"/>
      <c r="AI1163" s="374" t="s">
        <v>336</v>
      </c>
      <c r="AJ1163" s="374"/>
      <c r="AK1163" s="374"/>
      <c r="AL1163" s="115">
        <f>COUNTIFS(D:D,"AA",G:G,"STANGS",L:L,"0;0",F:F,"ATON")</f>
        <v>0</v>
      </c>
      <c r="AM1163" s="115"/>
      <c r="AN1163" s="374" t="s">
        <v>336</v>
      </c>
      <c r="AO1163" s="374"/>
      <c r="AP1163" s="374"/>
      <c r="AQ1163" s="115">
        <f>COUNTIFS(D:D,"AA",G:G,"STANGS",L:L,"0;-1",F:F,"ATON")</f>
        <v>0</v>
      </c>
      <c r="AS1163" s="115"/>
      <c r="AT1163" s="115"/>
      <c r="AU1163" s="115"/>
      <c r="AV1163" s="115"/>
      <c r="AW1163" s="115"/>
    </row>
    <row r="1164" spans="15:49" s="115" customFormat="1">
      <c r="O1164" s="91"/>
      <c r="X1164" s="115">
        <f t="shared" si="155"/>
        <v>0</v>
      </c>
      <c r="Y1164" s="115">
        <f t="shared" si="156"/>
        <v>0</v>
      </c>
      <c r="Z1164" s="115" t="e">
        <f t="shared" si="157"/>
        <v>#VALUE!</v>
      </c>
      <c r="AA1164" s="115">
        <f t="shared" si="158"/>
        <v>0</v>
      </c>
      <c r="AB1164" s="246"/>
      <c r="AC1164" s="91"/>
      <c r="AD1164" s="374" t="s">
        <v>337</v>
      </c>
      <c r="AE1164" s="374"/>
      <c r="AF1164" s="374"/>
      <c r="AG1164" s="115">
        <f>COUNTIFS(D:D,"AA",G:G,"STANGS",L:L,"0;1",F:F,"ATOF")</f>
        <v>0</v>
      </c>
      <c r="AI1164" s="374" t="s">
        <v>337</v>
      </c>
      <c r="AJ1164" s="374"/>
      <c r="AK1164" s="374"/>
      <c r="AL1164" s="115">
        <f>COUNTIFS(D:D,"AA",G:G,"STANGS",L:L,"0;0",F:F,"ATOF")</f>
        <v>0</v>
      </c>
      <c r="AN1164" s="374" t="s">
        <v>337</v>
      </c>
      <c r="AO1164" s="374"/>
      <c r="AP1164" s="374"/>
      <c r="AQ1164" s="115">
        <f>COUNTIFS(D:D,"AA",G:G,"STANGS",L:L,"0;-1",F:F,"ATOF")</f>
        <v>0</v>
      </c>
    </row>
    <row r="1165" spans="15:49" s="115" customFormat="1">
      <c r="O1165" s="91"/>
      <c r="X1165" s="115">
        <f t="shared" si="155"/>
        <v>0</v>
      </c>
      <c r="Y1165" s="115">
        <f t="shared" si="156"/>
        <v>0</v>
      </c>
      <c r="Z1165" s="115" t="e">
        <f t="shared" si="157"/>
        <v>#VALUE!</v>
      </c>
      <c r="AA1165" s="115">
        <f t="shared" si="158"/>
        <v>0</v>
      </c>
      <c r="AB1165" s="246"/>
      <c r="AC1165" s="91"/>
      <c r="AD1165" s="374" t="s">
        <v>338</v>
      </c>
      <c r="AE1165" s="374"/>
      <c r="AF1165" s="374"/>
      <c r="AG1165" s="115">
        <f>COUNTIFS(D:D,"AA",G:G,"STANGS",L:L,"0;1",F:F,"ATBK")</f>
        <v>0</v>
      </c>
      <c r="AI1165" s="374" t="s">
        <v>338</v>
      </c>
      <c r="AJ1165" s="374"/>
      <c r="AK1165" s="374"/>
      <c r="AL1165" s="115">
        <f>COUNTIFS(D:D,"AA",G:G,"STANGS",L:L,"0;0",F:F,"ATBK")</f>
        <v>0</v>
      </c>
      <c r="AN1165" s="374" t="s">
        <v>338</v>
      </c>
      <c r="AO1165" s="374"/>
      <c r="AP1165" s="374"/>
      <c r="AQ1165" s="115">
        <f>COUNTIFS(D:D,"AA",G:G,"STANGS",L:L,"0;-1",F:F,"ATBK")</f>
        <v>0</v>
      </c>
    </row>
    <row r="1166" spans="15:49">
      <c r="O1166" s="91"/>
      <c r="X1166" s="115">
        <f t="shared" si="155"/>
        <v>0</v>
      </c>
      <c r="Y1166" s="115">
        <f t="shared" si="156"/>
        <v>0</v>
      </c>
      <c r="Z1166" s="115" t="e">
        <f t="shared" si="157"/>
        <v>#VALUE!</v>
      </c>
      <c r="AA1166" s="115">
        <f t="shared" si="158"/>
        <v>0</v>
      </c>
      <c r="AC1166" s="91"/>
      <c r="AD1166" s="374" t="s">
        <v>315</v>
      </c>
      <c r="AE1166" s="374"/>
      <c r="AF1166" s="374"/>
      <c r="AG1166" s="115">
        <f>COUNTIFS(D:D,"AA",G:G,"STANGS",L:L,"0;1",E:E,"POS",F:F,"WINSTAN")</f>
        <v>0</v>
      </c>
      <c r="AH1166" s="115"/>
      <c r="AI1166" s="374" t="s">
        <v>315</v>
      </c>
      <c r="AJ1166" s="374"/>
      <c r="AK1166" s="374"/>
      <c r="AL1166" s="115">
        <f>COUNTIFS(D:D,"AA",G:G,"STANGS",L:L,"0;0",E:E,"POS",F:F,"WINSTAN")</f>
        <v>0</v>
      </c>
      <c r="AM1166" s="115"/>
      <c r="AN1166" s="374" t="s">
        <v>315</v>
      </c>
      <c r="AO1166" s="374"/>
      <c r="AP1166" s="374"/>
      <c r="AQ1166" s="115">
        <f>COUNTIFS(D:D,"AA",G:G,"STANGS",L:L,"0;-1",E:E,"POS",F:F,"WINSTAN")</f>
        <v>0</v>
      </c>
      <c r="AS1166" s="115"/>
      <c r="AT1166" s="115"/>
      <c r="AU1166" s="115"/>
      <c r="AV1166" s="115"/>
      <c r="AW1166" s="115"/>
    </row>
    <row r="1167" spans="15:49" s="115" customFormat="1">
      <c r="O1167" s="91"/>
      <c r="X1167" s="115">
        <f t="shared" si="155"/>
        <v>0</v>
      </c>
      <c r="Y1167" s="115">
        <f t="shared" si="156"/>
        <v>0</v>
      </c>
      <c r="Z1167" s="115" t="e">
        <f t="shared" si="157"/>
        <v>#VALUE!</v>
      </c>
      <c r="AA1167" s="115">
        <f t="shared" si="158"/>
        <v>0</v>
      </c>
      <c r="AB1167" s="246"/>
      <c r="AC1167" s="91"/>
      <c r="AD1167" s="374" t="s">
        <v>339</v>
      </c>
      <c r="AE1167" s="374"/>
      <c r="AF1167" s="374"/>
      <c r="AG1167" s="115">
        <f>COUNTIFS(D:D,"AA",G:G,"STANGS",L:L,"0;1",E:E,"POS",F:F,"WINSTANTI")</f>
        <v>0</v>
      </c>
      <c r="AI1167" s="374" t="s">
        <v>339</v>
      </c>
      <c r="AJ1167" s="374"/>
      <c r="AK1167" s="374"/>
      <c r="AL1167" s="115">
        <f>COUNTIFS(D:D,"AA",G:G,"STANGS",L:L,"0;0",E:E,"POS",F:F,"WINSTANTI")</f>
        <v>0</v>
      </c>
      <c r="AN1167" s="374" t="s">
        <v>339</v>
      </c>
      <c r="AO1167" s="374"/>
      <c r="AP1167" s="374"/>
      <c r="AQ1167" s="115">
        <f>COUNTIFS(D:D,"AA",G:G,"STANGS",L:L,"0;-1",E:E,"POS",F:F,"WINSTANTI")</f>
        <v>0</v>
      </c>
    </row>
    <row r="1168" spans="15:49">
      <c r="O1168" s="91"/>
      <c r="X1168" s="115">
        <f t="shared" si="155"/>
        <v>0</v>
      </c>
      <c r="Y1168" s="115">
        <f t="shared" si="156"/>
        <v>0</v>
      </c>
      <c r="Z1168" s="115" t="e">
        <f t="shared" si="157"/>
        <v>#VALUE!</v>
      </c>
      <c r="AA1168" s="115">
        <f t="shared" si="158"/>
        <v>0</v>
      </c>
      <c r="AC1168" s="91"/>
      <c r="AD1168" s="374" t="s">
        <v>316</v>
      </c>
      <c r="AE1168" s="374"/>
      <c r="AF1168" s="374"/>
      <c r="AG1168" s="115">
        <f>COUNTIFS(D:D,"AA",G:G,"STANGS",L:L,"0;1",F:F,"ENTRY")</f>
        <v>0</v>
      </c>
      <c r="AH1168" s="115"/>
      <c r="AI1168" s="374" t="s">
        <v>316</v>
      </c>
      <c r="AJ1168" s="374"/>
      <c r="AK1168" s="374"/>
      <c r="AL1168" s="115">
        <f>COUNTIFS(D:D,"AA",G:G,"STANGS",L:L,"0;0",F:F,"ENTRY")</f>
        <v>0</v>
      </c>
      <c r="AM1168" s="115"/>
      <c r="AN1168" s="374" t="s">
        <v>316</v>
      </c>
      <c r="AO1168" s="374"/>
      <c r="AP1168" s="374"/>
      <c r="AQ1168" s="115">
        <f>COUNTIFS(D:D,"AA",G:G,"STANGS",L:L,"0;-1",F:F,"ENTRY")</f>
        <v>0</v>
      </c>
      <c r="AS1168" s="115"/>
      <c r="AT1168" s="115"/>
      <c r="AU1168" s="115"/>
      <c r="AV1168" s="115"/>
      <c r="AW1168" s="115"/>
    </row>
    <row r="1169" spans="15:49">
      <c r="O1169" s="91"/>
      <c r="X1169" s="115">
        <f t="shared" si="155"/>
        <v>0</v>
      </c>
      <c r="Y1169" s="115">
        <f t="shared" si="156"/>
        <v>0</v>
      </c>
      <c r="Z1169" s="115" t="e">
        <f t="shared" si="157"/>
        <v>#VALUE!</v>
      </c>
      <c r="AA1169" s="115">
        <f t="shared" si="158"/>
        <v>0</v>
      </c>
      <c r="AC1169" s="91"/>
      <c r="AD1169" s="374" t="s">
        <v>293</v>
      </c>
      <c r="AE1169" s="374"/>
      <c r="AF1169" s="374"/>
      <c r="AG1169" s="115">
        <f>COUNTIFS(D:D,"AA",G:G,"STANGS",L:L,"0;1",F:F,"KEEPOS")</f>
        <v>0</v>
      </c>
      <c r="AH1169" s="115"/>
      <c r="AI1169" s="374" t="s">
        <v>293</v>
      </c>
      <c r="AJ1169" s="374"/>
      <c r="AK1169" s="374"/>
      <c r="AL1169" s="115">
        <f>COUNTIFS(D:D,"AA",G:G,"STANGS",L:L,"0;0",F:F,"KEEPOS")</f>
        <v>0</v>
      </c>
      <c r="AM1169" s="115"/>
      <c r="AN1169" s="374" t="s">
        <v>293</v>
      </c>
      <c r="AO1169" s="374"/>
      <c r="AP1169" s="374"/>
      <c r="AQ1169" s="115">
        <f>COUNTIFS(D:D,"AA",G:G,"STANGS",L:L,"0;-1",F:F,"KEEPOS")</f>
        <v>0</v>
      </c>
      <c r="AS1169" s="115"/>
      <c r="AT1169" s="115"/>
      <c r="AU1169" s="115"/>
      <c r="AV1169" s="115"/>
      <c r="AW1169" s="115"/>
    </row>
    <row r="1170" spans="15:49">
      <c r="O1170" s="91"/>
      <c r="X1170" s="115">
        <f t="shared" si="155"/>
        <v>0</v>
      </c>
      <c r="Y1170" s="115">
        <f t="shared" si="156"/>
        <v>0</v>
      </c>
      <c r="Z1170" s="115" t="e">
        <f t="shared" si="157"/>
        <v>#VALUE!</v>
      </c>
      <c r="AA1170" s="115">
        <f t="shared" si="158"/>
        <v>0</v>
      </c>
      <c r="AC1170" s="91"/>
      <c r="AD1170" s="374" t="s">
        <v>317</v>
      </c>
      <c r="AE1170" s="374"/>
      <c r="AF1170" s="374"/>
      <c r="AG1170" s="151" t="e">
        <f>SUM(AG1162:AG1169)/AG1156</f>
        <v>#DIV/0!</v>
      </c>
      <c r="AH1170" s="115"/>
      <c r="AI1170" s="374" t="s">
        <v>317</v>
      </c>
      <c r="AJ1170" s="374"/>
      <c r="AK1170" s="374"/>
      <c r="AL1170" s="115" t="e">
        <f>SUM(AL1162:AL1169)/AL1156</f>
        <v>#DIV/0!</v>
      </c>
      <c r="AM1170" s="115"/>
      <c r="AN1170" s="374" t="s">
        <v>317</v>
      </c>
      <c r="AO1170" s="374"/>
      <c r="AP1170" s="374"/>
      <c r="AQ1170" s="151" t="e">
        <f>SUM(AQ1162:AQ1169)/AQ1156</f>
        <v>#DIV/0!</v>
      </c>
      <c r="AS1170" s="115"/>
      <c r="AT1170" s="115"/>
      <c r="AU1170" s="115"/>
      <c r="AV1170" s="115"/>
      <c r="AW1170" s="115"/>
    </row>
    <row r="1171" spans="15:49">
      <c r="O1171" s="91"/>
      <c r="X1171" s="115">
        <f t="shared" si="155"/>
        <v>0</v>
      </c>
      <c r="Y1171" s="115">
        <f t="shared" si="156"/>
        <v>0</v>
      </c>
      <c r="Z1171" s="115" t="e">
        <f t="shared" si="157"/>
        <v>#VALUE!</v>
      </c>
      <c r="AA1171" s="115">
        <f t="shared" si="158"/>
        <v>0</v>
      </c>
      <c r="AC1171" s="91"/>
      <c r="AD1171" s="374"/>
      <c r="AE1171" s="374"/>
      <c r="AF1171" s="374"/>
      <c r="AG1171" s="115"/>
      <c r="AH1171" s="115"/>
      <c r="AI1171" s="374"/>
      <c r="AJ1171" s="374"/>
      <c r="AK1171" s="374"/>
      <c r="AL1171" s="115"/>
      <c r="AM1171" s="115"/>
      <c r="AN1171" s="374"/>
      <c r="AO1171" s="374"/>
      <c r="AP1171" s="374"/>
      <c r="AQ1171" s="115"/>
      <c r="AS1171" s="115"/>
      <c r="AT1171" s="115"/>
      <c r="AU1171" s="115"/>
      <c r="AV1171" s="115"/>
      <c r="AW1171" s="115"/>
    </row>
    <row r="1172" spans="15:49">
      <c r="O1172" s="91"/>
      <c r="X1172" s="115">
        <f t="shared" si="155"/>
        <v>0</v>
      </c>
      <c r="Y1172" s="115">
        <f t="shared" si="156"/>
        <v>0</v>
      </c>
      <c r="Z1172" s="115" t="e">
        <f t="shared" si="157"/>
        <v>#VALUE!</v>
      </c>
      <c r="AA1172" s="115">
        <f t="shared" si="158"/>
        <v>0</v>
      </c>
      <c r="AC1172" s="91"/>
      <c r="AD1172" s="374" t="s">
        <v>270</v>
      </c>
      <c r="AE1172" s="374"/>
      <c r="AF1172" s="374"/>
      <c r="AG1172" s="115">
        <f>COUNTIFS(D:D,"AA",G:G,"STANGS",L:L,"1;1")</f>
        <v>0</v>
      </c>
      <c r="AH1172" s="115"/>
      <c r="AI1172" s="374" t="s">
        <v>270</v>
      </c>
      <c r="AJ1172" s="374"/>
      <c r="AK1172" s="374"/>
      <c r="AL1172" s="115">
        <f>COUNTIFS(D:D,"AA",G:G,"STANGS",L:L,"1;0")</f>
        <v>0</v>
      </c>
      <c r="AM1172" s="115"/>
      <c r="AN1172" s="374" t="s">
        <v>270</v>
      </c>
      <c r="AO1172" s="374"/>
      <c r="AP1172" s="374"/>
      <c r="AQ1172" s="115">
        <f>COUNTIFS(D:D,"AA",G:G,"STANGS",L:L,"1;-1")</f>
        <v>0</v>
      </c>
      <c r="AS1172" s="115"/>
      <c r="AT1172" s="115"/>
      <c r="AU1172" s="115"/>
      <c r="AV1172" s="115"/>
      <c r="AW1172" s="115"/>
    </row>
    <row r="1173" spans="15:49">
      <c r="O1173" s="91"/>
      <c r="X1173" s="115">
        <f t="shared" si="155"/>
        <v>0</v>
      </c>
      <c r="Y1173" s="115">
        <f t="shared" si="156"/>
        <v>0</v>
      </c>
      <c r="Z1173" s="115" t="e">
        <f t="shared" si="157"/>
        <v>#VALUE!</v>
      </c>
      <c r="AA1173" s="115">
        <f t="shared" si="158"/>
        <v>0</v>
      </c>
      <c r="AC1173" s="91"/>
      <c r="AD1173" s="374" t="s">
        <v>271</v>
      </c>
      <c r="AE1173" s="374"/>
      <c r="AF1173" s="374"/>
      <c r="AG1173" s="115">
        <f>COUNTIFS(D:D,"AA",G:G,"STANGS",L:L,"1;1",P:P,"JAH")</f>
        <v>0</v>
      </c>
      <c r="AH1173" s="115"/>
      <c r="AI1173" s="374" t="s">
        <v>271</v>
      </c>
      <c r="AJ1173" s="374"/>
      <c r="AK1173" s="374"/>
      <c r="AL1173" s="115">
        <f>COUNTIFS(D:D,"AA",G:G,"STANGS",L:L,"1;0",P:P,"JAH")</f>
        <v>0</v>
      </c>
      <c r="AM1173" s="115"/>
      <c r="AN1173" s="374" t="s">
        <v>271</v>
      </c>
      <c r="AO1173" s="374"/>
      <c r="AP1173" s="374"/>
      <c r="AQ1173" s="115">
        <f>COUNTIFS(D:D,"AA",G:G,"STANGS",L:L,"1;-1",P:P,"JAH")</f>
        <v>0</v>
      </c>
      <c r="AS1173" s="115"/>
      <c r="AT1173" s="115"/>
      <c r="AU1173" s="115"/>
      <c r="AV1173" s="115"/>
      <c r="AW1173" s="115"/>
    </row>
    <row r="1174" spans="15:49">
      <c r="O1174" s="91"/>
      <c r="X1174" s="115">
        <f t="shared" si="155"/>
        <v>0</v>
      </c>
      <c r="Y1174" s="115">
        <f t="shared" si="156"/>
        <v>0</v>
      </c>
      <c r="Z1174" s="115" t="e">
        <f t="shared" si="157"/>
        <v>#VALUE!</v>
      </c>
      <c r="AA1174" s="115">
        <f t="shared" si="158"/>
        <v>0</v>
      </c>
      <c r="AC1174" s="91"/>
      <c r="AD1174" s="374" t="s">
        <v>272</v>
      </c>
      <c r="AE1174" s="374"/>
      <c r="AF1174" s="374"/>
      <c r="AG1174" s="151" t="e">
        <f>AG1173/AG1172</f>
        <v>#DIV/0!</v>
      </c>
      <c r="AH1174" s="115"/>
      <c r="AI1174" s="374" t="s">
        <v>272</v>
      </c>
      <c r="AJ1174" s="374"/>
      <c r="AK1174" s="374"/>
      <c r="AL1174" s="151" t="e">
        <f>AL1173/AL1172</f>
        <v>#DIV/0!</v>
      </c>
      <c r="AM1174" s="115"/>
      <c r="AN1174" s="374" t="s">
        <v>272</v>
      </c>
      <c r="AO1174" s="374"/>
      <c r="AP1174" s="374"/>
      <c r="AQ1174" s="151" t="e">
        <f>AQ1173/AQ1172</f>
        <v>#DIV/0!</v>
      </c>
      <c r="AS1174" s="115"/>
      <c r="AT1174" s="115"/>
      <c r="AU1174" s="115"/>
      <c r="AV1174" s="115"/>
      <c r="AW1174" s="115"/>
    </row>
    <row r="1175" spans="15:49">
      <c r="O1175" s="91"/>
      <c r="X1175" s="115">
        <f t="shared" si="155"/>
        <v>0</v>
      </c>
      <c r="Y1175" s="115">
        <f t="shared" si="156"/>
        <v>0</v>
      </c>
      <c r="Z1175" s="115" t="e">
        <f t="shared" si="157"/>
        <v>#VALUE!</v>
      </c>
      <c r="AA1175" s="115">
        <f t="shared" si="158"/>
        <v>0</v>
      </c>
      <c r="AC1175" s="91"/>
      <c r="AD1175" s="374" t="s">
        <v>318</v>
      </c>
      <c r="AE1175" s="374"/>
      <c r="AF1175" s="374"/>
      <c r="AG1175" s="178">
        <f>COUNTIFS(D:D,"AA",G:G,"STANGS",L:L,"1;1",V:V,"JAH")+COUNTIFS(D:D,"AA",G:G,"STANGS",L:L,"1;1",V:V,"EI")</f>
        <v>0</v>
      </c>
      <c r="AH1175" s="115"/>
      <c r="AI1175" s="374" t="s">
        <v>318</v>
      </c>
      <c r="AJ1175" s="374"/>
      <c r="AK1175" s="374"/>
      <c r="AL1175" s="178">
        <f>COUNTIFS(D:D,"AA",G:G,"STANGS",L:L,"1;0",V:V,"JAH")+COUNTIFS(D:D,"AA",G:G,"STANGS",L:L,"1;0",V:V,"EI")</f>
        <v>0</v>
      </c>
      <c r="AM1175" s="115"/>
      <c r="AN1175" s="374" t="s">
        <v>318</v>
      </c>
      <c r="AO1175" s="374"/>
      <c r="AP1175" s="374"/>
      <c r="AQ1175" s="178">
        <f>COUNTIFS(D:D,"AA",G:G,"STANGS",L:L,"1;-1",V:V,"JAH")+COUNTIFS(D:D,"AA",G:G,"STANGS",L:L,"1;-1",V:V,"EI")</f>
        <v>0</v>
      </c>
      <c r="AS1175" s="115"/>
      <c r="AT1175" s="115"/>
      <c r="AU1175" s="115"/>
      <c r="AV1175" s="115"/>
      <c r="AW1175" s="115"/>
    </row>
    <row r="1176" spans="15:49">
      <c r="O1176" s="91"/>
      <c r="X1176" s="115">
        <f t="shared" si="155"/>
        <v>0</v>
      </c>
      <c r="Y1176" s="115">
        <f t="shared" si="156"/>
        <v>0</v>
      </c>
      <c r="Z1176" s="115" t="e">
        <f t="shared" si="157"/>
        <v>#VALUE!</v>
      </c>
      <c r="AA1176" s="115">
        <f t="shared" si="158"/>
        <v>0</v>
      </c>
      <c r="AC1176" s="91"/>
      <c r="AD1176" s="374" t="s">
        <v>291</v>
      </c>
      <c r="AE1176" s="374"/>
      <c r="AF1176" s="374"/>
      <c r="AG1176" s="115">
        <f>COUNTIFS(D:D,"AA",G:G,"STANGS",L:L,"1;1",V:V,"JAH")</f>
        <v>0</v>
      </c>
      <c r="AH1176" s="115"/>
      <c r="AI1176" s="374" t="s">
        <v>291</v>
      </c>
      <c r="AJ1176" s="374"/>
      <c r="AK1176" s="374"/>
      <c r="AL1176" s="115">
        <f>COUNTIFS(D:D,"AA",G:G,"STANGS",L:L,"1;0",V:V,"JAH")</f>
        <v>0</v>
      </c>
      <c r="AM1176" s="115"/>
      <c r="AN1176" s="374" t="s">
        <v>291</v>
      </c>
      <c r="AO1176" s="374"/>
      <c r="AP1176" s="374"/>
      <c r="AQ1176" s="115">
        <f>COUNTIFS(D:D,"AA",G:G,"STANGS",L:L,"1;-1",V:V,"JAH")</f>
        <v>0</v>
      </c>
      <c r="AS1176" s="115"/>
      <c r="AT1176" s="115"/>
      <c r="AU1176" s="115"/>
      <c r="AV1176" s="115"/>
      <c r="AW1176" s="115"/>
    </row>
    <row r="1177" spans="15:49">
      <c r="O1177" s="91"/>
      <c r="X1177" s="115">
        <f t="shared" si="155"/>
        <v>0</v>
      </c>
      <c r="Y1177" s="115">
        <f t="shared" si="156"/>
        <v>0</v>
      </c>
      <c r="Z1177" s="115" t="e">
        <f t="shared" si="157"/>
        <v>#VALUE!</v>
      </c>
      <c r="AA1177" s="115">
        <f t="shared" si="158"/>
        <v>0</v>
      </c>
      <c r="AC1177" s="91"/>
      <c r="AD1177" s="374" t="s">
        <v>292</v>
      </c>
      <c r="AE1177" s="374"/>
      <c r="AF1177" s="374"/>
      <c r="AG1177" s="151" t="e">
        <f>AG1176/AG1175</f>
        <v>#DIV/0!</v>
      </c>
      <c r="AH1177" s="115"/>
      <c r="AI1177" s="374" t="s">
        <v>292</v>
      </c>
      <c r="AJ1177" s="374"/>
      <c r="AK1177" s="374"/>
      <c r="AL1177" s="151" t="e">
        <f>AL1176/AL1175</f>
        <v>#DIV/0!</v>
      </c>
      <c r="AM1177" s="115"/>
      <c r="AN1177" s="374" t="s">
        <v>292</v>
      </c>
      <c r="AO1177" s="374"/>
      <c r="AP1177" s="374"/>
      <c r="AQ1177" s="151" t="e">
        <f>AQ1176/AQ1175</f>
        <v>#DIV/0!</v>
      </c>
      <c r="AS1177" s="115"/>
      <c r="AT1177" s="115"/>
      <c r="AU1177" s="115"/>
      <c r="AV1177" s="115"/>
      <c r="AW1177" s="115"/>
    </row>
    <row r="1178" spans="15:49">
      <c r="O1178" s="91"/>
      <c r="X1178" s="115">
        <f t="shared" si="155"/>
        <v>0</v>
      </c>
      <c r="Y1178" s="115">
        <f t="shared" si="156"/>
        <v>0</v>
      </c>
      <c r="Z1178" s="115" t="e">
        <f t="shared" si="157"/>
        <v>#VALUE!</v>
      </c>
      <c r="AA1178" s="115">
        <f t="shared" si="158"/>
        <v>0</v>
      </c>
      <c r="AC1178" s="91"/>
      <c r="AD1178" s="374" t="s">
        <v>724</v>
      </c>
      <c r="AE1178" s="374"/>
      <c r="AF1178" s="374"/>
      <c r="AG1178" s="115">
        <f>COUNTIFS(D:D,"AA",G:G,"STANGS",L:L,"1;1",F:F,"ATONGOAL")</f>
        <v>0</v>
      </c>
      <c r="AH1178" s="115"/>
      <c r="AI1178" s="374" t="s">
        <v>724</v>
      </c>
      <c r="AJ1178" s="374"/>
      <c r="AK1178" s="374"/>
      <c r="AL1178" s="115">
        <f>COUNTIFS(D:D,"AA",G:G,"STANGS",L:L,"1;0",F:F,"ATONGOAL")</f>
        <v>0</v>
      </c>
      <c r="AM1178" s="115"/>
      <c r="AN1178" s="374" t="s">
        <v>724</v>
      </c>
      <c r="AO1178" s="374"/>
      <c r="AP1178" s="374"/>
      <c r="AQ1178" s="115">
        <f>COUNTIFS(D:D,"AA",G:G,"STANGS",L:L,"1;-1",F:F,"ATONGOAL")</f>
        <v>0</v>
      </c>
      <c r="AS1178" s="115"/>
      <c r="AT1178" s="115"/>
      <c r="AU1178" s="115"/>
      <c r="AV1178" s="115"/>
      <c r="AW1178" s="115"/>
    </row>
    <row r="1179" spans="15:49">
      <c r="O1179" s="91"/>
      <c r="X1179" s="115">
        <f t="shared" si="155"/>
        <v>0</v>
      </c>
      <c r="Y1179" s="115">
        <f t="shared" si="156"/>
        <v>0</v>
      </c>
      <c r="Z1179" s="115" t="e">
        <f t="shared" si="157"/>
        <v>#VALUE!</v>
      </c>
      <c r="AA1179" s="115">
        <f t="shared" si="158"/>
        <v>0</v>
      </c>
      <c r="AC1179" s="91"/>
      <c r="AD1179" s="374" t="s">
        <v>336</v>
      </c>
      <c r="AE1179" s="374"/>
      <c r="AF1179" s="374"/>
      <c r="AG1179" s="115">
        <f>COUNTIFS(D:D,"AA",G:G,"STANGS",L:L,"1;1",F:F,"ATON")</f>
        <v>0</v>
      </c>
      <c r="AH1179" s="115"/>
      <c r="AI1179" s="374" t="s">
        <v>336</v>
      </c>
      <c r="AJ1179" s="374"/>
      <c r="AK1179" s="374"/>
      <c r="AL1179" s="115">
        <f>COUNTIFS(D:D,"AA",G:G,"STANGS",L:L,"1;0",F:F,"ATON")</f>
        <v>0</v>
      </c>
      <c r="AM1179" s="115"/>
      <c r="AN1179" s="374" t="s">
        <v>336</v>
      </c>
      <c r="AO1179" s="374"/>
      <c r="AP1179" s="374"/>
      <c r="AQ1179" s="115">
        <f>COUNTIFS(D:D,"AA",G:G,"STANGS",L:L,"1;-1",F:F,"ATON")</f>
        <v>0</v>
      </c>
      <c r="AS1179" s="115"/>
      <c r="AT1179" s="115"/>
      <c r="AU1179" s="115"/>
      <c r="AV1179" s="115"/>
      <c r="AW1179" s="115"/>
    </row>
    <row r="1180" spans="15:49" s="115" customFormat="1">
      <c r="O1180" s="91"/>
      <c r="X1180" s="115">
        <f t="shared" si="155"/>
        <v>0</v>
      </c>
      <c r="Y1180" s="115">
        <f t="shared" si="156"/>
        <v>0</v>
      </c>
      <c r="Z1180" s="115" t="e">
        <f t="shared" si="157"/>
        <v>#VALUE!</v>
      </c>
      <c r="AA1180" s="115">
        <f t="shared" si="158"/>
        <v>0</v>
      </c>
      <c r="AB1180" s="246"/>
      <c r="AC1180" s="91"/>
      <c r="AD1180" s="374" t="s">
        <v>337</v>
      </c>
      <c r="AE1180" s="374"/>
      <c r="AF1180" s="374"/>
      <c r="AG1180" s="115">
        <f>COUNTIFS(D:D,"AA",G:G,"STANGS",L:L,"1;1",F:F,"ATOF")</f>
        <v>0</v>
      </c>
      <c r="AI1180" s="374" t="s">
        <v>337</v>
      </c>
      <c r="AJ1180" s="374"/>
      <c r="AK1180" s="374"/>
      <c r="AL1180" s="115">
        <f>COUNTIFS(D:D,"AA",G:G,"STANGS",L:L,"1;0",F:F,"ATOF")</f>
        <v>0</v>
      </c>
      <c r="AN1180" s="374" t="s">
        <v>337</v>
      </c>
      <c r="AO1180" s="374"/>
      <c r="AP1180" s="374"/>
      <c r="AQ1180" s="115">
        <f>COUNTIFS(D:D,"AA",G:G,"STANGS",L:L,"1;-1",F:F,"ATOF")</f>
        <v>0</v>
      </c>
    </row>
    <row r="1181" spans="15:49" s="115" customFormat="1">
      <c r="O1181" s="91"/>
      <c r="X1181" s="115">
        <f t="shared" si="155"/>
        <v>0</v>
      </c>
      <c r="Y1181" s="115">
        <f t="shared" si="156"/>
        <v>0</v>
      </c>
      <c r="Z1181" s="115" t="e">
        <f t="shared" si="157"/>
        <v>#VALUE!</v>
      </c>
      <c r="AA1181" s="115">
        <f t="shared" si="158"/>
        <v>0</v>
      </c>
      <c r="AB1181" s="246"/>
      <c r="AC1181" s="91"/>
      <c r="AD1181" s="374" t="s">
        <v>338</v>
      </c>
      <c r="AE1181" s="374"/>
      <c r="AF1181" s="374"/>
      <c r="AG1181" s="115">
        <f>COUNTIFS(D:D,"AA",G:G,"STANGS",L:L,"1;1",F:F,"ATBK")</f>
        <v>0</v>
      </c>
      <c r="AI1181" s="374" t="s">
        <v>338</v>
      </c>
      <c r="AJ1181" s="374"/>
      <c r="AK1181" s="374"/>
      <c r="AL1181" s="115">
        <f>COUNTIFS(D:D,"AA",G:G,"STANGS",L:L,"1;0",F:F,"ATBK")</f>
        <v>0</v>
      </c>
      <c r="AN1181" s="374" t="s">
        <v>338</v>
      </c>
      <c r="AO1181" s="374"/>
      <c r="AP1181" s="374"/>
      <c r="AQ1181" s="115">
        <f>COUNTIFS(D:D,"AA",G:G,"STANGS",L:L,"1;-1",F:F,"ATBK")</f>
        <v>0</v>
      </c>
    </row>
    <row r="1182" spans="15:49">
      <c r="O1182" s="91"/>
      <c r="X1182" s="115">
        <f t="shared" si="155"/>
        <v>0</v>
      </c>
      <c r="Y1182" s="115">
        <f t="shared" si="156"/>
        <v>0</v>
      </c>
      <c r="Z1182" s="115" t="e">
        <f t="shared" si="157"/>
        <v>#VALUE!</v>
      </c>
      <c r="AA1182" s="115">
        <f t="shared" si="158"/>
        <v>0</v>
      </c>
      <c r="AC1182" s="91"/>
      <c r="AD1182" s="374" t="s">
        <v>315</v>
      </c>
      <c r="AE1182" s="374"/>
      <c r="AF1182" s="374"/>
      <c r="AG1182" s="115">
        <f>COUNTIFS(D:D,"AA",G:G,"STANGS",L:L,"1;1",E:E,"POS",F:F,"WINSTAN")</f>
        <v>0</v>
      </c>
      <c r="AH1182" s="115"/>
      <c r="AI1182" s="374" t="s">
        <v>315</v>
      </c>
      <c r="AJ1182" s="374"/>
      <c r="AK1182" s="374"/>
      <c r="AL1182" s="115">
        <f>COUNTIFS(D:D,"AA",G:G,"STANGS",L:L,"1;0",E:E,"POS",F:F,"WINSTAN")</f>
        <v>0</v>
      </c>
      <c r="AM1182" s="115"/>
      <c r="AN1182" s="374" t="s">
        <v>315</v>
      </c>
      <c r="AO1182" s="374"/>
      <c r="AP1182" s="374"/>
      <c r="AQ1182" s="115">
        <f>COUNTIFS(D:D,"AA",G:G,"STANGS",L:L,"1;-1",E:E,"POS",F:F,"WINSTAN")</f>
        <v>0</v>
      </c>
      <c r="AS1182" s="115"/>
      <c r="AT1182" s="115"/>
      <c r="AU1182" s="115"/>
      <c r="AV1182" s="115"/>
      <c r="AW1182" s="115"/>
    </row>
    <row r="1183" spans="15:49" s="115" customFormat="1">
      <c r="O1183" s="91"/>
      <c r="X1183" s="115">
        <f t="shared" si="155"/>
        <v>0</v>
      </c>
      <c r="Y1183" s="115">
        <f t="shared" si="156"/>
        <v>0</v>
      </c>
      <c r="Z1183" s="115" t="e">
        <f t="shared" si="157"/>
        <v>#VALUE!</v>
      </c>
      <c r="AA1183" s="115">
        <f t="shared" si="158"/>
        <v>0</v>
      </c>
      <c r="AB1183" s="246"/>
      <c r="AC1183" s="91"/>
      <c r="AD1183" s="374" t="s">
        <v>339</v>
      </c>
      <c r="AE1183" s="374"/>
      <c r="AF1183" s="374"/>
      <c r="AG1183" s="115">
        <f>COUNTIFS(D:D,"AA",G:G,"STANGS",L:L,"1;1",E:E,"POS",F:F,"WINSTANTI")</f>
        <v>0</v>
      </c>
      <c r="AI1183" s="374" t="s">
        <v>339</v>
      </c>
      <c r="AJ1183" s="374"/>
      <c r="AK1183" s="374"/>
      <c r="AL1183" s="115">
        <f>COUNTIFS(D:D,"AA",G:G,"STANGS",L:L,"1;0",E:E,"POS",F:F,"WINSTANTI")</f>
        <v>0</v>
      </c>
      <c r="AN1183" s="374" t="s">
        <v>339</v>
      </c>
      <c r="AO1183" s="374"/>
      <c r="AP1183" s="374"/>
      <c r="AQ1183" s="115">
        <f>COUNTIFS(D:D,"AA",G:G,"STANGS",L:L,"1;-1",E:E,"POS",F:F,"WINSTANTI")</f>
        <v>0</v>
      </c>
    </row>
    <row r="1184" spans="15:49">
      <c r="O1184" s="91"/>
      <c r="X1184" s="115">
        <f t="shared" si="155"/>
        <v>0</v>
      </c>
      <c r="Y1184" s="115">
        <f t="shared" si="156"/>
        <v>0</v>
      </c>
      <c r="Z1184" s="115" t="e">
        <f t="shared" si="157"/>
        <v>#VALUE!</v>
      </c>
      <c r="AA1184" s="115">
        <f t="shared" si="158"/>
        <v>0</v>
      </c>
      <c r="AC1184" s="91"/>
      <c r="AD1184" s="374" t="s">
        <v>316</v>
      </c>
      <c r="AE1184" s="374"/>
      <c r="AF1184" s="374"/>
      <c r="AG1184" s="115">
        <f>COUNTIFS(D:D,"AA",G:G,"STANGS",L:L,"1;1",F:F,"ENTRY")</f>
        <v>0</v>
      </c>
      <c r="AH1184" s="115"/>
      <c r="AI1184" s="374" t="s">
        <v>316</v>
      </c>
      <c r="AJ1184" s="374"/>
      <c r="AK1184" s="374"/>
      <c r="AL1184" s="115">
        <f>COUNTIFS(D:D,"AA",G:G,"STANGS",L:L,"1;0",F:F,"ENTRY")</f>
        <v>0</v>
      </c>
      <c r="AM1184" s="115"/>
      <c r="AN1184" s="374" t="s">
        <v>316</v>
      </c>
      <c r="AO1184" s="374"/>
      <c r="AP1184" s="374"/>
      <c r="AQ1184" s="115">
        <f>COUNTIFS(D:D,"AA",G:G,"STANGS",L:L,"1;-1",F:F,"ENTRY")</f>
        <v>0</v>
      </c>
      <c r="AS1184" s="115"/>
      <c r="AT1184" s="115"/>
      <c r="AU1184" s="115"/>
      <c r="AV1184" s="115"/>
      <c r="AW1184" s="115"/>
    </row>
    <row r="1185" spans="15:49">
      <c r="O1185" s="91"/>
      <c r="X1185" s="115">
        <f t="shared" si="155"/>
        <v>0</v>
      </c>
      <c r="Y1185" s="115">
        <f t="shared" si="156"/>
        <v>0</v>
      </c>
      <c r="Z1185" s="115" t="e">
        <f t="shared" si="157"/>
        <v>#VALUE!</v>
      </c>
      <c r="AA1185" s="115">
        <f t="shared" si="158"/>
        <v>0</v>
      </c>
      <c r="AC1185" s="91"/>
      <c r="AD1185" s="374" t="s">
        <v>293</v>
      </c>
      <c r="AE1185" s="374"/>
      <c r="AF1185" s="374"/>
      <c r="AG1185" s="115">
        <f>COUNTIFS(D:D,"AA",G:G,"STANGS",L:L,"1;1",F:F,"KEEPOS")</f>
        <v>0</v>
      </c>
      <c r="AH1185" s="115"/>
      <c r="AI1185" s="374" t="s">
        <v>293</v>
      </c>
      <c r="AJ1185" s="374"/>
      <c r="AK1185" s="374"/>
      <c r="AL1185" s="115">
        <f>COUNTIFS(D:D,"AA",G:G,"STANGS",L:L,"1;0",F:F,"KEEPOS")</f>
        <v>0</v>
      </c>
      <c r="AM1185" s="115"/>
      <c r="AN1185" s="374" t="s">
        <v>293</v>
      </c>
      <c r="AO1185" s="374"/>
      <c r="AP1185" s="374"/>
      <c r="AQ1185" s="115">
        <f>COUNTIFS(D:D,"AA",G:G,"STANGS",L:L,"1;-1",F:F,"KEEPOS")</f>
        <v>0</v>
      </c>
      <c r="AS1185" s="115"/>
      <c r="AT1185" s="115"/>
      <c r="AU1185" s="115"/>
      <c r="AV1185" s="115"/>
      <c r="AW1185" s="115"/>
    </row>
    <row r="1186" spans="15:49">
      <c r="O1186" s="91"/>
      <c r="X1186" s="115">
        <f t="shared" si="155"/>
        <v>0</v>
      </c>
      <c r="Y1186" s="115">
        <f t="shared" si="156"/>
        <v>0</v>
      </c>
      <c r="Z1186" s="115" t="e">
        <f t="shared" si="157"/>
        <v>#VALUE!</v>
      </c>
      <c r="AA1186" s="115">
        <f t="shared" si="158"/>
        <v>0</v>
      </c>
      <c r="AC1186" s="91"/>
      <c r="AD1186" s="374" t="s">
        <v>317</v>
      </c>
      <c r="AE1186" s="374"/>
      <c r="AF1186" s="374"/>
      <c r="AG1186" s="151" t="e">
        <f>SUM(AG1178:AG1185)/AG1172</f>
        <v>#DIV/0!</v>
      </c>
      <c r="AH1186" s="115"/>
      <c r="AI1186" s="374" t="s">
        <v>317</v>
      </c>
      <c r="AJ1186" s="374"/>
      <c r="AK1186" s="374"/>
      <c r="AL1186" s="115" t="e">
        <f>SUM(AL1178:AL1185)/AL1172</f>
        <v>#DIV/0!</v>
      </c>
      <c r="AM1186" s="115"/>
      <c r="AN1186" s="374" t="s">
        <v>317</v>
      </c>
      <c r="AO1186" s="374"/>
      <c r="AP1186" s="374"/>
      <c r="AQ1186" s="151" t="e">
        <f>SUM(AQ1178:AQ1185)/AQ1172</f>
        <v>#DIV/0!</v>
      </c>
      <c r="AS1186" s="115"/>
      <c r="AT1186" s="115"/>
      <c r="AU1186" s="115"/>
      <c r="AV1186" s="115"/>
      <c r="AW1186" s="115"/>
    </row>
    <row r="1187" spans="15:49">
      <c r="O1187" s="91"/>
      <c r="X1187" s="115">
        <f t="shared" si="155"/>
        <v>0</v>
      </c>
      <c r="Y1187" s="115">
        <f t="shared" si="156"/>
        <v>0</v>
      </c>
      <c r="Z1187" s="115" t="e">
        <f t="shared" si="157"/>
        <v>#VALUE!</v>
      </c>
      <c r="AA1187" s="115">
        <f t="shared" si="158"/>
        <v>0</v>
      </c>
      <c r="AC1187" s="91"/>
      <c r="AD1187" s="204"/>
      <c r="AE1187" s="204"/>
      <c r="AF1187" s="204"/>
      <c r="AG1187" s="115"/>
      <c r="AH1187" s="115"/>
      <c r="AI1187" s="204"/>
      <c r="AJ1187" s="204"/>
      <c r="AK1187" s="204"/>
      <c r="AL1187" s="115"/>
      <c r="AM1187" s="115"/>
      <c r="AN1187" s="204"/>
      <c r="AO1187" s="204"/>
      <c r="AP1187" s="204"/>
      <c r="AQ1187" s="115"/>
      <c r="AS1187" s="115"/>
      <c r="AT1187" s="115"/>
      <c r="AU1187" s="115"/>
      <c r="AV1187" s="115"/>
      <c r="AW1187" s="115"/>
    </row>
    <row r="1188" spans="15:49">
      <c r="O1188" s="91"/>
      <c r="X1188" s="115">
        <f t="shared" si="155"/>
        <v>0</v>
      </c>
      <c r="Y1188" s="115">
        <f t="shared" si="156"/>
        <v>0</v>
      </c>
      <c r="Z1188" s="115" t="e">
        <f t="shared" si="157"/>
        <v>#VALUE!</v>
      </c>
      <c r="AA1188" s="115">
        <f t="shared" si="158"/>
        <v>0</v>
      </c>
      <c r="AC1188" s="91"/>
      <c r="AD1188" s="374" t="s">
        <v>270</v>
      </c>
      <c r="AE1188" s="374"/>
      <c r="AF1188" s="374"/>
      <c r="AG1188" s="115">
        <f>COUNTIFS(D:D,"AA",G:G,"STANGS",L:L,"2;1")</f>
        <v>0</v>
      </c>
      <c r="AH1188" s="115"/>
      <c r="AI1188" s="374" t="s">
        <v>270</v>
      </c>
      <c r="AJ1188" s="374"/>
      <c r="AK1188" s="374"/>
      <c r="AL1188" s="115">
        <f>COUNTIFS(D:D,"AA",G:G,"STANGS",L:L,"2;0")</f>
        <v>0</v>
      </c>
      <c r="AM1188" s="115"/>
      <c r="AN1188" s="374" t="s">
        <v>270</v>
      </c>
      <c r="AO1188" s="374"/>
      <c r="AP1188" s="374"/>
      <c r="AQ1188" s="115">
        <f>COUNTIFS(D:D,"AA",G:G,"STANGS",L:L,"2;-1")</f>
        <v>0</v>
      </c>
      <c r="AS1188" s="115"/>
      <c r="AT1188" s="115"/>
      <c r="AU1188" s="115"/>
      <c r="AV1188" s="115"/>
      <c r="AW1188" s="115"/>
    </row>
    <row r="1189" spans="15:49">
      <c r="O1189" s="91"/>
      <c r="X1189" s="115">
        <f t="shared" si="155"/>
        <v>0</v>
      </c>
      <c r="Y1189" s="115">
        <f t="shared" si="156"/>
        <v>0</v>
      </c>
      <c r="Z1189" s="115" t="e">
        <f t="shared" si="157"/>
        <v>#VALUE!</v>
      </c>
      <c r="AA1189" s="115">
        <f t="shared" si="158"/>
        <v>0</v>
      </c>
      <c r="AC1189" s="91"/>
      <c r="AD1189" s="374" t="s">
        <v>271</v>
      </c>
      <c r="AE1189" s="374"/>
      <c r="AF1189" s="374"/>
      <c r="AG1189" s="115">
        <f>COUNTIFS(D:D,"AA",G:G,"STANGS",L:L,"2;1",P:P,"JAH")</f>
        <v>0</v>
      </c>
      <c r="AH1189" s="115"/>
      <c r="AI1189" s="374" t="s">
        <v>271</v>
      </c>
      <c r="AJ1189" s="374"/>
      <c r="AK1189" s="374"/>
      <c r="AL1189" s="115">
        <f>COUNTIFS(D:D,"AA",G:G,"STANGS",L:L,"2;0",P:P,"JAH")</f>
        <v>0</v>
      </c>
      <c r="AM1189" s="115"/>
      <c r="AN1189" s="374" t="s">
        <v>271</v>
      </c>
      <c r="AO1189" s="374"/>
      <c r="AP1189" s="374"/>
      <c r="AQ1189" s="115">
        <f>COUNTIFS(D:D,"AA",G:G,"STANGS",L:L,"2;-1",P:P,"JAH")</f>
        <v>0</v>
      </c>
      <c r="AS1189" s="115"/>
      <c r="AT1189" s="115"/>
      <c r="AU1189" s="115"/>
      <c r="AV1189" s="115"/>
      <c r="AW1189" s="115"/>
    </row>
    <row r="1190" spans="15:49">
      <c r="O1190" s="91"/>
      <c r="X1190" s="115">
        <f t="shared" si="155"/>
        <v>0</v>
      </c>
      <c r="Y1190" s="115">
        <f t="shared" si="156"/>
        <v>0</v>
      </c>
      <c r="Z1190" s="115" t="e">
        <f t="shared" si="157"/>
        <v>#VALUE!</v>
      </c>
      <c r="AA1190" s="115">
        <f t="shared" si="158"/>
        <v>0</v>
      </c>
      <c r="AC1190" s="91"/>
      <c r="AD1190" s="374" t="s">
        <v>272</v>
      </c>
      <c r="AE1190" s="374"/>
      <c r="AF1190" s="374"/>
      <c r="AG1190" s="151" t="e">
        <f>AG1189/AG1188</f>
        <v>#DIV/0!</v>
      </c>
      <c r="AH1190" s="115"/>
      <c r="AI1190" s="374" t="s">
        <v>272</v>
      </c>
      <c r="AJ1190" s="374"/>
      <c r="AK1190" s="374"/>
      <c r="AL1190" s="151" t="e">
        <f>AL1189/AL1188</f>
        <v>#DIV/0!</v>
      </c>
      <c r="AM1190" s="115"/>
      <c r="AN1190" s="374" t="s">
        <v>272</v>
      </c>
      <c r="AO1190" s="374"/>
      <c r="AP1190" s="374"/>
      <c r="AQ1190" s="151" t="e">
        <f>AQ1189/AQ1188</f>
        <v>#DIV/0!</v>
      </c>
      <c r="AS1190" s="115"/>
      <c r="AT1190" s="115"/>
      <c r="AU1190" s="115"/>
      <c r="AV1190" s="115"/>
      <c r="AW1190" s="115"/>
    </row>
    <row r="1191" spans="15:49">
      <c r="O1191" s="91"/>
      <c r="X1191" s="115">
        <f t="shared" si="155"/>
        <v>0</v>
      </c>
      <c r="Y1191" s="115">
        <f t="shared" si="156"/>
        <v>0</v>
      </c>
      <c r="Z1191" s="115" t="e">
        <f t="shared" si="157"/>
        <v>#VALUE!</v>
      </c>
      <c r="AA1191" s="115">
        <f t="shared" si="158"/>
        <v>0</v>
      </c>
      <c r="AC1191" s="91"/>
      <c r="AD1191" s="374" t="s">
        <v>318</v>
      </c>
      <c r="AE1191" s="374"/>
      <c r="AF1191" s="374"/>
      <c r="AG1191" s="178">
        <f>COUNTIFS(D:D,"AA",G:G,"STANGS",L:L,"2;1",V:V,"JAH")+COUNTIFS(D:D,"AA",G:G,"STANGK",L:L,"2;1",V:V,"EI")</f>
        <v>0</v>
      </c>
      <c r="AH1191" s="115"/>
      <c r="AI1191" s="374" t="s">
        <v>318</v>
      </c>
      <c r="AJ1191" s="374"/>
      <c r="AK1191" s="374"/>
      <c r="AL1191" s="178">
        <f>COUNTIFS(D:D,"AA",G:G,"STANGS",L:L,"2;0",V:V,"JAH")+COUNTIFS(D:D,"AA",G:G,"STANGS",L:L,"2;0",V:V,"EI")</f>
        <v>0</v>
      </c>
      <c r="AM1191" s="115"/>
      <c r="AN1191" s="374" t="s">
        <v>318</v>
      </c>
      <c r="AO1191" s="374"/>
      <c r="AP1191" s="374"/>
      <c r="AQ1191" s="178">
        <f>COUNTIFS(D:D,"AA",G:G,"STANGS",L:L,"2;-1",V:V,"JAH")+COUNTIFS(D:D,"AA",G:G,"STANGS",L:L,"2;-1",V:V,"EI")</f>
        <v>0</v>
      </c>
      <c r="AS1191" s="115"/>
      <c r="AT1191" s="115"/>
      <c r="AU1191" s="115"/>
      <c r="AV1191" s="115"/>
      <c r="AW1191" s="115"/>
    </row>
    <row r="1192" spans="15:49">
      <c r="O1192" s="91"/>
      <c r="X1192" s="115">
        <f t="shared" si="155"/>
        <v>0</v>
      </c>
      <c r="Y1192" s="115">
        <f t="shared" si="156"/>
        <v>0</v>
      </c>
      <c r="Z1192" s="115" t="e">
        <f t="shared" si="157"/>
        <v>#VALUE!</v>
      </c>
      <c r="AA1192" s="115">
        <f t="shared" si="158"/>
        <v>0</v>
      </c>
      <c r="AC1192" s="91"/>
      <c r="AD1192" s="374" t="s">
        <v>291</v>
      </c>
      <c r="AE1192" s="374"/>
      <c r="AF1192" s="374"/>
      <c r="AG1192" s="115">
        <f>COUNTIFS(D:D,"AA",G:G,"STANGS",L:L,"2;1",V:V,"JAH")</f>
        <v>0</v>
      </c>
      <c r="AH1192" s="115"/>
      <c r="AI1192" s="374" t="s">
        <v>291</v>
      </c>
      <c r="AJ1192" s="374"/>
      <c r="AK1192" s="374"/>
      <c r="AL1192" s="115">
        <f>COUNTIFS(D:D,"AA",G:G,"STANGS",L:L,"2;0",V:V,"JAH")</f>
        <v>0</v>
      </c>
      <c r="AM1192" s="115"/>
      <c r="AN1192" s="374" t="s">
        <v>291</v>
      </c>
      <c r="AO1192" s="374"/>
      <c r="AP1192" s="374"/>
      <c r="AQ1192" s="115">
        <f>COUNTIFS(D:D,"AA",G:G,"STANGS",L:L,"2;-1",V:V,"JAH")</f>
        <v>0</v>
      </c>
      <c r="AS1192" s="115"/>
      <c r="AT1192" s="115"/>
      <c r="AU1192" s="115"/>
      <c r="AV1192" s="115"/>
      <c r="AW1192" s="115"/>
    </row>
    <row r="1193" spans="15:49">
      <c r="O1193" s="91"/>
      <c r="X1193" s="115">
        <f t="shared" si="155"/>
        <v>0</v>
      </c>
      <c r="Y1193" s="115">
        <f t="shared" si="156"/>
        <v>0</v>
      </c>
      <c r="Z1193" s="115" t="e">
        <f t="shared" si="157"/>
        <v>#VALUE!</v>
      </c>
      <c r="AA1193" s="115">
        <f t="shared" si="158"/>
        <v>0</v>
      </c>
      <c r="AC1193" s="91"/>
      <c r="AD1193" s="374" t="s">
        <v>292</v>
      </c>
      <c r="AE1193" s="374"/>
      <c r="AF1193" s="374"/>
      <c r="AG1193" s="151" t="e">
        <f>AG1192/AG1191</f>
        <v>#DIV/0!</v>
      </c>
      <c r="AH1193" s="115"/>
      <c r="AI1193" s="374" t="s">
        <v>292</v>
      </c>
      <c r="AJ1193" s="374"/>
      <c r="AK1193" s="374"/>
      <c r="AL1193" s="151" t="e">
        <f>AL1192/AL1191</f>
        <v>#DIV/0!</v>
      </c>
      <c r="AM1193" s="115"/>
      <c r="AN1193" s="374" t="s">
        <v>292</v>
      </c>
      <c r="AO1193" s="374"/>
      <c r="AP1193" s="374"/>
      <c r="AQ1193" s="151" t="e">
        <f>AQ1192/AQ1191</f>
        <v>#DIV/0!</v>
      </c>
      <c r="AS1193" s="115"/>
      <c r="AT1193" s="115"/>
      <c r="AU1193" s="115"/>
      <c r="AV1193" s="115"/>
      <c r="AW1193" s="115"/>
    </row>
    <row r="1194" spans="15:49">
      <c r="O1194" s="91"/>
      <c r="X1194" s="115">
        <f t="shared" si="155"/>
        <v>0</v>
      </c>
      <c r="Y1194" s="115">
        <f t="shared" si="156"/>
        <v>0</v>
      </c>
      <c r="Z1194" s="115" t="e">
        <f t="shared" si="157"/>
        <v>#VALUE!</v>
      </c>
      <c r="AA1194" s="115">
        <f t="shared" si="158"/>
        <v>0</v>
      </c>
      <c r="AC1194" s="91"/>
      <c r="AD1194" s="374" t="s">
        <v>724</v>
      </c>
      <c r="AE1194" s="374"/>
      <c r="AF1194" s="374"/>
      <c r="AG1194" s="115">
        <f>COUNTIFS(D:D,"AA",G:G,"STANGS",L:L,"2;1",F:F,"ATONGOAL")</f>
        <v>0</v>
      </c>
      <c r="AH1194" s="115"/>
      <c r="AI1194" s="374" t="s">
        <v>724</v>
      </c>
      <c r="AJ1194" s="374"/>
      <c r="AK1194" s="374"/>
      <c r="AL1194" s="115">
        <f>COUNTIFS(D:D,"AA",G:G,"STANGS",L:L,"2;0",F:F,"ATONGOAL")</f>
        <v>0</v>
      </c>
      <c r="AM1194" s="115"/>
      <c r="AN1194" s="374" t="s">
        <v>724</v>
      </c>
      <c r="AO1194" s="374"/>
      <c r="AP1194" s="374"/>
      <c r="AQ1194" s="115">
        <f>COUNTIFS(D:D,"AA",G:G,"STANGS",L:L,"2;-1",F:F,"ATONGOAL")</f>
        <v>0</v>
      </c>
      <c r="AS1194" s="115"/>
      <c r="AT1194" s="115"/>
      <c r="AU1194" s="115"/>
      <c r="AV1194" s="115"/>
      <c r="AW1194" s="115"/>
    </row>
    <row r="1195" spans="15:49">
      <c r="O1195" s="91"/>
      <c r="X1195" s="115">
        <f t="shared" si="155"/>
        <v>0</v>
      </c>
      <c r="Y1195" s="115">
        <f t="shared" si="156"/>
        <v>0</v>
      </c>
      <c r="Z1195" s="115" t="e">
        <f t="shared" si="157"/>
        <v>#VALUE!</v>
      </c>
      <c r="AA1195" s="115">
        <f t="shared" si="158"/>
        <v>0</v>
      </c>
      <c r="AC1195" s="91"/>
      <c r="AD1195" s="374" t="s">
        <v>336</v>
      </c>
      <c r="AE1195" s="374"/>
      <c r="AF1195" s="374"/>
      <c r="AG1195" s="115">
        <f>COUNTIFS(D:D,"AA",G:G,"STANGS",L:L,"2;1",F:F,"ATON")</f>
        <v>0</v>
      </c>
      <c r="AH1195" s="115"/>
      <c r="AI1195" s="374" t="s">
        <v>336</v>
      </c>
      <c r="AJ1195" s="374"/>
      <c r="AK1195" s="374"/>
      <c r="AL1195" s="115">
        <f>COUNTIFS(D:D,"AA",G:G,"STANGS",L:L,"2;0",F:F,"ATON")</f>
        <v>0</v>
      </c>
      <c r="AM1195" s="115"/>
      <c r="AN1195" s="374" t="s">
        <v>336</v>
      </c>
      <c r="AO1195" s="374"/>
      <c r="AP1195" s="374"/>
      <c r="AQ1195" s="115">
        <f>COUNTIFS(D:D,"AA",G:G,"STANGS",L:L,"2;-1",F:F,"ATON")</f>
        <v>0</v>
      </c>
      <c r="AS1195" s="115"/>
      <c r="AT1195" s="115"/>
      <c r="AU1195" s="115"/>
      <c r="AV1195" s="115"/>
      <c r="AW1195" s="115"/>
    </row>
    <row r="1196" spans="15:49" s="115" customFormat="1">
      <c r="O1196" s="91"/>
      <c r="X1196" s="115">
        <f t="shared" si="155"/>
        <v>0</v>
      </c>
      <c r="Y1196" s="115">
        <f t="shared" si="156"/>
        <v>0</v>
      </c>
      <c r="Z1196" s="115" t="e">
        <f t="shared" si="157"/>
        <v>#VALUE!</v>
      </c>
      <c r="AA1196" s="115">
        <f t="shared" si="158"/>
        <v>0</v>
      </c>
      <c r="AB1196" s="246"/>
      <c r="AC1196" s="91"/>
      <c r="AD1196" s="374" t="s">
        <v>337</v>
      </c>
      <c r="AE1196" s="374"/>
      <c r="AF1196" s="374"/>
      <c r="AG1196" s="115">
        <f>COUNTIFS(D:D,"AA",G:G,"STANGS",L:L,"2;1",F:F,"ATOF")</f>
        <v>0</v>
      </c>
      <c r="AI1196" s="374" t="s">
        <v>337</v>
      </c>
      <c r="AJ1196" s="374"/>
      <c r="AK1196" s="374"/>
      <c r="AL1196" s="115">
        <f>COUNTIFS(D:D,"AA",G:G,"STANGS",L:L,"2;0",F:F,"ATOF")</f>
        <v>0</v>
      </c>
      <c r="AN1196" s="374" t="s">
        <v>337</v>
      </c>
      <c r="AO1196" s="374"/>
      <c r="AP1196" s="374"/>
      <c r="AQ1196" s="115">
        <f>COUNTIFS(D:D,"AA",G:G,"STANGS",L:L,"2;-1",F:F,"ATOF")</f>
        <v>0</v>
      </c>
    </row>
    <row r="1197" spans="15:49" s="115" customFormat="1">
      <c r="O1197" s="91"/>
      <c r="X1197" s="115">
        <f t="shared" si="155"/>
        <v>0</v>
      </c>
      <c r="Y1197" s="115">
        <f t="shared" si="156"/>
        <v>0</v>
      </c>
      <c r="Z1197" s="115" t="e">
        <f t="shared" si="157"/>
        <v>#VALUE!</v>
      </c>
      <c r="AA1197" s="115">
        <f t="shared" si="158"/>
        <v>0</v>
      </c>
      <c r="AB1197" s="246"/>
      <c r="AC1197" s="91"/>
      <c r="AD1197" s="374" t="s">
        <v>338</v>
      </c>
      <c r="AE1197" s="374"/>
      <c r="AF1197" s="374"/>
      <c r="AG1197" s="115">
        <f>COUNTIFS(D:D,"AA",G:G,"STANGS",L:L,"2;1",F:F,"ATBK")</f>
        <v>0</v>
      </c>
      <c r="AI1197" s="374" t="s">
        <v>338</v>
      </c>
      <c r="AJ1197" s="374"/>
      <c r="AK1197" s="374"/>
      <c r="AL1197" s="115">
        <f>COUNTIFS(D:D,"AA",G:G,"STANGS",L:L,"2;0",F:F,"ATBK")</f>
        <v>0</v>
      </c>
      <c r="AN1197" s="374" t="s">
        <v>338</v>
      </c>
      <c r="AO1197" s="374"/>
      <c r="AP1197" s="374"/>
      <c r="AQ1197" s="115">
        <f>COUNTIFS(D:D,"AA",G:G,"STANGS",L:L,"2;-1",F:F,"ATBK")</f>
        <v>0</v>
      </c>
    </row>
    <row r="1198" spans="15:49">
      <c r="O1198" s="91"/>
      <c r="X1198" s="115">
        <f t="shared" si="155"/>
        <v>0</v>
      </c>
      <c r="Y1198" s="115">
        <f t="shared" si="156"/>
        <v>0</v>
      </c>
      <c r="Z1198" s="115" t="e">
        <f t="shared" si="157"/>
        <v>#VALUE!</v>
      </c>
      <c r="AA1198" s="115">
        <f t="shared" si="158"/>
        <v>0</v>
      </c>
      <c r="AC1198" s="91"/>
      <c r="AD1198" s="374" t="s">
        <v>315</v>
      </c>
      <c r="AE1198" s="374"/>
      <c r="AF1198" s="374"/>
      <c r="AG1198" s="115">
        <f>COUNTIFS(D:D,"AA",G:G,"STANGS",L:L,"2;1",E:E,"POS",F:F,"WINSTAN")</f>
        <v>0</v>
      </c>
      <c r="AH1198" s="115"/>
      <c r="AI1198" s="374" t="s">
        <v>315</v>
      </c>
      <c r="AJ1198" s="374"/>
      <c r="AK1198" s="374"/>
      <c r="AL1198" s="115">
        <f>COUNTIFS(D:D,"AA",G:G,"STANGS",L:L,"2;0",E:E,"POS",F:F,"WINSTAN")</f>
        <v>0</v>
      </c>
      <c r="AM1198" s="115"/>
      <c r="AN1198" s="374" t="s">
        <v>315</v>
      </c>
      <c r="AO1198" s="374"/>
      <c r="AP1198" s="374"/>
      <c r="AQ1198" s="115">
        <f>COUNTIFS(D:D,"AA",G:G,"STANGS",L:L,"2;-1",E:E,"POS",F:F,"WINSTAN")</f>
        <v>0</v>
      </c>
      <c r="AS1198" s="115"/>
      <c r="AT1198" s="115"/>
      <c r="AU1198" s="115"/>
      <c r="AV1198" s="115"/>
      <c r="AW1198" s="115"/>
    </row>
    <row r="1199" spans="15:49" s="115" customFormat="1">
      <c r="O1199" s="91"/>
      <c r="X1199" s="115">
        <f t="shared" si="155"/>
        <v>0</v>
      </c>
      <c r="Y1199" s="115">
        <f t="shared" si="156"/>
        <v>0</v>
      </c>
      <c r="Z1199" s="115" t="e">
        <f t="shared" si="157"/>
        <v>#VALUE!</v>
      </c>
      <c r="AA1199" s="115">
        <f t="shared" si="158"/>
        <v>0</v>
      </c>
      <c r="AB1199" s="246"/>
      <c r="AC1199" s="91"/>
      <c r="AD1199" s="374" t="s">
        <v>339</v>
      </c>
      <c r="AE1199" s="374"/>
      <c r="AF1199" s="374"/>
      <c r="AG1199" s="115">
        <f>COUNTIFS(D:D,"AA",G:G,"STANGS",L:L,"2;1",E:E,"POS",F:F,"WINSTANTI")</f>
        <v>0</v>
      </c>
      <c r="AI1199" s="374" t="s">
        <v>339</v>
      </c>
      <c r="AJ1199" s="374"/>
      <c r="AK1199" s="374"/>
      <c r="AL1199" s="115">
        <f>COUNTIFS(D:D,"AA",G:G,"STANGS",L:L,"2;0",E:E,"POS",F:F,"WINSTANTI")</f>
        <v>0</v>
      </c>
      <c r="AN1199" s="374" t="s">
        <v>339</v>
      </c>
      <c r="AO1199" s="374"/>
      <c r="AP1199" s="374"/>
      <c r="AQ1199" s="115">
        <f>COUNTIFS(D:D,"AA",G:G,"STANGS",L:L,"2;-1",E:E,"POS",F:F,"WINSTANTI")</f>
        <v>0</v>
      </c>
    </row>
    <row r="1200" spans="15:49">
      <c r="O1200" s="91"/>
      <c r="X1200" s="115">
        <f t="shared" si="155"/>
        <v>0</v>
      </c>
      <c r="Y1200" s="115">
        <f t="shared" si="156"/>
        <v>0</v>
      </c>
      <c r="Z1200" s="115" t="e">
        <f t="shared" si="157"/>
        <v>#VALUE!</v>
      </c>
      <c r="AA1200" s="115">
        <f t="shared" si="158"/>
        <v>0</v>
      </c>
      <c r="AC1200" s="91"/>
      <c r="AD1200" s="374" t="s">
        <v>316</v>
      </c>
      <c r="AE1200" s="374"/>
      <c r="AF1200" s="374"/>
      <c r="AG1200" s="115">
        <f>COUNTIFS(D:D,"AA",G:G,"STANGS",L:L,"2;1",F:F,"ENTRY")</f>
        <v>0</v>
      </c>
      <c r="AH1200" s="115"/>
      <c r="AI1200" s="374" t="s">
        <v>316</v>
      </c>
      <c r="AJ1200" s="374"/>
      <c r="AK1200" s="374"/>
      <c r="AL1200" s="115">
        <f>COUNTIFS(D:D,"AA",G:G,"STANGS",L:L,"2;0",F:F,"ENTRY")</f>
        <v>0</v>
      </c>
      <c r="AM1200" s="115"/>
      <c r="AN1200" s="374" t="s">
        <v>316</v>
      </c>
      <c r="AO1200" s="374"/>
      <c r="AP1200" s="374"/>
      <c r="AQ1200" s="115">
        <f>COUNTIFS(D:D,"AA",G:G,"STANGS",L:L,"2;-1",F:F,"ENTRY")</f>
        <v>0</v>
      </c>
      <c r="AS1200" s="115"/>
      <c r="AT1200" s="115"/>
      <c r="AU1200" s="115"/>
      <c r="AV1200" s="115"/>
      <c r="AW1200" s="115"/>
    </row>
    <row r="1201" spans="15:49">
      <c r="O1201" s="91"/>
      <c r="X1201" s="115">
        <f t="shared" si="155"/>
        <v>0</v>
      </c>
      <c r="Y1201" s="115">
        <f t="shared" si="156"/>
        <v>0</v>
      </c>
      <c r="Z1201" s="115" t="e">
        <f t="shared" si="157"/>
        <v>#VALUE!</v>
      </c>
      <c r="AA1201" s="115">
        <f t="shared" si="158"/>
        <v>0</v>
      </c>
      <c r="AC1201" s="91"/>
      <c r="AD1201" s="374" t="s">
        <v>293</v>
      </c>
      <c r="AE1201" s="374"/>
      <c r="AF1201" s="374"/>
      <c r="AG1201" s="115">
        <f>COUNTIFS(D:D,"AA",G:G,"STANGS",L:L,"2;1",F:F,"KEEPOS")</f>
        <v>0</v>
      </c>
      <c r="AH1201" s="115"/>
      <c r="AI1201" s="374" t="s">
        <v>293</v>
      </c>
      <c r="AJ1201" s="374"/>
      <c r="AK1201" s="374"/>
      <c r="AL1201" s="115">
        <f>COUNTIFS(D:D,"AA",G:G,"STANGS",L:L,"2;0",F:F,"KEEPOS")</f>
        <v>0</v>
      </c>
      <c r="AM1201" s="115"/>
      <c r="AN1201" s="374" t="s">
        <v>293</v>
      </c>
      <c r="AO1201" s="374"/>
      <c r="AP1201" s="374"/>
      <c r="AQ1201" s="115">
        <f>COUNTIFS(D:D,"AA",G:G,"STANGS",L:L,"2;-1",F:F,"KEEPOS")</f>
        <v>0</v>
      </c>
      <c r="AS1201" s="115"/>
      <c r="AT1201" s="115"/>
      <c r="AU1201" s="115"/>
      <c r="AV1201" s="115"/>
      <c r="AW1201" s="115"/>
    </row>
    <row r="1202" spans="15:49">
      <c r="O1202" s="91"/>
      <c r="X1202" s="115">
        <f t="shared" si="155"/>
        <v>0</v>
      </c>
      <c r="Y1202" s="115">
        <f t="shared" si="156"/>
        <v>0</v>
      </c>
      <c r="Z1202" s="115" t="e">
        <f t="shared" si="157"/>
        <v>#VALUE!</v>
      </c>
      <c r="AA1202" s="115">
        <f t="shared" si="158"/>
        <v>0</v>
      </c>
      <c r="AC1202" s="91"/>
      <c r="AD1202" s="374" t="s">
        <v>317</v>
      </c>
      <c r="AE1202" s="374"/>
      <c r="AF1202" s="374"/>
      <c r="AG1202" s="151" t="e">
        <f>SUM(AG1194:AG1201)/AG1188</f>
        <v>#DIV/0!</v>
      </c>
      <c r="AH1202" s="115"/>
      <c r="AI1202" s="374" t="s">
        <v>317</v>
      </c>
      <c r="AJ1202" s="374"/>
      <c r="AK1202" s="374"/>
      <c r="AL1202" s="151" t="e">
        <f>SUM(AL1194:AL1201)/AL1188</f>
        <v>#DIV/0!</v>
      </c>
      <c r="AM1202" s="115"/>
      <c r="AN1202" s="374" t="s">
        <v>317</v>
      </c>
      <c r="AO1202" s="374"/>
      <c r="AP1202" s="374"/>
      <c r="AQ1202" s="151" t="e">
        <f>SUM(AQ1194:AQ1201)/AQ1188</f>
        <v>#DIV/0!</v>
      </c>
      <c r="AS1202" s="115"/>
      <c r="AT1202" s="115"/>
      <c r="AU1202" s="115"/>
      <c r="AV1202" s="115"/>
      <c r="AW1202" s="115"/>
    </row>
    <row r="1203" spans="15:49">
      <c r="O1203" s="91"/>
      <c r="X1203" s="115">
        <f t="shared" si="155"/>
        <v>0</v>
      </c>
      <c r="Y1203" s="115">
        <f t="shared" si="156"/>
        <v>0</v>
      </c>
      <c r="Z1203" s="115" t="e">
        <f t="shared" si="157"/>
        <v>#VALUE!</v>
      </c>
      <c r="AA1203" s="115">
        <f t="shared" si="158"/>
        <v>0</v>
      </c>
      <c r="AC1203" s="91"/>
      <c r="AD1203" s="115"/>
      <c r="AE1203" s="115"/>
      <c r="AF1203" s="115"/>
      <c r="AG1203" s="115"/>
      <c r="AH1203" s="115"/>
      <c r="AI1203" s="115"/>
      <c r="AJ1203" s="115"/>
      <c r="AK1203" s="115"/>
      <c r="AL1203" s="115"/>
      <c r="AM1203" s="115"/>
      <c r="AN1203" s="115"/>
      <c r="AO1203" s="115"/>
      <c r="AP1203" s="115"/>
      <c r="AQ1203" s="115"/>
      <c r="AS1203" s="115"/>
      <c r="AT1203" s="115"/>
      <c r="AU1203" s="115"/>
      <c r="AV1203" s="115"/>
      <c r="AW1203" s="115"/>
    </row>
    <row r="1204" spans="15:49">
      <c r="O1204" s="91"/>
      <c r="X1204" s="115">
        <f t="shared" si="155"/>
        <v>0</v>
      </c>
      <c r="Y1204" s="115">
        <f t="shared" si="156"/>
        <v>0</v>
      </c>
      <c r="Z1204" s="115" t="e">
        <f t="shared" si="157"/>
        <v>#VALUE!</v>
      </c>
      <c r="AA1204" s="115">
        <f t="shared" si="158"/>
        <v>0</v>
      </c>
      <c r="AC1204" s="91"/>
      <c r="AD1204" s="374" t="s">
        <v>270</v>
      </c>
      <c r="AE1204" s="374"/>
      <c r="AF1204" s="374"/>
      <c r="AG1204" s="115">
        <f>COUNTIFS(D:D,"AA",G:G,"STANGS",L:L,"3;1")</f>
        <v>0</v>
      </c>
      <c r="AH1204" s="115"/>
      <c r="AI1204" s="374" t="s">
        <v>270</v>
      </c>
      <c r="AJ1204" s="374"/>
      <c r="AK1204" s="374"/>
      <c r="AL1204" s="115">
        <f>COUNTIFS(D:D,"AA",G:G,"STANGS",L:L,"3;0")</f>
        <v>0</v>
      </c>
      <c r="AM1204" s="115"/>
      <c r="AN1204" s="374" t="s">
        <v>270</v>
      </c>
      <c r="AO1204" s="374"/>
      <c r="AP1204" s="374"/>
      <c r="AQ1204" s="115">
        <f>COUNTIFS(D:D,"AA",G:G,"STANGS",L:L,"3;-1")</f>
        <v>0</v>
      </c>
      <c r="AS1204" s="115"/>
      <c r="AT1204" s="115"/>
      <c r="AU1204" s="115"/>
      <c r="AV1204" s="115"/>
      <c r="AW1204" s="115"/>
    </row>
    <row r="1205" spans="15:49">
      <c r="O1205" s="91"/>
      <c r="X1205" s="115">
        <f t="shared" si="155"/>
        <v>0</v>
      </c>
      <c r="Y1205" s="115">
        <f t="shared" si="156"/>
        <v>0</v>
      </c>
      <c r="Z1205" s="115" t="e">
        <f t="shared" si="157"/>
        <v>#VALUE!</v>
      </c>
      <c r="AA1205" s="115">
        <f t="shared" si="158"/>
        <v>0</v>
      </c>
      <c r="AC1205" s="91"/>
      <c r="AD1205" s="374" t="s">
        <v>271</v>
      </c>
      <c r="AE1205" s="374"/>
      <c r="AF1205" s="374"/>
      <c r="AG1205" s="115">
        <f>COUNTIFS(D:D,"AA",G:G,"STANGS",L:L,"3;1",P:P,"JAH")</f>
        <v>0</v>
      </c>
      <c r="AH1205" s="115"/>
      <c r="AI1205" s="374" t="s">
        <v>271</v>
      </c>
      <c r="AJ1205" s="374"/>
      <c r="AK1205" s="374"/>
      <c r="AL1205" s="115">
        <f>COUNTIFS(D:D,"AA",G:G,"STANGS",L:L,"3;0",P:P,"JAH")</f>
        <v>0</v>
      </c>
      <c r="AM1205" s="115"/>
      <c r="AN1205" s="374" t="s">
        <v>271</v>
      </c>
      <c r="AO1205" s="374"/>
      <c r="AP1205" s="374"/>
      <c r="AQ1205" s="115">
        <f>COUNTIFS(D:D,"AA",G:G,"STANGS",L:L,"3;-1",P:P,"JAH")</f>
        <v>0</v>
      </c>
      <c r="AS1205" s="115"/>
      <c r="AT1205" s="115"/>
      <c r="AU1205" s="115"/>
      <c r="AV1205" s="115"/>
      <c r="AW1205" s="115"/>
    </row>
    <row r="1206" spans="15:49">
      <c r="O1206" s="91"/>
      <c r="X1206" s="115">
        <f t="shared" si="155"/>
        <v>0</v>
      </c>
      <c r="Y1206" s="115">
        <f t="shared" si="156"/>
        <v>0</v>
      </c>
      <c r="Z1206" s="115" t="e">
        <f t="shared" si="157"/>
        <v>#VALUE!</v>
      </c>
      <c r="AA1206" s="115">
        <f t="shared" si="158"/>
        <v>0</v>
      </c>
      <c r="AC1206" s="91"/>
      <c r="AD1206" s="374" t="s">
        <v>272</v>
      </c>
      <c r="AE1206" s="374"/>
      <c r="AF1206" s="374"/>
      <c r="AG1206" s="151" t="e">
        <f>AG1205/AG1204</f>
        <v>#DIV/0!</v>
      </c>
      <c r="AH1206" s="115"/>
      <c r="AI1206" s="374" t="s">
        <v>272</v>
      </c>
      <c r="AJ1206" s="374"/>
      <c r="AK1206" s="374"/>
      <c r="AL1206" s="151" t="e">
        <f>AL1205/AL1204</f>
        <v>#DIV/0!</v>
      </c>
      <c r="AM1206" s="115"/>
      <c r="AN1206" s="374" t="s">
        <v>272</v>
      </c>
      <c r="AO1206" s="374"/>
      <c r="AP1206" s="374"/>
      <c r="AQ1206" s="151" t="e">
        <f>AQ1205/AQ1204</f>
        <v>#DIV/0!</v>
      </c>
      <c r="AS1206" s="115"/>
      <c r="AT1206" s="115"/>
      <c r="AU1206" s="115"/>
      <c r="AV1206" s="115"/>
      <c r="AW1206" s="115"/>
    </row>
    <row r="1207" spans="15:49">
      <c r="O1207" s="91"/>
      <c r="X1207" s="115">
        <f t="shared" si="155"/>
        <v>0</v>
      </c>
      <c r="Y1207" s="115">
        <f t="shared" si="156"/>
        <v>0</v>
      </c>
      <c r="Z1207" s="115" t="e">
        <f t="shared" si="157"/>
        <v>#VALUE!</v>
      </c>
      <c r="AA1207" s="115">
        <f t="shared" si="158"/>
        <v>0</v>
      </c>
      <c r="AC1207" s="91"/>
      <c r="AD1207" s="374" t="s">
        <v>318</v>
      </c>
      <c r="AE1207" s="374"/>
      <c r="AF1207" s="374"/>
      <c r="AG1207" s="178">
        <f>COUNTIFS(D:D,"AA",G:G,"STANGS",L:L,"3;1",V:V,"JAH")+COUNTIFS(D:D,"AA",G:G,"STANGS",L:L,"3;1",V:V,"EI")</f>
        <v>0</v>
      </c>
      <c r="AH1207" s="115"/>
      <c r="AI1207" s="374" t="s">
        <v>318</v>
      </c>
      <c r="AJ1207" s="374"/>
      <c r="AK1207" s="374"/>
      <c r="AL1207" s="178">
        <f>COUNTIFS(D:D,"AA",G:G,"STANGS",L:L,"3;0",V:V,"JAH")+COUNTIFS(D:D,"AA",G:G,"STANGS",L:L,"3;0",V:V,"EI")</f>
        <v>0</v>
      </c>
      <c r="AM1207" s="115"/>
      <c r="AN1207" s="374" t="s">
        <v>318</v>
      </c>
      <c r="AO1207" s="374"/>
      <c r="AP1207" s="374"/>
      <c r="AQ1207" s="178">
        <f>COUNTIFS(D:D,"AA",G:G,"STANGS",L:L,"3;-1",V:V,"JAH")+COUNTIFS(D:D,"AA",G:G,"STANGS",L:L,"3;-1",V:V,"EI")</f>
        <v>0</v>
      </c>
      <c r="AS1207" s="115"/>
      <c r="AT1207" s="115"/>
      <c r="AU1207" s="115"/>
      <c r="AV1207" s="115"/>
      <c r="AW1207" s="115"/>
    </row>
    <row r="1208" spans="15:49">
      <c r="O1208" s="91"/>
      <c r="X1208" s="115">
        <f t="shared" si="155"/>
        <v>0</v>
      </c>
      <c r="Y1208" s="115">
        <f t="shared" si="156"/>
        <v>0</v>
      </c>
      <c r="Z1208" s="115" t="e">
        <f t="shared" si="157"/>
        <v>#VALUE!</v>
      </c>
      <c r="AA1208" s="115">
        <f t="shared" si="158"/>
        <v>0</v>
      </c>
      <c r="AC1208" s="91"/>
      <c r="AD1208" s="374" t="s">
        <v>291</v>
      </c>
      <c r="AE1208" s="374"/>
      <c r="AF1208" s="374"/>
      <c r="AG1208" s="115">
        <f>COUNTIFS(D:D,"AA",G:G,"STANGS",L:L,"3;1",V:V,"JAH")</f>
        <v>0</v>
      </c>
      <c r="AH1208" s="115"/>
      <c r="AI1208" s="374" t="s">
        <v>291</v>
      </c>
      <c r="AJ1208" s="374"/>
      <c r="AK1208" s="374"/>
      <c r="AL1208" s="115">
        <f>COUNTIFS(D:D,"AA",G:G,"STANGS",L:L,"3;0",V:V,"JAH")</f>
        <v>0</v>
      </c>
      <c r="AM1208" s="115"/>
      <c r="AN1208" s="374" t="s">
        <v>291</v>
      </c>
      <c r="AO1208" s="374"/>
      <c r="AP1208" s="374"/>
      <c r="AQ1208" s="115">
        <f>COUNTIFS(D:D,"AA",G:G,"STANGS",L:L,"3;-1",V:V,"JAH")</f>
        <v>0</v>
      </c>
      <c r="AS1208" s="115"/>
      <c r="AT1208" s="115"/>
      <c r="AU1208" s="115"/>
      <c r="AV1208" s="115"/>
      <c r="AW1208" s="115"/>
    </row>
    <row r="1209" spans="15:49">
      <c r="O1209" s="91"/>
      <c r="X1209" s="115">
        <f t="shared" si="155"/>
        <v>0</v>
      </c>
      <c r="Y1209" s="115">
        <f t="shared" si="156"/>
        <v>0</v>
      </c>
      <c r="Z1209" s="115" t="e">
        <f t="shared" si="157"/>
        <v>#VALUE!</v>
      </c>
      <c r="AA1209" s="115">
        <f t="shared" si="158"/>
        <v>0</v>
      </c>
      <c r="AC1209" s="91"/>
      <c r="AD1209" s="374" t="s">
        <v>292</v>
      </c>
      <c r="AE1209" s="374"/>
      <c r="AF1209" s="374"/>
      <c r="AG1209" s="151" t="e">
        <f>AG1208/AG1207</f>
        <v>#DIV/0!</v>
      </c>
      <c r="AH1209" s="115"/>
      <c r="AI1209" s="374" t="s">
        <v>292</v>
      </c>
      <c r="AJ1209" s="374"/>
      <c r="AK1209" s="374"/>
      <c r="AL1209" s="151" t="e">
        <f>AL1208/AL1207</f>
        <v>#DIV/0!</v>
      </c>
      <c r="AM1209" s="115"/>
      <c r="AN1209" s="374" t="s">
        <v>292</v>
      </c>
      <c r="AO1209" s="374"/>
      <c r="AP1209" s="374"/>
      <c r="AQ1209" s="151" t="e">
        <f>AQ1208/AQ1207</f>
        <v>#DIV/0!</v>
      </c>
      <c r="AS1209" s="115"/>
      <c r="AT1209" s="115"/>
      <c r="AU1209" s="115"/>
      <c r="AV1209" s="115"/>
      <c r="AW1209" s="115"/>
    </row>
    <row r="1210" spans="15:49">
      <c r="O1210" s="91"/>
      <c r="X1210" s="115">
        <f t="shared" si="155"/>
        <v>0</v>
      </c>
      <c r="Y1210" s="115">
        <f t="shared" si="156"/>
        <v>0</v>
      </c>
      <c r="Z1210" s="115" t="e">
        <f t="shared" si="157"/>
        <v>#VALUE!</v>
      </c>
      <c r="AA1210" s="115">
        <f t="shared" si="158"/>
        <v>0</v>
      </c>
      <c r="AC1210" s="91"/>
      <c r="AD1210" s="374" t="s">
        <v>724</v>
      </c>
      <c r="AE1210" s="374"/>
      <c r="AF1210" s="374"/>
      <c r="AG1210" s="115">
        <f>COUNTIFS(D:D,"AA",G:G,"STANGS",L:L,"3;1",F:F,"ATONGOAL")</f>
        <v>0</v>
      </c>
      <c r="AH1210" s="115"/>
      <c r="AI1210" s="374" t="s">
        <v>724</v>
      </c>
      <c r="AJ1210" s="374"/>
      <c r="AK1210" s="374"/>
      <c r="AL1210" s="115">
        <f>COUNTIFS(D:D,"AA",G:G,"STANGS",L:L,"3;0",F:F,"ATONGOAL")</f>
        <v>0</v>
      </c>
      <c r="AM1210" s="115"/>
      <c r="AN1210" s="374" t="s">
        <v>724</v>
      </c>
      <c r="AO1210" s="374"/>
      <c r="AP1210" s="374"/>
      <c r="AQ1210" s="115">
        <f>COUNTIFS(D:D,"AA",G:G,"STANGS",L:L,"3;-1",F:F,"ATONGOAL")</f>
        <v>0</v>
      </c>
      <c r="AS1210" s="115"/>
      <c r="AT1210" s="115"/>
      <c r="AU1210" s="115"/>
      <c r="AV1210" s="115"/>
      <c r="AW1210" s="115"/>
    </row>
    <row r="1211" spans="15:49">
      <c r="O1211" s="91"/>
      <c r="X1211" s="115">
        <f t="shared" si="155"/>
        <v>0</v>
      </c>
      <c r="Y1211" s="115">
        <f t="shared" si="156"/>
        <v>0</v>
      </c>
      <c r="Z1211" s="115" t="e">
        <f t="shared" si="157"/>
        <v>#VALUE!</v>
      </c>
      <c r="AA1211" s="115">
        <f t="shared" si="158"/>
        <v>0</v>
      </c>
      <c r="AC1211" s="91"/>
      <c r="AD1211" s="374" t="s">
        <v>336</v>
      </c>
      <c r="AE1211" s="374"/>
      <c r="AF1211" s="374"/>
      <c r="AG1211" s="115">
        <f>COUNTIFS(D:D,"AA",G:G,"STANGS",L:L,"3;1",F:F,"ATON")</f>
        <v>0</v>
      </c>
      <c r="AH1211" s="115"/>
      <c r="AI1211" s="374" t="s">
        <v>336</v>
      </c>
      <c r="AJ1211" s="374"/>
      <c r="AK1211" s="374"/>
      <c r="AL1211" s="115">
        <f>COUNTIFS(D:D,"AA",G:G,"STANGS",L:L,"3;0",F:F,"ATON")</f>
        <v>0</v>
      </c>
      <c r="AM1211" s="115"/>
      <c r="AN1211" s="374" t="s">
        <v>336</v>
      </c>
      <c r="AO1211" s="374"/>
      <c r="AP1211" s="374"/>
      <c r="AQ1211" s="115">
        <f>COUNTIFS(D:D,"AA",G:G,"STANGS",L:L,"3;-1",F:F,"ATON")</f>
        <v>0</v>
      </c>
      <c r="AS1211" s="115"/>
      <c r="AT1211" s="115"/>
      <c r="AU1211" s="115"/>
      <c r="AV1211" s="115"/>
      <c r="AW1211" s="115"/>
    </row>
    <row r="1212" spans="15:49" s="115" customFormat="1">
      <c r="O1212" s="91"/>
      <c r="X1212" s="115">
        <f t="shared" si="155"/>
        <v>0</v>
      </c>
      <c r="Y1212" s="115">
        <f t="shared" si="156"/>
        <v>0</v>
      </c>
      <c r="Z1212" s="115" t="e">
        <f t="shared" si="157"/>
        <v>#VALUE!</v>
      </c>
      <c r="AA1212" s="115">
        <f t="shared" si="158"/>
        <v>0</v>
      </c>
      <c r="AB1212" s="246"/>
      <c r="AC1212" s="91"/>
      <c r="AD1212" s="374" t="s">
        <v>337</v>
      </c>
      <c r="AE1212" s="374"/>
      <c r="AF1212" s="374"/>
      <c r="AG1212" s="115">
        <f>COUNTIFS(D:D,"AA",G:G,"STANGS",L:L,"3;1",F:F,"ATOF")</f>
        <v>0</v>
      </c>
      <c r="AI1212" s="374" t="s">
        <v>337</v>
      </c>
      <c r="AJ1212" s="374"/>
      <c r="AK1212" s="374"/>
      <c r="AL1212" s="115">
        <f>COUNTIFS(D:D,"AA",G:G,"STANGS",L:L,"3;0",F:F,"ATOF")</f>
        <v>0</v>
      </c>
      <c r="AN1212" s="374" t="s">
        <v>337</v>
      </c>
      <c r="AO1212" s="374"/>
      <c r="AP1212" s="374"/>
      <c r="AQ1212" s="115">
        <f>COUNTIFS(D:D,"AA",G:G,"STANGS",L:L,"3;-1",F:F,"ATOF")</f>
        <v>0</v>
      </c>
    </row>
    <row r="1213" spans="15:49" s="115" customFormat="1">
      <c r="O1213" s="91"/>
      <c r="X1213" s="115">
        <f t="shared" si="155"/>
        <v>0</v>
      </c>
      <c r="Y1213" s="115">
        <f t="shared" si="156"/>
        <v>0</v>
      </c>
      <c r="Z1213" s="115" t="e">
        <f t="shared" si="157"/>
        <v>#VALUE!</v>
      </c>
      <c r="AA1213" s="115">
        <f t="shared" si="158"/>
        <v>0</v>
      </c>
      <c r="AB1213" s="246"/>
      <c r="AC1213" s="91"/>
      <c r="AD1213" s="374" t="s">
        <v>338</v>
      </c>
      <c r="AE1213" s="374"/>
      <c r="AF1213" s="374"/>
      <c r="AG1213" s="115">
        <f>COUNTIFS(D:D,"AA",G:G,"STANGS",L:L,"3;1",F:F,"ATBK")</f>
        <v>0</v>
      </c>
      <c r="AI1213" s="374" t="s">
        <v>338</v>
      </c>
      <c r="AJ1213" s="374"/>
      <c r="AK1213" s="374"/>
      <c r="AL1213" s="115">
        <f>COUNTIFS(D:D,"AA",G:G,"STANGS",L:L,"3;0",F:F,"ATBK")</f>
        <v>0</v>
      </c>
      <c r="AN1213" s="374" t="s">
        <v>338</v>
      </c>
      <c r="AO1213" s="374"/>
      <c r="AP1213" s="374"/>
      <c r="AQ1213" s="115">
        <f>COUNTIFS(D:D,"AA",G:G,"STANGS",L:L,"3;-1",F:F,"ATBK")</f>
        <v>0</v>
      </c>
    </row>
    <row r="1214" spans="15:49">
      <c r="O1214" s="91"/>
      <c r="X1214" s="115">
        <f t="shared" si="155"/>
        <v>0</v>
      </c>
      <c r="Y1214" s="115">
        <f t="shared" si="156"/>
        <v>0</v>
      </c>
      <c r="Z1214" s="115" t="e">
        <f t="shared" si="157"/>
        <v>#VALUE!</v>
      </c>
      <c r="AA1214" s="115">
        <f t="shared" si="158"/>
        <v>0</v>
      </c>
      <c r="AC1214" s="91"/>
      <c r="AD1214" s="374" t="s">
        <v>315</v>
      </c>
      <c r="AE1214" s="374"/>
      <c r="AF1214" s="374"/>
      <c r="AG1214" s="115">
        <f>COUNTIFS(D:D,"AA",G:G,"STANGS",L:L,"3;1",E:E,"POS",F:F,"WINSTAN")</f>
        <v>0</v>
      </c>
      <c r="AH1214" s="115"/>
      <c r="AI1214" s="374" t="s">
        <v>315</v>
      </c>
      <c r="AJ1214" s="374"/>
      <c r="AK1214" s="374"/>
      <c r="AL1214" s="115">
        <f>COUNTIFS(D:D,"AA",G:G,"STANGS",L:L,"3;0",E:E,"POS",F:F,"WINSTAN")</f>
        <v>0</v>
      </c>
      <c r="AM1214" s="115"/>
      <c r="AN1214" s="374" t="s">
        <v>315</v>
      </c>
      <c r="AO1214" s="374"/>
      <c r="AP1214" s="374"/>
      <c r="AQ1214" s="115">
        <f>COUNTIFS(D:D,"AA",G:G,"STANGS",L:L,"3;-1",E:E,"POS",F:F,"WINSTAN")</f>
        <v>0</v>
      </c>
      <c r="AS1214" s="115"/>
      <c r="AT1214" s="115"/>
      <c r="AU1214" s="115"/>
      <c r="AV1214" s="115"/>
      <c r="AW1214" s="115"/>
    </row>
    <row r="1215" spans="15:49" s="115" customFormat="1">
      <c r="O1215" s="91"/>
      <c r="X1215" s="115">
        <f t="shared" si="155"/>
        <v>0</v>
      </c>
      <c r="Y1215" s="115">
        <f t="shared" si="156"/>
        <v>0</v>
      </c>
      <c r="Z1215" s="115" t="e">
        <f t="shared" si="157"/>
        <v>#VALUE!</v>
      </c>
      <c r="AA1215" s="115">
        <f t="shared" si="158"/>
        <v>0</v>
      </c>
      <c r="AB1215" s="246"/>
      <c r="AC1215" s="91"/>
      <c r="AD1215" s="374" t="s">
        <v>339</v>
      </c>
      <c r="AE1215" s="374"/>
      <c r="AF1215" s="374"/>
      <c r="AG1215" s="115">
        <f>COUNTIFS(D:D,"AA",G:G,"STANGS",L:L,"3;1",E:E,"POS",F:F,"WINSTANTI")</f>
        <v>0</v>
      </c>
      <c r="AI1215" s="374" t="s">
        <v>339</v>
      </c>
      <c r="AJ1215" s="374"/>
      <c r="AK1215" s="374"/>
      <c r="AL1215" s="115">
        <f>COUNTIFS(D:D,"AA",G:G,"STANGS",L:L,"3;0",E:E,"POS",F:F,"WINSTANTI")</f>
        <v>0</v>
      </c>
      <c r="AN1215" s="374" t="s">
        <v>339</v>
      </c>
      <c r="AO1215" s="374"/>
      <c r="AP1215" s="374"/>
      <c r="AQ1215" s="115">
        <f>COUNTIFS(D:D,"AA",G:G,"STANGS",L:L,"3;-1",E:E,"POS",F:F,"WINSTANTI")</f>
        <v>0</v>
      </c>
    </row>
    <row r="1216" spans="15:49">
      <c r="O1216" s="91"/>
      <c r="X1216" s="115">
        <f t="shared" si="155"/>
        <v>0</v>
      </c>
      <c r="Y1216" s="115">
        <f t="shared" si="156"/>
        <v>0</v>
      </c>
      <c r="Z1216" s="115" t="e">
        <f t="shared" si="157"/>
        <v>#VALUE!</v>
      </c>
      <c r="AA1216" s="115">
        <f t="shared" si="158"/>
        <v>0</v>
      </c>
      <c r="AC1216" s="91"/>
      <c r="AD1216" s="374" t="s">
        <v>316</v>
      </c>
      <c r="AE1216" s="374"/>
      <c r="AF1216" s="374"/>
      <c r="AG1216" s="115">
        <f>COUNTIFS(D:D,"AA",G:G,"STANGS",L:L,"3;1",F:F,"ENTRY")</f>
        <v>0</v>
      </c>
      <c r="AH1216" s="115"/>
      <c r="AI1216" s="374" t="s">
        <v>316</v>
      </c>
      <c r="AJ1216" s="374"/>
      <c r="AK1216" s="374"/>
      <c r="AL1216" s="115">
        <f>COUNTIFS(D:D,"AA",G:G,"STANGS",L:L,"3;0",F:F,"ENTRY")</f>
        <v>0</v>
      </c>
      <c r="AM1216" s="115"/>
      <c r="AN1216" s="374" t="s">
        <v>316</v>
      </c>
      <c r="AO1216" s="374"/>
      <c r="AP1216" s="374"/>
      <c r="AQ1216" s="115">
        <f>COUNTIFS(D:D,"AA",G:G,"STANGS",L:L,"3;-1",F:F,"ENTRY")</f>
        <v>0</v>
      </c>
      <c r="AS1216" s="115"/>
      <c r="AT1216" s="115"/>
      <c r="AU1216" s="115"/>
      <c r="AV1216" s="115"/>
      <c r="AW1216" s="115"/>
    </row>
    <row r="1217" spans="15:49">
      <c r="O1217" s="91"/>
      <c r="X1217" s="115">
        <f t="shared" si="155"/>
        <v>0</v>
      </c>
      <c r="Y1217" s="115">
        <f t="shared" si="156"/>
        <v>0</v>
      </c>
      <c r="Z1217" s="115" t="e">
        <f t="shared" si="157"/>
        <v>#VALUE!</v>
      </c>
      <c r="AA1217" s="115">
        <f t="shared" si="158"/>
        <v>0</v>
      </c>
      <c r="AC1217" s="91"/>
      <c r="AD1217" s="374" t="s">
        <v>293</v>
      </c>
      <c r="AE1217" s="374"/>
      <c r="AF1217" s="374"/>
      <c r="AG1217" s="115">
        <f>COUNTIFS(D:D,"AA",G:G,"STANGS",L:L,"3;1",F:F,"KEEPOS")</f>
        <v>0</v>
      </c>
      <c r="AH1217" s="115"/>
      <c r="AI1217" s="374" t="s">
        <v>293</v>
      </c>
      <c r="AJ1217" s="374"/>
      <c r="AK1217" s="374"/>
      <c r="AL1217" s="115">
        <f>COUNTIFS(D:D,"AA",G:G,"STANGS",L:L,"3;0",F:F,"KEEPOS")</f>
        <v>0</v>
      </c>
      <c r="AM1217" s="115"/>
      <c r="AN1217" s="374" t="s">
        <v>293</v>
      </c>
      <c r="AO1217" s="374"/>
      <c r="AP1217" s="374"/>
      <c r="AQ1217" s="115">
        <f>COUNTIFS(D:D,"AA",G:G,"STANGS",L:L,"3;-1",F:F,"KEEPOS")</f>
        <v>0</v>
      </c>
      <c r="AS1217" s="115"/>
      <c r="AT1217" s="115"/>
      <c r="AU1217" s="115"/>
      <c r="AV1217" s="115"/>
      <c r="AW1217" s="115"/>
    </row>
    <row r="1218" spans="15:49">
      <c r="O1218" s="91"/>
      <c r="X1218" s="115">
        <f t="shared" si="155"/>
        <v>0</v>
      </c>
      <c r="Y1218" s="115">
        <f t="shared" si="156"/>
        <v>0</v>
      </c>
      <c r="Z1218" s="115" t="e">
        <f t="shared" si="157"/>
        <v>#VALUE!</v>
      </c>
      <c r="AA1218" s="115">
        <f t="shared" si="158"/>
        <v>0</v>
      </c>
      <c r="AC1218" s="91"/>
      <c r="AD1218" s="374" t="s">
        <v>317</v>
      </c>
      <c r="AE1218" s="374"/>
      <c r="AF1218" s="374"/>
      <c r="AG1218" s="151" t="e">
        <f>SUM(AG1210:AG1217)/AG1204</f>
        <v>#DIV/0!</v>
      </c>
      <c r="AH1218" s="115"/>
      <c r="AI1218" s="374" t="s">
        <v>317</v>
      </c>
      <c r="AJ1218" s="374"/>
      <c r="AK1218" s="374"/>
      <c r="AL1218" s="151" t="e">
        <f>SUM(AL1210:AL1217)/AL1204</f>
        <v>#DIV/0!</v>
      </c>
      <c r="AM1218" s="115"/>
      <c r="AN1218" s="374" t="s">
        <v>317</v>
      </c>
      <c r="AO1218" s="374"/>
      <c r="AP1218" s="374"/>
      <c r="AQ1218" s="151" t="e">
        <f>SUM(AQ1210:AQ1217)/AQ1204</f>
        <v>#DIV/0!</v>
      </c>
      <c r="AS1218" s="115"/>
      <c r="AT1218" s="115"/>
      <c r="AU1218" s="115"/>
      <c r="AV1218" s="115"/>
      <c r="AW1218" s="115"/>
    </row>
    <row r="1219" spans="15:49">
      <c r="O1219" s="91"/>
      <c r="X1219" s="115">
        <f t="shared" ref="X1219:X1282" si="159">mapValues(E1219,F1219,"P265")</f>
        <v>0</v>
      </c>
      <c r="Y1219" s="115">
        <f t="shared" ref="Y1219:Y1282" si="160">X1218+X1219</f>
        <v>0</v>
      </c>
      <c r="Z1219" s="115" t="e">
        <f t="shared" ref="Z1219:Z1282" si="161">VALUE(MID(B1219,FIND(" ",B1219)+1,FIND(" ",B1219,FIND(" ",B1219)+1)-FIND(" ",B1219)))</f>
        <v>#VALUE!</v>
      </c>
      <c r="AA1219" s="115">
        <f t="shared" ref="AA1219:AA1282" si="162">T1219/1000</f>
        <v>0</v>
      </c>
      <c r="AC1219" s="91"/>
      <c r="AD1219" s="115"/>
      <c r="AE1219" s="115"/>
      <c r="AF1219" s="115"/>
      <c r="AG1219" s="115"/>
      <c r="AH1219" s="115"/>
      <c r="AI1219" s="115"/>
      <c r="AJ1219" s="115"/>
      <c r="AK1219" s="115"/>
      <c r="AL1219" s="115"/>
      <c r="AM1219" s="115"/>
      <c r="AN1219" s="115"/>
      <c r="AO1219" s="115"/>
      <c r="AP1219" s="115"/>
      <c r="AQ1219" s="115"/>
      <c r="AS1219" s="115"/>
      <c r="AT1219" s="115"/>
      <c r="AU1219" s="115"/>
      <c r="AV1219" s="115"/>
      <c r="AW1219" s="115"/>
    </row>
    <row r="1220" spans="15:49">
      <c r="O1220" s="91"/>
      <c r="X1220" s="115">
        <f t="shared" si="159"/>
        <v>0</v>
      </c>
      <c r="Y1220" s="115">
        <f t="shared" si="160"/>
        <v>0</v>
      </c>
      <c r="Z1220" s="115" t="e">
        <f t="shared" si="161"/>
        <v>#VALUE!</v>
      </c>
      <c r="AA1220" s="115">
        <f t="shared" si="162"/>
        <v>0</v>
      </c>
      <c r="AC1220" s="91"/>
      <c r="AD1220" s="384" t="s">
        <v>270</v>
      </c>
      <c r="AE1220" s="385"/>
      <c r="AF1220" s="385"/>
      <c r="AG1220" s="207">
        <f>COUNTIFS(D:D,"AA",G:G,"STANGS",L:L,"4;1")</f>
        <v>0</v>
      </c>
      <c r="AH1220" s="115"/>
      <c r="AI1220" s="374" t="s">
        <v>270</v>
      </c>
      <c r="AJ1220" s="374"/>
      <c r="AK1220" s="374"/>
      <c r="AL1220" s="115">
        <f>COUNTIFS(D:D,"AA",G:G,"STANGS",L:L,"4;0")</f>
        <v>0</v>
      </c>
      <c r="AM1220" s="115"/>
      <c r="AN1220" s="374" t="s">
        <v>270</v>
      </c>
      <c r="AO1220" s="374"/>
      <c r="AP1220" s="374"/>
      <c r="AQ1220" s="115">
        <f>COUNTIFS(D:D,"AA",G:G,"STANGS",L:L,"4;-1")</f>
        <v>0</v>
      </c>
      <c r="AS1220" s="115"/>
      <c r="AT1220" s="115"/>
      <c r="AU1220" s="115"/>
      <c r="AV1220" s="115"/>
      <c r="AW1220" s="115"/>
    </row>
    <row r="1221" spans="15:49">
      <c r="O1221" s="91"/>
      <c r="X1221" s="115">
        <f t="shared" si="159"/>
        <v>0</v>
      </c>
      <c r="Y1221" s="115">
        <f t="shared" si="160"/>
        <v>0</v>
      </c>
      <c r="Z1221" s="115" t="e">
        <f t="shared" si="161"/>
        <v>#VALUE!</v>
      </c>
      <c r="AA1221" s="115">
        <f t="shared" si="162"/>
        <v>0</v>
      </c>
      <c r="AC1221" s="91"/>
      <c r="AD1221" s="375" t="s">
        <v>271</v>
      </c>
      <c r="AE1221" s="376"/>
      <c r="AF1221" s="376"/>
      <c r="AG1221" s="209">
        <f>COUNTIFS(D:D,"AA",G:G,"STANGS",L:L,"4;1",P:P,"JAH")</f>
        <v>0</v>
      </c>
      <c r="AH1221" s="115"/>
      <c r="AI1221" s="374" t="s">
        <v>271</v>
      </c>
      <c r="AJ1221" s="374"/>
      <c r="AK1221" s="374"/>
      <c r="AL1221" s="115">
        <f>COUNTIFS(D:D,"AA",G:G,"STANGS",L:L,"4;0",P:P,"JAH")</f>
        <v>0</v>
      </c>
      <c r="AM1221" s="115"/>
      <c r="AN1221" s="374" t="s">
        <v>271</v>
      </c>
      <c r="AO1221" s="374"/>
      <c r="AP1221" s="374"/>
      <c r="AQ1221" s="115">
        <f>COUNTIFS(D:D,"AA",G:G,"STANGS",L:L,"4;-1",P:P,"JAH")</f>
        <v>0</v>
      </c>
      <c r="AS1221" s="115"/>
      <c r="AT1221" s="115"/>
      <c r="AU1221" s="115"/>
      <c r="AV1221" s="115"/>
      <c r="AW1221" s="115"/>
    </row>
    <row r="1222" spans="15:49">
      <c r="O1222" s="91"/>
      <c r="X1222" s="115">
        <f t="shared" si="159"/>
        <v>0</v>
      </c>
      <c r="Y1222" s="115">
        <f t="shared" si="160"/>
        <v>0</v>
      </c>
      <c r="Z1222" s="115" t="e">
        <f t="shared" si="161"/>
        <v>#VALUE!</v>
      </c>
      <c r="AA1222" s="115">
        <f t="shared" si="162"/>
        <v>0</v>
      </c>
      <c r="AC1222" s="91"/>
      <c r="AD1222" s="375" t="s">
        <v>272</v>
      </c>
      <c r="AE1222" s="376"/>
      <c r="AF1222" s="376"/>
      <c r="AG1222" s="253" t="e">
        <f>AG1221/AG1220</f>
        <v>#DIV/0!</v>
      </c>
      <c r="AH1222" s="115"/>
      <c r="AI1222" s="374" t="s">
        <v>272</v>
      </c>
      <c r="AJ1222" s="374"/>
      <c r="AK1222" s="374"/>
      <c r="AL1222" s="151" t="e">
        <f>AL1221/AL1220</f>
        <v>#DIV/0!</v>
      </c>
      <c r="AM1222" s="115"/>
      <c r="AN1222" s="374" t="s">
        <v>272</v>
      </c>
      <c r="AO1222" s="374"/>
      <c r="AP1222" s="374"/>
      <c r="AQ1222" s="151" t="e">
        <f>AQ1221/AQ1220</f>
        <v>#DIV/0!</v>
      </c>
      <c r="AS1222" s="115"/>
      <c r="AT1222" s="115"/>
      <c r="AU1222" s="115"/>
      <c r="AV1222" s="115"/>
      <c r="AW1222" s="115"/>
    </row>
    <row r="1223" spans="15:49">
      <c r="O1223" s="91"/>
      <c r="X1223" s="115">
        <f t="shared" si="159"/>
        <v>0</v>
      </c>
      <c r="Y1223" s="115">
        <f t="shared" si="160"/>
        <v>0</v>
      </c>
      <c r="Z1223" s="115" t="e">
        <f t="shared" si="161"/>
        <v>#VALUE!</v>
      </c>
      <c r="AA1223" s="115">
        <f t="shared" si="162"/>
        <v>0</v>
      </c>
      <c r="AC1223" s="91"/>
      <c r="AD1223" s="375" t="s">
        <v>318</v>
      </c>
      <c r="AE1223" s="376"/>
      <c r="AF1223" s="376"/>
      <c r="AG1223" s="254">
        <f>COUNTIFS(D:D,"AA",G:G,"STANGS",L:L,"4;1",V:V,"JAH")+COUNTIFS(D:D,"AA",G:G,"STANGS",L:L,"4;1",V:V,"EI")</f>
        <v>0</v>
      </c>
      <c r="AH1223" s="115"/>
      <c r="AI1223" s="374" t="s">
        <v>318</v>
      </c>
      <c r="AJ1223" s="374"/>
      <c r="AK1223" s="374"/>
      <c r="AL1223" s="178">
        <f>COUNTIFS(D:D,"AA",G:G,"STANGS",L:L,"4;0",V:V,"JAH")+COUNTIFS(D:D,"AA",G:G,"STANGS",L:L,"4;0",V:V,"EI")</f>
        <v>0</v>
      </c>
      <c r="AM1223" s="115"/>
      <c r="AN1223" s="374" t="s">
        <v>318</v>
      </c>
      <c r="AO1223" s="374"/>
      <c r="AP1223" s="374"/>
      <c r="AQ1223" s="178">
        <f>COUNTIFS(D:D,"AA",G:G,"STANGS",L:L,"4;-1",V:V,"JAH")+COUNTIFS(D:D,"AA",G:G,"STANGS",L:L,"4;-1",V:V,"EI")</f>
        <v>0</v>
      </c>
      <c r="AS1223" s="115"/>
      <c r="AT1223" s="115"/>
      <c r="AU1223" s="115"/>
      <c r="AV1223" s="115"/>
      <c r="AW1223" s="115"/>
    </row>
    <row r="1224" spans="15:49">
      <c r="O1224" s="91"/>
      <c r="X1224" s="115">
        <f t="shared" si="159"/>
        <v>0</v>
      </c>
      <c r="Y1224" s="115">
        <f t="shared" si="160"/>
        <v>0</v>
      </c>
      <c r="Z1224" s="115" t="e">
        <f t="shared" si="161"/>
        <v>#VALUE!</v>
      </c>
      <c r="AA1224" s="115">
        <f t="shared" si="162"/>
        <v>0</v>
      </c>
      <c r="AC1224" s="91"/>
      <c r="AD1224" s="375" t="s">
        <v>291</v>
      </c>
      <c r="AE1224" s="376"/>
      <c r="AF1224" s="376"/>
      <c r="AG1224" s="209">
        <f>COUNTIFS(D:D,"AA",G:G,"STANGS",L:L,"4;1",V:V,"JAH")</f>
        <v>0</v>
      </c>
      <c r="AH1224" s="115"/>
      <c r="AI1224" s="374" t="s">
        <v>291</v>
      </c>
      <c r="AJ1224" s="374"/>
      <c r="AK1224" s="374"/>
      <c r="AL1224" s="115">
        <f>COUNTIFS(D:D,"AA",G:G,"STANGS",L:L,"4;0",V:V,"JAH")</f>
        <v>0</v>
      </c>
      <c r="AM1224" s="115"/>
      <c r="AN1224" s="374" t="s">
        <v>291</v>
      </c>
      <c r="AO1224" s="374"/>
      <c r="AP1224" s="374"/>
      <c r="AQ1224" s="115">
        <f>COUNTIFS(D:D,"AA",G:G,"STANGS",L:L,"4;-1",V:V,"JAH")</f>
        <v>0</v>
      </c>
      <c r="AS1224" s="115"/>
      <c r="AT1224" s="115"/>
      <c r="AU1224" s="115"/>
      <c r="AV1224" s="115"/>
      <c r="AW1224" s="115"/>
    </row>
    <row r="1225" spans="15:49">
      <c r="O1225" s="91"/>
      <c r="X1225" s="115">
        <f t="shared" si="159"/>
        <v>0</v>
      </c>
      <c r="Y1225" s="115">
        <f t="shared" si="160"/>
        <v>0</v>
      </c>
      <c r="Z1225" s="115" t="e">
        <f t="shared" si="161"/>
        <v>#VALUE!</v>
      </c>
      <c r="AA1225" s="115">
        <f t="shared" si="162"/>
        <v>0</v>
      </c>
      <c r="AC1225" s="91"/>
      <c r="AD1225" s="375" t="s">
        <v>292</v>
      </c>
      <c r="AE1225" s="376"/>
      <c r="AF1225" s="376"/>
      <c r="AG1225" s="253" t="e">
        <f>AG1224/AG1223</f>
        <v>#DIV/0!</v>
      </c>
      <c r="AH1225" s="115"/>
      <c r="AI1225" s="374" t="s">
        <v>292</v>
      </c>
      <c r="AJ1225" s="374"/>
      <c r="AK1225" s="374"/>
      <c r="AL1225" s="151" t="e">
        <f>AL1224/AL1223</f>
        <v>#DIV/0!</v>
      </c>
      <c r="AM1225" s="115"/>
      <c r="AN1225" s="374" t="s">
        <v>292</v>
      </c>
      <c r="AO1225" s="374"/>
      <c r="AP1225" s="374"/>
      <c r="AQ1225" s="151" t="e">
        <f>AQ1224/AQ1223</f>
        <v>#DIV/0!</v>
      </c>
      <c r="AS1225" s="115"/>
      <c r="AT1225" s="115"/>
      <c r="AU1225" s="115"/>
      <c r="AV1225" s="115"/>
      <c r="AW1225" s="115"/>
    </row>
    <row r="1226" spans="15:49">
      <c r="O1226" s="91"/>
      <c r="X1226" s="115">
        <f t="shared" si="159"/>
        <v>0</v>
      </c>
      <c r="Y1226" s="115">
        <f t="shared" si="160"/>
        <v>0</v>
      </c>
      <c r="Z1226" s="115" t="e">
        <f t="shared" si="161"/>
        <v>#VALUE!</v>
      </c>
      <c r="AA1226" s="115">
        <f t="shared" si="162"/>
        <v>0</v>
      </c>
      <c r="AC1226" s="91"/>
      <c r="AD1226" s="375" t="s">
        <v>724</v>
      </c>
      <c r="AE1226" s="376"/>
      <c r="AF1226" s="376"/>
      <c r="AG1226" s="209">
        <f>COUNTIFS(D:D,"AA",G:G,"STANGS",L:L,"4;1",F:F,"ATONGOAL")</f>
        <v>0</v>
      </c>
      <c r="AH1226" s="115"/>
      <c r="AI1226" s="374" t="s">
        <v>724</v>
      </c>
      <c r="AJ1226" s="374"/>
      <c r="AK1226" s="374"/>
      <c r="AL1226" s="115">
        <f>COUNTIFS(D:D,"AA",G:G,"STANGS",L:L,"4;0",F:F,"ATONGOAL")</f>
        <v>0</v>
      </c>
      <c r="AM1226" s="115"/>
      <c r="AN1226" s="374" t="s">
        <v>724</v>
      </c>
      <c r="AO1226" s="374"/>
      <c r="AP1226" s="374"/>
      <c r="AQ1226" s="115">
        <f>COUNTIFS(D:D,"AA",G:G,"STANGS",L:L,"4;-1",F:F,"ATONGOAL")</f>
        <v>0</v>
      </c>
      <c r="AS1226" s="115"/>
      <c r="AT1226" s="115"/>
      <c r="AU1226" s="115"/>
      <c r="AV1226" s="115"/>
      <c r="AW1226" s="115"/>
    </row>
    <row r="1227" spans="15:49">
      <c r="O1227" s="91"/>
      <c r="X1227" s="115">
        <f t="shared" si="159"/>
        <v>0</v>
      </c>
      <c r="Y1227" s="115">
        <f t="shared" si="160"/>
        <v>0</v>
      </c>
      <c r="Z1227" s="115" t="e">
        <f t="shared" si="161"/>
        <v>#VALUE!</v>
      </c>
      <c r="AA1227" s="115">
        <f t="shared" si="162"/>
        <v>0</v>
      </c>
      <c r="AC1227" s="91"/>
      <c r="AD1227" s="375" t="s">
        <v>336</v>
      </c>
      <c r="AE1227" s="376"/>
      <c r="AF1227" s="376"/>
      <c r="AG1227" s="209">
        <f>COUNTIFS(D:D,"AA",G:G,"STANGS",L:L,"4;1",F:F,"ATON")</f>
        <v>0</v>
      </c>
      <c r="AH1227" s="115"/>
      <c r="AI1227" s="374" t="s">
        <v>336</v>
      </c>
      <c r="AJ1227" s="374"/>
      <c r="AK1227" s="374"/>
      <c r="AL1227" s="115">
        <f>COUNTIFS(D:D,"AA",G:G,"STANGS",L:L,"4;0",F:F,"ATON")</f>
        <v>0</v>
      </c>
      <c r="AM1227" s="115"/>
      <c r="AN1227" s="374" t="s">
        <v>336</v>
      </c>
      <c r="AO1227" s="374"/>
      <c r="AP1227" s="374"/>
      <c r="AQ1227" s="115">
        <f>COUNTIFS(D:D,"AA",G:G,"STANGS",L:L,"4;-1",F:F,"ATON")</f>
        <v>0</v>
      </c>
      <c r="AS1227" s="115"/>
      <c r="AT1227" s="115"/>
      <c r="AU1227" s="115"/>
      <c r="AV1227" s="115"/>
      <c r="AW1227" s="115"/>
    </row>
    <row r="1228" spans="15:49" s="115" customFormat="1">
      <c r="O1228" s="91"/>
      <c r="X1228" s="115">
        <f t="shared" si="159"/>
        <v>0</v>
      </c>
      <c r="Y1228" s="115">
        <f t="shared" si="160"/>
        <v>0</v>
      </c>
      <c r="Z1228" s="115" t="e">
        <f t="shared" si="161"/>
        <v>#VALUE!</v>
      </c>
      <c r="AA1228" s="115">
        <f t="shared" si="162"/>
        <v>0</v>
      </c>
      <c r="AB1228" s="246"/>
      <c r="AC1228" s="91"/>
      <c r="AD1228" s="375" t="s">
        <v>337</v>
      </c>
      <c r="AE1228" s="376"/>
      <c r="AF1228" s="376"/>
      <c r="AG1228" s="209">
        <f>COUNTIFS(D:D,"AA",G:G,"STANGS",L:L,"4;1",F:F,"ATOF")</f>
        <v>0</v>
      </c>
      <c r="AI1228" s="374" t="s">
        <v>337</v>
      </c>
      <c r="AJ1228" s="374"/>
      <c r="AK1228" s="374"/>
      <c r="AL1228" s="115">
        <f>COUNTIFS(D:D,"AA",G:G,"STANGS",L:L,"4;0",F:F,"ATOF")</f>
        <v>0</v>
      </c>
      <c r="AN1228" s="374" t="s">
        <v>337</v>
      </c>
      <c r="AO1228" s="374"/>
      <c r="AP1228" s="374"/>
      <c r="AQ1228" s="115">
        <f>COUNTIFS(D:D,"AA",G:G,"STANGS",L:L,"4;-1",F:F,"ATOF")</f>
        <v>0</v>
      </c>
    </row>
    <row r="1229" spans="15:49" s="115" customFormat="1">
      <c r="O1229" s="91"/>
      <c r="X1229" s="115">
        <f t="shared" si="159"/>
        <v>0</v>
      </c>
      <c r="Y1229" s="115">
        <f t="shared" si="160"/>
        <v>0</v>
      </c>
      <c r="Z1229" s="115" t="e">
        <f t="shared" si="161"/>
        <v>#VALUE!</v>
      </c>
      <c r="AA1229" s="115">
        <f t="shared" si="162"/>
        <v>0</v>
      </c>
      <c r="AB1229" s="246"/>
      <c r="AC1229" s="91"/>
      <c r="AD1229" s="375" t="s">
        <v>338</v>
      </c>
      <c r="AE1229" s="376"/>
      <c r="AF1229" s="376"/>
      <c r="AG1229" s="209">
        <f>COUNTIFS(D:D,"AA",G:G,"STANGS",L:L,"4;1",F:F,"ATBK")</f>
        <v>0</v>
      </c>
      <c r="AI1229" s="374" t="s">
        <v>338</v>
      </c>
      <c r="AJ1229" s="374"/>
      <c r="AK1229" s="374"/>
      <c r="AL1229" s="115">
        <f>COUNTIFS(D:D,"AA",G:G,"STANGS",L:L,"4;0",F:F,"ATBK")</f>
        <v>0</v>
      </c>
      <c r="AN1229" s="374" t="s">
        <v>338</v>
      </c>
      <c r="AO1229" s="374"/>
      <c r="AP1229" s="374"/>
      <c r="AQ1229" s="115">
        <f>COUNTIFS(D:D,"AA",G:G,"STANGS",L:L,"4;-1",F:F,"ATBK")</f>
        <v>0</v>
      </c>
    </row>
    <row r="1230" spans="15:49">
      <c r="O1230" s="91"/>
      <c r="X1230" s="115">
        <f t="shared" si="159"/>
        <v>0</v>
      </c>
      <c r="Y1230" s="115">
        <f t="shared" si="160"/>
        <v>0</v>
      </c>
      <c r="Z1230" s="115" t="e">
        <f t="shared" si="161"/>
        <v>#VALUE!</v>
      </c>
      <c r="AA1230" s="115">
        <f t="shared" si="162"/>
        <v>0</v>
      </c>
      <c r="AC1230" s="91"/>
      <c r="AD1230" s="375" t="s">
        <v>315</v>
      </c>
      <c r="AE1230" s="376"/>
      <c r="AF1230" s="376"/>
      <c r="AG1230" s="209">
        <f>COUNTIFS(D:D,"AA",G:G,"STANGS",L:L,"4;1",E:E,"POS",F:F,"WINSTAN")</f>
        <v>0</v>
      </c>
      <c r="AH1230" s="115"/>
      <c r="AI1230" s="374" t="s">
        <v>315</v>
      </c>
      <c r="AJ1230" s="374"/>
      <c r="AK1230" s="374"/>
      <c r="AL1230" s="115">
        <f>COUNTIFS(D:D,"AA",G:G,"STANGS",L:L,"4;0",E:E,"POS",F:F,"WINSTAN")</f>
        <v>0</v>
      </c>
      <c r="AM1230" s="115"/>
      <c r="AN1230" s="374" t="s">
        <v>315</v>
      </c>
      <c r="AO1230" s="374"/>
      <c r="AP1230" s="374"/>
      <c r="AQ1230" s="115">
        <f>COUNTIFS(D:D,"AA",G:G,"STANGS",L:L,"4;-1",E:E,"POS",F:F,"WINSTAN")</f>
        <v>0</v>
      </c>
      <c r="AS1230" s="115"/>
      <c r="AT1230" s="115"/>
      <c r="AU1230" s="115"/>
      <c r="AV1230" s="115"/>
      <c r="AW1230" s="115"/>
    </row>
    <row r="1231" spans="15:49" s="115" customFormat="1">
      <c r="O1231" s="91"/>
      <c r="X1231" s="115">
        <f t="shared" si="159"/>
        <v>0</v>
      </c>
      <c r="Y1231" s="115">
        <f t="shared" si="160"/>
        <v>0</v>
      </c>
      <c r="Z1231" s="115" t="e">
        <f t="shared" si="161"/>
        <v>#VALUE!</v>
      </c>
      <c r="AA1231" s="115">
        <f t="shared" si="162"/>
        <v>0</v>
      </c>
      <c r="AB1231" s="246"/>
      <c r="AC1231" s="91"/>
      <c r="AD1231" s="375" t="s">
        <v>339</v>
      </c>
      <c r="AE1231" s="376"/>
      <c r="AF1231" s="376"/>
      <c r="AG1231" s="209">
        <f>COUNTIFS(D:D,"AA",G:G,"STANGS",L:L,"4;1",E:E,"POS",F:F,"WINSTANTI")</f>
        <v>0</v>
      </c>
      <c r="AI1231" s="374" t="s">
        <v>339</v>
      </c>
      <c r="AJ1231" s="374"/>
      <c r="AK1231" s="374"/>
      <c r="AL1231" s="115">
        <f>COUNTIFS(D:D,"AA",G:G,"STANGS",L:L,"4;0",E:E,"POS",F:F,"WINSTANTI")</f>
        <v>0</v>
      </c>
      <c r="AN1231" s="374" t="s">
        <v>339</v>
      </c>
      <c r="AO1231" s="374"/>
      <c r="AP1231" s="374"/>
      <c r="AQ1231" s="115">
        <f>COUNTIFS(D:D,"AA",G:G,"STANGS",L:L,"4;-1",E:E,"POS",F:F,"WINSTANTI")</f>
        <v>0</v>
      </c>
    </row>
    <row r="1232" spans="15:49">
      <c r="O1232" s="91"/>
      <c r="X1232" s="115">
        <f t="shared" si="159"/>
        <v>0</v>
      </c>
      <c r="Y1232" s="115">
        <f t="shared" si="160"/>
        <v>0</v>
      </c>
      <c r="Z1232" s="115" t="e">
        <f t="shared" si="161"/>
        <v>#VALUE!</v>
      </c>
      <c r="AA1232" s="115">
        <f t="shared" si="162"/>
        <v>0</v>
      </c>
      <c r="AC1232" s="91"/>
      <c r="AD1232" s="375" t="s">
        <v>316</v>
      </c>
      <c r="AE1232" s="376"/>
      <c r="AF1232" s="376"/>
      <c r="AG1232" s="209">
        <f>COUNTIFS(D:D,"AA",G:G,"STANGS",L:L,"4;1",F:F,"ENTRY")</f>
        <v>0</v>
      </c>
      <c r="AH1232" s="115"/>
      <c r="AI1232" s="374" t="s">
        <v>316</v>
      </c>
      <c r="AJ1232" s="374"/>
      <c r="AK1232" s="374"/>
      <c r="AL1232" s="115">
        <f>COUNTIFS(D:D,"AA",G:G,"STANGS",L:L,"4;0",F:F,"ENTRY")</f>
        <v>0</v>
      </c>
      <c r="AM1232" s="115"/>
      <c r="AN1232" s="374" t="s">
        <v>316</v>
      </c>
      <c r="AO1232" s="374"/>
      <c r="AP1232" s="374"/>
      <c r="AQ1232" s="115">
        <f>COUNTIFS(D:D,"AA",G:G,"STANGS",L:L,"4;-1",F:F,"ENTRY")</f>
        <v>0</v>
      </c>
      <c r="AS1232" s="115"/>
      <c r="AT1232" s="115"/>
      <c r="AU1232" s="115"/>
      <c r="AV1232" s="115"/>
      <c r="AW1232" s="115"/>
    </row>
    <row r="1233" spans="15:49">
      <c r="O1233" s="91"/>
      <c r="X1233" s="115">
        <f t="shared" si="159"/>
        <v>0</v>
      </c>
      <c r="Y1233" s="115">
        <f t="shared" si="160"/>
        <v>0</v>
      </c>
      <c r="Z1233" s="115" t="e">
        <f t="shared" si="161"/>
        <v>#VALUE!</v>
      </c>
      <c r="AA1233" s="115">
        <f t="shared" si="162"/>
        <v>0</v>
      </c>
      <c r="AC1233" s="91"/>
      <c r="AD1233" s="375" t="s">
        <v>293</v>
      </c>
      <c r="AE1233" s="376"/>
      <c r="AF1233" s="376"/>
      <c r="AG1233" s="209">
        <f>COUNTIFS(D:D,"AA",G:G,"STANGS",L:L,"4;1",F:F,"KEEPOS")</f>
        <v>0</v>
      </c>
      <c r="AH1233" s="115"/>
      <c r="AI1233" s="374" t="s">
        <v>293</v>
      </c>
      <c r="AJ1233" s="374"/>
      <c r="AK1233" s="374"/>
      <c r="AL1233" s="115">
        <f>COUNTIFS(D:D,"AA",G:G,"STANGS",L:L,"4;0",F:F,"KEEPOS")</f>
        <v>0</v>
      </c>
      <c r="AM1233" s="115"/>
      <c r="AN1233" s="374" t="s">
        <v>293</v>
      </c>
      <c r="AO1233" s="374"/>
      <c r="AP1233" s="374"/>
      <c r="AQ1233" s="115">
        <f>COUNTIFS(D:D,"AA",G:G,"STANGS",L:L,"4;-1",F:F,"KEEPOS")</f>
        <v>0</v>
      </c>
      <c r="AS1233" s="115"/>
      <c r="AT1233" s="115"/>
      <c r="AU1233" s="115"/>
      <c r="AV1233" s="115"/>
      <c r="AW1233" s="115"/>
    </row>
    <row r="1234" spans="15:49">
      <c r="O1234" s="91"/>
      <c r="X1234" s="115">
        <f t="shared" si="159"/>
        <v>0</v>
      </c>
      <c r="Y1234" s="115">
        <f t="shared" si="160"/>
        <v>0</v>
      </c>
      <c r="Z1234" s="115" t="e">
        <f t="shared" si="161"/>
        <v>#VALUE!</v>
      </c>
      <c r="AA1234" s="115">
        <f t="shared" si="162"/>
        <v>0</v>
      </c>
      <c r="AC1234" s="91"/>
      <c r="AD1234" s="375" t="s">
        <v>317</v>
      </c>
      <c r="AE1234" s="376"/>
      <c r="AF1234" s="376"/>
      <c r="AG1234" s="253" t="e">
        <f>SUM(AG1226:AG1233)/AG1220</f>
        <v>#DIV/0!</v>
      </c>
      <c r="AH1234" s="115"/>
      <c r="AI1234" s="374" t="s">
        <v>317</v>
      </c>
      <c r="AJ1234" s="374"/>
      <c r="AK1234" s="374"/>
      <c r="AL1234" s="151" t="e">
        <f>SUM(AL1226:AL1233)/AL1220</f>
        <v>#DIV/0!</v>
      </c>
      <c r="AM1234" s="115"/>
      <c r="AN1234" s="374" t="s">
        <v>317</v>
      </c>
      <c r="AO1234" s="374"/>
      <c r="AP1234" s="374"/>
      <c r="AQ1234" s="151" t="e">
        <f>SUM(AQ1226:AQ1233)/AQ1220</f>
        <v>#DIV/0!</v>
      </c>
      <c r="AS1234" s="115"/>
      <c r="AT1234" s="115"/>
      <c r="AU1234" s="115"/>
      <c r="AV1234" s="115"/>
      <c r="AW1234" s="115"/>
    </row>
    <row r="1235" spans="15:49">
      <c r="O1235" s="91"/>
      <c r="X1235" s="115">
        <f t="shared" si="159"/>
        <v>0</v>
      </c>
      <c r="Y1235" s="115">
        <f t="shared" si="160"/>
        <v>0</v>
      </c>
      <c r="Z1235" s="115" t="e">
        <f t="shared" si="161"/>
        <v>#VALUE!</v>
      </c>
      <c r="AA1235" s="115">
        <f t="shared" si="162"/>
        <v>0</v>
      </c>
      <c r="AC1235" s="91"/>
      <c r="AD1235" s="208"/>
      <c r="AE1235" s="165"/>
      <c r="AF1235" s="165"/>
      <c r="AG1235" s="209"/>
      <c r="AH1235" s="115"/>
      <c r="AI1235" s="115"/>
      <c r="AJ1235" s="115"/>
      <c r="AK1235" s="115"/>
      <c r="AL1235" s="115"/>
      <c r="AM1235" s="115"/>
      <c r="AN1235" s="115"/>
      <c r="AO1235" s="115"/>
      <c r="AP1235" s="115"/>
      <c r="AQ1235" s="115"/>
      <c r="AS1235" s="115"/>
      <c r="AT1235" s="115"/>
      <c r="AU1235" s="115"/>
      <c r="AV1235" s="115"/>
      <c r="AW1235" s="115"/>
    </row>
    <row r="1236" spans="15:49">
      <c r="O1236" s="91"/>
      <c r="X1236" s="115">
        <f t="shared" si="159"/>
        <v>0</v>
      </c>
      <c r="Y1236" s="115">
        <f t="shared" si="160"/>
        <v>0</v>
      </c>
      <c r="Z1236" s="115" t="e">
        <f t="shared" si="161"/>
        <v>#VALUE!</v>
      </c>
      <c r="AA1236" s="115">
        <f t="shared" si="162"/>
        <v>0</v>
      </c>
      <c r="AC1236" s="91"/>
      <c r="AD1236" s="375" t="s">
        <v>270</v>
      </c>
      <c r="AE1236" s="376"/>
      <c r="AF1236" s="376"/>
      <c r="AG1236" s="209">
        <f>COUNTIFS(D:D,"AA",G:G,"STANGS",L:L,"5;1")+AG1220</f>
        <v>0</v>
      </c>
      <c r="AH1236" s="115"/>
      <c r="AI1236" s="374"/>
      <c r="AJ1236" s="374"/>
      <c r="AK1236" s="374"/>
      <c r="AL1236" s="115"/>
      <c r="AM1236" s="115"/>
      <c r="AN1236" s="374" t="s">
        <v>270</v>
      </c>
      <c r="AO1236" s="374"/>
      <c r="AP1236" s="374"/>
      <c r="AQ1236" s="115">
        <f>COUNTIFS(D:D,"AA",G:G,"STANGS",L:L,"5;-1")+AQ1220</f>
        <v>0</v>
      </c>
      <c r="AS1236" s="115"/>
      <c r="AT1236" s="115"/>
      <c r="AU1236" s="115"/>
      <c r="AV1236" s="115"/>
      <c r="AW1236" s="115"/>
    </row>
    <row r="1237" spans="15:49">
      <c r="O1237" s="91"/>
      <c r="X1237" s="115">
        <f t="shared" si="159"/>
        <v>0</v>
      </c>
      <c r="Y1237" s="115">
        <f t="shared" si="160"/>
        <v>0</v>
      </c>
      <c r="Z1237" s="115" t="e">
        <f t="shared" si="161"/>
        <v>#VALUE!</v>
      </c>
      <c r="AA1237" s="115">
        <f t="shared" si="162"/>
        <v>0</v>
      </c>
      <c r="AD1237" s="375" t="s">
        <v>271</v>
      </c>
      <c r="AE1237" s="376"/>
      <c r="AF1237" s="376"/>
      <c r="AG1237" s="209">
        <f>COUNTIFS(D:D,"AA",G:G,"STANGS",L:L,"5;1",P:P,"JAH")+AG1221</f>
        <v>0</v>
      </c>
      <c r="AH1237" s="115"/>
      <c r="AI1237" s="374"/>
      <c r="AJ1237" s="374"/>
      <c r="AK1237" s="374"/>
      <c r="AL1237" s="115"/>
      <c r="AM1237" s="115"/>
      <c r="AN1237" s="374" t="s">
        <v>271</v>
      </c>
      <c r="AO1237" s="374"/>
      <c r="AP1237" s="374"/>
      <c r="AQ1237" s="115">
        <f>COUNTIFS(D:D,"AA",G:G,"STANGS",L:L,"5;-1",P:P,"JAH")+AQ1221</f>
        <v>0</v>
      </c>
      <c r="AS1237" s="115"/>
      <c r="AT1237" s="115"/>
      <c r="AU1237" s="115"/>
      <c r="AV1237" s="115"/>
      <c r="AW1237" s="115"/>
    </row>
    <row r="1238" spans="15:49">
      <c r="O1238" s="91"/>
      <c r="X1238" s="115">
        <f t="shared" si="159"/>
        <v>0</v>
      </c>
      <c r="Y1238" s="115">
        <f t="shared" si="160"/>
        <v>0</v>
      </c>
      <c r="Z1238" s="115" t="e">
        <f t="shared" si="161"/>
        <v>#VALUE!</v>
      </c>
      <c r="AA1238" s="115">
        <f t="shared" si="162"/>
        <v>0</v>
      </c>
      <c r="AD1238" s="375" t="s">
        <v>272</v>
      </c>
      <c r="AE1238" s="376"/>
      <c r="AF1238" s="376"/>
      <c r="AG1238" s="253" t="e">
        <f>AG1237/AG1236</f>
        <v>#DIV/0!</v>
      </c>
      <c r="AH1238" s="115"/>
      <c r="AI1238" s="374"/>
      <c r="AJ1238" s="374"/>
      <c r="AK1238" s="374"/>
      <c r="AL1238" s="151"/>
      <c r="AM1238" s="115"/>
      <c r="AN1238" s="374" t="s">
        <v>272</v>
      </c>
      <c r="AO1238" s="374"/>
      <c r="AP1238" s="374"/>
      <c r="AQ1238" s="151" t="e">
        <f>AQ1237/AQ1236</f>
        <v>#DIV/0!</v>
      </c>
      <c r="AS1238" s="115"/>
      <c r="AT1238" s="115"/>
      <c r="AU1238" s="115"/>
      <c r="AV1238" s="115"/>
      <c r="AW1238" s="115"/>
    </row>
    <row r="1239" spans="15:49">
      <c r="O1239" s="91"/>
      <c r="X1239" s="115">
        <f t="shared" si="159"/>
        <v>0</v>
      </c>
      <c r="Y1239" s="115">
        <f t="shared" si="160"/>
        <v>0</v>
      </c>
      <c r="Z1239" s="115" t="e">
        <f t="shared" si="161"/>
        <v>#VALUE!</v>
      </c>
      <c r="AA1239" s="115">
        <f t="shared" si="162"/>
        <v>0</v>
      </c>
      <c r="AD1239" s="375" t="s">
        <v>318</v>
      </c>
      <c r="AE1239" s="376"/>
      <c r="AF1239" s="376"/>
      <c r="AG1239" s="254">
        <f>COUNTIFS(D:D,"AA",G:G,"STANGS",L:L,"5;1",V:V,"JAH")+COUNTIFS(D:D,"AA",G:G,"STANGS",L:L,"5;1",V:V,"EI")+AG1223</f>
        <v>0</v>
      </c>
      <c r="AH1239" s="115"/>
      <c r="AI1239" s="374"/>
      <c r="AJ1239" s="374"/>
      <c r="AK1239" s="374"/>
      <c r="AL1239" s="178"/>
      <c r="AM1239" s="115"/>
      <c r="AN1239" s="374" t="s">
        <v>318</v>
      </c>
      <c r="AO1239" s="374"/>
      <c r="AP1239" s="374"/>
      <c r="AQ1239" s="178">
        <f>COUNTIFS(D:D,"AA",G:G,"STANGS",L:L,"5;-1",V:V,"JAH")+COUNTIFS(D:D,"AA",G:G,"STANGS",L:L,"5;-1",V:V,"EI")+AQ1223</f>
        <v>0</v>
      </c>
      <c r="AS1239" s="115"/>
      <c r="AT1239" s="115"/>
      <c r="AU1239" s="115"/>
      <c r="AV1239" s="115"/>
      <c r="AW1239" s="115"/>
    </row>
    <row r="1240" spans="15:49">
      <c r="O1240" s="91"/>
      <c r="X1240" s="115">
        <f t="shared" si="159"/>
        <v>0</v>
      </c>
      <c r="Y1240" s="115">
        <f t="shared" si="160"/>
        <v>0</v>
      </c>
      <c r="Z1240" s="115" t="e">
        <f t="shared" si="161"/>
        <v>#VALUE!</v>
      </c>
      <c r="AA1240" s="115">
        <f t="shared" si="162"/>
        <v>0</v>
      </c>
      <c r="AD1240" s="375" t="s">
        <v>291</v>
      </c>
      <c r="AE1240" s="376"/>
      <c r="AF1240" s="376"/>
      <c r="AG1240" s="209">
        <f>COUNTIFS(D:D,"AA",G:G,"STANGS",L:L,"5;1",V:V,"JAH")+AG1224</f>
        <v>0</v>
      </c>
      <c r="AH1240" s="115"/>
      <c r="AI1240" s="374"/>
      <c r="AJ1240" s="374"/>
      <c r="AK1240" s="374"/>
      <c r="AL1240" s="115"/>
      <c r="AM1240" s="115"/>
      <c r="AN1240" s="374" t="s">
        <v>291</v>
      </c>
      <c r="AO1240" s="374"/>
      <c r="AP1240" s="374"/>
      <c r="AQ1240" s="115">
        <f>COUNTIFS(D:D,"AA",G:G,"STANGS",L:L,"5;-1",V:V,"JAH")+AQ1224</f>
        <v>0</v>
      </c>
      <c r="AS1240" s="115"/>
      <c r="AT1240" s="115"/>
      <c r="AU1240" s="115"/>
      <c r="AV1240" s="115"/>
      <c r="AW1240" s="115"/>
    </row>
    <row r="1241" spans="15:49">
      <c r="O1241" s="91"/>
      <c r="X1241" s="115">
        <f t="shared" si="159"/>
        <v>0</v>
      </c>
      <c r="Y1241" s="115">
        <f t="shared" si="160"/>
        <v>0</v>
      </c>
      <c r="Z1241" s="115" t="e">
        <f t="shared" si="161"/>
        <v>#VALUE!</v>
      </c>
      <c r="AA1241" s="115">
        <f t="shared" si="162"/>
        <v>0</v>
      </c>
      <c r="AD1241" s="375" t="s">
        <v>292</v>
      </c>
      <c r="AE1241" s="376"/>
      <c r="AF1241" s="376"/>
      <c r="AG1241" s="253" t="e">
        <f>AG1240/AG1239</f>
        <v>#DIV/0!</v>
      </c>
      <c r="AH1241" s="115"/>
      <c r="AI1241" s="374"/>
      <c r="AJ1241" s="374"/>
      <c r="AK1241" s="374"/>
      <c r="AL1241" s="151"/>
      <c r="AM1241" s="115"/>
      <c r="AN1241" s="374" t="s">
        <v>292</v>
      </c>
      <c r="AO1241" s="374"/>
      <c r="AP1241" s="374"/>
      <c r="AQ1241" s="151" t="e">
        <f>AQ1240/AQ1239</f>
        <v>#DIV/0!</v>
      </c>
      <c r="AS1241" s="115"/>
      <c r="AT1241" s="115"/>
      <c r="AU1241" s="115"/>
      <c r="AV1241" s="115"/>
      <c r="AW1241" s="115"/>
    </row>
    <row r="1242" spans="15:49">
      <c r="O1242" s="91"/>
      <c r="X1242" s="115">
        <f t="shared" si="159"/>
        <v>0</v>
      </c>
      <c r="Y1242" s="115">
        <f t="shared" si="160"/>
        <v>0</v>
      </c>
      <c r="Z1242" s="115" t="e">
        <f t="shared" si="161"/>
        <v>#VALUE!</v>
      </c>
      <c r="AA1242" s="115">
        <f t="shared" si="162"/>
        <v>0</v>
      </c>
      <c r="AD1242" s="375" t="s">
        <v>724</v>
      </c>
      <c r="AE1242" s="376"/>
      <c r="AF1242" s="376"/>
      <c r="AG1242" s="209">
        <f>COUNTIFS(D:D,"AA",G:G,"STANGS",L:L,"5;1",F:F,"ATONGOAL")+AG1226</f>
        <v>0</v>
      </c>
      <c r="AH1242" s="115"/>
      <c r="AI1242" s="374"/>
      <c r="AJ1242" s="374"/>
      <c r="AK1242" s="374"/>
      <c r="AL1242" s="115"/>
      <c r="AM1242" s="115"/>
      <c r="AN1242" s="374" t="s">
        <v>724</v>
      </c>
      <c r="AO1242" s="374"/>
      <c r="AP1242" s="374"/>
      <c r="AQ1242" s="115">
        <f>COUNTIFS(D:D,"AA",G:G,"STANGS",L:L,"5;-1",F:F,"ATONGOAL")+AQ1226</f>
        <v>0</v>
      </c>
      <c r="AS1242" s="115"/>
      <c r="AT1242" s="115"/>
      <c r="AU1242" s="115"/>
      <c r="AV1242" s="115"/>
      <c r="AW1242" s="115"/>
    </row>
    <row r="1243" spans="15:49">
      <c r="O1243" s="91"/>
      <c r="X1243" s="115">
        <f t="shared" si="159"/>
        <v>0</v>
      </c>
      <c r="Y1243" s="115">
        <f t="shared" si="160"/>
        <v>0</v>
      </c>
      <c r="Z1243" s="115" t="e">
        <f t="shared" si="161"/>
        <v>#VALUE!</v>
      </c>
      <c r="AA1243" s="115">
        <f t="shared" si="162"/>
        <v>0</v>
      </c>
      <c r="AD1243" s="375" t="s">
        <v>336</v>
      </c>
      <c r="AE1243" s="376"/>
      <c r="AF1243" s="376"/>
      <c r="AG1243" s="209">
        <f>COUNTIFS(D:D,"AA",G:G,"STANGS",L:L,"5;1",F:F,"ATON")+AG1227</f>
        <v>0</v>
      </c>
      <c r="AH1243" s="115"/>
      <c r="AI1243" s="374"/>
      <c r="AJ1243" s="374"/>
      <c r="AK1243" s="374"/>
      <c r="AL1243" s="115"/>
      <c r="AM1243" s="115"/>
      <c r="AN1243" s="374" t="s">
        <v>336</v>
      </c>
      <c r="AO1243" s="374"/>
      <c r="AP1243" s="374"/>
      <c r="AQ1243" s="115">
        <f>COUNTIFS(D:D,"AA",G:G,"STANGS",L:L,"5;-1",F:F,"ATON")+AQ1227</f>
        <v>0</v>
      </c>
      <c r="AS1243" s="115"/>
      <c r="AT1243" s="115"/>
      <c r="AU1243" s="115"/>
      <c r="AV1243" s="115"/>
      <c r="AW1243" s="115"/>
    </row>
    <row r="1244" spans="15:49" s="115" customFormat="1">
      <c r="O1244" s="91"/>
      <c r="X1244" s="115">
        <f t="shared" si="159"/>
        <v>0</v>
      </c>
      <c r="Y1244" s="115">
        <f t="shared" si="160"/>
        <v>0</v>
      </c>
      <c r="Z1244" s="115" t="e">
        <f t="shared" si="161"/>
        <v>#VALUE!</v>
      </c>
      <c r="AA1244" s="115">
        <f t="shared" si="162"/>
        <v>0</v>
      </c>
      <c r="AB1244" s="246"/>
      <c r="AD1244" s="375" t="s">
        <v>337</v>
      </c>
      <c r="AE1244" s="376"/>
      <c r="AF1244" s="376"/>
      <c r="AG1244" s="209">
        <f>COUNTIFS(D:D,"AA",G:G,"STANGS",L:L,"5;1",F:F,"ATOF")+AG1228</f>
        <v>0</v>
      </c>
      <c r="AI1244" s="374"/>
      <c r="AJ1244" s="374"/>
      <c r="AK1244" s="374"/>
      <c r="AN1244" s="374" t="s">
        <v>337</v>
      </c>
      <c r="AO1244" s="374"/>
      <c r="AP1244" s="374"/>
      <c r="AQ1244" s="115">
        <f>COUNTIFS(D:D,"AA",G:G,"STANGS",L:L,"5;-1",F:F,"ATOF")+AQ1228</f>
        <v>0</v>
      </c>
    </row>
    <row r="1245" spans="15:49" s="115" customFormat="1">
      <c r="O1245" s="91"/>
      <c r="X1245" s="115">
        <f t="shared" si="159"/>
        <v>0</v>
      </c>
      <c r="Y1245" s="115">
        <f t="shared" si="160"/>
        <v>0</v>
      </c>
      <c r="Z1245" s="115" t="e">
        <f t="shared" si="161"/>
        <v>#VALUE!</v>
      </c>
      <c r="AA1245" s="115">
        <f t="shared" si="162"/>
        <v>0</v>
      </c>
      <c r="AB1245" s="246"/>
      <c r="AD1245" s="375" t="s">
        <v>338</v>
      </c>
      <c r="AE1245" s="376"/>
      <c r="AF1245" s="376"/>
      <c r="AG1245" s="209">
        <f>COUNTIFS(D:D,"AA",G:G,"STANGS",L:L,"5;1",F:F,"ATBK")+AG1229</f>
        <v>0</v>
      </c>
      <c r="AI1245" s="374"/>
      <c r="AJ1245" s="374"/>
      <c r="AK1245" s="374"/>
      <c r="AN1245" s="374" t="s">
        <v>338</v>
      </c>
      <c r="AO1245" s="374"/>
      <c r="AP1245" s="374"/>
      <c r="AQ1245" s="115">
        <f>COUNTIFS(D:D,"AA",G:G,"STANGS",L:L,"5;-1",F:F,"ATBK")+AQ1229</f>
        <v>0</v>
      </c>
    </row>
    <row r="1246" spans="15:49">
      <c r="O1246" s="91"/>
      <c r="X1246" s="115">
        <f t="shared" si="159"/>
        <v>0</v>
      </c>
      <c r="Y1246" s="115">
        <f t="shared" si="160"/>
        <v>0</v>
      </c>
      <c r="Z1246" s="115" t="e">
        <f t="shared" si="161"/>
        <v>#VALUE!</v>
      </c>
      <c r="AA1246" s="115">
        <f t="shared" si="162"/>
        <v>0</v>
      </c>
      <c r="AD1246" s="375" t="s">
        <v>315</v>
      </c>
      <c r="AE1246" s="376"/>
      <c r="AF1246" s="376"/>
      <c r="AG1246" s="209">
        <f>COUNTIFS(D:D,"AA",G:G,"STANGS",L:L,"5;1",E:E,"POS",F:F,"WINSTAN")+AG1230</f>
        <v>0</v>
      </c>
      <c r="AH1246" s="115"/>
      <c r="AI1246" s="374"/>
      <c r="AJ1246" s="374"/>
      <c r="AK1246" s="374"/>
      <c r="AL1246" s="115"/>
      <c r="AM1246" s="115"/>
      <c r="AN1246" s="374" t="s">
        <v>315</v>
      </c>
      <c r="AO1246" s="374"/>
      <c r="AP1246" s="374"/>
      <c r="AQ1246" s="115">
        <f>COUNTIFS(D:D,"AA",G:G,"STANGS",L:L,"5;-1",E:E,"POS",F:F,"WINSTAN")+AQ1230</f>
        <v>0</v>
      </c>
      <c r="AS1246" s="115"/>
      <c r="AT1246" s="115"/>
      <c r="AU1246" s="115"/>
      <c r="AV1246" s="115"/>
      <c r="AW1246" s="115"/>
    </row>
    <row r="1247" spans="15:49" s="115" customFormat="1">
      <c r="O1247" s="91"/>
      <c r="X1247" s="115">
        <f t="shared" si="159"/>
        <v>0</v>
      </c>
      <c r="Y1247" s="115">
        <f t="shared" si="160"/>
        <v>0</v>
      </c>
      <c r="Z1247" s="115" t="e">
        <f t="shared" si="161"/>
        <v>#VALUE!</v>
      </c>
      <c r="AA1247" s="115">
        <f t="shared" si="162"/>
        <v>0</v>
      </c>
      <c r="AB1247" s="246"/>
      <c r="AD1247" s="375" t="s">
        <v>339</v>
      </c>
      <c r="AE1247" s="376"/>
      <c r="AF1247" s="376"/>
      <c r="AG1247" s="209">
        <f>COUNTIFS(D:D,"AA",G:G,"STANGS",L:L,"5;1",E:E,"POS",F:F,"WINSTANTI")+AG1231</f>
        <v>0</v>
      </c>
      <c r="AI1247" s="374"/>
      <c r="AJ1247" s="374"/>
      <c r="AK1247" s="374"/>
      <c r="AN1247" s="374" t="s">
        <v>339</v>
      </c>
      <c r="AO1247" s="374"/>
      <c r="AP1247" s="374"/>
      <c r="AQ1247" s="115">
        <f>COUNTIFS(D:D,"AA",G:G,"STANGS",L:L,"5;-1",E:E,"POS",F:F,"WINSTANTI")+AQ1231</f>
        <v>0</v>
      </c>
    </row>
    <row r="1248" spans="15:49">
      <c r="O1248" s="91"/>
      <c r="X1248" s="115">
        <f t="shared" si="159"/>
        <v>0</v>
      </c>
      <c r="Y1248" s="115">
        <f t="shared" si="160"/>
        <v>0</v>
      </c>
      <c r="Z1248" s="115" t="e">
        <f t="shared" si="161"/>
        <v>#VALUE!</v>
      </c>
      <c r="AA1248" s="115">
        <f t="shared" si="162"/>
        <v>0</v>
      </c>
      <c r="AD1248" s="375" t="s">
        <v>316</v>
      </c>
      <c r="AE1248" s="376"/>
      <c r="AF1248" s="376"/>
      <c r="AG1248" s="209">
        <f>COUNTIFS(D:D,"AA",G:G,"STANGS",L:L,"5;1",F:F,"ENTRY")+AG1232</f>
        <v>0</v>
      </c>
      <c r="AH1248" s="115"/>
      <c r="AI1248" s="374"/>
      <c r="AJ1248" s="374"/>
      <c r="AK1248" s="374"/>
      <c r="AL1248" s="115"/>
      <c r="AM1248" s="115"/>
      <c r="AN1248" s="374" t="s">
        <v>316</v>
      </c>
      <c r="AO1248" s="374"/>
      <c r="AP1248" s="374"/>
      <c r="AQ1248" s="115">
        <f>COUNTIFS(D:D,"AA",G:G,"STANGS",L:L,"5;-1",F:F,"ENTRY")+AQ1232</f>
        <v>0</v>
      </c>
      <c r="AS1248" s="115"/>
      <c r="AT1248" s="115"/>
      <c r="AU1248" s="115"/>
      <c r="AV1248" s="115"/>
      <c r="AW1248" s="115"/>
    </row>
    <row r="1249" spans="15:49">
      <c r="O1249" s="91"/>
      <c r="X1249" s="115">
        <f t="shared" si="159"/>
        <v>0</v>
      </c>
      <c r="Y1249" s="115">
        <f t="shared" si="160"/>
        <v>0</v>
      </c>
      <c r="Z1249" s="115" t="e">
        <f t="shared" si="161"/>
        <v>#VALUE!</v>
      </c>
      <c r="AA1249" s="115">
        <f t="shared" si="162"/>
        <v>0</v>
      </c>
      <c r="AD1249" s="375" t="s">
        <v>293</v>
      </c>
      <c r="AE1249" s="376"/>
      <c r="AF1249" s="376"/>
      <c r="AG1249" s="209">
        <f>COUNTIFS(D:D,"AA",G:G,"STANGS",L:L,"5;1",F:F,"KEEPOS")+AG1233</f>
        <v>0</v>
      </c>
      <c r="AH1249" s="115"/>
      <c r="AI1249" s="374"/>
      <c r="AJ1249" s="374"/>
      <c r="AK1249" s="374"/>
      <c r="AL1249" s="115"/>
      <c r="AM1249" s="115"/>
      <c r="AN1249" s="374" t="s">
        <v>293</v>
      </c>
      <c r="AO1249" s="374"/>
      <c r="AP1249" s="374"/>
      <c r="AQ1249" s="115">
        <f>COUNTIFS(D:D,"AA",G:G,"STANGS",L:L,"5;-1",F:F,"KEEPOS")+AQ1233</f>
        <v>0</v>
      </c>
      <c r="AS1249" s="115"/>
      <c r="AT1249" s="115"/>
      <c r="AU1249" s="115"/>
      <c r="AV1249" s="115"/>
      <c r="AW1249" s="115"/>
    </row>
    <row r="1250" spans="15:49">
      <c r="O1250" s="91"/>
      <c r="X1250" s="115">
        <f t="shared" si="159"/>
        <v>0</v>
      </c>
      <c r="Y1250" s="115">
        <f t="shared" si="160"/>
        <v>0</v>
      </c>
      <c r="Z1250" s="115" t="e">
        <f t="shared" si="161"/>
        <v>#VALUE!</v>
      </c>
      <c r="AA1250" s="115">
        <f t="shared" si="162"/>
        <v>0</v>
      </c>
      <c r="AD1250" s="386" t="s">
        <v>317</v>
      </c>
      <c r="AE1250" s="383"/>
      <c r="AF1250" s="383"/>
      <c r="AG1250" s="256" t="e">
        <f>SUM(AG1242:AG1249)/AG1236</f>
        <v>#DIV/0!</v>
      </c>
      <c r="AH1250" s="115"/>
      <c r="AI1250" s="374"/>
      <c r="AJ1250" s="374"/>
      <c r="AK1250" s="374"/>
      <c r="AL1250" s="151"/>
      <c r="AM1250" s="115"/>
      <c r="AN1250" s="374" t="s">
        <v>317</v>
      </c>
      <c r="AO1250" s="374"/>
      <c r="AP1250" s="374"/>
      <c r="AQ1250" s="151" t="e">
        <f>SUM(AQ1242:AQ1249)/AQ1236</f>
        <v>#DIV/0!</v>
      </c>
      <c r="AS1250" s="115"/>
      <c r="AT1250" s="115"/>
      <c r="AU1250" s="115"/>
      <c r="AV1250" s="115"/>
      <c r="AW1250" s="115"/>
    </row>
    <row r="1251" spans="15:49">
      <c r="O1251" s="91"/>
      <c r="X1251" s="115">
        <f t="shared" si="159"/>
        <v>0</v>
      </c>
      <c r="Y1251" s="115">
        <f t="shared" si="160"/>
        <v>0</v>
      </c>
      <c r="Z1251" s="115" t="e">
        <f t="shared" si="161"/>
        <v>#VALUE!</v>
      </c>
      <c r="AA1251" s="115">
        <f t="shared" si="162"/>
        <v>0</v>
      </c>
      <c r="AD1251" s="374"/>
      <c r="AE1251" s="374"/>
      <c r="AF1251" s="374"/>
      <c r="AG1251" s="115"/>
      <c r="AH1251" s="115"/>
      <c r="AI1251" s="374"/>
      <c r="AJ1251" s="374"/>
      <c r="AK1251" s="374"/>
      <c r="AL1251" s="115"/>
      <c r="AM1251" s="115"/>
      <c r="AN1251" s="374"/>
      <c r="AO1251" s="374"/>
      <c r="AP1251" s="374"/>
      <c r="AQ1251" s="115"/>
      <c r="AS1251" s="115"/>
      <c r="AT1251" s="115"/>
      <c r="AU1251" s="115"/>
      <c r="AV1251" s="115"/>
      <c r="AW1251" s="115"/>
    </row>
    <row r="1252" spans="15:49">
      <c r="O1252" s="91"/>
      <c r="X1252" s="115">
        <f t="shared" si="159"/>
        <v>0</v>
      </c>
      <c r="Y1252" s="115">
        <f t="shared" si="160"/>
        <v>0</v>
      </c>
      <c r="Z1252" s="115" t="e">
        <f t="shared" si="161"/>
        <v>#VALUE!</v>
      </c>
      <c r="AA1252" s="115">
        <f t="shared" si="162"/>
        <v>0</v>
      </c>
      <c r="AD1252" s="115"/>
      <c r="AE1252" s="115"/>
      <c r="AF1252" s="115"/>
      <c r="AG1252" s="115"/>
      <c r="AH1252" s="115"/>
      <c r="AI1252" s="115"/>
      <c r="AJ1252" s="115"/>
      <c r="AK1252" s="115"/>
      <c r="AL1252" s="115"/>
      <c r="AM1252" s="115"/>
      <c r="AN1252" s="115"/>
      <c r="AO1252" s="115"/>
      <c r="AP1252" s="115"/>
      <c r="AQ1252" s="115"/>
      <c r="AS1252" s="115"/>
      <c r="AT1252" s="115"/>
      <c r="AU1252" s="115"/>
      <c r="AV1252" s="115"/>
      <c r="AW1252" s="115"/>
    </row>
    <row r="1253" spans="15:49">
      <c r="O1253" s="91"/>
      <c r="X1253" s="115">
        <f t="shared" si="159"/>
        <v>0</v>
      </c>
      <c r="Y1253" s="115">
        <f t="shared" si="160"/>
        <v>0</v>
      </c>
      <c r="Z1253" s="115" t="e">
        <f t="shared" si="161"/>
        <v>#VALUE!</v>
      </c>
      <c r="AA1253" s="115">
        <f t="shared" si="162"/>
        <v>0</v>
      </c>
      <c r="AD1253" s="115"/>
      <c r="AE1253" s="115"/>
      <c r="AF1253" s="115"/>
      <c r="AG1253" s="374" t="s">
        <v>256</v>
      </c>
      <c r="AH1253" s="374"/>
      <c r="AI1253" s="374"/>
      <c r="AJ1253" s="115"/>
      <c r="AK1253" s="115"/>
      <c r="AL1253" s="115"/>
      <c r="AM1253" s="115"/>
      <c r="AN1253" s="115"/>
      <c r="AO1253" s="115"/>
      <c r="AP1253" s="115"/>
      <c r="AQ1253" s="115"/>
      <c r="AS1253" s="115"/>
      <c r="AT1253" s="115"/>
      <c r="AU1253" s="115"/>
      <c r="AV1253" s="115"/>
      <c r="AW1253" s="115"/>
    </row>
    <row r="1254" spans="15:49">
      <c r="O1254" s="91"/>
      <c r="X1254" s="115">
        <f t="shared" si="159"/>
        <v>0</v>
      </c>
      <c r="Y1254" s="115">
        <f t="shared" si="160"/>
        <v>0</v>
      </c>
      <c r="Z1254" s="115" t="e">
        <f t="shared" si="161"/>
        <v>#VALUE!</v>
      </c>
      <c r="AA1254" s="115">
        <f t="shared" si="162"/>
        <v>0</v>
      </c>
      <c r="AD1254" s="374"/>
      <c r="AE1254" s="374"/>
      <c r="AF1254" s="374"/>
      <c r="AG1254" s="115"/>
      <c r="AH1254" s="115"/>
      <c r="AI1254" s="374" t="s">
        <v>220</v>
      </c>
      <c r="AJ1254" s="374"/>
      <c r="AK1254" s="374"/>
      <c r="AL1254" s="115"/>
      <c r="AM1254" s="115"/>
      <c r="AN1254" s="115"/>
      <c r="AO1254" s="115"/>
      <c r="AP1254" s="115"/>
      <c r="AQ1254" s="115"/>
      <c r="AS1254" s="115"/>
      <c r="AT1254" s="115"/>
      <c r="AU1254" s="115"/>
      <c r="AV1254" s="115"/>
      <c r="AW1254" s="115"/>
    </row>
    <row r="1255" spans="15:49">
      <c r="O1255" s="91"/>
      <c r="X1255" s="115">
        <f t="shared" si="159"/>
        <v>0</v>
      </c>
      <c r="Y1255" s="115">
        <f t="shared" si="160"/>
        <v>0</v>
      </c>
      <c r="Z1255" s="115" t="e">
        <f t="shared" si="161"/>
        <v>#VALUE!</v>
      </c>
      <c r="AA1255" s="115">
        <f t="shared" si="162"/>
        <v>0</v>
      </c>
      <c r="AD1255" s="204"/>
      <c r="AE1255" s="204"/>
      <c r="AF1255" s="115"/>
      <c r="AG1255" s="115"/>
      <c r="AH1255" s="115"/>
      <c r="AI1255" s="115"/>
      <c r="AJ1255" s="115"/>
      <c r="AK1255" s="115"/>
      <c r="AL1255" s="115"/>
      <c r="AM1255" s="115"/>
      <c r="AN1255" s="115"/>
      <c r="AO1255" s="115"/>
      <c r="AP1255" s="115"/>
      <c r="AQ1255" s="115"/>
      <c r="AS1255" s="115"/>
      <c r="AT1255" s="115"/>
      <c r="AU1255" s="115"/>
      <c r="AV1255" s="115"/>
      <c r="AW1255" s="115"/>
    </row>
    <row r="1256" spans="15:49">
      <c r="O1256" s="91"/>
      <c r="X1256" s="115">
        <f t="shared" si="159"/>
        <v>0</v>
      </c>
      <c r="Y1256" s="115">
        <f t="shared" si="160"/>
        <v>0</v>
      </c>
      <c r="Z1256" s="115" t="e">
        <f t="shared" si="161"/>
        <v>#VALUE!</v>
      </c>
      <c r="AA1256" s="115">
        <f t="shared" si="162"/>
        <v>0</v>
      </c>
      <c r="AD1256" s="384" t="s">
        <v>270</v>
      </c>
      <c r="AE1256" s="385"/>
      <c r="AF1256" s="385"/>
      <c r="AG1256" s="207">
        <f>COUNTIFS(D:D,"DD",G:G,"STANGS",L:L,"-2;1")+AG1272</f>
        <v>0</v>
      </c>
      <c r="AH1256" s="115"/>
      <c r="AI1256" s="115"/>
      <c r="AJ1256" s="115"/>
      <c r="AK1256" s="115"/>
      <c r="AL1256" s="115"/>
      <c r="AM1256" s="115"/>
      <c r="AN1256" s="384" t="s">
        <v>270</v>
      </c>
      <c r="AO1256" s="385"/>
      <c r="AP1256" s="385"/>
      <c r="AQ1256" s="207">
        <f>COUNTIFS(D:D,"DD",G:G,"STANGS",L:L,"-2;-1")+AQ1272</f>
        <v>0</v>
      </c>
      <c r="AS1256" s="115"/>
      <c r="AT1256" s="374" t="s">
        <v>270</v>
      </c>
      <c r="AU1256" s="374"/>
      <c r="AV1256" s="374"/>
      <c r="AW1256" s="115">
        <f>COUNTIFS(D:D,"DD",G:G,"STANGS")</f>
        <v>4</v>
      </c>
    </row>
    <row r="1257" spans="15:49">
      <c r="O1257" s="91"/>
      <c r="X1257" s="115">
        <f t="shared" si="159"/>
        <v>0</v>
      </c>
      <c r="Y1257" s="115">
        <f t="shared" si="160"/>
        <v>0</v>
      </c>
      <c r="Z1257" s="115" t="e">
        <f t="shared" si="161"/>
        <v>#VALUE!</v>
      </c>
      <c r="AA1257" s="115">
        <f t="shared" si="162"/>
        <v>0</v>
      </c>
      <c r="AD1257" s="375" t="s">
        <v>271</v>
      </c>
      <c r="AE1257" s="376"/>
      <c r="AF1257" s="376"/>
      <c r="AG1257" s="209">
        <f>COUNTIFS(D:D,"DD",G:G,"STANGS",L:L,"-2;1",P:P,"EI")+AG1273</f>
        <v>0</v>
      </c>
      <c r="AH1257" s="115"/>
      <c r="AI1257" s="115"/>
      <c r="AJ1257" s="115"/>
      <c r="AK1257" s="115"/>
      <c r="AL1257" s="115"/>
      <c r="AM1257" s="115"/>
      <c r="AN1257" s="375" t="s">
        <v>271</v>
      </c>
      <c r="AO1257" s="376"/>
      <c r="AP1257" s="376"/>
      <c r="AQ1257" s="209">
        <f>COUNTIFS(D:D,"DD",G:G,"STANGS",L:L,"-2;-1",P:P,"EI")+AQ1273</f>
        <v>0</v>
      </c>
      <c r="AS1257" s="115"/>
      <c r="AT1257" s="374" t="s">
        <v>271</v>
      </c>
      <c r="AU1257" s="374"/>
      <c r="AV1257" s="374"/>
      <c r="AW1257" s="115">
        <f>COUNTIFS(D:D,"DD",G:G,"STANGS",P:P,"EI")</f>
        <v>0</v>
      </c>
    </row>
    <row r="1258" spans="15:49">
      <c r="O1258" s="91"/>
      <c r="X1258" s="115">
        <f t="shared" si="159"/>
        <v>0</v>
      </c>
      <c r="Y1258" s="115">
        <f t="shared" si="160"/>
        <v>0</v>
      </c>
      <c r="Z1258" s="115" t="e">
        <f t="shared" si="161"/>
        <v>#VALUE!</v>
      </c>
      <c r="AA1258" s="115">
        <f t="shared" si="162"/>
        <v>0</v>
      </c>
      <c r="AD1258" s="375" t="s">
        <v>272</v>
      </c>
      <c r="AE1258" s="376"/>
      <c r="AF1258" s="376"/>
      <c r="AG1258" s="253" t="e">
        <f>AG1257/AG1256</f>
        <v>#DIV/0!</v>
      </c>
      <c r="AH1258" s="115"/>
      <c r="AI1258" s="115"/>
      <c r="AJ1258" s="115"/>
      <c r="AK1258" s="115"/>
      <c r="AL1258" s="115"/>
      <c r="AM1258" s="115"/>
      <c r="AN1258" s="375" t="s">
        <v>272</v>
      </c>
      <c r="AO1258" s="376"/>
      <c r="AP1258" s="376"/>
      <c r="AQ1258" s="253" t="e">
        <f>AQ1257/AQ1256</f>
        <v>#DIV/0!</v>
      </c>
      <c r="AS1258" s="115"/>
      <c r="AT1258" s="374" t="s">
        <v>272</v>
      </c>
      <c r="AU1258" s="374"/>
      <c r="AV1258" s="374"/>
      <c r="AW1258" s="151">
        <f>AW1257/AW1256</f>
        <v>0</v>
      </c>
    </row>
    <row r="1259" spans="15:49">
      <c r="O1259" s="91"/>
      <c r="X1259" s="115">
        <f t="shared" si="159"/>
        <v>0</v>
      </c>
      <c r="Y1259" s="115">
        <f t="shared" si="160"/>
        <v>0</v>
      </c>
      <c r="Z1259" s="115" t="e">
        <f t="shared" si="161"/>
        <v>#VALUE!</v>
      </c>
      <c r="AA1259" s="115">
        <f t="shared" si="162"/>
        <v>0</v>
      </c>
      <c r="AD1259" s="375" t="s">
        <v>318</v>
      </c>
      <c r="AE1259" s="376"/>
      <c r="AF1259" s="376"/>
      <c r="AG1259" s="254">
        <f>COUNTIFS(D:D,"DD",G:G,"STANGS",L:L,"-2;1",V:V,"JAH")+COUNTIFS(D:D,"DD",G:G,"STANGS",L:L,"-2;1",V:V,"EI")+AG1275</f>
        <v>0</v>
      </c>
      <c r="AH1259" s="115"/>
      <c r="AI1259" s="115"/>
      <c r="AJ1259" s="115"/>
      <c r="AK1259" s="115"/>
      <c r="AL1259" s="115"/>
      <c r="AM1259" s="115"/>
      <c r="AN1259" s="375" t="s">
        <v>318</v>
      </c>
      <c r="AO1259" s="376"/>
      <c r="AP1259" s="376"/>
      <c r="AQ1259" s="254">
        <f>COUNTIFS(D:D,"DD",G:G,"STANGS",L:L,"-2;-1",V:V,"JAH")+COUNTIFS(D:D,"DD",G:G,"STANGS",L:L,"-2;-1",V:V,"EI")+AQ1275</f>
        <v>0</v>
      </c>
      <c r="AS1259" s="115"/>
      <c r="AT1259" s="374" t="s">
        <v>318</v>
      </c>
      <c r="AU1259" s="374"/>
      <c r="AV1259" s="374"/>
      <c r="AW1259" s="178">
        <f>COUNTIFS(D:D,"DD",G:G,"STANGS",V:V,"JAH")+COUNTIFS(D:D,"DD",G:G,"STANGS",V:V,"EI")</f>
        <v>0</v>
      </c>
    </row>
    <row r="1260" spans="15:49">
      <c r="O1260" s="91"/>
      <c r="X1260" s="115">
        <f t="shared" si="159"/>
        <v>0</v>
      </c>
      <c r="Y1260" s="115">
        <f t="shared" si="160"/>
        <v>0</v>
      </c>
      <c r="Z1260" s="115" t="e">
        <f t="shared" si="161"/>
        <v>#VALUE!</v>
      </c>
      <c r="AA1260" s="115">
        <f t="shared" si="162"/>
        <v>0</v>
      </c>
      <c r="AD1260" s="375" t="s">
        <v>291</v>
      </c>
      <c r="AE1260" s="376"/>
      <c r="AF1260" s="376"/>
      <c r="AG1260" s="209">
        <f>COUNTIFS(D:D,"DD",G:G,"STANGS",L:L,"-2;1",V:V,"EI")+AG1276</f>
        <v>0</v>
      </c>
      <c r="AH1260" s="115"/>
      <c r="AI1260" s="115"/>
      <c r="AJ1260" s="115"/>
      <c r="AK1260" s="115"/>
      <c r="AL1260" s="115"/>
      <c r="AM1260" s="115"/>
      <c r="AN1260" s="375" t="s">
        <v>291</v>
      </c>
      <c r="AO1260" s="376"/>
      <c r="AP1260" s="376"/>
      <c r="AQ1260" s="209">
        <f>COUNTIFS(D:D,"DD",G:G,"STANGS",L:L,"-2;-1",V:V,"EI")+AQ1276</f>
        <v>0</v>
      </c>
      <c r="AS1260" s="115"/>
      <c r="AT1260" s="374" t="s">
        <v>291</v>
      </c>
      <c r="AU1260" s="374"/>
      <c r="AV1260" s="374"/>
      <c r="AW1260" s="115">
        <f>COUNTIFS(D:D,"DD",G:G,"STANGS",V:V,"EI")</f>
        <v>0</v>
      </c>
    </row>
    <row r="1261" spans="15:49">
      <c r="O1261" s="91"/>
      <c r="X1261" s="115">
        <f t="shared" si="159"/>
        <v>0</v>
      </c>
      <c r="Y1261" s="115">
        <f t="shared" si="160"/>
        <v>0</v>
      </c>
      <c r="Z1261" s="115" t="e">
        <f t="shared" si="161"/>
        <v>#VALUE!</v>
      </c>
      <c r="AA1261" s="115">
        <f t="shared" si="162"/>
        <v>0</v>
      </c>
      <c r="AD1261" s="375" t="s">
        <v>292</v>
      </c>
      <c r="AE1261" s="376"/>
      <c r="AF1261" s="376"/>
      <c r="AG1261" s="253" t="e">
        <f>AG1260/AG1259</f>
        <v>#DIV/0!</v>
      </c>
      <c r="AH1261" s="115"/>
      <c r="AI1261" s="115"/>
      <c r="AJ1261" s="115"/>
      <c r="AK1261" s="115"/>
      <c r="AL1261" s="115"/>
      <c r="AM1261" s="115"/>
      <c r="AN1261" s="375" t="s">
        <v>292</v>
      </c>
      <c r="AO1261" s="376"/>
      <c r="AP1261" s="376"/>
      <c r="AQ1261" s="253" t="e">
        <f>AQ1260/AQ1259</f>
        <v>#DIV/0!</v>
      </c>
      <c r="AS1261" s="115"/>
      <c r="AT1261" s="374" t="s">
        <v>292</v>
      </c>
      <c r="AU1261" s="374"/>
      <c r="AV1261" s="374"/>
      <c r="AW1261" s="151">
        <f>AW1260/AW1256</f>
        <v>0</v>
      </c>
    </row>
    <row r="1262" spans="15:49">
      <c r="O1262" s="91"/>
      <c r="X1262" s="115">
        <f t="shared" si="159"/>
        <v>0</v>
      </c>
      <c r="Y1262" s="115">
        <f t="shared" si="160"/>
        <v>0</v>
      </c>
      <c r="Z1262" s="115" t="e">
        <f t="shared" si="161"/>
        <v>#VALUE!</v>
      </c>
      <c r="AA1262" s="115">
        <f t="shared" si="162"/>
        <v>0</v>
      </c>
      <c r="AD1262" s="375" t="s">
        <v>724</v>
      </c>
      <c r="AE1262" s="376"/>
      <c r="AF1262" s="376"/>
      <c r="AG1262" s="209">
        <f>COUNTIFS(D:D,"DD",G:G,"STANGS",L:L,"-2;1",F:F,"ATONGOAL")+AG1278</f>
        <v>0</v>
      </c>
      <c r="AH1262" s="115"/>
      <c r="AI1262" s="115"/>
      <c r="AJ1262" s="115"/>
      <c r="AK1262" s="115"/>
      <c r="AL1262" s="115"/>
      <c r="AM1262" s="115"/>
      <c r="AN1262" s="375" t="s">
        <v>724</v>
      </c>
      <c r="AO1262" s="376"/>
      <c r="AP1262" s="376"/>
      <c r="AQ1262" s="209">
        <f>COUNTIFS(D:D,"DD",G:G,"STANGS",L:L,"-2;-1",F:F,"ATONGOAL")+AQ1278</f>
        <v>0</v>
      </c>
      <c r="AS1262" s="115"/>
      <c r="AT1262" s="374" t="s">
        <v>724</v>
      </c>
      <c r="AU1262" s="374"/>
      <c r="AV1262" s="374"/>
      <c r="AW1262" s="115">
        <f>COUNTIFS(D:D,"DD",G:G,"STANGS",F:F,"ATONGOAL")</f>
        <v>0</v>
      </c>
    </row>
    <row r="1263" spans="15:49">
      <c r="O1263" s="91"/>
      <c r="X1263" s="115">
        <f t="shared" si="159"/>
        <v>0</v>
      </c>
      <c r="Y1263" s="115">
        <f t="shared" si="160"/>
        <v>0</v>
      </c>
      <c r="Z1263" s="115" t="e">
        <f t="shared" si="161"/>
        <v>#VALUE!</v>
      </c>
      <c r="AA1263" s="115">
        <f t="shared" si="162"/>
        <v>0</v>
      </c>
      <c r="AD1263" s="375" t="s">
        <v>336</v>
      </c>
      <c r="AE1263" s="376"/>
      <c r="AF1263" s="376"/>
      <c r="AG1263" s="209">
        <f>COUNTIFS(D:D,"DD",G:G,"STANGS",L:L,"-2;1",F:F,"ATON")+AG1279</f>
        <v>0</v>
      </c>
      <c r="AH1263" s="115"/>
      <c r="AI1263" s="115"/>
      <c r="AJ1263" s="115"/>
      <c r="AK1263" s="115"/>
      <c r="AL1263" s="115"/>
      <c r="AM1263" s="115"/>
      <c r="AN1263" s="375" t="s">
        <v>336</v>
      </c>
      <c r="AO1263" s="376"/>
      <c r="AP1263" s="376"/>
      <c r="AQ1263" s="209">
        <f>COUNTIFS(D:D,"DD",G:G,"STANGS",L:L,"-2;-1",F:F,"ATON")+AQ1279</f>
        <v>0</v>
      </c>
      <c r="AS1263" s="115"/>
      <c r="AT1263" s="374" t="s">
        <v>336</v>
      </c>
      <c r="AU1263" s="374"/>
      <c r="AV1263" s="374"/>
      <c r="AW1263" s="115">
        <f>COUNTIFS(D:D,"DD",G:G,"STANGS",F:F,"ATON")</f>
        <v>0</v>
      </c>
    </row>
    <row r="1264" spans="15:49" s="115" customFormat="1">
      <c r="O1264" s="91"/>
      <c r="X1264" s="115">
        <f t="shared" si="159"/>
        <v>0</v>
      </c>
      <c r="Y1264" s="115">
        <f t="shared" si="160"/>
        <v>0</v>
      </c>
      <c r="Z1264" s="115" t="e">
        <f t="shared" si="161"/>
        <v>#VALUE!</v>
      </c>
      <c r="AA1264" s="115">
        <f t="shared" si="162"/>
        <v>0</v>
      </c>
      <c r="AB1264" s="246"/>
      <c r="AD1264" s="375" t="s">
        <v>337</v>
      </c>
      <c r="AE1264" s="376"/>
      <c r="AF1264" s="376"/>
      <c r="AG1264" s="209">
        <f>COUNTIFS(D:D,"DD",G:G,"STANGS",L:L,"-2;1",F:F,"ATOF")+AG1280</f>
        <v>0</v>
      </c>
      <c r="AN1264" s="375" t="s">
        <v>337</v>
      </c>
      <c r="AO1264" s="376"/>
      <c r="AP1264" s="376"/>
      <c r="AQ1264" s="209">
        <f>COUNTIFS(D:D,"DD",G:G,"STANGS",L:L,"-2;-1",F:F,"ATOF")+AQ1280</f>
        <v>0</v>
      </c>
      <c r="AT1264" s="374" t="s">
        <v>337</v>
      </c>
      <c r="AU1264" s="374"/>
      <c r="AV1264" s="374"/>
      <c r="AW1264" s="115">
        <f>COUNTIFS(D:D,"DD",G:G,"STANGS",F:F,"ATOF")</f>
        <v>0</v>
      </c>
    </row>
    <row r="1265" spans="15:49" s="115" customFormat="1">
      <c r="O1265" s="91"/>
      <c r="X1265" s="115">
        <f t="shared" si="159"/>
        <v>0</v>
      </c>
      <c r="Y1265" s="115">
        <f t="shared" si="160"/>
        <v>0</v>
      </c>
      <c r="Z1265" s="115" t="e">
        <f t="shared" si="161"/>
        <v>#VALUE!</v>
      </c>
      <c r="AA1265" s="115">
        <f t="shared" si="162"/>
        <v>0</v>
      </c>
      <c r="AB1265" s="246"/>
      <c r="AD1265" s="375" t="s">
        <v>338</v>
      </c>
      <c r="AE1265" s="376"/>
      <c r="AF1265" s="376"/>
      <c r="AG1265" s="209">
        <f>COUNTIFS(D:D,"DD",G:G,"STANGS",L:L,"-2;1",F:F,"ATBK")+AG1281</f>
        <v>0</v>
      </c>
      <c r="AN1265" s="375" t="s">
        <v>338</v>
      </c>
      <c r="AO1265" s="376"/>
      <c r="AP1265" s="376"/>
      <c r="AQ1265" s="209">
        <f>COUNTIFS(D:D,"DD",G:G,"STANGS",L:L,"-2;-1",F:F,"ATBK")+AQ1281</f>
        <v>0</v>
      </c>
      <c r="AT1265" s="374" t="s">
        <v>338</v>
      </c>
      <c r="AU1265" s="374"/>
      <c r="AV1265" s="374"/>
      <c r="AW1265" s="115">
        <f>COUNTIFS(D:D,"DD",G:G,"STANGS",F:F,"ATBK")</f>
        <v>0</v>
      </c>
    </row>
    <row r="1266" spans="15:49">
      <c r="O1266" s="91"/>
      <c r="X1266" s="115">
        <f t="shared" si="159"/>
        <v>0</v>
      </c>
      <c r="Y1266" s="115">
        <f t="shared" si="160"/>
        <v>0</v>
      </c>
      <c r="Z1266" s="115" t="e">
        <f t="shared" si="161"/>
        <v>#VALUE!</v>
      </c>
      <c r="AA1266" s="115">
        <f t="shared" si="162"/>
        <v>0</v>
      </c>
      <c r="AD1266" s="375" t="s">
        <v>315</v>
      </c>
      <c r="AE1266" s="376"/>
      <c r="AF1266" s="376"/>
      <c r="AG1266" s="209">
        <f>COUNTIFS(D:D,"DD",G:G,"STANGS",L:L,"-2;1",E:E,"NEG",F:F,"WINSTAN")+AG1282</f>
        <v>0</v>
      </c>
      <c r="AH1266" s="115"/>
      <c r="AI1266" s="115"/>
      <c r="AJ1266" s="115"/>
      <c r="AK1266" s="115"/>
      <c r="AL1266" s="115"/>
      <c r="AM1266" s="115"/>
      <c r="AN1266" s="375" t="s">
        <v>315</v>
      </c>
      <c r="AO1266" s="376"/>
      <c r="AP1266" s="376"/>
      <c r="AQ1266" s="209">
        <f>COUNTIFS(D:D,"DD",G:G,"STANGS",L:L,"-2;-1",E:E,"NEG",F:F,"WINSTAN")+AQ1282</f>
        <v>0</v>
      </c>
      <c r="AS1266" s="115"/>
      <c r="AT1266" s="374" t="s">
        <v>315</v>
      </c>
      <c r="AU1266" s="374"/>
      <c r="AV1266" s="374"/>
      <c r="AW1266" s="115">
        <f>COUNTIFS(D:D,"DD",G:G,"STANGS",E:E,"NEG",F:F,"WINSTAN")</f>
        <v>0</v>
      </c>
    </row>
    <row r="1267" spans="15:49" s="115" customFormat="1">
      <c r="O1267" s="91"/>
      <c r="X1267" s="115">
        <f t="shared" si="159"/>
        <v>0</v>
      </c>
      <c r="Y1267" s="115">
        <f t="shared" si="160"/>
        <v>0</v>
      </c>
      <c r="Z1267" s="115" t="e">
        <f t="shared" si="161"/>
        <v>#VALUE!</v>
      </c>
      <c r="AA1267" s="115">
        <f t="shared" si="162"/>
        <v>0</v>
      </c>
      <c r="AB1267" s="246"/>
      <c r="AD1267" s="375" t="s">
        <v>339</v>
      </c>
      <c r="AE1267" s="376"/>
      <c r="AF1267" s="376"/>
      <c r="AG1267" s="209">
        <f>COUNTIFS(D:D,"DD",G:G,"STANGS",L:L,"-2;1",E:E,"NEG",F:F,"WINSTANTI")+AG1283</f>
        <v>0</v>
      </c>
      <c r="AN1267" s="375" t="s">
        <v>339</v>
      </c>
      <c r="AO1267" s="376"/>
      <c r="AP1267" s="376"/>
      <c r="AQ1267" s="209">
        <f>COUNTIFS(D:D,"DD",G:G,"STANGS",L:L,"-2;-1",E:E,"NEG",F:F,"WINSTANTI")+AQ1283</f>
        <v>0</v>
      </c>
      <c r="AT1267" s="374" t="s">
        <v>339</v>
      </c>
      <c r="AU1267" s="374"/>
      <c r="AV1267" s="374"/>
      <c r="AW1267" s="115">
        <f>COUNTIFS(D:D,"DD",G:G,"STANGS",E:E,"NEG",F:F,"WINSTANTI")</f>
        <v>0</v>
      </c>
    </row>
    <row r="1268" spans="15:49">
      <c r="O1268" s="91"/>
      <c r="X1268" s="115">
        <f t="shared" si="159"/>
        <v>0</v>
      </c>
      <c r="Y1268" s="115">
        <f t="shared" si="160"/>
        <v>0</v>
      </c>
      <c r="Z1268" s="115" t="e">
        <f t="shared" si="161"/>
        <v>#VALUE!</v>
      </c>
      <c r="AA1268" s="115">
        <f t="shared" si="162"/>
        <v>0</v>
      </c>
      <c r="AD1268" s="375" t="s">
        <v>316</v>
      </c>
      <c r="AE1268" s="376"/>
      <c r="AF1268" s="376"/>
      <c r="AG1268" s="209">
        <f>COUNTIFS(D:D,"DD",G:G,"STANGS",L:L,"-2;1",F:F,"ENTRY")+AG1284</f>
        <v>0</v>
      </c>
      <c r="AH1268" s="115"/>
      <c r="AI1268" s="115"/>
      <c r="AJ1268" s="115"/>
      <c r="AK1268" s="115"/>
      <c r="AL1268" s="115"/>
      <c r="AM1268" s="115"/>
      <c r="AN1268" s="375" t="s">
        <v>316</v>
      </c>
      <c r="AO1268" s="376"/>
      <c r="AP1268" s="376"/>
      <c r="AQ1268" s="209">
        <f>COUNTIFS(D:D,"DD",G:G,"STANGS",L:L,"-2;-1",F:F,"ENTRY")+AQ1284</f>
        <v>0</v>
      </c>
      <c r="AS1268" s="115"/>
      <c r="AT1268" s="374" t="s">
        <v>316</v>
      </c>
      <c r="AU1268" s="374"/>
      <c r="AV1268" s="374"/>
      <c r="AW1268" s="115">
        <f>COUNTIFS(D:D,"DD",G:G,"STANGS",F:F,"ENTRY")</f>
        <v>0</v>
      </c>
    </row>
    <row r="1269" spans="15:49">
      <c r="O1269" s="91"/>
      <c r="X1269" s="115">
        <f t="shared" si="159"/>
        <v>0</v>
      </c>
      <c r="Y1269" s="115">
        <f t="shared" si="160"/>
        <v>0</v>
      </c>
      <c r="Z1269" s="115" t="e">
        <f t="shared" si="161"/>
        <v>#VALUE!</v>
      </c>
      <c r="AA1269" s="115">
        <f t="shared" si="162"/>
        <v>0</v>
      </c>
      <c r="AD1269" s="375" t="s">
        <v>293</v>
      </c>
      <c r="AE1269" s="376"/>
      <c r="AF1269" s="376"/>
      <c r="AG1269" s="209">
        <f>COUNTIFS(D:D,"DD",G:G,"STANGS",L:L,"-2;1",F:F,"KEEPOS")+AG1285</f>
        <v>0</v>
      </c>
      <c r="AH1269" s="115"/>
      <c r="AI1269" s="115"/>
      <c r="AJ1269" s="115"/>
      <c r="AK1269" s="115"/>
      <c r="AL1269" s="115"/>
      <c r="AM1269" s="115"/>
      <c r="AN1269" s="375" t="s">
        <v>293</v>
      </c>
      <c r="AO1269" s="376"/>
      <c r="AP1269" s="376"/>
      <c r="AQ1269" s="209">
        <f>COUNTIFS(D:D,"DD",G:G,"STANGS",L:L,"-2;-1",F:F,"KEEPOS")+AQ1285</f>
        <v>0</v>
      </c>
      <c r="AS1269" s="115"/>
      <c r="AT1269" s="374" t="s">
        <v>293</v>
      </c>
      <c r="AU1269" s="374"/>
      <c r="AV1269" s="374"/>
      <c r="AW1269" s="115">
        <f>COUNTIFS(D:D,"DD",G:G,"STANGS",F:F,"KEEPOS")</f>
        <v>3</v>
      </c>
    </row>
    <row r="1270" spans="15:49">
      <c r="O1270" s="91"/>
      <c r="X1270" s="115">
        <f t="shared" si="159"/>
        <v>0</v>
      </c>
      <c r="Y1270" s="115">
        <f t="shared" si="160"/>
        <v>0</v>
      </c>
      <c r="Z1270" s="115" t="e">
        <f t="shared" si="161"/>
        <v>#VALUE!</v>
      </c>
      <c r="AA1270" s="115">
        <f t="shared" si="162"/>
        <v>0</v>
      </c>
      <c r="AD1270" s="375" t="s">
        <v>319</v>
      </c>
      <c r="AE1270" s="376"/>
      <c r="AF1270" s="376"/>
      <c r="AG1270" s="253" t="e">
        <f>SUM(AG1262:AG1269)/AG1256</f>
        <v>#DIV/0!</v>
      </c>
      <c r="AH1270" s="115"/>
      <c r="AI1270" s="115"/>
      <c r="AJ1270" s="115"/>
      <c r="AK1270" s="115"/>
      <c r="AL1270" s="115"/>
      <c r="AM1270" s="115"/>
      <c r="AN1270" s="375" t="s">
        <v>319</v>
      </c>
      <c r="AO1270" s="376"/>
      <c r="AP1270" s="376"/>
      <c r="AQ1270" s="253" t="e">
        <f>SUM(AQ1262:AQ1269)/AQ1256</f>
        <v>#DIV/0!</v>
      </c>
      <c r="AS1270" s="115"/>
      <c r="AT1270" s="374" t="s">
        <v>317</v>
      </c>
      <c r="AU1270" s="374"/>
      <c r="AV1270" s="374"/>
      <c r="AW1270" s="151">
        <f>SUM(AW1262:AW1269)/AW1256</f>
        <v>0.75</v>
      </c>
    </row>
    <row r="1271" spans="15:49">
      <c r="O1271" s="91"/>
      <c r="X1271" s="115">
        <f t="shared" si="159"/>
        <v>0</v>
      </c>
      <c r="Y1271" s="115">
        <f t="shared" si="160"/>
        <v>0</v>
      </c>
      <c r="Z1271" s="115" t="e">
        <f t="shared" si="161"/>
        <v>#VALUE!</v>
      </c>
      <c r="AA1271" s="115">
        <f t="shared" si="162"/>
        <v>0</v>
      </c>
      <c r="AD1271" s="255"/>
      <c r="AE1271" s="68"/>
      <c r="AF1271" s="165"/>
      <c r="AG1271" s="209"/>
      <c r="AH1271" s="115"/>
      <c r="AI1271" s="115"/>
      <c r="AJ1271" s="115"/>
      <c r="AK1271" s="115"/>
      <c r="AL1271" s="115"/>
      <c r="AM1271" s="115"/>
      <c r="AN1271" s="208"/>
      <c r="AO1271" s="165"/>
      <c r="AP1271" s="165"/>
      <c r="AQ1271" s="209"/>
      <c r="AS1271" s="115"/>
      <c r="AT1271" s="115"/>
      <c r="AU1271" s="115"/>
      <c r="AV1271" s="115"/>
      <c r="AW1271" s="115"/>
    </row>
    <row r="1272" spans="15:49">
      <c r="O1272" s="91"/>
      <c r="X1272" s="115">
        <f t="shared" si="159"/>
        <v>0</v>
      </c>
      <c r="Y1272" s="115">
        <f t="shared" si="160"/>
        <v>0</v>
      </c>
      <c r="Z1272" s="115" t="e">
        <f t="shared" si="161"/>
        <v>#VALUE!</v>
      </c>
      <c r="AA1272" s="115">
        <f t="shared" si="162"/>
        <v>0</v>
      </c>
      <c r="AD1272" s="375" t="s">
        <v>270</v>
      </c>
      <c r="AE1272" s="376"/>
      <c r="AF1272" s="376"/>
      <c r="AG1272" s="209">
        <f>COUNTIFS(D:D,"DD",G:G,"STANGS",L:L,"-1;1")</f>
        <v>0</v>
      </c>
      <c r="AH1272" s="115"/>
      <c r="AI1272" s="374" t="s">
        <v>270</v>
      </c>
      <c r="AJ1272" s="374"/>
      <c r="AK1272" s="374"/>
      <c r="AL1272" s="115">
        <f>COUNTIFS(D:D,"DD",G:G,"STANGS",L:L,"-1;0")</f>
        <v>0</v>
      </c>
      <c r="AM1272" s="115"/>
      <c r="AN1272" s="375" t="s">
        <v>270</v>
      </c>
      <c r="AO1272" s="376"/>
      <c r="AP1272" s="376"/>
      <c r="AQ1272" s="209">
        <f>COUNTIFS(D:D,"DD",G:G,"STANGS",L:L,"-1;-1")</f>
        <v>0</v>
      </c>
      <c r="AS1272" s="115"/>
      <c r="AT1272" s="115"/>
      <c r="AU1272" s="115"/>
      <c r="AV1272" s="115"/>
      <c r="AW1272" s="115"/>
    </row>
    <row r="1273" spans="15:49">
      <c r="O1273" s="91"/>
      <c r="X1273" s="115">
        <f t="shared" si="159"/>
        <v>0</v>
      </c>
      <c r="Y1273" s="115">
        <f t="shared" si="160"/>
        <v>0</v>
      </c>
      <c r="Z1273" s="115" t="e">
        <f t="shared" si="161"/>
        <v>#VALUE!</v>
      </c>
      <c r="AA1273" s="115">
        <f t="shared" si="162"/>
        <v>0</v>
      </c>
      <c r="AD1273" s="375" t="s">
        <v>271</v>
      </c>
      <c r="AE1273" s="376"/>
      <c r="AF1273" s="376"/>
      <c r="AG1273" s="209">
        <f>COUNTIFS(D:D,"DD",G:G,"STANGS",L:L,"-1;1",P:P,"EI")</f>
        <v>0</v>
      </c>
      <c r="AH1273" s="115"/>
      <c r="AI1273" s="374" t="s">
        <v>271</v>
      </c>
      <c r="AJ1273" s="374"/>
      <c r="AK1273" s="374"/>
      <c r="AL1273" s="115">
        <f>COUNTIFS(D:D,"DD",G:G,"STANGS",L:L,"-1;0",P:P,"EI")</f>
        <v>0</v>
      </c>
      <c r="AM1273" s="115"/>
      <c r="AN1273" s="375" t="s">
        <v>271</v>
      </c>
      <c r="AO1273" s="376"/>
      <c r="AP1273" s="376"/>
      <c r="AQ1273" s="209">
        <f>COUNTIFS(D:D,"DD",G:G,"STANGS",L:L,"-1;-1",P:P,"EI")</f>
        <v>0</v>
      </c>
      <c r="AS1273" s="115"/>
      <c r="AT1273" s="115"/>
      <c r="AU1273" s="115"/>
      <c r="AV1273" s="115"/>
      <c r="AW1273" s="115"/>
    </row>
    <row r="1274" spans="15:49">
      <c r="O1274" s="91"/>
      <c r="X1274" s="115">
        <f t="shared" si="159"/>
        <v>0</v>
      </c>
      <c r="Y1274" s="115">
        <f t="shared" si="160"/>
        <v>0</v>
      </c>
      <c r="Z1274" s="115" t="e">
        <f t="shared" si="161"/>
        <v>#VALUE!</v>
      </c>
      <c r="AA1274" s="115">
        <f t="shared" si="162"/>
        <v>0</v>
      </c>
      <c r="AD1274" s="375" t="s">
        <v>272</v>
      </c>
      <c r="AE1274" s="376"/>
      <c r="AF1274" s="376"/>
      <c r="AG1274" s="253" t="e">
        <f>AG1273/AG1272</f>
        <v>#DIV/0!</v>
      </c>
      <c r="AH1274" s="115"/>
      <c r="AI1274" s="374" t="s">
        <v>272</v>
      </c>
      <c r="AJ1274" s="374"/>
      <c r="AK1274" s="374"/>
      <c r="AL1274" s="151" t="e">
        <f>AL1273/AL1272</f>
        <v>#DIV/0!</v>
      </c>
      <c r="AM1274" s="115"/>
      <c r="AN1274" s="375" t="s">
        <v>272</v>
      </c>
      <c r="AO1274" s="376"/>
      <c r="AP1274" s="376"/>
      <c r="AQ1274" s="253" t="e">
        <f>AQ1273/AQ1272</f>
        <v>#DIV/0!</v>
      </c>
      <c r="AS1274" s="115"/>
      <c r="AT1274" s="115"/>
      <c r="AU1274" s="115"/>
      <c r="AV1274" s="115"/>
      <c r="AW1274" s="115"/>
    </row>
    <row r="1275" spans="15:49">
      <c r="O1275" s="91"/>
      <c r="X1275" s="115">
        <f t="shared" si="159"/>
        <v>0</v>
      </c>
      <c r="Y1275" s="115">
        <f t="shared" si="160"/>
        <v>0</v>
      </c>
      <c r="Z1275" s="115" t="e">
        <f t="shared" si="161"/>
        <v>#VALUE!</v>
      </c>
      <c r="AA1275" s="115">
        <f t="shared" si="162"/>
        <v>0</v>
      </c>
      <c r="AD1275" s="375" t="s">
        <v>318</v>
      </c>
      <c r="AE1275" s="376"/>
      <c r="AF1275" s="376"/>
      <c r="AG1275" s="254">
        <f>COUNTIFS(D:D,"DD",G:G,"STANGS",L:L,"-1;1",V:V,"JAH")+COUNTIFS(D:D,"DD",G:G,"STANGS",L:L,"-1;1",V:V,"EI")</f>
        <v>0</v>
      </c>
      <c r="AH1275" s="115"/>
      <c r="AI1275" s="374" t="s">
        <v>318</v>
      </c>
      <c r="AJ1275" s="374"/>
      <c r="AK1275" s="374"/>
      <c r="AL1275" s="178">
        <f>COUNTIFS(D:D,"DD",G:G,"STANGS",L:L,"-1;0",V:V,"JAH")+COUNTIFS(D:D,"DD",G:G,"STANGS",L:L,"-1;0",V:V,"EI")</f>
        <v>0</v>
      </c>
      <c r="AM1275" s="115"/>
      <c r="AN1275" s="375" t="s">
        <v>318</v>
      </c>
      <c r="AO1275" s="376"/>
      <c r="AP1275" s="376"/>
      <c r="AQ1275" s="254">
        <f>COUNTIFS(D:D,"DD",G:G,"STANGS",L:L,"-1;-1",V:V,"JAH")+COUNTIFS(D:D,"DD",G:G,"STANGS",L:L,"-1;-1",V:V,"EI")</f>
        <v>0</v>
      </c>
      <c r="AS1275" s="115"/>
      <c r="AT1275" s="115"/>
      <c r="AU1275" s="115"/>
      <c r="AV1275" s="115"/>
      <c r="AW1275" s="115"/>
    </row>
    <row r="1276" spans="15:49">
      <c r="O1276" s="91"/>
      <c r="X1276" s="115">
        <f t="shared" si="159"/>
        <v>0</v>
      </c>
      <c r="Y1276" s="115">
        <f t="shared" si="160"/>
        <v>0</v>
      </c>
      <c r="Z1276" s="115" t="e">
        <f t="shared" si="161"/>
        <v>#VALUE!</v>
      </c>
      <c r="AA1276" s="115">
        <f t="shared" si="162"/>
        <v>0</v>
      </c>
      <c r="AD1276" s="375" t="s">
        <v>291</v>
      </c>
      <c r="AE1276" s="376"/>
      <c r="AF1276" s="376"/>
      <c r="AG1276" s="209">
        <f>COUNTIFS(D:D,"DD",G:G,"STANGS",L:L,"-1;1",V:V,"EI")</f>
        <v>0</v>
      </c>
      <c r="AH1276" s="115"/>
      <c r="AI1276" s="374" t="s">
        <v>291</v>
      </c>
      <c r="AJ1276" s="374"/>
      <c r="AK1276" s="374"/>
      <c r="AL1276" s="115">
        <f>COUNTIFS(D:D,"DD",G:G,"STANGS",L:L,"-1;0",V:V,"EI")</f>
        <v>0</v>
      </c>
      <c r="AM1276" s="115"/>
      <c r="AN1276" s="375" t="s">
        <v>291</v>
      </c>
      <c r="AO1276" s="376"/>
      <c r="AP1276" s="376"/>
      <c r="AQ1276" s="209">
        <f>COUNTIFS(D:D,"DD",G:G,"STANGS",L:L,"-1;-1",V:V,"EI")</f>
        <v>0</v>
      </c>
      <c r="AS1276" s="115"/>
      <c r="AT1276" s="115"/>
      <c r="AU1276" s="115"/>
      <c r="AV1276" s="115"/>
      <c r="AW1276" s="115"/>
    </row>
    <row r="1277" spans="15:49">
      <c r="O1277" s="91"/>
      <c r="X1277" s="115">
        <f t="shared" si="159"/>
        <v>0</v>
      </c>
      <c r="Y1277" s="115">
        <f t="shared" si="160"/>
        <v>0</v>
      </c>
      <c r="Z1277" s="115" t="e">
        <f t="shared" si="161"/>
        <v>#VALUE!</v>
      </c>
      <c r="AA1277" s="115">
        <f t="shared" si="162"/>
        <v>0</v>
      </c>
      <c r="AD1277" s="375" t="s">
        <v>292</v>
      </c>
      <c r="AE1277" s="376"/>
      <c r="AF1277" s="376"/>
      <c r="AG1277" s="253" t="e">
        <f>AG1276/AG1275</f>
        <v>#DIV/0!</v>
      </c>
      <c r="AH1277" s="115"/>
      <c r="AI1277" s="374" t="s">
        <v>292</v>
      </c>
      <c r="AJ1277" s="374"/>
      <c r="AK1277" s="374"/>
      <c r="AL1277" s="151" t="e">
        <f>AL1276/AL1275</f>
        <v>#DIV/0!</v>
      </c>
      <c r="AM1277" s="115"/>
      <c r="AN1277" s="375" t="s">
        <v>292</v>
      </c>
      <c r="AO1277" s="376"/>
      <c r="AP1277" s="376"/>
      <c r="AQ1277" s="253" t="e">
        <f>AQ1276/AQ1275</f>
        <v>#DIV/0!</v>
      </c>
      <c r="AS1277" s="115"/>
      <c r="AT1277" s="115"/>
      <c r="AU1277" s="115"/>
      <c r="AV1277" s="115"/>
      <c r="AW1277" s="115"/>
    </row>
    <row r="1278" spans="15:49">
      <c r="O1278" s="91"/>
      <c r="X1278" s="115">
        <f t="shared" si="159"/>
        <v>0</v>
      </c>
      <c r="Y1278" s="115">
        <f t="shared" si="160"/>
        <v>0</v>
      </c>
      <c r="Z1278" s="115" t="e">
        <f t="shared" si="161"/>
        <v>#VALUE!</v>
      </c>
      <c r="AA1278" s="115">
        <f t="shared" si="162"/>
        <v>0</v>
      </c>
      <c r="AD1278" s="375" t="s">
        <v>724</v>
      </c>
      <c r="AE1278" s="376"/>
      <c r="AF1278" s="376"/>
      <c r="AG1278" s="209">
        <f>COUNTIFS(D:D,"DD",G:G,"STANGS",L:L,"-1;1",F:F,"ATONGOAL")</f>
        <v>0</v>
      </c>
      <c r="AH1278" s="115"/>
      <c r="AI1278" s="374" t="s">
        <v>724</v>
      </c>
      <c r="AJ1278" s="374"/>
      <c r="AK1278" s="374"/>
      <c r="AL1278" s="115">
        <f>COUNTIFS(D:D,"DD",G:G,"STANGS",L:L,"-1;0",F:F,"ATONGOAL")</f>
        <v>0</v>
      </c>
      <c r="AM1278" s="115"/>
      <c r="AN1278" s="375" t="s">
        <v>724</v>
      </c>
      <c r="AO1278" s="376"/>
      <c r="AP1278" s="376"/>
      <c r="AQ1278" s="209">
        <f>COUNTIFS(D:D,"DD",G:G,"STANGS",L:L,"-1;-1",F:F,"ATONGOAL")</f>
        <v>0</v>
      </c>
      <c r="AS1278" s="115"/>
      <c r="AT1278" s="115"/>
      <c r="AU1278" s="115"/>
      <c r="AV1278" s="115"/>
      <c r="AW1278" s="115"/>
    </row>
    <row r="1279" spans="15:49">
      <c r="O1279" s="91"/>
      <c r="X1279" s="115">
        <f t="shared" si="159"/>
        <v>0</v>
      </c>
      <c r="Y1279" s="115">
        <f t="shared" si="160"/>
        <v>0</v>
      </c>
      <c r="Z1279" s="115" t="e">
        <f t="shared" si="161"/>
        <v>#VALUE!</v>
      </c>
      <c r="AA1279" s="115">
        <f t="shared" si="162"/>
        <v>0</v>
      </c>
      <c r="AD1279" s="375" t="s">
        <v>336</v>
      </c>
      <c r="AE1279" s="376"/>
      <c r="AF1279" s="376"/>
      <c r="AG1279" s="209">
        <f>COUNTIFS(D:D,"DD",G:G,"STANGS",L:L,"-1;1",F:F,"ATON")</f>
        <v>0</v>
      </c>
      <c r="AH1279" s="115"/>
      <c r="AI1279" s="374" t="s">
        <v>336</v>
      </c>
      <c r="AJ1279" s="374"/>
      <c r="AK1279" s="374"/>
      <c r="AL1279" s="115">
        <f>COUNTIFS(D:D,"DD",G:G,"STANGS",L:L,"-1;0",F:F,"ATON")</f>
        <v>0</v>
      </c>
      <c r="AM1279" s="115"/>
      <c r="AN1279" s="375" t="s">
        <v>336</v>
      </c>
      <c r="AO1279" s="376"/>
      <c r="AP1279" s="376"/>
      <c r="AQ1279" s="209">
        <f>COUNTIFS(D:D,"DD",G:G,"STANGS",L:L,"-1;-1",F:F,"ATON")</f>
        <v>0</v>
      </c>
      <c r="AS1279" s="115"/>
      <c r="AT1279" s="115"/>
      <c r="AU1279" s="115"/>
      <c r="AV1279" s="115"/>
      <c r="AW1279" s="115"/>
    </row>
    <row r="1280" spans="15:49" s="115" customFormat="1">
      <c r="O1280" s="91"/>
      <c r="X1280" s="115">
        <f t="shared" si="159"/>
        <v>0</v>
      </c>
      <c r="Y1280" s="115">
        <f t="shared" si="160"/>
        <v>0</v>
      </c>
      <c r="Z1280" s="115" t="e">
        <f t="shared" si="161"/>
        <v>#VALUE!</v>
      </c>
      <c r="AA1280" s="115">
        <f t="shared" si="162"/>
        <v>0</v>
      </c>
      <c r="AB1280" s="246"/>
      <c r="AD1280" s="375" t="s">
        <v>337</v>
      </c>
      <c r="AE1280" s="376"/>
      <c r="AF1280" s="376"/>
      <c r="AG1280" s="209">
        <f>COUNTIFS(D:D,"DD",G:G,"STANGS",L:L,"-1;1",F:F,"ATOF")</f>
        <v>0</v>
      </c>
      <c r="AI1280" s="374" t="s">
        <v>337</v>
      </c>
      <c r="AJ1280" s="374"/>
      <c r="AK1280" s="374"/>
      <c r="AL1280" s="115">
        <f>COUNTIFS(D:D,"DD",G:G,"STANGS",L:L,"-1;0",F:F,"ATOF")</f>
        <v>0</v>
      </c>
      <c r="AN1280" s="375" t="s">
        <v>337</v>
      </c>
      <c r="AO1280" s="376"/>
      <c r="AP1280" s="376"/>
      <c r="AQ1280" s="209">
        <f>COUNTIFS(D:D,"DD",G:G,"STANGS",L:L,"-1;-1",F:F,"ATOF")</f>
        <v>0</v>
      </c>
    </row>
    <row r="1281" spans="15:49" s="115" customFormat="1">
      <c r="O1281" s="91"/>
      <c r="X1281" s="115">
        <f t="shared" si="159"/>
        <v>0</v>
      </c>
      <c r="Y1281" s="115">
        <f t="shared" si="160"/>
        <v>0</v>
      </c>
      <c r="Z1281" s="115" t="e">
        <f t="shared" si="161"/>
        <v>#VALUE!</v>
      </c>
      <c r="AA1281" s="115">
        <f t="shared" si="162"/>
        <v>0</v>
      </c>
      <c r="AB1281" s="246"/>
      <c r="AD1281" s="375" t="s">
        <v>338</v>
      </c>
      <c r="AE1281" s="376"/>
      <c r="AF1281" s="376"/>
      <c r="AG1281" s="209">
        <f>COUNTIFS(D:D,"DD",G:G,"STANGS",L:L,"-1;1",F:F,"ATBK")</f>
        <v>0</v>
      </c>
      <c r="AI1281" s="374" t="s">
        <v>338</v>
      </c>
      <c r="AJ1281" s="374"/>
      <c r="AK1281" s="374"/>
      <c r="AL1281" s="115">
        <f>COUNTIFS(D:D,"DD",G:G,"STANGS",L:L,"-1;0",F:F,"ATBK")</f>
        <v>0</v>
      </c>
      <c r="AN1281" s="375" t="s">
        <v>338</v>
      </c>
      <c r="AO1281" s="376"/>
      <c r="AP1281" s="376"/>
      <c r="AQ1281" s="209">
        <f>COUNTIFS(D:D,"DD",G:G,"STANGS",L:L,"-1;-1",F:F,"ATBK")</f>
        <v>0</v>
      </c>
    </row>
    <row r="1282" spans="15:49">
      <c r="O1282" s="91"/>
      <c r="X1282" s="115">
        <f t="shared" si="159"/>
        <v>0</v>
      </c>
      <c r="Y1282" s="115">
        <f t="shared" si="160"/>
        <v>0</v>
      </c>
      <c r="Z1282" s="115" t="e">
        <f t="shared" si="161"/>
        <v>#VALUE!</v>
      </c>
      <c r="AA1282" s="115">
        <f t="shared" si="162"/>
        <v>0</v>
      </c>
      <c r="AD1282" s="375" t="s">
        <v>315</v>
      </c>
      <c r="AE1282" s="376"/>
      <c r="AF1282" s="376"/>
      <c r="AG1282" s="209">
        <f>COUNTIFS(D:D,"DD",G:G,"STANGS",L:L,"-1;1",E:E,"NEG",F:F,"WINSTAN")</f>
        <v>0</v>
      </c>
      <c r="AH1282" s="115"/>
      <c r="AI1282" s="374" t="s">
        <v>315</v>
      </c>
      <c r="AJ1282" s="374"/>
      <c r="AK1282" s="374"/>
      <c r="AL1282" s="115">
        <f>COUNTIFS(D:D,"DD",G:G,"STANGS",L:L,"-1;0",E:E,"NEG",F:F,"WINSTAN")</f>
        <v>0</v>
      </c>
      <c r="AM1282" s="115"/>
      <c r="AN1282" s="375" t="s">
        <v>315</v>
      </c>
      <c r="AO1282" s="376"/>
      <c r="AP1282" s="376"/>
      <c r="AQ1282" s="209">
        <f>COUNTIFS(D:D,"DD",G:G,"STANGS",L:L,"-1;-1",E:E,"NEG",F:F,"WINSTAN")</f>
        <v>0</v>
      </c>
      <c r="AS1282" s="115"/>
      <c r="AT1282" s="115"/>
      <c r="AU1282" s="115"/>
      <c r="AV1282" s="115"/>
      <c r="AW1282" s="115"/>
    </row>
    <row r="1283" spans="15:49" s="115" customFormat="1">
      <c r="O1283" s="91"/>
      <c r="X1283" s="115">
        <f t="shared" ref="X1283:X1346" si="163">mapValues(E1283,F1283,"P265")</f>
        <v>0</v>
      </c>
      <c r="Y1283" s="115">
        <f t="shared" ref="Y1283:Y1346" si="164">X1282+X1283</f>
        <v>0</v>
      </c>
      <c r="Z1283" s="115" t="e">
        <f t="shared" ref="Z1283:Z1346" si="165">VALUE(MID(B1283,FIND(" ",B1283)+1,FIND(" ",B1283,FIND(" ",B1283)+1)-FIND(" ",B1283)))</f>
        <v>#VALUE!</v>
      </c>
      <c r="AA1283" s="115">
        <f t="shared" ref="AA1283:AA1346" si="166">T1283/1000</f>
        <v>0</v>
      </c>
      <c r="AB1283" s="246"/>
      <c r="AD1283" s="375" t="s">
        <v>339</v>
      </c>
      <c r="AE1283" s="376"/>
      <c r="AF1283" s="376"/>
      <c r="AG1283" s="209">
        <f>COUNTIFS(D:D,"DD",G:G,"STANGS",L:L,"-1;1",E:E,"NEG",F:F,"WINSTANTI")</f>
        <v>0</v>
      </c>
      <c r="AI1283" s="374" t="s">
        <v>339</v>
      </c>
      <c r="AJ1283" s="374"/>
      <c r="AK1283" s="374"/>
      <c r="AL1283" s="115">
        <f>COUNTIFS(D:D,"DD",G:G,"STANGS",L:L,"-1;0",E:E,"NEG",F:F,"WINSTANTI")</f>
        <v>0</v>
      </c>
      <c r="AN1283" s="375" t="s">
        <v>339</v>
      </c>
      <c r="AO1283" s="376"/>
      <c r="AP1283" s="376"/>
      <c r="AQ1283" s="209">
        <f>COUNTIFS(D:D,"DD",G:G,"STANGS",L:L,"-1;-1",E:E,"NEG",F:F,"WINSTANTI")</f>
        <v>0</v>
      </c>
    </row>
    <row r="1284" spans="15:49">
      <c r="O1284" s="91"/>
      <c r="X1284" s="115">
        <f t="shared" si="163"/>
        <v>0</v>
      </c>
      <c r="Y1284" s="115">
        <f t="shared" si="164"/>
        <v>0</v>
      </c>
      <c r="Z1284" s="115" t="e">
        <f t="shared" si="165"/>
        <v>#VALUE!</v>
      </c>
      <c r="AA1284" s="115">
        <f t="shared" si="166"/>
        <v>0</v>
      </c>
      <c r="AD1284" s="375" t="s">
        <v>316</v>
      </c>
      <c r="AE1284" s="376"/>
      <c r="AF1284" s="376"/>
      <c r="AG1284" s="209">
        <f>COUNTIFS(D:D,"DD",G:G,"STANGS",L:L,"-1;1",F:F,"ENTRY")</f>
        <v>0</v>
      </c>
      <c r="AH1284" s="115"/>
      <c r="AI1284" s="374" t="s">
        <v>316</v>
      </c>
      <c r="AJ1284" s="374"/>
      <c r="AK1284" s="374"/>
      <c r="AL1284" s="115">
        <f>COUNTIFS(D:D,"DD",G:G,"STANGS",L:L,"-1;0",F:F,"ENTRY")</f>
        <v>0</v>
      </c>
      <c r="AM1284" s="115"/>
      <c r="AN1284" s="375" t="s">
        <v>316</v>
      </c>
      <c r="AO1284" s="376"/>
      <c r="AP1284" s="376"/>
      <c r="AQ1284" s="209">
        <f>COUNTIFS(D:D,"DD",G:G,"STANGS",L:L,"-1;-1",F:F,"ENTRY")</f>
        <v>0</v>
      </c>
      <c r="AS1284" s="115"/>
      <c r="AT1284" s="115"/>
      <c r="AU1284" s="115"/>
      <c r="AV1284" s="115"/>
      <c r="AW1284" s="115"/>
    </row>
    <row r="1285" spans="15:49">
      <c r="O1285" s="91"/>
      <c r="X1285" s="115">
        <f t="shared" si="163"/>
        <v>0</v>
      </c>
      <c r="Y1285" s="115">
        <f t="shared" si="164"/>
        <v>0</v>
      </c>
      <c r="Z1285" s="115" t="e">
        <f t="shared" si="165"/>
        <v>#VALUE!</v>
      </c>
      <c r="AA1285" s="115">
        <f t="shared" si="166"/>
        <v>0</v>
      </c>
      <c r="AD1285" s="375" t="s">
        <v>293</v>
      </c>
      <c r="AE1285" s="376"/>
      <c r="AF1285" s="376"/>
      <c r="AG1285" s="209">
        <f>COUNTIFS(D:D,"DD",G:G,"STANGS",L:L,"-1;1",F:F,"KEEPOS")</f>
        <v>0</v>
      </c>
      <c r="AH1285" s="115"/>
      <c r="AI1285" s="374" t="s">
        <v>293</v>
      </c>
      <c r="AJ1285" s="374"/>
      <c r="AK1285" s="374"/>
      <c r="AL1285" s="115">
        <f>COUNTIFS(D:D,"DD",G:G,"STANGS",L:L,"-1;0",F:F,"KEEPOS")</f>
        <v>0</v>
      </c>
      <c r="AM1285" s="115"/>
      <c r="AN1285" s="375" t="s">
        <v>293</v>
      </c>
      <c r="AO1285" s="376"/>
      <c r="AP1285" s="376"/>
      <c r="AQ1285" s="209">
        <f>COUNTIFS(D:D,"DD",G:G,"STANGS",L:L,"-1;-1",F:F,"KEEPOS")</f>
        <v>0</v>
      </c>
      <c r="AS1285" s="115"/>
      <c r="AT1285" s="115"/>
      <c r="AU1285" s="115"/>
      <c r="AV1285" s="115"/>
      <c r="AW1285" s="115"/>
    </row>
    <row r="1286" spans="15:49">
      <c r="O1286" s="91"/>
      <c r="X1286" s="115">
        <f t="shared" si="163"/>
        <v>0</v>
      </c>
      <c r="Y1286" s="115">
        <f t="shared" si="164"/>
        <v>0</v>
      </c>
      <c r="Z1286" s="115" t="e">
        <f t="shared" si="165"/>
        <v>#VALUE!</v>
      </c>
      <c r="AA1286" s="115">
        <f t="shared" si="166"/>
        <v>0</v>
      </c>
      <c r="AD1286" s="386" t="s">
        <v>319</v>
      </c>
      <c r="AE1286" s="383"/>
      <c r="AF1286" s="383"/>
      <c r="AG1286" s="256" t="e">
        <f>SUM(AG1278:AG1285)/AG1272</f>
        <v>#DIV/0!</v>
      </c>
      <c r="AH1286" s="115"/>
      <c r="AI1286" s="374" t="s">
        <v>319</v>
      </c>
      <c r="AJ1286" s="374"/>
      <c r="AK1286" s="374"/>
      <c r="AL1286" s="151" t="e">
        <f>SUM(AL1278:AL1285)/AL1272</f>
        <v>#DIV/0!</v>
      </c>
      <c r="AM1286" s="115"/>
      <c r="AN1286" s="386" t="s">
        <v>319</v>
      </c>
      <c r="AO1286" s="383"/>
      <c r="AP1286" s="383"/>
      <c r="AQ1286" s="256" t="e">
        <f>SUM(AQ1278:AQ1285)/AQ1272</f>
        <v>#DIV/0!</v>
      </c>
      <c r="AS1286" s="115"/>
      <c r="AT1286" s="115"/>
      <c r="AU1286" s="115"/>
      <c r="AV1286" s="115"/>
      <c r="AW1286" s="115"/>
    </row>
    <row r="1287" spans="15:49">
      <c r="O1287" s="91"/>
      <c r="X1287" s="115">
        <f t="shared" si="163"/>
        <v>0</v>
      </c>
      <c r="Y1287" s="115">
        <f t="shared" si="164"/>
        <v>0</v>
      </c>
      <c r="Z1287" s="115" t="e">
        <f t="shared" si="165"/>
        <v>#VALUE!</v>
      </c>
      <c r="AA1287" s="115">
        <f t="shared" si="166"/>
        <v>0</v>
      </c>
      <c r="AD1287" s="374"/>
      <c r="AE1287" s="374"/>
      <c r="AF1287" s="374"/>
      <c r="AG1287" s="151"/>
      <c r="AH1287" s="115"/>
      <c r="AI1287" s="374"/>
      <c r="AJ1287" s="374"/>
      <c r="AK1287" s="374"/>
      <c r="AL1287" s="151"/>
      <c r="AM1287" s="115"/>
      <c r="AN1287" s="374"/>
      <c r="AO1287" s="374"/>
      <c r="AP1287" s="374"/>
      <c r="AQ1287" s="151"/>
      <c r="AS1287" s="115"/>
      <c r="AT1287" s="115"/>
      <c r="AU1287" s="115"/>
      <c r="AV1287" s="115"/>
      <c r="AW1287" s="115"/>
    </row>
    <row r="1288" spans="15:49">
      <c r="O1288" s="91"/>
      <c r="X1288" s="115">
        <f t="shared" si="163"/>
        <v>0</v>
      </c>
      <c r="Y1288" s="115">
        <f t="shared" si="164"/>
        <v>0</v>
      </c>
      <c r="Z1288" s="115" t="e">
        <f t="shared" si="165"/>
        <v>#VALUE!</v>
      </c>
      <c r="AA1288" s="115">
        <f t="shared" si="166"/>
        <v>0</v>
      </c>
      <c r="AD1288" s="374" t="s">
        <v>270</v>
      </c>
      <c r="AE1288" s="374"/>
      <c r="AF1288" s="374"/>
      <c r="AG1288" s="115">
        <f>COUNTIFS(D:D,"DD",G:G,"STANGS",L:L,"0;1")</f>
        <v>0</v>
      </c>
      <c r="AH1288" s="115"/>
      <c r="AI1288" s="374" t="s">
        <v>270</v>
      </c>
      <c r="AJ1288" s="374"/>
      <c r="AK1288" s="374"/>
      <c r="AL1288" s="115">
        <f>COUNTIFS(D:D,"DD",G:G,"STANGS",L:L,"0;0")</f>
        <v>0</v>
      </c>
      <c r="AM1288" s="115"/>
      <c r="AN1288" s="374" t="s">
        <v>270</v>
      </c>
      <c r="AO1288" s="374"/>
      <c r="AP1288" s="374"/>
      <c r="AQ1288" s="115">
        <f>COUNTIFS(D:D,"DD",G:G,"STANGS",L:L,"0;-1")</f>
        <v>0</v>
      </c>
      <c r="AS1288" s="115"/>
      <c r="AT1288" s="115"/>
      <c r="AU1288" s="115"/>
      <c r="AV1288" s="115"/>
      <c r="AW1288" s="115"/>
    </row>
    <row r="1289" spans="15:49">
      <c r="O1289" s="91"/>
      <c r="X1289" s="115">
        <f t="shared" si="163"/>
        <v>0</v>
      </c>
      <c r="Y1289" s="115">
        <f t="shared" si="164"/>
        <v>0</v>
      </c>
      <c r="Z1289" s="115" t="e">
        <f t="shared" si="165"/>
        <v>#VALUE!</v>
      </c>
      <c r="AA1289" s="115">
        <f t="shared" si="166"/>
        <v>0</v>
      </c>
      <c r="AD1289" s="374" t="s">
        <v>271</v>
      </c>
      <c r="AE1289" s="374"/>
      <c r="AF1289" s="374"/>
      <c r="AG1289" s="115">
        <f>COUNTIFS(D:D,"DD",G:G,"STANGS",L:L,"0;1",P:P,"EI")</f>
        <v>0</v>
      </c>
      <c r="AH1289" s="115"/>
      <c r="AI1289" s="374" t="s">
        <v>271</v>
      </c>
      <c r="AJ1289" s="374"/>
      <c r="AK1289" s="374"/>
      <c r="AL1289" s="115">
        <f>COUNTIFS(D:D,"DD",G:G,"STANGS",L:L,"0;0",P:P,"EI")</f>
        <v>0</v>
      </c>
      <c r="AM1289" s="115"/>
      <c r="AN1289" s="374" t="s">
        <v>271</v>
      </c>
      <c r="AO1289" s="374"/>
      <c r="AP1289" s="374"/>
      <c r="AQ1289" s="115">
        <f>COUNTIFS(D:D,"DD",G:G,"STANGS",L:L,"0;-1",P:P,"EI")</f>
        <v>0</v>
      </c>
      <c r="AS1289" s="115"/>
      <c r="AT1289" s="115"/>
      <c r="AU1289" s="115"/>
      <c r="AV1289" s="115"/>
      <c r="AW1289" s="115"/>
    </row>
    <row r="1290" spans="15:49">
      <c r="O1290" s="91"/>
      <c r="X1290" s="115">
        <f t="shared" si="163"/>
        <v>0</v>
      </c>
      <c r="Y1290" s="115">
        <f t="shared" si="164"/>
        <v>0</v>
      </c>
      <c r="Z1290" s="115" t="e">
        <f t="shared" si="165"/>
        <v>#VALUE!</v>
      </c>
      <c r="AA1290" s="115">
        <f t="shared" si="166"/>
        <v>0</v>
      </c>
      <c r="AD1290" s="374" t="s">
        <v>272</v>
      </c>
      <c r="AE1290" s="374"/>
      <c r="AF1290" s="374"/>
      <c r="AG1290" s="151" t="e">
        <f>AG1289/AG1288</f>
        <v>#DIV/0!</v>
      </c>
      <c r="AH1290" s="115"/>
      <c r="AI1290" s="374" t="s">
        <v>272</v>
      </c>
      <c r="AJ1290" s="374"/>
      <c r="AK1290" s="374"/>
      <c r="AL1290" s="151" t="e">
        <f>AL1289/AL1288</f>
        <v>#DIV/0!</v>
      </c>
      <c r="AM1290" s="115"/>
      <c r="AN1290" s="374" t="s">
        <v>272</v>
      </c>
      <c r="AO1290" s="374"/>
      <c r="AP1290" s="374"/>
      <c r="AQ1290" s="151" t="e">
        <f>AQ1289/AQ1288</f>
        <v>#DIV/0!</v>
      </c>
      <c r="AS1290" s="115"/>
      <c r="AT1290" s="115"/>
      <c r="AU1290" s="115"/>
      <c r="AV1290" s="115"/>
      <c r="AW1290" s="115"/>
    </row>
    <row r="1291" spans="15:49">
      <c r="O1291" s="91"/>
      <c r="X1291" s="115">
        <f t="shared" si="163"/>
        <v>0</v>
      </c>
      <c r="Y1291" s="115">
        <f t="shared" si="164"/>
        <v>0</v>
      </c>
      <c r="Z1291" s="115" t="e">
        <f t="shared" si="165"/>
        <v>#VALUE!</v>
      </c>
      <c r="AA1291" s="115">
        <f t="shared" si="166"/>
        <v>0</v>
      </c>
      <c r="AD1291" s="374" t="s">
        <v>318</v>
      </c>
      <c r="AE1291" s="374"/>
      <c r="AF1291" s="374"/>
      <c r="AG1291" s="178">
        <f>COUNTIFS(D:D,"DD",G:G,"STANGS",L:L,"0;1",V:V,"JAH")+COUNTIFS(D:D,"DD",G:G,"STANGS",L:L,"0;1",V:V,"EI")</f>
        <v>0</v>
      </c>
      <c r="AH1291" s="115"/>
      <c r="AI1291" s="374" t="s">
        <v>318</v>
      </c>
      <c r="AJ1291" s="374"/>
      <c r="AK1291" s="374"/>
      <c r="AL1291" s="178">
        <f>COUNTIFS(D:D,"DD",G:G,"STANGS",L:L,"0;0",V:V,"JAH")+COUNTIFS(D:D,"DD",G:G,"STANGS",L:L,"0;0",V:V,"EI")</f>
        <v>0</v>
      </c>
      <c r="AM1291" s="115"/>
      <c r="AN1291" s="374" t="s">
        <v>318</v>
      </c>
      <c r="AO1291" s="374"/>
      <c r="AP1291" s="374"/>
      <c r="AQ1291" s="178">
        <f>COUNTIFS(D:D,"DD",G:G,"STANGS",L:L,"0;-1",V:V,"JAH")+COUNTIFS(D:D,"DD",G:G,"STANGS",L:L,"0;-1",V:V,"EI")</f>
        <v>0</v>
      </c>
      <c r="AS1291" s="115"/>
      <c r="AT1291" s="115"/>
      <c r="AU1291" s="115"/>
      <c r="AV1291" s="115"/>
      <c r="AW1291" s="115"/>
    </row>
    <row r="1292" spans="15:49">
      <c r="O1292" s="91"/>
      <c r="X1292" s="115">
        <f t="shared" si="163"/>
        <v>0</v>
      </c>
      <c r="Y1292" s="115">
        <f t="shared" si="164"/>
        <v>0</v>
      </c>
      <c r="Z1292" s="115" t="e">
        <f t="shared" si="165"/>
        <v>#VALUE!</v>
      </c>
      <c r="AA1292" s="115">
        <f t="shared" si="166"/>
        <v>0</v>
      </c>
      <c r="AD1292" s="374" t="s">
        <v>291</v>
      </c>
      <c r="AE1292" s="374"/>
      <c r="AF1292" s="374"/>
      <c r="AG1292" s="115">
        <f>COUNTIFS(D:D,"DD",G:G,"STANGS",L:L,"0;1",V:V,"EI")</f>
        <v>0</v>
      </c>
      <c r="AH1292" s="115"/>
      <c r="AI1292" s="374" t="s">
        <v>291</v>
      </c>
      <c r="AJ1292" s="374"/>
      <c r="AK1292" s="374"/>
      <c r="AL1292" s="115">
        <f>COUNTIFS(D:D,"DD",G:G,"STANGS",L:L,"0;0",V:V,"EI")</f>
        <v>0</v>
      </c>
      <c r="AM1292" s="115"/>
      <c r="AN1292" s="374" t="s">
        <v>291</v>
      </c>
      <c r="AO1292" s="374"/>
      <c r="AP1292" s="374"/>
      <c r="AQ1292" s="115">
        <f>COUNTIFS(D:D,"DD",G:G,"STANGS",L:L,"0;-1",V:V,"EI")</f>
        <v>0</v>
      </c>
      <c r="AS1292" s="115"/>
      <c r="AT1292" s="115"/>
      <c r="AU1292" s="115"/>
      <c r="AV1292" s="115"/>
      <c r="AW1292" s="115"/>
    </row>
    <row r="1293" spans="15:49">
      <c r="O1293" s="91"/>
      <c r="X1293" s="115">
        <f t="shared" si="163"/>
        <v>0</v>
      </c>
      <c r="Y1293" s="115">
        <f t="shared" si="164"/>
        <v>0</v>
      </c>
      <c r="Z1293" s="115" t="e">
        <f t="shared" si="165"/>
        <v>#VALUE!</v>
      </c>
      <c r="AA1293" s="115">
        <f t="shared" si="166"/>
        <v>0</v>
      </c>
      <c r="AD1293" s="374" t="s">
        <v>292</v>
      </c>
      <c r="AE1293" s="374"/>
      <c r="AF1293" s="374"/>
      <c r="AG1293" s="151" t="e">
        <f>AG1292/AG1291</f>
        <v>#DIV/0!</v>
      </c>
      <c r="AH1293" s="115"/>
      <c r="AI1293" s="374" t="s">
        <v>292</v>
      </c>
      <c r="AJ1293" s="374"/>
      <c r="AK1293" s="374"/>
      <c r="AL1293" s="151" t="e">
        <f>AL1292/AL1291</f>
        <v>#DIV/0!</v>
      </c>
      <c r="AM1293" s="115"/>
      <c r="AN1293" s="374" t="s">
        <v>292</v>
      </c>
      <c r="AO1293" s="374"/>
      <c r="AP1293" s="374"/>
      <c r="AQ1293" s="151" t="e">
        <f>AQ1292/AQ1291</f>
        <v>#DIV/0!</v>
      </c>
      <c r="AS1293" s="115"/>
      <c r="AT1293" s="115"/>
      <c r="AU1293" s="115"/>
      <c r="AV1293" s="115"/>
      <c r="AW1293" s="115"/>
    </row>
    <row r="1294" spans="15:49">
      <c r="O1294" s="91"/>
      <c r="X1294" s="115">
        <f t="shared" si="163"/>
        <v>0</v>
      </c>
      <c r="Y1294" s="115">
        <f t="shared" si="164"/>
        <v>0</v>
      </c>
      <c r="Z1294" s="115" t="e">
        <f t="shared" si="165"/>
        <v>#VALUE!</v>
      </c>
      <c r="AA1294" s="115">
        <f t="shared" si="166"/>
        <v>0</v>
      </c>
      <c r="AD1294" s="374" t="s">
        <v>724</v>
      </c>
      <c r="AE1294" s="374"/>
      <c r="AF1294" s="374"/>
      <c r="AG1294" s="115">
        <f>COUNTIFS(D:D,"DD",G:G,"STANGS",L:L,"0;1",F:F,"ATONGOAL")</f>
        <v>0</v>
      </c>
      <c r="AH1294" s="115"/>
      <c r="AI1294" s="374" t="s">
        <v>724</v>
      </c>
      <c r="AJ1294" s="374"/>
      <c r="AK1294" s="374"/>
      <c r="AL1294" s="115">
        <f>COUNTIFS(D:D,"DD",G:G,"STANGS",L:L,"0;0",F:F,"ATONGOAL")</f>
        <v>0</v>
      </c>
      <c r="AM1294" s="115"/>
      <c r="AN1294" s="374" t="s">
        <v>724</v>
      </c>
      <c r="AO1294" s="374"/>
      <c r="AP1294" s="374"/>
      <c r="AQ1294" s="115">
        <f>COUNTIFS(D:D,"DD",G:G,"STANGS",L:L,"0;-1",F:F,"ATONGOAL")</f>
        <v>0</v>
      </c>
      <c r="AS1294" s="115"/>
      <c r="AT1294" s="115"/>
      <c r="AU1294" s="115"/>
      <c r="AV1294" s="115"/>
      <c r="AW1294" s="115"/>
    </row>
    <row r="1295" spans="15:49">
      <c r="O1295" s="91"/>
      <c r="X1295" s="115">
        <f t="shared" si="163"/>
        <v>0</v>
      </c>
      <c r="Y1295" s="115">
        <f t="shared" si="164"/>
        <v>0</v>
      </c>
      <c r="Z1295" s="115" t="e">
        <f t="shared" si="165"/>
        <v>#VALUE!</v>
      </c>
      <c r="AA1295" s="115">
        <f t="shared" si="166"/>
        <v>0</v>
      </c>
      <c r="AD1295" s="374" t="s">
        <v>336</v>
      </c>
      <c r="AE1295" s="374"/>
      <c r="AF1295" s="374"/>
      <c r="AG1295" s="115">
        <f>COUNTIFS(D:D,"DD",G:G,"STANGS",L:L,"0;1",F:F,"ATON")</f>
        <v>0</v>
      </c>
      <c r="AH1295" s="115"/>
      <c r="AI1295" s="374" t="s">
        <v>336</v>
      </c>
      <c r="AJ1295" s="374"/>
      <c r="AK1295" s="374"/>
      <c r="AL1295" s="115">
        <f>COUNTIFS(D:D,"DD",G:G,"STANGS",L:L,"0;0",F:F,"ATON")</f>
        <v>0</v>
      </c>
      <c r="AM1295" s="115"/>
      <c r="AN1295" s="374" t="s">
        <v>336</v>
      </c>
      <c r="AO1295" s="374"/>
      <c r="AP1295" s="374"/>
      <c r="AQ1295" s="115">
        <f>COUNTIFS(D:D,"DD",G:G,"STANGS",L:L,"0;-1",F:F,"ATON")</f>
        <v>0</v>
      </c>
      <c r="AS1295" s="115"/>
      <c r="AT1295" s="115"/>
      <c r="AU1295" s="115"/>
      <c r="AV1295" s="115"/>
      <c r="AW1295" s="115"/>
    </row>
    <row r="1296" spans="15:49" s="115" customFormat="1">
      <c r="O1296" s="91"/>
      <c r="X1296" s="115">
        <f t="shared" si="163"/>
        <v>0</v>
      </c>
      <c r="Y1296" s="115">
        <f t="shared" si="164"/>
        <v>0</v>
      </c>
      <c r="Z1296" s="115" t="e">
        <f t="shared" si="165"/>
        <v>#VALUE!</v>
      </c>
      <c r="AA1296" s="115">
        <f t="shared" si="166"/>
        <v>0</v>
      </c>
      <c r="AB1296" s="246"/>
      <c r="AD1296" s="374" t="s">
        <v>337</v>
      </c>
      <c r="AE1296" s="374"/>
      <c r="AF1296" s="374"/>
      <c r="AG1296" s="115">
        <f>COUNTIFS(D:D,"DD",G:G,"STANGS",L:L,"0;1",F:F,"ATOF")</f>
        <v>0</v>
      </c>
      <c r="AI1296" s="374" t="s">
        <v>337</v>
      </c>
      <c r="AJ1296" s="374"/>
      <c r="AK1296" s="374"/>
      <c r="AL1296" s="115">
        <f>COUNTIFS(D:D,"DD",G:G,"STANGS",L:L,"0;0",F:F,"ATOF")</f>
        <v>0</v>
      </c>
      <c r="AN1296" s="374" t="s">
        <v>337</v>
      </c>
      <c r="AO1296" s="374"/>
      <c r="AP1296" s="374"/>
      <c r="AQ1296" s="115">
        <f>COUNTIFS(D:D,"DD",G:G,"STANGS",L:L,"0;-1",F:F,"ATOF")</f>
        <v>0</v>
      </c>
    </row>
    <row r="1297" spans="15:49" s="115" customFormat="1">
      <c r="O1297" s="91"/>
      <c r="X1297" s="115">
        <f t="shared" si="163"/>
        <v>0</v>
      </c>
      <c r="Y1297" s="115">
        <f t="shared" si="164"/>
        <v>0</v>
      </c>
      <c r="Z1297" s="115" t="e">
        <f t="shared" si="165"/>
        <v>#VALUE!</v>
      </c>
      <c r="AA1297" s="115">
        <f t="shared" si="166"/>
        <v>0</v>
      </c>
      <c r="AB1297" s="246"/>
      <c r="AD1297" s="374" t="s">
        <v>338</v>
      </c>
      <c r="AE1297" s="374"/>
      <c r="AF1297" s="374"/>
      <c r="AG1297" s="115">
        <f>COUNTIFS(D:D,"DD",G:G,"STANGS",L:L,"0;1",F:F,"ATBK")</f>
        <v>0</v>
      </c>
      <c r="AI1297" s="374" t="s">
        <v>338</v>
      </c>
      <c r="AJ1297" s="374"/>
      <c r="AK1297" s="374"/>
      <c r="AL1297" s="115">
        <f>COUNTIFS(D:D,"DD",G:G,"STANGS",L:L,"0;0",F:F,"ATBK")</f>
        <v>0</v>
      </c>
      <c r="AN1297" s="374" t="s">
        <v>338</v>
      </c>
      <c r="AO1297" s="374"/>
      <c r="AP1297" s="374"/>
      <c r="AQ1297" s="115">
        <f>COUNTIFS(D:D,"DD",G:G,"STANGS",L:L,"0;-1",F:F,"ATBK")</f>
        <v>0</v>
      </c>
    </row>
    <row r="1298" spans="15:49">
      <c r="O1298" s="91"/>
      <c r="X1298" s="115">
        <f t="shared" si="163"/>
        <v>0</v>
      </c>
      <c r="Y1298" s="115">
        <f t="shared" si="164"/>
        <v>0</v>
      </c>
      <c r="Z1298" s="115" t="e">
        <f t="shared" si="165"/>
        <v>#VALUE!</v>
      </c>
      <c r="AA1298" s="115">
        <f t="shared" si="166"/>
        <v>0</v>
      </c>
      <c r="AD1298" s="374" t="s">
        <v>315</v>
      </c>
      <c r="AE1298" s="374"/>
      <c r="AF1298" s="374"/>
      <c r="AG1298" s="115">
        <f>COUNTIFS(D:D,"DD",G:G,"STANGS",L:L,"0;1",E:E,"NEG",F:F,"WINSTAN")</f>
        <v>0</v>
      </c>
      <c r="AH1298" s="115"/>
      <c r="AI1298" s="374" t="s">
        <v>315</v>
      </c>
      <c r="AJ1298" s="374"/>
      <c r="AK1298" s="374"/>
      <c r="AL1298" s="115">
        <f>COUNTIFS(D:D,"DD",G:G,"STANGS",L:L,"0;0",E:E,"NEG",F:F,"WINSTAN")</f>
        <v>0</v>
      </c>
      <c r="AM1298" s="115"/>
      <c r="AN1298" s="374" t="s">
        <v>315</v>
      </c>
      <c r="AO1298" s="374"/>
      <c r="AP1298" s="374"/>
      <c r="AQ1298" s="115">
        <f>COUNTIFS(D:D,"DD",G:G,"STANGS",L:L,"0;-1",E:E,"NEG",F:F,"WINSTAN")</f>
        <v>0</v>
      </c>
      <c r="AS1298" s="115"/>
      <c r="AT1298" s="115"/>
      <c r="AU1298" s="115"/>
      <c r="AV1298" s="115"/>
      <c r="AW1298" s="115"/>
    </row>
    <row r="1299" spans="15:49" s="115" customFormat="1">
      <c r="O1299" s="91"/>
      <c r="X1299" s="115">
        <f t="shared" si="163"/>
        <v>0</v>
      </c>
      <c r="Y1299" s="115">
        <f t="shared" si="164"/>
        <v>0</v>
      </c>
      <c r="Z1299" s="115" t="e">
        <f t="shared" si="165"/>
        <v>#VALUE!</v>
      </c>
      <c r="AA1299" s="115">
        <f t="shared" si="166"/>
        <v>0</v>
      </c>
      <c r="AB1299" s="246"/>
      <c r="AD1299" s="374" t="s">
        <v>339</v>
      </c>
      <c r="AE1299" s="374"/>
      <c r="AF1299" s="374"/>
      <c r="AG1299" s="115">
        <f>COUNTIFS(D:D,"DD",G:G,"STANGS",L:L,"0;1",E:E,"NEG",F:F,"WINSTANTI")</f>
        <v>0</v>
      </c>
      <c r="AI1299" s="374" t="s">
        <v>339</v>
      </c>
      <c r="AJ1299" s="374"/>
      <c r="AK1299" s="374"/>
      <c r="AL1299" s="115">
        <f>COUNTIFS(D:D,"DD",G:G,"STANGS",L:L,"0;0",E:E,"NEG",F:F,"WINSTANTI")</f>
        <v>0</v>
      </c>
      <c r="AN1299" s="374" t="s">
        <v>339</v>
      </c>
      <c r="AO1299" s="374"/>
      <c r="AP1299" s="374"/>
      <c r="AQ1299" s="115">
        <f>COUNTIFS(D:D,"DD",G:G,"STANGS",L:L,"0;-1",E:E,"NEG",F:F,"WINSTANTI")</f>
        <v>0</v>
      </c>
    </row>
    <row r="1300" spans="15:49">
      <c r="O1300" s="91"/>
      <c r="X1300" s="115">
        <f t="shared" si="163"/>
        <v>0</v>
      </c>
      <c r="Y1300" s="115">
        <f t="shared" si="164"/>
        <v>0</v>
      </c>
      <c r="Z1300" s="115" t="e">
        <f t="shared" si="165"/>
        <v>#VALUE!</v>
      </c>
      <c r="AA1300" s="115">
        <f t="shared" si="166"/>
        <v>0</v>
      </c>
      <c r="AD1300" s="374" t="s">
        <v>316</v>
      </c>
      <c r="AE1300" s="374"/>
      <c r="AF1300" s="374"/>
      <c r="AG1300" s="115">
        <f>COUNTIFS(D:D,"DD",G:G,"STANGS",L:L,"0;1",F:F,"ENTRY")</f>
        <v>0</v>
      </c>
      <c r="AH1300" s="115"/>
      <c r="AI1300" s="374" t="s">
        <v>316</v>
      </c>
      <c r="AJ1300" s="374"/>
      <c r="AK1300" s="374"/>
      <c r="AL1300" s="115">
        <f>COUNTIFS(D:D,"DD",G:G,"STANGS",L:L,"0;0",F:F,"ENTRY")</f>
        <v>0</v>
      </c>
      <c r="AM1300" s="115"/>
      <c r="AN1300" s="374" t="s">
        <v>316</v>
      </c>
      <c r="AO1300" s="374"/>
      <c r="AP1300" s="374"/>
      <c r="AQ1300" s="115">
        <f>COUNTIFS(D:D,"DD",G:G,"STANGS",L:L,"0;-1",F:F,"ENTRY")</f>
        <v>0</v>
      </c>
      <c r="AS1300" s="115"/>
      <c r="AT1300" s="115"/>
      <c r="AU1300" s="115"/>
      <c r="AV1300" s="115"/>
      <c r="AW1300" s="115"/>
    </row>
    <row r="1301" spans="15:49">
      <c r="O1301" s="91"/>
      <c r="X1301" s="115">
        <f t="shared" si="163"/>
        <v>0</v>
      </c>
      <c r="Y1301" s="115">
        <f t="shared" si="164"/>
        <v>0</v>
      </c>
      <c r="Z1301" s="115" t="e">
        <f t="shared" si="165"/>
        <v>#VALUE!</v>
      </c>
      <c r="AA1301" s="115">
        <f t="shared" si="166"/>
        <v>0</v>
      </c>
      <c r="AD1301" s="374" t="s">
        <v>293</v>
      </c>
      <c r="AE1301" s="374"/>
      <c r="AF1301" s="374"/>
      <c r="AG1301" s="115">
        <f>COUNTIFS(D:D,"DD",G:G,"STANGS",L:L,"0;1",F:F,"KEEPOS")</f>
        <v>0</v>
      </c>
      <c r="AH1301" s="115"/>
      <c r="AI1301" s="374" t="s">
        <v>293</v>
      </c>
      <c r="AJ1301" s="374"/>
      <c r="AK1301" s="374"/>
      <c r="AL1301" s="115">
        <f>COUNTIFS(D:D,"DD",G:G,"STANGS",L:L,"0;0",F:F,"KEEPOS")</f>
        <v>0</v>
      </c>
      <c r="AM1301" s="115"/>
      <c r="AN1301" s="374" t="s">
        <v>293</v>
      </c>
      <c r="AO1301" s="374"/>
      <c r="AP1301" s="374"/>
      <c r="AQ1301" s="115">
        <f>COUNTIFS(D:D,"DD",G:G,"STANGS",L:L,"0;-1",F:F,"KEEPOS")</f>
        <v>0</v>
      </c>
      <c r="AS1301" s="115"/>
      <c r="AT1301" s="115"/>
      <c r="AU1301" s="115"/>
      <c r="AV1301" s="115"/>
      <c r="AW1301" s="115"/>
    </row>
    <row r="1302" spans="15:49">
      <c r="O1302" s="91"/>
      <c r="X1302" s="115">
        <f t="shared" si="163"/>
        <v>0</v>
      </c>
      <c r="Y1302" s="115">
        <f t="shared" si="164"/>
        <v>0</v>
      </c>
      <c r="Z1302" s="115" t="e">
        <f t="shared" si="165"/>
        <v>#VALUE!</v>
      </c>
      <c r="AA1302" s="115">
        <f t="shared" si="166"/>
        <v>0</v>
      </c>
      <c r="AD1302" s="374" t="s">
        <v>319</v>
      </c>
      <c r="AE1302" s="374"/>
      <c r="AF1302" s="374"/>
      <c r="AG1302" s="151" t="e">
        <f>SUM(AG1294:AG1301)/AG1288</f>
        <v>#DIV/0!</v>
      </c>
      <c r="AH1302" s="115"/>
      <c r="AI1302" s="374" t="s">
        <v>319</v>
      </c>
      <c r="AJ1302" s="374"/>
      <c r="AK1302" s="374"/>
      <c r="AL1302" s="151" t="e">
        <f>SUM(AL1294:AL1301)/AL1288</f>
        <v>#DIV/0!</v>
      </c>
      <c r="AM1302" s="115"/>
      <c r="AN1302" s="374" t="s">
        <v>319</v>
      </c>
      <c r="AO1302" s="374"/>
      <c r="AP1302" s="374"/>
      <c r="AQ1302" s="151" t="e">
        <f>SUM(AQ1294:AQ1301)/AQ1288</f>
        <v>#DIV/0!</v>
      </c>
      <c r="AS1302" s="115"/>
      <c r="AT1302" s="115"/>
      <c r="AU1302" s="115"/>
      <c r="AV1302" s="115"/>
      <c r="AW1302" s="115"/>
    </row>
    <row r="1303" spans="15:49">
      <c r="O1303" s="91"/>
      <c r="X1303" s="115">
        <f t="shared" si="163"/>
        <v>0</v>
      </c>
      <c r="Y1303" s="115">
        <f t="shared" si="164"/>
        <v>0</v>
      </c>
      <c r="Z1303" s="115" t="e">
        <f t="shared" si="165"/>
        <v>#VALUE!</v>
      </c>
      <c r="AA1303" s="115">
        <f t="shared" si="166"/>
        <v>0</v>
      </c>
      <c r="AD1303" s="374"/>
      <c r="AE1303" s="374"/>
      <c r="AF1303" s="374"/>
      <c r="AG1303" s="115"/>
      <c r="AH1303" s="115"/>
      <c r="AI1303" s="374"/>
      <c r="AJ1303" s="374"/>
      <c r="AK1303" s="374"/>
      <c r="AL1303" s="115"/>
      <c r="AM1303" s="115"/>
      <c r="AN1303" s="374"/>
      <c r="AO1303" s="374"/>
      <c r="AP1303" s="374"/>
      <c r="AQ1303" s="115"/>
      <c r="AS1303" s="115"/>
      <c r="AT1303" s="115"/>
      <c r="AU1303" s="115"/>
      <c r="AV1303" s="115"/>
      <c r="AW1303" s="115"/>
    </row>
    <row r="1304" spans="15:49">
      <c r="O1304" s="91"/>
      <c r="X1304" s="115">
        <f t="shared" si="163"/>
        <v>0</v>
      </c>
      <c r="Y1304" s="115">
        <f t="shared" si="164"/>
        <v>0</v>
      </c>
      <c r="Z1304" s="115" t="e">
        <f t="shared" si="165"/>
        <v>#VALUE!</v>
      </c>
      <c r="AA1304" s="115">
        <f t="shared" si="166"/>
        <v>0</v>
      </c>
      <c r="AD1304" s="374" t="s">
        <v>270</v>
      </c>
      <c r="AE1304" s="374"/>
      <c r="AF1304" s="374"/>
      <c r="AG1304" s="115">
        <f>COUNTIFS(D:D,"DD",G:G,"STANGS",L:L,"1;1")</f>
        <v>0</v>
      </c>
      <c r="AH1304" s="115"/>
      <c r="AI1304" s="374" t="s">
        <v>270</v>
      </c>
      <c r="AJ1304" s="374"/>
      <c r="AK1304" s="374"/>
      <c r="AL1304" s="115">
        <f>COUNTIFS(D:D,"DD",G:G,"STANGS",L:L,"1;0")</f>
        <v>0</v>
      </c>
      <c r="AM1304" s="115"/>
      <c r="AN1304" s="374" t="s">
        <v>270</v>
      </c>
      <c r="AO1304" s="374"/>
      <c r="AP1304" s="374"/>
      <c r="AQ1304" s="115">
        <f>COUNTIFS(D:D,"DD",G:G,"STANGS",L:L,"1;-1")</f>
        <v>0</v>
      </c>
      <c r="AS1304" s="115"/>
      <c r="AT1304" s="115"/>
      <c r="AU1304" s="115"/>
      <c r="AV1304" s="115"/>
      <c r="AW1304" s="115"/>
    </row>
    <row r="1305" spans="15:49">
      <c r="O1305" s="91"/>
      <c r="X1305" s="115">
        <f t="shared" si="163"/>
        <v>0</v>
      </c>
      <c r="Y1305" s="115">
        <f t="shared" si="164"/>
        <v>0</v>
      </c>
      <c r="Z1305" s="115" t="e">
        <f t="shared" si="165"/>
        <v>#VALUE!</v>
      </c>
      <c r="AA1305" s="115">
        <f t="shared" si="166"/>
        <v>0</v>
      </c>
      <c r="AD1305" s="374" t="s">
        <v>271</v>
      </c>
      <c r="AE1305" s="374"/>
      <c r="AF1305" s="374"/>
      <c r="AG1305" s="115">
        <f>COUNTIFS(D:D,"DD",G:G,"STANGS",L:L,"1;1",P:P,"EI")</f>
        <v>0</v>
      </c>
      <c r="AH1305" s="115"/>
      <c r="AI1305" s="374" t="s">
        <v>271</v>
      </c>
      <c r="AJ1305" s="374"/>
      <c r="AK1305" s="374"/>
      <c r="AL1305" s="115">
        <f>COUNTIFS(D:D,"DD",G:G,"STANGS",L:L,"1;0",P:P,"EI")</f>
        <v>0</v>
      </c>
      <c r="AM1305" s="115"/>
      <c r="AN1305" s="374" t="s">
        <v>271</v>
      </c>
      <c r="AO1305" s="374"/>
      <c r="AP1305" s="374"/>
      <c r="AQ1305" s="115">
        <f>COUNTIFS(D:D,"DD",G:G,"STANGS",L:L,"1;-1",P:P,"EI")</f>
        <v>0</v>
      </c>
      <c r="AS1305" s="115"/>
      <c r="AT1305" s="115"/>
      <c r="AU1305" s="115"/>
      <c r="AV1305" s="115"/>
      <c r="AW1305" s="115"/>
    </row>
    <row r="1306" spans="15:49">
      <c r="O1306" s="91"/>
      <c r="X1306" s="115">
        <f t="shared" si="163"/>
        <v>0</v>
      </c>
      <c r="Y1306" s="115">
        <f t="shared" si="164"/>
        <v>0</v>
      </c>
      <c r="Z1306" s="115" t="e">
        <f t="shared" si="165"/>
        <v>#VALUE!</v>
      </c>
      <c r="AA1306" s="115">
        <f t="shared" si="166"/>
        <v>0</v>
      </c>
      <c r="AD1306" s="374" t="s">
        <v>272</v>
      </c>
      <c r="AE1306" s="374"/>
      <c r="AF1306" s="374"/>
      <c r="AG1306" s="151" t="e">
        <f>AG1305/AG1304</f>
        <v>#DIV/0!</v>
      </c>
      <c r="AH1306" s="115"/>
      <c r="AI1306" s="374" t="s">
        <v>272</v>
      </c>
      <c r="AJ1306" s="374"/>
      <c r="AK1306" s="374"/>
      <c r="AL1306" s="151" t="e">
        <f>AL1305/AL1304</f>
        <v>#DIV/0!</v>
      </c>
      <c r="AM1306" s="115"/>
      <c r="AN1306" s="374" t="s">
        <v>272</v>
      </c>
      <c r="AO1306" s="374"/>
      <c r="AP1306" s="374"/>
      <c r="AQ1306" s="151" t="e">
        <f>AQ1305/AQ1304</f>
        <v>#DIV/0!</v>
      </c>
      <c r="AS1306" s="115"/>
      <c r="AT1306" s="115"/>
      <c r="AU1306" s="115"/>
      <c r="AV1306" s="115"/>
      <c r="AW1306" s="115"/>
    </row>
    <row r="1307" spans="15:49">
      <c r="O1307" s="91"/>
      <c r="X1307" s="115">
        <f t="shared" si="163"/>
        <v>0</v>
      </c>
      <c r="Y1307" s="115">
        <f t="shared" si="164"/>
        <v>0</v>
      </c>
      <c r="Z1307" s="115" t="e">
        <f t="shared" si="165"/>
        <v>#VALUE!</v>
      </c>
      <c r="AA1307" s="115">
        <f t="shared" si="166"/>
        <v>0</v>
      </c>
      <c r="AD1307" s="374" t="s">
        <v>318</v>
      </c>
      <c r="AE1307" s="374"/>
      <c r="AF1307" s="374"/>
      <c r="AG1307" s="178">
        <f>COUNTIFS(D:D,"DD",G:G,"STANGS",L:L,"1;1",V:V,"JAH")+COUNTIFS(D:D,"DD",G:G,"STANGS",L:L,"1;1",V:V,"EI")</f>
        <v>0</v>
      </c>
      <c r="AH1307" s="115"/>
      <c r="AI1307" s="374" t="s">
        <v>318</v>
      </c>
      <c r="AJ1307" s="374"/>
      <c r="AK1307" s="374"/>
      <c r="AL1307" s="178">
        <f>COUNTIFS(D:D,"DD",G:G,"STANGS",L:L,"1;0",V:V,"JAH")+COUNTIFS(D:D,"DD",G:G,"STANGS",L:L,"1;0",V:V,"EI")</f>
        <v>0</v>
      </c>
      <c r="AM1307" s="115"/>
      <c r="AN1307" s="374" t="s">
        <v>318</v>
      </c>
      <c r="AO1307" s="374"/>
      <c r="AP1307" s="374"/>
      <c r="AQ1307" s="178">
        <f>COUNTIFS(D:D,"DD",G:G,"STANGS",L:L,"1;-1",V:V,"JAH")+COUNTIFS(D:D,"DD",G:G,"STANGS",L:L,"-1;-1",V:V,"EI")</f>
        <v>0</v>
      </c>
      <c r="AS1307" s="115"/>
      <c r="AT1307" s="115"/>
      <c r="AU1307" s="115"/>
      <c r="AV1307" s="115"/>
      <c r="AW1307" s="115"/>
    </row>
    <row r="1308" spans="15:49">
      <c r="O1308" s="91"/>
      <c r="X1308" s="115">
        <f t="shared" si="163"/>
        <v>0</v>
      </c>
      <c r="Y1308" s="115">
        <f t="shared" si="164"/>
        <v>0</v>
      </c>
      <c r="Z1308" s="115" t="e">
        <f t="shared" si="165"/>
        <v>#VALUE!</v>
      </c>
      <c r="AA1308" s="115">
        <f t="shared" si="166"/>
        <v>0</v>
      </c>
      <c r="AD1308" s="374" t="s">
        <v>291</v>
      </c>
      <c r="AE1308" s="374"/>
      <c r="AF1308" s="374"/>
      <c r="AG1308" s="115">
        <f>COUNTIFS(D:D,"DD",G:G,"STANGS",L:L,"1;1",V:V,"EI")</f>
        <v>0</v>
      </c>
      <c r="AH1308" s="115"/>
      <c r="AI1308" s="374" t="s">
        <v>291</v>
      </c>
      <c r="AJ1308" s="374"/>
      <c r="AK1308" s="374"/>
      <c r="AL1308" s="115">
        <f>COUNTIFS(D:D,"DD",G:G,"STANGS",L:L,"1;0",V:V,"EI")</f>
        <v>0</v>
      </c>
      <c r="AM1308" s="115"/>
      <c r="AN1308" s="374" t="s">
        <v>291</v>
      </c>
      <c r="AO1308" s="374"/>
      <c r="AP1308" s="374"/>
      <c r="AQ1308" s="115">
        <f>COUNTIFS(D:D,"DD",G:G,"STANGS",L:L,"1;-1",V:V,"EI")</f>
        <v>0</v>
      </c>
      <c r="AS1308" s="115"/>
      <c r="AT1308" s="115"/>
      <c r="AU1308" s="115"/>
      <c r="AV1308" s="115"/>
      <c r="AW1308" s="115"/>
    </row>
    <row r="1309" spans="15:49">
      <c r="O1309" s="91"/>
      <c r="X1309" s="115">
        <f t="shared" si="163"/>
        <v>0</v>
      </c>
      <c r="Y1309" s="115">
        <f t="shared" si="164"/>
        <v>0</v>
      </c>
      <c r="Z1309" s="115" t="e">
        <f t="shared" si="165"/>
        <v>#VALUE!</v>
      </c>
      <c r="AA1309" s="115">
        <f t="shared" si="166"/>
        <v>0</v>
      </c>
      <c r="AD1309" s="374" t="s">
        <v>292</v>
      </c>
      <c r="AE1309" s="374"/>
      <c r="AF1309" s="374"/>
      <c r="AG1309" s="151" t="e">
        <f>AG1308/AG1307</f>
        <v>#DIV/0!</v>
      </c>
      <c r="AH1309" s="115"/>
      <c r="AI1309" s="374" t="s">
        <v>292</v>
      </c>
      <c r="AJ1309" s="374"/>
      <c r="AK1309" s="374"/>
      <c r="AL1309" s="151" t="e">
        <f>AL1308/AL1307</f>
        <v>#DIV/0!</v>
      </c>
      <c r="AM1309" s="115"/>
      <c r="AN1309" s="374" t="s">
        <v>292</v>
      </c>
      <c r="AO1309" s="374"/>
      <c r="AP1309" s="374"/>
      <c r="AQ1309" s="151" t="e">
        <f>AQ1308/AQ1307</f>
        <v>#DIV/0!</v>
      </c>
      <c r="AS1309" s="115"/>
      <c r="AT1309" s="115"/>
      <c r="AU1309" s="115"/>
      <c r="AV1309" s="115"/>
      <c r="AW1309" s="115"/>
    </row>
    <row r="1310" spans="15:49">
      <c r="O1310" s="91"/>
      <c r="X1310" s="115">
        <f t="shared" si="163"/>
        <v>0</v>
      </c>
      <c r="Y1310" s="115">
        <f t="shared" si="164"/>
        <v>0</v>
      </c>
      <c r="Z1310" s="115" t="e">
        <f t="shared" si="165"/>
        <v>#VALUE!</v>
      </c>
      <c r="AA1310" s="115">
        <f t="shared" si="166"/>
        <v>0</v>
      </c>
      <c r="AD1310" s="374" t="s">
        <v>724</v>
      </c>
      <c r="AE1310" s="374"/>
      <c r="AF1310" s="374"/>
      <c r="AG1310" s="115">
        <f>COUNTIFS(D:D,"DD",G:G,"STANGS",L:L,"1;1",F:F,"ATONGOAL")</f>
        <v>0</v>
      </c>
      <c r="AH1310" s="115"/>
      <c r="AI1310" s="374" t="s">
        <v>724</v>
      </c>
      <c r="AJ1310" s="374"/>
      <c r="AK1310" s="374"/>
      <c r="AL1310" s="115">
        <f>COUNTIFS(D:D,"DD",G:G,"STANGS",L:L,"1;0",F:F,"ATONGOAL")</f>
        <v>0</v>
      </c>
      <c r="AM1310" s="115"/>
      <c r="AN1310" s="374" t="s">
        <v>724</v>
      </c>
      <c r="AO1310" s="374"/>
      <c r="AP1310" s="374"/>
      <c r="AQ1310" s="115">
        <f>COUNTIFS(D:D,"DD",G:G,"STANGS",L:L,"1;-1",F:F,"ATONGOAL")</f>
        <v>0</v>
      </c>
      <c r="AS1310" s="115"/>
      <c r="AT1310" s="115"/>
      <c r="AU1310" s="115"/>
      <c r="AV1310" s="115"/>
      <c r="AW1310" s="115"/>
    </row>
    <row r="1311" spans="15:49">
      <c r="O1311" s="91"/>
      <c r="X1311" s="115">
        <f t="shared" si="163"/>
        <v>0</v>
      </c>
      <c r="Y1311" s="115">
        <f t="shared" si="164"/>
        <v>0</v>
      </c>
      <c r="Z1311" s="115" t="e">
        <f t="shared" si="165"/>
        <v>#VALUE!</v>
      </c>
      <c r="AA1311" s="115">
        <f t="shared" si="166"/>
        <v>0</v>
      </c>
      <c r="AD1311" s="374" t="s">
        <v>336</v>
      </c>
      <c r="AE1311" s="374"/>
      <c r="AF1311" s="374"/>
      <c r="AG1311" s="115">
        <f>COUNTIFS(D:D,"DD",G:G,"STANGS",L:L,"1;1",F:F,"ATON")</f>
        <v>0</v>
      </c>
      <c r="AH1311" s="115"/>
      <c r="AI1311" s="374" t="s">
        <v>336</v>
      </c>
      <c r="AJ1311" s="374"/>
      <c r="AK1311" s="374"/>
      <c r="AL1311" s="115">
        <f>COUNTIFS(D:D,"DD",G:G,"STANGS",L:L,"1;0",F:F,"ATON")</f>
        <v>0</v>
      </c>
      <c r="AM1311" s="115"/>
      <c r="AN1311" s="374" t="s">
        <v>336</v>
      </c>
      <c r="AO1311" s="374"/>
      <c r="AP1311" s="374"/>
      <c r="AQ1311" s="115">
        <f>COUNTIFS(D:D,"DD",G:G,"STANGS",L:L,"1;-1",F:F,"ATON")</f>
        <v>0</v>
      </c>
      <c r="AS1311" s="115"/>
      <c r="AT1311" s="115"/>
      <c r="AU1311" s="115"/>
      <c r="AV1311" s="115"/>
      <c r="AW1311" s="115"/>
    </row>
    <row r="1312" spans="15:49" s="115" customFormat="1">
      <c r="O1312" s="91"/>
      <c r="X1312" s="115">
        <f t="shared" si="163"/>
        <v>0</v>
      </c>
      <c r="Y1312" s="115">
        <f t="shared" si="164"/>
        <v>0</v>
      </c>
      <c r="Z1312" s="115" t="e">
        <f t="shared" si="165"/>
        <v>#VALUE!</v>
      </c>
      <c r="AA1312" s="115">
        <f t="shared" si="166"/>
        <v>0</v>
      </c>
      <c r="AB1312" s="246"/>
      <c r="AD1312" s="374" t="s">
        <v>337</v>
      </c>
      <c r="AE1312" s="374"/>
      <c r="AF1312" s="374"/>
      <c r="AG1312" s="115">
        <f>COUNTIFS(D:D,"DD",G:G,"STANGS",L:L,"1;1",F:F,"ATOF")</f>
        <v>0</v>
      </c>
      <c r="AI1312" s="374" t="s">
        <v>337</v>
      </c>
      <c r="AJ1312" s="374"/>
      <c r="AK1312" s="374"/>
      <c r="AL1312" s="115">
        <f>COUNTIFS(D:D,"DD",G:G,"STANGS",L:L,"1;0",F:F,"ATOF")</f>
        <v>0</v>
      </c>
      <c r="AN1312" s="374" t="s">
        <v>337</v>
      </c>
      <c r="AO1312" s="374"/>
      <c r="AP1312" s="374"/>
      <c r="AQ1312" s="115">
        <f>COUNTIFS(D:D,"DD",G:G,"STANGS",L:L,"1;-1",F:F,"ATOF")</f>
        <v>0</v>
      </c>
    </row>
    <row r="1313" spans="15:49" s="115" customFormat="1">
      <c r="O1313" s="91"/>
      <c r="X1313" s="115">
        <f t="shared" si="163"/>
        <v>0</v>
      </c>
      <c r="Y1313" s="115">
        <f t="shared" si="164"/>
        <v>0</v>
      </c>
      <c r="Z1313" s="115" t="e">
        <f t="shared" si="165"/>
        <v>#VALUE!</v>
      </c>
      <c r="AA1313" s="115">
        <f t="shared" si="166"/>
        <v>0</v>
      </c>
      <c r="AB1313" s="246"/>
      <c r="AD1313" s="374" t="s">
        <v>338</v>
      </c>
      <c r="AE1313" s="374"/>
      <c r="AF1313" s="374"/>
      <c r="AG1313" s="115">
        <f>COUNTIFS(D:D,"DD",G:G,"STANGS",L:L,"1;1",F:F,"ATBK")</f>
        <v>0</v>
      </c>
      <c r="AI1313" s="374" t="s">
        <v>338</v>
      </c>
      <c r="AJ1313" s="374"/>
      <c r="AK1313" s="374"/>
      <c r="AL1313" s="115">
        <f>COUNTIFS(D:D,"DD",G:G,"STANGS",L:L,"1;0",F:F,"ATBK")</f>
        <v>0</v>
      </c>
      <c r="AN1313" s="374" t="s">
        <v>338</v>
      </c>
      <c r="AO1313" s="374"/>
      <c r="AP1313" s="374"/>
      <c r="AQ1313" s="115">
        <f>COUNTIFS(D:D,"DD",G:G,"STANGS",L:L,"1;-1",F:F,"ATBK")</f>
        <v>0</v>
      </c>
    </row>
    <row r="1314" spans="15:49">
      <c r="O1314" s="91"/>
      <c r="X1314" s="115">
        <f t="shared" si="163"/>
        <v>0</v>
      </c>
      <c r="Y1314" s="115">
        <f t="shared" si="164"/>
        <v>0</v>
      </c>
      <c r="Z1314" s="115" t="e">
        <f t="shared" si="165"/>
        <v>#VALUE!</v>
      </c>
      <c r="AA1314" s="115">
        <f t="shared" si="166"/>
        <v>0</v>
      </c>
      <c r="AD1314" s="374" t="s">
        <v>315</v>
      </c>
      <c r="AE1314" s="374"/>
      <c r="AF1314" s="374"/>
      <c r="AG1314" s="115">
        <f>COUNTIFS(D:D,"DD",G:G,"STANGS",L:L,"1;1",E:E,"NEG",F:F,"WINSTAN")</f>
        <v>0</v>
      </c>
      <c r="AH1314" s="115"/>
      <c r="AI1314" s="374" t="s">
        <v>315</v>
      </c>
      <c r="AJ1314" s="374"/>
      <c r="AK1314" s="374"/>
      <c r="AL1314" s="115">
        <f>COUNTIFS(D:D,"DD",G:G,"STANGS",L:L,"1;0",E:E,"NEG",F:F,"WINSTAN")</f>
        <v>0</v>
      </c>
      <c r="AM1314" s="115"/>
      <c r="AN1314" s="374" t="s">
        <v>315</v>
      </c>
      <c r="AO1314" s="374"/>
      <c r="AP1314" s="374"/>
      <c r="AQ1314" s="115">
        <f>COUNTIFS(D:D,"DD",G:G,"STANGS",L:L,"1;-1",E:E,"NEG",F:F,"WINSTAN")</f>
        <v>0</v>
      </c>
      <c r="AS1314" s="115"/>
      <c r="AT1314" s="115"/>
      <c r="AU1314" s="115"/>
      <c r="AV1314" s="115"/>
      <c r="AW1314" s="115"/>
    </row>
    <row r="1315" spans="15:49" s="115" customFormat="1">
      <c r="O1315" s="91"/>
      <c r="X1315" s="115">
        <f t="shared" si="163"/>
        <v>0</v>
      </c>
      <c r="Y1315" s="115">
        <f t="shared" si="164"/>
        <v>0</v>
      </c>
      <c r="Z1315" s="115" t="e">
        <f t="shared" si="165"/>
        <v>#VALUE!</v>
      </c>
      <c r="AA1315" s="115">
        <f t="shared" si="166"/>
        <v>0</v>
      </c>
      <c r="AB1315" s="246"/>
      <c r="AD1315" s="374" t="s">
        <v>339</v>
      </c>
      <c r="AE1315" s="374"/>
      <c r="AF1315" s="374"/>
      <c r="AG1315" s="115">
        <f>COUNTIFS(D:D,"DD",G:G,"STANGS",L:L,"1;1",E:E,"NEG",F:F,"WINSTANTI")</f>
        <v>0</v>
      </c>
      <c r="AI1315" s="374" t="s">
        <v>339</v>
      </c>
      <c r="AJ1315" s="374"/>
      <c r="AK1315" s="374"/>
      <c r="AL1315" s="115">
        <f>COUNTIFS(D:D,"DD",G:G,"STANGS",L:L,"1;0",E:E,"NEG",F:F,"WINSTANTI")</f>
        <v>0</v>
      </c>
      <c r="AN1315" s="374" t="s">
        <v>339</v>
      </c>
      <c r="AO1315" s="374"/>
      <c r="AP1315" s="374"/>
      <c r="AQ1315" s="115">
        <f>COUNTIFS(D:D,"DD",G:G,"STANGS",L:L,"1;-1",E:E,"NEG",F:F,"WINSTANTI")</f>
        <v>0</v>
      </c>
    </row>
    <row r="1316" spans="15:49">
      <c r="O1316" s="91"/>
      <c r="X1316" s="115">
        <f t="shared" si="163"/>
        <v>0</v>
      </c>
      <c r="Y1316" s="115">
        <f t="shared" si="164"/>
        <v>0</v>
      </c>
      <c r="Z1316" s="115" t="e">
        <f t="shared" si="165"/>
        <v>#VALUE!</v>
      </c>
      <c r="AA1316" s="115">
        <f t="shared" si="166"/>
        <v>0</v>
      </c>
      <c r="AD1316" s="374" t="s">
        <v>316</v>
      </c>
      <c r="AE1316" s="374"/>
      <c r="AF1316" s="374"/>
      <c r="AG1316" s="115">
        <f>COUNTIFS(D:D,"DD",G:G,"STANGS",L:L,"1;1",F:F,"ENTRY")</f>
        <v>0</v>
      </c>
      <c r="AH1316" s="115"/>
      <c r="AI1316" s="374" t="s">
        <v>316</v>
      </c>
      <c r="AJ1316" s="374"/>
      <c r="AK1316" s="374"/>
      <c r="AL1316" s="115">
        <f>COUNTIFS(D:D,"DD",G:G,"STANGS",L:L,"1;0",F:F,"ENTRY")</f>
        <v>0</v>
      </c>
      <c r="AM1316" s="115"/>
      <c r="AN1316" s="374" t="s">
        <v>316</v>
      </c>
      <c r="AO1316" s="374"/>
      <c r="AP1316" s="374"/>
      <c r="AQ1316" s="115">
        <f>COUNTIFS(D:D,"DD",G:G,"STANGS",L:L,"1;-1",F:F,"ENTRY")</f>
        <v>0</v>
      </c>
      <c r="AS1316" s="115"/>
      <c r="AT1316" s="115"/>
      <c r="AU1316" s="115"/>
      <c r="AV1316" s="115"/>
      <c r="AW1316" s="115"/>
    </row>
    <row r="1317" spans="15:49">
      <c r="O1317" s="91"/>
      <c r="X1317" s="115">
        <f t="shared" si="163"/>
        <v>0</v>
      </c>
      <c r="Y1317" s="115">
        <f t="shared" si="164"/>
        <v>0</v>
      </c>
      <c r="Z1317" s="115" t="e">
        <f t="shared" si="165"/>
        <v>#VALUE!</v>
      </c>
      <c r="AA1317" s="115">
        <f t="shared" si="166"/>
        <v>0</v>
      </c>
      <c r="AD1317" s="374" t="s">
        <v>293</v>
      </c>
      <c r="AE1317" s="374"/>
      <c r="AF1317" s="374"/>
      <c r="AG1317" s="115">
        <f>COUNTIFS(D:D,"DD",G:G,"STANGS",L:L,"1;1",F:F,"KEEPOS")</f>
        <v>0</v>
      </c>
      <c r="AH1317" s="115"/>
      <c r="AI1317" s="374" t="s">
        <v>293</v>
      </c>
      <c r="AJ1317" s="374"/>
      <c r="AK1317" s="374"/>
      <c r="AL1317" s="115">
        <f>COUNTIFS(D:D,"DD",G:G,"STANGS",L:L,"1;0",F:F,"KEEPOS")</f>
        <v>0</v>
      </c>
      <c r="AM1317" s="115"/>
      <c r="AN1317" s="374" t="s">
        <v>293</v>
      </c>
      <c r="AO1317" s="374"/>
      <c r="AP1317" s="374"/>
      <c r="AQ1317" s="115">
        <f>COUNTIFS(D:D,"DD",G:G,"STANGS",L:L,"1;-1",F:F,"KEEPOS")</f>
        <v>0</v>
      </c>
      <c r="AS1317" s="115"/>
      <c r="AT1317" s="115"/>
      <c r="AU1317" s="115"/>
      <c r="AV1317" s="115"/>
      <c r="AW1317" s="115"/>
    </row>
    <row r="1318" spans="15:49">
      <c r="O1318" s="91"/>
      <c r="X1318" s="115">
        <f t="shared" si="163"/>
        <v>0</v>
      </c>
      <c r="Y1318" s="115">
        <f t="shared" si="164"/>
        <v>0</v>
      </c>
      <c r="Z1318" s="115" t="e">
        <f t="shared" si="165"/>
        <v>#VALUE!</v>
      </c>
      <c r="AA1318" s="115">
        <f t="shared" si="166"/>
        <v>0</v>
      </c>
      <c r="AD1318" s="374" t="s">
        <v>319</v>
      </c>
      <c r="AE1318" s="374"/>
      <c r="AF1318" s="374"/>
      <c r="AG1318" s="151" t="e">
        <f>SUM(AG1310:AG1317)/AG1304</f>
        <v>#DIV/0!</v>
      </c>
      <c r="AH1318" s="115"/>
      <c r="AI1318" s="374" t="s">
        <v>319</v>
      </c>
      <c r="AJ1318" s="374"/>
      <c r="AK1318" s="374"/>
      <c r="AL1318" s="151" t="e">
        <f>SUM(AL1310:AL1317)/AL1304</f>
        <v>#DIV/0!</v>
      </c>
      <c r="AM1318" s="115"/>
      <c r="AN1318" s="374" t="s">
        <v>319</v>
      </c>
      <c r="AO1318" s="374"/>
      <c r="AP1318" s="374"/>
      <c r="AQ1318" s="151" t="e">
        <f>SUM(AQ1310:AQ1317)/AQ1304</f>
        <v>#DIV/0!</v>
      </c>
      <c r="AS1318" s="115"/>
      <c r="AT1318" s="115"/>
      <c r="AU1318" s="115"/>
      <c r="AV1318" s="115"/>
      <c r="AW1318" s="115"/>
    </row>
    <row r="1319" spans="15:49">
      <c r="O1319" s="91"/>
      <c r="X1319" s="115">
        <f t="shared" si="163"/>
        <v>0</v>
      </c>
      <c r="Y1319" s="115">
        <f t="shared" si="164"/>
        <v>0</v>
      </c>
      <c r="Z1319" s="115" t="e">
        <f t="shared" si="165"/>
        <v>#VALUE!</v>
      </c>
      <c r="AA1319" s="115">
        <f t="shared" si="166"/>
        <v>0</v>
      </c>
      <c r="AD1319" s="204"/>
      <c r="AE1319" s="204"/>
      <c r="AF1319" s="204"/>
      <c r="AG1319" s="115"/>
      <c r="AH1319" s="115"/>
      <c r="AI1319" s="204"/>
      <c r="AJ1319" s="204"/>
      <c r="AK1319" s="204"/>
      <c r="AL1319" s="115"/>
      <c r="AM1319" s="115"/>
      <c r="AN1319" s="204"/>
      <c r="AO1319" s="204"/>
      <c r="AP1319" s="204"/>
      <c r="AQ1319" s="115"/>
      <c r="AS1319" s="115"/>
      <c r="AT1319" s="115"/>
      <c r="AU1319" s="115"/>
      <c r="AV1319" s="115"/>
      <c r="AW1319" s="115"/>
    </row>
    <row r="1320" spans="15:49">
      <c r="O1320" s="91"/>
      <c r="X1320" s="115">
        <f t="shared" si="163"/>
        <v>0</v>
      </c>
      <c r="Y1320" s="115">
        <f t="shared" si="164"/>
        <v>0</v>
      </c>
      <c r="Z1320" s="115" t="e">
        <f t="shared" si="165"/>
        <v>#VALUE!</v>
      </c>
      <c r="AA1320" s="115">
        <f t="shared" si="166"/>
        <v>0</v>
      </c>
      <c r="AD1320" s="374" t="s">
        <v>270</v>
      </c>
      <c r="AE1320" s="374"/>
      <c r="AF1320" s="374"/>
      <c r="AG1320" s="115">
        <f>COUNTIFS(D:D,"DD",G:G,"STANGS",L:L,"2;1")</f>
        <v>0</v>
      </c>
      <c r="AH1320" s="115"/>
      <c r="AI1320" s="374" t="s">
        <v>270</v>
      </c>
      <c r="AJ1320" s="374"/>
      <c r="AK1320" s="374"/>
      <c r="AL1320" s="115">
        <f>COUNTIFS(D:D,"DD",G:G,"STANGS",L:L,"2;0")</f>
        <v>0</v>
      </c>
      <c r="AM1320" s="115"/>
      <c r="AN1320" s="374" t="s">
        <v>270</v>
      </c>
      <c r="AO1320" s="374"/>
      <c r="AP1320" s="374"/>
      <c r="AQ1320" s="115">
        <f>COUNTIFS(D:D,"DD",G:G,"STANGS",L:L,"2;-1")</f>
        <v>0</v>
      </c>
      <c r="AS1320" s="115"/>
      <c r="AT1320" s="115"/>
      <c r="AU1320" s="115"/>
      <c r="AV1320" s="115"/>
      <c r="AW1320" s="115"/>
    </row>
    <row r="1321" spans="15:49">
      <c r="O1321" s="91"/>
      <c r="X1321" s="115">
        <f t="shared" si="163"/>
        <v>0</v>
      </c>
      <c r="Y1321" s="115">
        <f t="shared" si="164"/>
        <v>0</v>
      </c>
      <c r="Z1321" s="115" t="e">
        <f t="shared" si="165"/>
        <v>#VALUE!</v>
      </c>
      <c r="AA1321" s="115">
        <f t="shared" si="166"/>
        <v>0</v>
      </c>
      <c r="AD1321" s="374" t="s">
        <v>271</v>
      </c>
      <c r="AE1321" s="374"/>
      <c r="AF1321" s="374"/>
      <c r="AG1321" s="115">
        <f>COUNTIFS(D:D,"DD",G:G,"STANGS",L:L,"2;1",P:P,"EI")</f>
        <v>0</v>
      </c>
      <c r="AH1321" s="115"/>
      <c r="AI1321" s="374" t="s">
        <v>271</v>
      </c>
      <c r="AJ1321" s="374"/>
      <c r="AK1321" s="374"/>
      <c r="AL1321" s="115">
        <f>COUNTIFS(D:D,"DD",G:G,"STANGS",L:L,"2;0",P:P,"EI")</f>
        <v>0</v>
      </c>
      <c r="AM1321" s="115"/>
      <c r="AN1321" s="374" t="s">
        <v>271</v>
      </c>
      <c r="AO1321" s="374"/>
      <c r="AP1321" s="374"/>
      <c r="AQ1321" s="115">
        <f>COUNTIFS(D:D,"DD",G:G,"STANGS",L:L,"2;-1",P:P,"EI")</f>
        <v>0</v>
      </c>
      <c r="AS1321" s="115"/>
      <c r="AT1321" s="115"/>
      <c r="AU1321" s="115"/>
      <c r="AV1321" s="115"/>
      <c r="AW1321" s="115"/>
    </row>
    <row r="1322" spans="15:49">
      <c r="O1322" s="91"/>
      <c r="X1322" s="115">
        <f t="shared" si="163"/>
        <v>0</v>
      </c>
      <c r="Y1322" s="115">
        <f t="shared" si="164"/>
        <v>0</v>
      </c>
      <c r="Z1322" s="115" t="e">
        <f t="shared" si="165"/>
        <v>#VALUE!</v>
      </c>
      <c r="AA1322" s="115">
        <f t="shared" si="166"/>
        <v>0</v>
      </c>
      <c r="AD1322" s="374" t="s">
        <v>272</v>
      </c>
      <c r="AE1322" s="374"/>
      <c r="AF1322" s="374"/>
      <c r="AG1322" s="151" t="e">
        <f>AG1321/AG1320</f>
        <v>#DIV/0!</v>
      </c>
      <c r="AH1322" s="115"/>
      <c r="AI1322" s="374" t="s">
        <v>272</v>
      </c>
      <c r="AJ1322" s="374"/>
      <c r="AK1322" s="374"/>
      <c r="AL1322" s="151" t="e">
        <f>AL1321/AL1320</f>
        <v>#DIV/0!</v>
      </c>
      <c r="AM1322" s="115"/>
      <c r="AN1322" s="374" t="s">
        <v>272</v>
      </c>
      <c r="AO1322" s="374"/>
      <c r="AP1322" s="374"/>
      <c r="AQ1322" s="151" t="e">
        <f>AQ1321/AQ1320</f>
        <v>#DIV/0!</v>
      </c>
      <c r="AS1322" s="115"/>
      <c r="AT1322" s="115"/>
      <c r="AU1322" s="115"/>
      <c r="AV1322" s="115"/>
      <c r="AW1322" s="115"/>
    </row>
    <row r="1323" spans="15:49">
      <c r="O1323" s="91"/>
      <c r="X1323" s="115">
        <f t="shared" si="163"/>
        <v>0</v>
      </c>
      <c r="Y1323" s="115">
        <f t="shared" si="164"/>
        <v>0</v>
      </c>
      <c r="Z1323" s="115" t="e">
        <f t="shared" si="165"/>
        <v>#VALUE!</v>
      </c>
      <c r="AA1323" s="115">
        <f t="shared" si="166"/>
        <v>0</v>
      </c>
      <c r="AD1323" s="374" t="s">
        <v>318</v>
      </c>
      <c r="AE1323" s="374"/>
      <c r="AF1323" s="374"/>
      <c r="AG1323" s="178">
        <f>COUNTIFS(D:D,"DD",G:G,"STANGS",L:L,"2;1",V:V,"JAH")+COUNTIFS(D:D,"DD",G:G,"STANGS",L:L,"2;1",V:V,"EI")</f>
        <v>0</v>
      </c>
      <c r="AH1323" s="115"/>
      <c r="AI1323" s="374" t="s">
        <v>318</v>
      </c>
      <c r="AJ1323" s="374"/>
      <c r="AK1323" s="374"/>
      <c r="AL1323" s="178">
        <f>COUNTIFS(D:D,"DD",G:G,"STANGS",L:L,"2;0",V:V,"JAH")+COUNTIFS(D:D,"DD",G:G,"STANGS",L:L,"2;0",V:V,"EI")</f>
        <v>0</v>
      </c>
      <c r="AM1323" s="115"/>
      <c r="AN1323" s="374" t="s">
        <v>318</v>
      </c>
      <c r="AO1323" s="374"/>
      <c r="AP1323" s="374"/>
      <c r="AQ1323" s="178">
        <f>COUNTIFS(D:D,"DD",G:G,"STANGS",L:L,"2;-1",V:V,"JAH")+COUNTIFS(D:D,"DD",G:G,"STANGS",L:L,"2;-1",V:V,"EI")</f>
        <v>0</v>
      </c>
      <c r="AS1323" s="115"/>
      <c r="AT1323" s="115"/>
      <c r="AU1323" s="115"/>
      <c r="AV1323" s="115"/>
      <c r="AW1323" s="115"/>
    </row>
    <row r="1324" spans="15:49">
      <c r="O1324" s="91"/>
      <c r="X1324" s="115">
        <f t="shared" si="163"/>
        <v>0</v>
      </c>
      <c r="Y1324" s="115">
        <f t="shared" si="164"/>
        <v>0</v>
      </c>
      <c r="Z1324" s="115" t="e">
        <f t="shared" si="165"/>
        <v>#VALUE!</v>
      </c>
      <c r="AA1324" s="115">
        <f t="shared" si="166"/>
        <v>0</v>
      </c>
      <c r="AD1324" s="374" t="s">
        <v>291</v>
      </c>
      <c r="AE1324" s="374"/>
      <c r="AF1324" s="374"/>
      <c r="AG1324" s="115">
        <f>COUNTIFS(D:D,"DD",G:G,"STANGS",L:L,"2;1",V:V,"EI")</f>
        <v>0</v>
      </c>
      <c r="AH1324" s="115"/>
      <c r="AI1324" s="374" t="s">
        <v>291</v>
      </c>
      <c r="AJ1324" s="374"/>
      <c r="AK1324" s="374"/>
      <c r="AL1324" s="115">
        <f>COUNTIFS(D:D,"DD",G:G,"STANGS",L:L,"2;0",V:V,"EI")</f>
        <v>0</v>
      </c>
      <c r="AM1324" s="115"/>
      <c r="AN1324" s="374" t="s">
        <v>291</v>
      </c>
      <c r="AO1324" s="374"/>
      <c r="AP1324" s="374"/>
      <c r="AQ1324" s="115">
        <f>COUNTIFS(D:D,"DD",G:G,"STANGS",L:L,"2;-1",V:V,"EI")</f>
        <v>0</v>
      </c>
      <c r="AS1324" s="115"/>
      <c r="AT1324" s="115"/>
      <c r="AU1324" s="115"/>
      <c r="AV1324" s="115"/>
      <c r="AW1324" s="115"/>
    </row>
    <row r="1325" spans="15:49">
      <c r="O1325" s="91"/>
      <c r="X1325" s="115">
        <f t="shared" si="163"/>
        <v>0</v>
      </c>
      <c r="Y1325" s="115">
        <f t="shared" si="164"/>
        <v>0</v>
      </c>
      <c r="Z1325" s="115" t="e">
        <f t="shared" si="165"/>
        <v>#VALUE!</v>
      </c>
      <c r="AA1325" s="115">
        <f t="shared" si="166"/>
        <v>0</v>
      </c>
      <c r="AD1325" s="374" t="s">
        <v>292</v>
      </c>
      <c r="AE1325" s="374"/>
      <c r="AF1325" s="374"/>
      <c r="AG1325" s="151" t="e">
        <f>AG1324/AG1323</f>
        <v>#DIV/0!</v>
      </c>
      <c r="AH1325" s="115"/>
      <c r="AI1325" s="374" t="s">
        <v>292</v>
      </c>
      <c r="AJ1325" s="374"/>
      <c r="AK1325" s="374"/>
      <c r="AL1325" s="151" t="e">
        <f>AL1324/AL1323</f>
        <v>#DIV/0!</v>
      </c>
      <c r="AM1325" s="115"/>
      <c r="AN1325" s="374" t="s">
        <v>292</v>
      </c>
      <c r="AO1325" s="374"/>
      <c r="AP1325" s="374"/>
      <c r="AQ1325" s="151" t="e">
        <f>AQ1324/AQ1323</f>
        <v>#DIV/0!</v>
      </c>
      <c r="AS1325" s="115"/>
      <c r="AT1325" s="115"/>
      <c r="AU1325" s="115"/>
      <c r="AV1325" s="115"/>
      <c r="AW1325" s="115"/>
    </row>
    <row r="1326" spans="15:49">
      <c r="O1326" s="91"/>
      <c r="X1326" s="115">
        <f t="shared" si="163"/>
        <v>0</v>
      </c>
      <c r="Y1326" s="115">
        <f t="shared" si="164"/>
        <v>0</v>
      </c>
      <c r="Z1326" s="115" t="e">
        <f t="shared" si="165"/>
        <v>#VALUE!</v>
      </c>
      <c r="AA1326" s="115">
        <f t="shared" si="166"/>
        <v>0</v>
      </c>
      <c r="AD1326" s="374" t="s">
        <v>724</v>
      </c>
      <c r="AE1326" s="374"/>
      <c r="AF1326" s="374"/>
      <c r="AG1326" s="115">
        <f>COUNTIFS(D:D,"DD",G:G,"STANGS",L:L,"2;1",F:F,"ATONGOAL")</f>
        <v>0</v>
      </c>
      <c r="AH1326" s="115"/>
      <c r="AI1326" s="374" t="s">
        <v>724</v>
      </c>
      <c r="AJ1326" s="374"/>
      <c r="AK1326" s="374"/>
      <c r="AL1326" s="115">
        <f>COUNTIFS(D:D,"DD",G:G,"STANGS",L:L,"2;0",F:F,"ATONGOAL")</f>
        <v>0</v>
      </c>
      <c r="AM1326" s="115"/>
      <c r="AN1326" s="374" t="s">
        <v>724</v>
      </c>
      <c r="AO1326" s="374"/>
      <c r="AP1326" s="374"/>
      <c r="AQ1326" s="115">
        <f>COUNTIFS(D:D,"DD",G:G,"STANGS",L:L,"2;-1",F:F,"ATONGOAL")</f>
        <v>0</v>
      </c>
      <c r="AS1326" s="115"/>
      <c r="AT1326" s="115"/>
      <c r="AU1326" s="115"/>
      <c r="AV1326" s="115"/>
      <c r="AW1326" s="115"/>
    </row>
    <row r="1327" spans="15:49">
      <c r="O1327" s="91"/>
      <c r="X1327" s="115">
        <f t="shared" si="163"/>
        <v>0</v>
      </c>
      <c r="Y1327" s="115">
        <f t="shared" si="164"/>
        <v>0</v>
      </c>
      <c r="Z1327" s="115" t="e">
        <f t="shared" si="165"/>
        <v>#VALUE!</v>
      </c>
      <c r="AA1327" s="115">
        <f t="shared" si="166"/>
        <v>0</v>
      </c>
      <c r="AD1327" s="374" t="s">
        <v>336</v>
      </c>
      <c r="AE1327" s="374"/>
      <c r="AF1327" s="374"/>
      <c r="AG1327" s="115">
        <f>COUNTIFS(D:D,"DD",G:G,"STANGS",L:L,"2;1",F:F,"ATON")</f>
        <v>0</v>
      </c>
      <c r="AH1327" s="115"/>
      <c r="AI1327" s="374" t="s">
        <v>336</v>
      </c>
      <c r="AJ1327" s="374"/>
      <c r="AK1327" s="374"/>
      <c r="AL1327" s="115">
        <f>COUNTIFS(D:D,"DD",G:G,"STANGS",L:L,"2;0",F:F,"ATON")</f>
        <v>0</v>
      </c>
      <c r="AM1327" s="115"/>
      <c r="AN1327" s="374" t="s">
        <v>336</v>
      </c>
      <c r="AO1327" s="374"/>
      <c r="AP1327" s="374"/>
      <c r="AQ1327" s="115">
        <f>COUNTIFS(D:D,"DD",G:G,"STANGS",L:L,"2;-1",F:F,"ATON")</f>
        <v>0</v>
      </c>
      <c r="AS1327" s="115"/>
      <c r="AT1327" s="115"/>
      <c r="AU1327" s="115"/>
      <c r="AV1327" s="115"/>
      <c r="AW1327" s="115"/>
    </row>
    <row r="1328" spans="15:49" s="115" customFormat="1">
      <c r="O1328" s="91"/>
      <c r="X1328" s="115">
        <f t="shared" si="163"/>
        <v>0</v>
      </c>
      <c r="Y1328" s="115">
        <f t="shared" si="164"/>
        <v>0</v>
      </c>
      <c r="Z1328" s="115" t="e">
        <f t="shared" si="165"/>
        <v>#VALUE!</v>
      </c>
      <c r="AA1328" s="115">
        <f t="shared" si="166"/>
        <v>0</v>
      </c>
      <c r="AB1328" s="246"/>
      <c r="AD1328" s="374" t="s">
        <v>337</v>
      </c>
      <c r="AE1328" s="374"/>
      <c r="AF1328" s="374"/>
      <c r="AG1328" s="115">
        <f>COUNTIFS(D:D,"DD",G:G,"STANGS",L:L,"2;1",F:F,"ATOF")</f>
        <v>0</v>
      </c>
      <c r="AI1328" s="374" t="s">
        <v>337</v>
      </c>
      <c r="AJ1328" s="374"/>
      <c r="AK1328" s="374"/>
      <c r="AL1328" s="115">
        <f>COUNTIFS(D:D,"DD",G:G,"STANGS",L:L,"2;0",F:F,"ATOF")</f>
        <v>0</v>
      </c>
      <c r="AN1328" s="374" t="s">
        <v>337</v>
      </c>
      <c r="AO1328" s="374"/>
      <c r="AP1328" s="374"/>
      <c r="AQ1328" s="115">
        <f>COUNTIFS(D:D,"DD",G:G,"STANGS",L:L,"2;-1",F:F,"ATOF")</f>
        <v>0</v>
      </c>
    </row>
    <row r="1329" spans="15:49" s="115" customFormat="1">
      <c r="O1329" s="91"/>
      <c r="X1329" s="115">
        <f t="shared" si="163"/>
        <v>0</v>
      </c>
      <c r="Y1329" s="115">
        <f t="shared" si="164"/>
        <v>0</v>
      </c>
      <c r="Z1329" s="115" t="e">
        <f t="shared" si="165"/>
        <v>#VALUE!</v>
      </c>
      <c r="AA1329" s="115">
        <f t="shared" si="166"/>
        <v>0</v>
      </c>
      <c r="AB1329" s="246"/>
      <c r="AD1329" s="374" t="s">
        <v>338</v>
      </c>
      <c r="AE1329" s="374"/>
      <c r="AF1329" s="374"/>
      <c r="AG1329" s="115">
        <f>COUNTIFS(D:D,"DD",G:G,"STANGS",L:L,"2;1",F:F,"ATBK")</f>
        <v>0</v>
      </c>
      <c r="AI1329" s="374" t="s">
        <v>338</v>
      </c>
      <c r="AJ1329" s="374"/>
      <c r="AK1329" s="374"/>
      <c r="AL1329" s="115">
        <f>COUNTIFS(D:D,"DD",G:G,"STANGS",L:L,"2;0",F:F,"ATBK")</f>
        <v>0</v>
      </c>
      <c r="AN1329" s="374" t="s">
        <v>338</v>
      </c>
      <c r="AO1329" s="374"/>
      <c r="AP1329" s="374"/>
      <c r="AQ1329" s="115">
        <f>COUNTIFS(D:D,"DD",G:G,"STANGS",L:L,"2;-1",F:F,"ATBK")</f>
        <v>0</v>
      </c>
    </row>
    <row r="1330" spans="15:49">
      <c r="O1330" s="91"/>
      <c r="X1330" s="115">
        <f t="shared" si="163"/>
        <v>0</v>
      </c>
      <c r="Y1330" s="115">
        <f t="shared" si="164"/>
        <v>0</v>
      </c>
      <c r="Z1330" s="115" t="e">
        <f t="shared" si="165"/>
        <v>#VALUE!</v>
      </c>
      <c r="AA1330" s="115">
        <f t="shared" si="166"/>
        <v>0</v>
      </c>
      <c r="AD1330" s="374" t="s">
        <v>315</v>
      </c>
      <c r="AE1330" s="374"/>
      <c r="AF1330" s="374"/>
      <c r="AG1330" s="115">
        <f>COUNTIFS(D:D,"DD",G:G,"STANGS",L:L,"2;1",E:E,"NEG",F:F,"WINSTAN")</f>
        <v>0</v>
      </c>
      <c r="AH1330" s="115"/>
      <c r="AI1330" s="374" t="s">
        <v>315</v>
      </c>
      <c r="AJ1330" s="374"/>
      <c r="AK1330" s="374"/>
      <c r="AL1330" s="115">
        <f>COUNTIFS(D:D,"DD",G:G,"STANGS",L:L,"2;0",E:E,"NEG",F:F,"WINSTAN")</f>
        <v>0</v>
      </c>
      <c r="AM1330" s="115"/>
      <c r="AN1330" s="374" t="s">
        <v>315</v>
      </c>
      <c r="AO1330" s="374"/>
      <c r="AP1330" s="374"/>
      <c r="AQ1330" s="115">
        <f>COUNTIFS(D:D,"DD",G:G,"STANGS",L:L,"2;-1",E:E,"NEG",F:F,"WINSTAN")</f>
        <v>0</v>
      </c>
      <c r="AS1330" s="115"/>
      <c r="AT1330" s="115"/>
      <c r="AU1330" s="115"/>
      <c r="AV1330" s="115"/>
      <c r="AW1330" s="115"/>
    </row>
    <row r="1331" spans="15:49" s="115" customFormat="1">
      <c r="O1331" s="91"/>
      <c r="X1331" s="115">
        <f t="shared" si="163"/>
        <v>0</v>
      </c>
      <c r="Y1331" s="115">
        <f t="shared" si="164"/>
        <v>0</v>
      </c>
      <c r="Z1331" s="115" t="e">
        <f t="shared" si="165"/>
        <v>#VALUE!</v>
      </c>
      <c r="AA1331" s="115">
        <f t="shared" si="166"/>
        <v>0</v>
      </c>
      <c r="AB1331" s="246"/>
      <c r="AD1331" s="374" t="s">
        <v>339</v>
      </c>
      <c r="AE1331" s="374"/>
      <c r="AF1331" s="374"/>
      <c r="AG1331" s="115">
        <f>COUNTIFS(D:D,"DD",G:G,"STANGS",L:L,"2;1",E:E,"NEG",F:F,"WINSTANTI")</f>
        <v>0</v>
      </c>
      <c r="AI1331" s="374" t="s">
        <v>339</v>
      </c>
      <c r="AJ1331" s="374"/>
      <c r="AK1331" s="374"/>
      <c r="AL1331" s="115">
        <f>COUNTIFS(D:D,"DD",G:G,"STANGS",L:L,"2;0",E:E,"NEG",F:F,"WINSTANTI")</f>
        <v>0</v>
      </c>
      <c r="AN1331" s="374" t="s">
        <v>339</v>
      </c>
      <c r="AO1331" s="374"/>
      <c r="AP1331" s="374"/>
      <c r="AQ1331" s="115">
        <f>COUNTIFS(D:D,"DD",G:G,"STANGS",L:L,"2;-1",E:E,"NEG",F:F,"WINSTANTI")</f>
        <v>0</v>
      </c>
    </row>
    <row r="1332" spans="15:49">
      <c r="O1332" s="91"/>
      <c r="X1332" s="115">
        <f t="shared" si="163"/>
        <v>0</v>
      </c>
      <c r="Y1332" s="115">
        <f t="shared" si="164"/>
        <v>0</v>
      </c>
      <c r="Z1332" s="115" t="e">
        <f t="shared" si="165"/>
        <v>#VALUE!</v>
      </c>
      <c r="AA1332" s="115">
        <f t="shared" si="166"/>
        <v>0</v>
      </c>
      <c r="AD1332" s="374" t="s">
        <v>316</v>
      </c>
      <c r="AE1332" s="374"/>
      <c r="AF1332" s="374"/>
      <c r="AG1332" s="115">
        <f>COUNTIFS(D:D,"DD",G:G,"STANGS",L:L,"2;1",F:F,"ENTRY")</f>
        <v>0</v>
      </c>
      <c r="AH1332" s="115"/>
      <c r="AI1332" s="374" t="s">
        <v>316</v>
      </c>
      <c r="AJ1332" s="374"/>
      <c r="AK1332" s="374"/>
      <c r="AL1332" s="115">
        <f>COUNTIFS(D:D,"DD",G:G,"STANGS",L:L,"2;0",F:F,"ENTRY")</f>
        <v>0</v>
      </c>
      <c r="AM1332" s="115"/>
      <c r="AN1332" s="374" t="s">
        <v>316</v>
      </c>
      <c r="AO1332" s="374"/>
      <c r="AP1332" s="374"/>
      <c r="AQ1332" s="115">
        <f>COUNTIFS(D:D,"DD",G:G,"STANGS",L:L,"2;-1",F:F,"ENTRY")</f>
        <v>0</v>
      </c>
      <c r="AS1332" s="115"/>
      <c r="AT1332" s="115"/>
      <c r="AU1332" s="115"/>
      <c r="AV1332" s="115"/>
      <c r="AW1332" s="115"/>
    </row>
    <row r="1333" spans="15:49">
      <c r="O1333" s="91"/>
      <c r="X1333" s="115">
        <f t="shared" si="163"/>
        <v>0</v>
      </c>
      <c r="Y1333" s="115">
        <f t="shared" si="164"/>
        <v>0</v>
      </c>
      <c r="Z1333" s="115" t="e">
        <f t="shared" si="165"/>
        <v>#VALUE!</v>
      </c>
      <c r="AA1333" s="115">
        <f t="shared" si="166"/>
        <v>0</v>
      </c>
      <c r="AD1333" s="374" t="s">
        <v>293</v>
      </c>
      <c r="AE1333" s="374"/>
      <c r="AF1333" s="374"/>
      <c r="AG1333" s="115">
        <f>COUNTIFS(D:D,"DD",G:G,"STANGS",L:L,"2;1",F:F,"KEEPOS")</f>
        <v>0</v>
      </c>
      <c r="AH1333" s="115"/>
      <c r="AI1333" s="374" t="s">
        <v>293</v>
      </c>
      <c r="AJ1333" s="374"/>
      <c r="AK1333" s="374"/>
      <c r="AL1333" s="115">
        <f>COUNTIFS(D:D,"DD",G:G,"STANGS",L:L,"2;0",F:F,"KEEPOS")</f>
        <v>0</v>
      </c>
      <c r="AM1333" s="115"/>
      <c r="AN1333" s="374" t="s">
        <v>293</v>
      </c>
      <c r="AO1333" s="374"/>
      <c r="AP1333" s="374"/>
      <c r="AQ1333" s="115">
        <f>COUNTIFS(D:D,"DD",G:G,"STANGS",L:L,"2;-1",F:F,"KEEPOS")</f>
        <v>0</v>
      </c>
      <c r="AS1333" s="115"/>
      <c r="AT1333" s="115"/>
      <c r="AU1333" s="115"/>
      <c r="AV1333" s="115"/>
      <c r="AW1333" s="115"/>
    </row>
    <row r="1334" spans="15:49">
      <c r="O1334" s="91"/>
      <c r="X1334" s="115">
        <f t="shared" si="163"/>
        <v>0</v>
      </c>
      <c r="Y1334" s="115">
        <f t="shared" si="164"/>
        <v>0</v>
      </c>
      <c r="Z1334" s="115" t="e">
        <f t="shared" si="165"/>
        <v>#VALUE!</v>
      </c>
      <c r="AA1334" s="115">
        <f t="shared" si="166"/>
        <v>0</v>
      </c>
      <c r="AD1334" s="374" t="s">
        <v>319</v>
      </c>
      <c r="AE1334" s="374"/>
      <c r="AF1334" s="374"/>
      <c r="AG1334" s="151" t="e">
        <f>SUM(AG1326:AG1333)/AG1320</f>
        <v>#DIV/0!</v>
      </c>
      <c r="AH1334" s="115"/>
      <c r="AI1334" s="374" t="s">
        <v>319</v>
      </c>
      <c r="AJ1334" s="374"/>
      <c r="AK1334" s="374"/>
      <c r="AL1334" s="151" t="e">
        <f>SUM(AL1326:AL1333)/AL1320</f>
        <v>#DIV/0!</v>
      </c>
      <c r="AM1334" s="115"/>
      <c r="AN1334" s="374" t="s">
        <v>319</v>
      </c>
      <c r="AO1334" s="374"/>
      <c r="AP1334" s="374"/>
      <c r="AQ1334" s="151" t="e">
        <f>SUM(AQ1326:AQ1333)/AQ1320</f>
        <v>#DIV/0!</v>
      </c>
      <c r="AS1334" s="115"/>
      <c r="AT1334" s="115"/>
      <c r="AU1334" s="115"/>
      <c r="AV1334" s="115"/>
      <c r="AW1334" s="115"/>
    </row>
    <row r="1335" spans="15:49">
      <c r="O1335" s="91"/>
      <c r="X1335" s="115">
        <f t="shared" si="163"/>
        <v>0</v>
      </c>
      <c r="Y1335" s="115">
        <f t="shared" si="164"/>
        <v>0</v>
      </c>
      <c r="Z1335" s="115" t="e">
        <f t="shared" si="165"/>
        <v>#VALUE!</v>
      </c>
      <c r="AA1335" s="115">
        <f t="shared" si="166"/>
        <v>0</v>
      </c>
      <c r="AD1335" s="115"/>
      <c r="AE1335" s="115"/>
      <c r="AF1335" s="115"/>
      <c r="AG1335" s="115"/>
      <c r="AH1335" s="115"/>
      <c r="AI1335" s="115"/>
      <c r="AJ1335" s="115"/>
      <c r="AK1335" s="115"/>
      <c r="AL1335" s="115"/>
      <c r="AM1335" s="115"/>
      <c r="AN1335" s="115"/>
      <c r="AO1335" s="115"/>
      <c r="AP1335" s="115"/>
      <c r="AQ1335" s="115"/>
      <c r="AS1335" s="115"/>
      <c r="AT1335" s="115"/>
      <c r="AU1335" s="115"/>
      <c r="AV1335" s="115"/>
      <c r="AW1335" s="115"/>
    </row>
    <row r="1336" spans="15:49">
      <c r="O1336" s="91"/>
      <c r="X1336" s="115">
        <f t="shared" si="163"/>
        <v>0</v>
      </c>
      <c r="Y1336" s="115">
        <f t="shared" si="164"/>
        <v>0</v>
      </c>
      <c r="Z1336" s="115" t="e">
        <f t="shared" si="165"/>
        <v>#VALUE!</v>
      </c>
      <c r="AA1336" s="115">
        <f t="shared" si="166"/>
        <v>0</v>
      </c>
      <c r="AD1336" s="374" t="s">
        <v>270</v>
      </c>
      <c r="AE1336" s="374"/>
      <c r="AF1336" s="374"/>
      <c r="AG1336" s="115">
        <f>COUNTIFS(D:D,"DD",G:G,"STANGS",L:L,"3;1")</f>
        <v>0</v>
      </c>
      <c r="AH1336" s="115"/>
      <c r="AI1336" s="374" t="s">
        <v>270</v>
      </c>
      <c r="AJ1336" s="374"/>
      <c r="AK1336" s="374"/>
      <c r="AL1336" s="115">
        <f>COUNTIFS(D:D,"DD",G:G,"STANGS",L:L,"3;0")</f>
        <v>0</v>
      </c>
      <c r="AM1336" s="115"/>
      <c r="AN1336" s="374" t="s">
        <v>270</v>
      </c>
      <c r="AO1336" s="374"/>
      <c r="AP1336" s="374"/>
      <c r="AQ1336" s="115">
        <f>COUNTIFS(D:D,"DD",G:G,"STANGS",L:L,"3;-1")</f>
        <v>0</v>
      </c>
      <c r="AS1336" s="115"/>
      <c r="AT1336" s="115"/>
      <c r="AU1336" s="115"/>
      <c r="AV1336" s="115"/>
      <c r="AW1336" s="115"/>
    </row>
    <row r="1337" spans="15:49">
      <c r="O1337" s="91"/>
      <c r="X1337" s="115">
        <f t="shared" si="163"/>
        <v>0</v>
      </c>
      <c r="Y1337" s="115">
        <f t="shared" si="164"/>
        <v>0</v>
      </c>
      <c r="Z1337" s="115" t="e">
        <f t="shared" si="165"/>
        <v>#VALUE!</v>
      </c>
      <c r="AA1337" s="115">
        <f t="shared" si="166"/>
        <v>0</v>
      </c>
      <c r="AD1337" s="374" t="s">
        <v>271</v>
      </c>
      <c r="AE1337" s="374"/>
      <c r="AF1337" s="374"/>
      <c r="AG1337" s="115">
        <f>COUNTIFS(D:D,"DD",G:G,"STANGS",L:L,"3;1",P:P,"EI")</f>
        <v>0</v>
      </c>
      <c r="AH1337" s="115"/>
      <c r="AI1337" s="374" t="s">
        <v>271</v>
      </c>
      <c r="AJ1337" s="374"/>
      <c r="AK1337" s="374"/>
      <c r="AL1337" s="115">
        <f>COUNTIFS(D:D,"DD",G:G,"STANGS",L:L,"3;0",P:P,"EI")</f>
        <v>0</v>
      </c>
      <c r="AM1337" s="115"/>
      <c r="AN1337" s="374" t="s">
        <v>271</v>
      </c>
      <c r="AO1337" s="374"/>
      <c r="AP1337" s="374"/>
      <c r="AQ1337" s="115">
        <f>COUNTIFS(D:D,"DD",G:G,"STANGS",L:L,"3;-1",P:P,"EI")</f>
        <v>0</v>
      </c>
      <c r="AS1337" s="115"/>
      <c r="AT1337" s="115"/>
      <c r="AU1337" s="115"/>
      <c r="AV1337" s="115"/>
      <c r="AW1337" s="115"/>
    </row>
    <row r="1338" spans="15:49">
      <c r="O1338" s="91"/>
      <c r="X1338" s="115">
        <f t="shared" si="163"/>
        <v>0</v>
      </c>
      <c r="Y1338" s="115">
        <f t="shared" si="164"/>
        <v>0</v>
      </c>
      <c r="Z1338" s="115" t="e">
        <f t="shared" si="165"/>
        <v>#VALUE!</v>
      </c>
      <c r="AA1338" s="115">
        <f t="shared" si="166"/>
        <v>0</v>
      </c>
      <c r="AD1338" s="374" t="s">
        <v>272</v>
      </c>
      <c r="AE1338" s="374"/>
      <c r="AF1338" s="374"/>
      <c r="AG1338" s="151" t="e">
        <f>AG1337/AG1336</f>
        <v>#DIV/0!</v>
      </c>
      <c r="AH1338" s="115"/>
      <c r="AI1338" s="374" t="s">
        <v>272</v>
      </c>
      <c r="AJ1338" s="374"/>
      <c r="AK1338" s="374"/>
      <c r="AL1338" s="151" t="e">
        <f>AL1337/AL1336</f>
        <v>#DIV/0!</v>
      </c>
      <c r="AM1338" s="115"/>
      <c r="AN1338" s="374" t="s">
        <v>272</v>
      </c>
      <c r="AO1338" s="374"/>
      <c r="AP1338" s="374"/>
      <c r="AQ1338" s="151" t="e">
        <f>AQ1337/AQ1336</f>
        <v>#DIV/0!</v>
      </c>
      <c r="AS1338" s="115"/>
      <c r="AT1338" s="115"/>
      <c r="AU1338" s="115"/>
      <c r="AV1338" s="115"/>
      <c r="AW1338" s="115"/>
    </row>
    <row r="1339" spans="15:49">
      <c r="O1339" s="91"/>
      <c r="X1339" s="115">
        <f t="shared" si="163"/>
        <v>0</v>
      </c>
      <c r="Y1339" s="115">
        <f t="shared" si="164"/>
        <v>0</v>
      </c>
      <c r="Z1339" s="115" t="e">
        <f t="shared" si="165"/>
        <v>#VALUE!</v>
      </c>
      <c r="AA1339" s="115">
        <f t="shared" si="166"/>
        <v>0</v>
      </c>
      <c r="AD1339" s="374" t="s">
        <v>318</v>
      </c>
      <c r="AE1339" s="374"/>
      <c r="AF1339" s="374"/>
      <c r="AG1339" s="178">
        <f>COUNTIFS(D:D,"DD",G:G,"STANGS",L:L,"3;1",V:V,"JAH")+COUNTIFS(D:D,"DD",G:G,"STANGS",L:L,"3;1",V:V,"EI")</f>
        <v>0</v>
      </c>
      <c r="AH1339" s="115"/>
      <c r="AI1339" s="374" t="s">
        <v>318</v>
      </c>
      <c r="AJ1339" s="374"/>
      <c r="AK1339" s="374"/>
      <c r="AL1339" s="178">
        <f>COUNTIFS(D:D,"DD",G:G,"STANGS",L:L,"3;0",V:V,"JAH")+COUNTIFS(D:D,"DD",G:G,"STANGS",L:L,"3;0",V:V,"EI")</f>
        <v>0</v>
      </c>
      <c r="AM1339" s="115"/>
      <c r="AN1339" s="374" t="s">
        <v>318</v>
      </c>
      <c r="AO1339" s="374"/>
      <c r="AP1339" s="374"/>
      <c r="AQ1339" s="178">
        <f>COUNTIFS(D:D,"DD",G:G,"STANGS",L:L,"3;-1",V:V,"JAH")+COUNTIFS(D:D,"DD",G:G,"STANGS",L:L,"3;-1",V:V,"EI")</f>
        <v>0</v>
      </c>
      <c r="AS1339" s="115"/>
      <c r="AT1339" s="115"/>
      <c r="AU1339" s="115"/>
      <c r="AV1339" s="115"/>
      <c r="AW1339" s="115"/>
    </row>
    <row r="1340" spans="15:49">
      <c r="O1340" s="91"/>
      <c r="X1340" s="115">
        <f t="shared" si="163"/>
        <v>0</v>
      </c>
      <c r="Y1340" s="115">
        <f t="shared" si="164"/>
        <v>0</v>
      </c>
      <c r="Z1340" s="115" t="e">
        <f t="shared" si="165"/>
        <v>#VALUE!</v>
      </c>
      <c r="AA1340" s="115">
        <f t="shared" si="166"/>
        <v>0</v>
      </c>
      <c r="AD1340" s="374" t="s">
        <v>291</v>
      </c>
      <c r="AE1340" s="374"/>
      <c r="AF1340" s="374"/>
      <c r="AG1340" s="115">
        <f>COUNTIFS(D:D,"DD",G:G,"STANGS",L:L,"3;1",V:V,"EI")</f>
        <v>0</v>
      </c>
      <c r="AH1340" s="115"/>
      <c r="AI1340" s="374" t="s">
        <v>291</v>
      </c>
      <c r="AJ1340" s="374"/>
      <c r="AK1340" s="374"/>
      <c r="AL1340" s="115">
        <f>COUNTIFS(D:D,"DD",G:G,"STANGS",L:L,"3;0",V:V,"EI")</f>
        <v>0</v>
      </c>
      <c r="AM1340" s="115"/>
      <c r="AN1340" s="374" t="s">
        <v>291</v>
      </c>
      <c r="AO1340" s="374"/>
      <c r="AP1340" s="374"/>
      <c r="AQ1340" s="115">
        <f>COUNTIFS(D:D,"DD",G:G,"STANGS",L:L,"3;-1",V:V,"EI")</f>
        <v>0</v>
      </c>
      <c r="AS1340" s="115"/>
      <c r="AT1340" s="115"/>
      <c r="AU1340" s="115"/>
      <c r="AV1340" s="115"/>
      <c r="AW1340" s="115"/>
    </row>
    <row r="1341" spans="15:49">
      <c r="O1341" s="91"/>
      <c r="X1341" s="115">
        <f t="shared" si="163"/>
        <v>0</v>
      </c>
      <c r="Y1341" s="115">
        <f t="shared" si="164"/>
        <v>0</v>
      </c>
      <c r="Z1341" s="115" t="e">
        <f t="shared" si="165"/>
        <v>#VALUE!</v>
      </c>
      <c r="AA1341" s="115">
        <f t="shared" si="166"/>
        <v>0</v>
      </c>
      <c r="AD1341" s="374" t="s">
        <v>292</v>
      </c>
      <c r="AE1341" s="374"/>
      <c r="AF1341" s="374"/>
      <c r="AG1341" s="151" t="e">
        <f>AG1340/AG1339</f>
        <v>#DIV/0!</v>
      </c>
      <c r="AH1341" s="115"/>
      <c r="AI1341" s="374" t="s">
        <v>292</v>
      </c>
      <c r="AJ1341" s="374"/>
      <c r="AK1341" s="374"/>
      <c r="AL1341" s="151" t="e">
        <f>AL1340/AL1339</f>
        <v>#DIV/0!</v>
      </c>
      <c r="AM1341" s="115"/>
      <c r="AN1341" s="374" t="s">
        <v>292</v>
      </c>
      <c r="AO1341" s="374"/>
      <c r="AP1341" s="374"/>
      <c r="AQ1341" s="151" t="e">
        <f>AQ1340/AQ1339</f>
        <v>#DIV/0!</v>
      </c>
      <c r="AS1341" s="115"/>
      <c r="AT1341" s="115"/>
      <c r="AU1341" s="115"/>
      <c r="AV1341" s="115"/>
      <c r="AW1341" s="115"/>
    </row>
    <row r="1342" spans="15:49">
      <c r="O1342" s="91"/>
      <c r="X1342" s="115">
        <f t="shared" si="163"/>
        <v>0</v>
      </c>
      <c r="Y1342" s="115">
        <f t="shared" si="164"/>
        <v>0</v>
      </c>
      <c r="Z1342" s="115" t="e">
        <f t="shared" si="165"/>
        <v>#VALUE!</v>
      </c>
      <c r="AA1342" s="115">
        <f t="shared" si="166"/>
        <v>0</v>
      </c>
      <c r="AD1342" s="374" t="s">
        <v>724</v>
      </c>
      <c r="AE1342" s="374"/>
      <c r="AF1342" s="374"/>
      <c r="AG1342" s="115">
        <f>COUNTIFS(D:D,"DD",G:G,"STANGS",L:L,"3;1",F:F,"ATONGOAL")</f>
        <v>0</v>
      </c>
      <c r="AH1342" s="115"/>
      <c r="AI1342" s="374" t="s">
        <v>724</v>
      </c>
      <c r="AJ1342" s="374"/>
      <c r="AK1342" s="374"/>
      <c r="AL1342" s="115">
        <f>COUNTIFS(D:D,"DD",G:G,"STANGS",L:L,"3;0",F:F,"ATONGOAL")</f>
        <v>0</v>
      </c>
      <c r="AM1342" s="115"/>
      <c r="AN1342" s="374" t="s">
        <v>724</v>
      </c>
      <c r="AO1342" s="374"/>
      <c r="AP1342" s="374"/>
      <c r="AQ1342" s="115">
        <f>COUNTIFS(D:D,"DD",G:G,"STANGS",L:L,"3;-1",F:F,"ATONGOAL")</f>
        <v>0</v>
      </c>
      <c r="AS1342" s="115"/>
      <c r="AT1342" s="115"/>
      <c r="AU1342" s="115"/>
      <c r="AV1342" s="115"/>
      <c r="AW1342" s="115"/>
    </row>
    <row r="1343" spans="15:49">
      <c r="O1343" s="91"/>
      <c r="X1343" s="115">
        <f t="shared" si="163"/>
        <v>0</v>
      </c>
      <c r="Y1343" s="115">
        <f t="shared" si="164"/>
        <v>0</v>
      </c>
      <c r="Z1343" s="115" t="e">
        <f t="shared" si="165"/>
        <v>#VALUE!</v>
      </c>
      <c r="AA1343" s="115">
        <f t="shared" si="166"/>
        <v>0</v>
      </c>
      <c r="AD1343" s="374" t="s">
        <v>336</v>
      </c>
      <c r="AE1343" s="374"/>
      <c r="AF1343" s="374"/>
      <c r="AG1343" s="115">
        <f>COUNTIFS(D:D,"DD",G:G,"STANGS",L:L,"3;1",F:F,"ATON")</f>
        <v>0</v>
      </c>
      <c r="AH1343" s="115"/>
      <c r="AI1343" s="374" t="s">
        <v>336</v>
      </c>
      <c r="AJ1343" s="374"/>
      <c r="AK1343" s="374"/>
      <c r="AL1343" s="115">
        <f>COUNTIFS(D:D,"DD",G:G,"STANGS",L:L,"3;0",F:F,"ATON")</f>
        <v>0</v>
      </c>
      <c r="AM1343" s="115"/>
      <c r="AN1343" s="374" t="s">
        <v>336</v>
      </c>
      <c r="AO1343" s="374"/>
      <c r="AP1343" s="374"/>
      <c r="AQ1343" s="115">
        <f>COUNTIFS(D:D,"DD",G:G,"STANGS",L:L,"3;-1",F:F,"ATON")</f>
        <v>0</v>
      </c>
      <c r="AS1343" s="115"/>
      <c r="AT1343" s="115"/>
      <c r="AU1343" s="115"/>
      <c r="AV1343" s="115"/>
      <c r="AW1343" s="115"/>
    </row>
    <row r="1344" spans="15:49" s="115" customFormat="1">
      <c r="O1344" s="91"/>
      <c r="X1344" s="115">
        <f t="shared" si="163"/>
        <v>0</v>
      </c>
      <c r="Y1344" s="115">
        <f t="shared" si="164"/>
        <v>0</v>
      </c>
      <c r="Z1344" s="115" t="e">
        <f t="shared" si="165"/>
        <v>#VALUE!</v>
      </c>
      <c r="AA1344" s="115">
        <f t="shared" si="166"/>
        <v>0</v>
      </c>
      <c r="AB1344" s="246"/>
      <c r="AD1344" s="374" t="s">
        <v>337</v>
      </c>
      <c r="AE1344" s="374"/>
      <c r="AF1344" s="374"/>
      <c r="AG1344" s="115">
        <f>COUNTIFS(D:D,"DD",G:G,"STANGS",L:L,"3;1",F:F,"ATOF")</f>
        <v>0</v>
      </c>
      <c r="AI1344" s="374" t="s">
        <v>337</v>
      </c>
      <c r="AJ1344" s="374"/>
      <c r="AK1344" s="374"/>
      <c r="AL1344" s="115">
        <f>COUNTIFS(D:D,"DD",G:G,"STANGS",L:L,"3;0",F:F,"ATOF")</f>
        <v>0</v>
      </c>
      <c r="AN1344" s="374" t="s">
        <v>337</v>
      </c>
      <c r="AO1344" s="374"/>
      <c r="AP1344" s="374"/>
      <c r="AQ1344" s="115">
        <f>COUNTIFS(D:D,"DD",G:G,"STANGS",L:L,"3;-1",F:F,"ATOF")</f>
        <v>0</v>
      </c>
    </row>
    <row r="1345" spans="15:49" s="115" customFormat="1">
      <c r="O1345" s="91"/>
      <c r="X1345" s="115">
        <f t="shared" si="163"/>
        <v>0</v>
      </c>
      <c r="Y1345" s="115">
        <f t="shared" si="164"/>
        <v>0</v>
      </c>
      <c r="Z1345" s="115" t="e">
        <f t="shared" si="165"/>
        <v>#VALUE!</v>
      </c>
      <c r="AA1345" s="115">
        <f t="shared" si="166"/>
        <v>0</v>
      </c>
      <c r="AB1345" s="246"/>
      <c r="AD1345" s="374" t="s">
        <v>338</v>
      </c>
      <c r="AE1345" s="374"/>
      <c r="AF1345" s="374"/>
      <c r="AG1345" s="115">
        <f>COUNTIFS(D:D,"DD",G:G,"STANGS",L:L,"3;1",F:F,"ATBK")</f>
        <v>0</v>
      </c>
      <c r="AI1345" s="374" t="s">
        <v>338</v>
      </c>
      <c r="AJ1345" s="374"/>
      <c r="AK1345" s="374"/>
      <c r="AL1345" s="115">
        <f>COUNTIFS(D:D,"DD",G:G,"STANGS",L:L,"3;0",F:F,"ATBK")</f>
        <v>0</v>
      </c>
      <c r="AN1345" s="374" t="s">
        <v>338</v>
      </c>
      <c r="AO1345" s="374"/>
      <c r="AP1345" s="374"/>
      <c r="AQ1345" s="115">
        <f>COUNTIFS(D:D,"DD",G:G,"STANGS",L:L,"3;-1",F:F,"ATBK")</f>
        <v>0</v>
      </c>
    </row>
    <row r="1346" spans="15:49">
      <c r="O1346" s="91"/>
      <c r="X1346" s="115">
        <f t="shared" si="163"/>
        <v>0</v>
      </c>
      <c r="Y1346" s="115">
        <f t="shared" si="164"/>
        <v>0</v>
      </c>
      <c r="Z1346" s="115" t="e">
        <f t="shared" si="165"/>
        <v>#VALUE!</v>
      </c>
      <c r="AA1346" s="115">
        <f t="shared" si="166"/>
        <v>0</v>
      </c>
      <c r="AD1346" s="374" t="s">
        <v>315</v>
      </c>
      <c r="AE1346" s="374"/>
      <c r="AF1346" s="374"/>
      <c r="AG1346" s="115">
        <f>COUNTIFS(D:D,"DD",G:G,"STANGS",L:L,"3;1",E:E,"NEG",F:F,"WINSTAN")</f>
        <v>0</v>
      </c>
      <c r="AH1346" s="115"/>
      <c r="AI1346" s="374" t="s">
        <v>315</v>
      </c>
      <c r="AJ1346" s="374"/>
      <c r="AK1346" s="374"/>
      <c r="AL1346" s="115">
        <f>COUNTIFS(D:D,"DD",G:G,"STANGS",L:L,"3;0",E:E,"NEG",F:F,"WINSTAN")</f>
        <v>0</v>
      </c>
      <c r="AM1346" s="115"/>
      <c r="AN1346" s="374" t="s">
        <v>315</v>
      </c>
      <c r="AO1346" s="374"/>
      <c r="AP1346" s="374"/>
      <c r="AQ1346" s="115">
        <f>COUNTIFS(D:D,"DD",G:G,"STANGS",L:L,"3;-1",E:E,"NEG",F:F,"WINSTAN")</f>
        <v>0</v>
      </c>
      <c r="AS1346" s="115"/>
      <c r="AT1346" s="115"/>
      <c r="AU1346" s="115"/>
      <c r="AV1346" s="115"/>
      <c r="AW1346" s="115"/>
    </row>
    <row r="1347" spans="15:49" s="115" customFormat="1">
      <c r="O1347" s="91"/>
      <c r="X1347" s="115">
        <f t="shared" ref="X1347:X1410" si="167">mapValues(E1347,F1347,"P265")</f>
        <v>0</v>
      </c>
      <c r="Y1347" s="115">
        <f t="shared" ref="Y1347:Y1410" si="168">X1346+X1347</f>
        <v>0</v>
      </c>
      <c r="Z1347" s="115" t="e">
        <f t="shared" ref="Z1347:Z1410" si="169">VALUE(MID(B1347,FIND(" ",B1347)+1,FIND(" ",B1347,FIND(" ",B1347)+1)-FIND(" ",B1347)))</f>
        <v>#VALUE!</v>
      </c>
      <c r="AA1347" s="115">
        <f t="shared" ref="AA1347:AA1410" si="170">T1347/1000</f>
        <v>0</v>
      </c>
      <c r="AB1347" s="246"/>
      <c r="AD1347" s="374" t="s">
        <v>339</v>
      </c>
      <c r="AE1347" s="374"/>
      <c r="AF1347" s="374"/>
      <c r="AG1347" s="115">
        <f>COUNTIFS(D:D,"DD",G:G,"STANGS",L:L,"3;1",E:E,"NEG",F:F,"WINSTANTI")</f>
        <v>0</v>
      </c>
      <c r="AI1347" s="374" t="s">
        <v>339</v>
      </c>
      <c r="AJ1347" s="374"/>
      <c r="AK1347" s="374"/>
      <c r="AL1347" s="115">
        <f>COUNTIFS(D:D,"DD",G:G,"STANGS",L:L,"3;0",E:E,"NEG",F:F,"WINSTANTI")</f>
        <v>0</v>
      </c>
      <c r="AN1347" s="374" t="s">
        <v>339</v>
      </c>
      <c r="AO1347" s="374"/>
      <c r="AP1347" s="374"/>
      <c r="AQ1347" s="115">
        <f>COUNTIFS(D:D,"DD",G:G,"STANGS",L:L,"3;-1",E:E,"NEG",F:F,"WINSTANTI")</f>
        <v>0</v>
      </c>
    </row>
    <row r="1348" spans="15:49">
      <c r="O1348" s="91"/>
      <c r="X1348" s="115">
        <f t="shared" si="167"/>
        <v>0</v>
      </c>
      <c r="Y1348" s="115">
        <f t="shared" si="168"/>
        <v>0</v>
      </c>
      <c r="Z1348" s="115" t="e">
        <f t="shared" si="169"/>
        <v>#VALUE!</v>
      </c>
      <c r="AA1348" s="115">
        <f t="shared" si="170"/>
        <v>0</v>
      </c>
      <c r="AD1348" s="374" t="s">
        <v>316</v>
      </c>
      <c r="AE1348" s="374"/>
      <c r="AF1348" s="374"/>
      <c r="AG1348" s="115">
        <f>COUNTIFS(D:D,"DD",G:G,"STANGS",L:L,"3;1",F:F,"ENTRY")</f>
        <v>0</v>
      </c>
      <c r="AH1348" s="115"/>
      <c r="AI1348" s="374" t="s">
        <v>316</v>
      </c>
      <c r="AJ1348" s="374"/>
      <c r="AK1348" s="374"/>
      <c r="AL1348" s="115">
        <f>COUNTIFS(D:D,"DD",G:G,"STANGS",L:L,"3;0",F:F,"ENTRY")</f>
        <v>0</v>
      </c>
      <c r="AM1348" s="115"/>
      <c r="AN1348" s="374" t="s">
        <v>316</v>
      </c>
      <c r="AO1348" s="374"/>
      <c r="AP1348" s="374"/>
      <c r="AQ1348" s="115">
        <f>COUNTIFS(D:D,"DD",G:G,"STANGS",L:L,"3;-1",F:F,"ENTRY")</f>
        <v>0</v>
      </c>
      <c r="AS1348" s="115"/>
      <c r="AT1348" s="115"/>
      <c r="AU1348" s="115"/>
      <c r="AV1348" s="115"/>
      <c r="AW1348" s="115"/>
    </row>
    <row r="1349" spans="15:49">
      <c r="O1349" s="91"/>
      <c r="X1349" s="115">
        <f t="shared" si="167"/>
        <v>0</v>
      </c>
      <c r="Y1349" s="115">
        <f t="shared" si="168"/>
        <v>0</v>
      </c>
      <c r="Z1349" s="115" t="e">
        <f t="shared" si="169"/>
        <v>#VALUE!</v>
      </c>
      <c r="AA1349" s="115">
        <f t="shared" si="170"/>
        <v>0</v>
      </c>
      <c r="AD1349" s="374" t="s">
        <v>293</v>
      </c>
      <c r="AE1349" s="374"/>
      <c r="AF1349" s="374"/>
      <c r="AG1349" s="115">
        <f>COUNTIFS(D:D,"DD",G:G,"STANGS",L:L,"3;1",F:F,"KEEPOS")</f>
        <v>0</v>
      </c>
      <c r="AH1349" s="115"/>
      <c r="AI1349" s="374" t="s">
        <v>293</v>
      </c>
      <c r="AJ1349" s="374"/>
      <c r="AK1349" s="374"/>
      <c r="AL1349" s="115">
        <f>COUNTIFS(D:D,"DD",G:G,"STANGS",L:L,"3;0",F:F,"KEEPOS")</f>
        <v>0</v>
      </c>
      <c r="AM1349" s="115"/>
      <c r="AN1349" s="374" t="s">
        <v>293</v>
      </c>
      <c r="AO1349" s="374"/>
      <c r="AP1349" s="374"/>
      <c r="AQ1349" s="115">
        <f>COUNTIFS(D:D,"DD",G:G,"STANGS",L:L,"3;-1",F:F,"KEEPOS")</f>
        <v>0</v>
      </c>
      <c r="AS1349" s="115"/>
      <c r="AT1349" s="115"/>
      <c r="AU1349" s="115"/>
      <c r="AV1349" s="115"/>
      <c r="AW1349" s="115"/>
    </row>
    <row r="1350" spans="15:49">
      <c r="O1350" s="91"/>
      <c r="X1350" s="115">
        <f t="shared" si="167"/>
        <v>0</v>
      </c>
      <c r="Y1350" s="115">
        <f t="shared" si="168"/>
        <v>0</v>
      </c>
      <c r="Z1350" s="115" t="e">
        <f t="shared" si="169"/>
        <v>#VALUE!</v>
      </c>
      <c r="AA1350" s="115">
        <f t="shared" si="170"/>
        <v>0</v>
      </c>
      <c r="AD1350" s="374" t="s">
        <v>319</v>
      </c>
      <c r="AE1350" s="374"/>
      <c r="AF1350" s="374"/>
      <c r="AG1350" s="151" t="e">
        <f>SUM(AG1342:AG1349)/AG1336</f>
        <v>#DIV/0!</v>
      </c>
      <c r="AH1350" s="115"/>
      <c r="AI1350" s="374" t="s">
        <v>319</v>
      </c>
      <c r="AJ1350" s="374"/>
      <c r="AK1350" s="374"/>
      <c r="AL1350" s="151" t="e">
        <f>SUM(AL1342:AL1349)/AL1336</f>
        <v>#DIV/0!</v>
      </c>
      <c r="AM1350" s="115"/>
      <c r="AN1350" s="374" t="s">
        <v>319</v>
      </c>
      <c r="AO1350" s="374"/>
      <c r="AP1350" s="374"/>
      <c r="AQ1350" s="151" t="e">
        <f>SUM(AQ1342:AQ1349)/AQ1336</f>
        <v>#DIV/0!</v>
      </c>
      <c r="AS1350" s="115"/>
      <c r="AT1350" s="115"/>
      <c r="AU1350" s="115"/>
      <c r="AV1350" s="115"/>
      <c r="AW1350" s="115"/>
    </row>
    <row r="1351" spans="15:49">
      <c r="O1351" s="91"/>
      <c r="X1351" s="115">
        <f t="shared" si="167"/>
        <v>0</v>
      </c>
      <c r="Y1351" s="115">
        <f t="shared" si="168"/>
        <v>0</v>
      </c>
      <c r="Z1351" s="115" t="e">
        <f t="shared" si="169"/>
        <v>#VALUE!</v>
      </c>
      <c r="AA1351" s="115">
        <f t="shared" si="170"/>
        <v>0</v>
      </c>
      <c r="AD1351" s="115"/>
      <c r="AE1351" s="115"/>
      <c r="AF1351" s="115"/>
      <c r="AG1351" s="115"/>
      <c r="AH1351" s="115"/>
      <c r="AI1351" s="115"/>
      <c r="AJ1351" s="115"/>
      <c r="AK1351" s="115"/>
      <c r="AL1351" s="115"/>
      <c r="AM1351" s="115"/>
      <c r="AN1351" s="115"/>
      <c r="AO1351" s="115"/>
      <c r="AP1351" s="115"/>
      <c r="AQ1351" s="115"/>
      <c r="AS1351" s="115"/>
      <c r="AT1351" s="115"/>
      <c r="AU1351" s="115"/>
      <c r="AV1351" s="115"/>
      <c r="AW1351" s="115"/>
    </row>
    <row r="1352" spans="15:49">
      <c r="O1352" s="91"/>
      <c r="X1352" s="115">
        <f t="shared" si="167"/>
        <v>0</v>
      </c>
      <c r="Y1352" s="115">
        <f t="shared" si="168"/>
        <v>0</v>
      </c>
      <c r="Z1352" s="115" t="e">
        <f t="shared" si="169"/>
        <v>#VALUE!</v>
      </c>
      <c r="AA1352" s="115">
        <f t="shared" si="170"/>
        <v>0</v>
      </c>
      <c r="AD1352" s="384" t="s">
        <v>270</v>
      </c>
      <c r="AE1352" s="385"/>
      <c r="AF1352" s="385"/>
      <c r="AG1352" s="207">
        <f>COUNTIFS(D:D,"DD",G:G,"STANGS",L:L,"4;1")</f>
        <v>0</v>
      </c>
      <c r="AH1352" s="115"/>
      <c r="AI1352" s="374" t="s">
        <v>270</v>
      </c>
      <c r="AJ1352" s="374"/>
      <c r="AK1352" s="374"/>
      <c r="AL1352" s="115">
        <f>COUNTIFS(D:D,"DD",G:G,"STANGS",L:L,"4;0")</f>
        <v>0</v>
      </c>
      <c r="AM1352" s="115"/>
      <c r="AN1352" s="384" t="s">
        <v>270</v>
      </c>
      <c r="AO1352" s="385"/>
      <c r="AP1352" s="385"/>
      <c r="AQ1352" s="207">
        <f>COUNTIFS(D:D,"DD",G:G,"STANGS",L:L,"4;-1")</f>
        <v>0</v>
      </c>
      <c r="AS1352" s="115"/>
      <c r="AT1352" s="115"/>
      <c r="AU1352" s="115"/>
      <c r="AV1352" s="115"/>
      <c r="AW1352" s="115"/>
    </row>
    <row r="1353" spans="15:49">
      <c r="O1353" s="91"/>
      <c r="X1353" s="115">
        <f t="shared" si="167"/>
        <v>0</v>
      </c>
      <c r="Y1353" s="115">
        <f t="shared" si="168"/>
        <v>0</v>
      </c>
      <c r="Z1353" s="115" t="e">
        <f t="shared" si="169"/>
        <v>#VALUE!</v>
      </c>
      <c r="AA1353" s="115">
        <f t="shared" si="170"/>
        <v>0</v>
      </c>
      <c r="AD1353" s="375" t="s">
        <v>271</v>
      </c>
      <c r="AE1353" s="376"/>
      <c r="AF1353" s="376"/>
      <c r="AG1353" s="209">
        <f>COUNTIFS(D:D,"DD",G:G,"STANGS",L:L,"4;1",P:P,"EI")</f>
        <v>0</v>
      </c>
      <c r="AH1353" s="115"/>
      <c r="AI1353" s="374" t="s">
        <v>271</v>
      </c>
      <c r="AJ1353" s="374"/>
      <c r="AK1353" s="374"/>
      <c r="AL1353" s="115">
        <f>COUNTIFS(D:D,"DD",G:G,"STANGS",L:L,"4;0",P:P,"EI")</f>
        <v>0</v>
      </c>
      <c r="AM1353" s="115"/>
      <c r="AN1353" s="375" t="s">
        <v>271</v>
      </c>
      <c r="AO1353" s="376"/>
      <c r="AP1353" s="376"/>
      <c r="AQ1353" s="209">
        <f>COUNTIFS(D:D,"DD",G:G,"STANGS",L:L,"4;-1",P:P,"EI")</f>
        <v>0</v>
      </c>
      <c r="AS1353" s="115"/>
      <c r="AT1353" s="115"/>
      <c r="AU1353" s="115"/>
      <c r="AV1353" s="115"/>
      <c r="AW1353" s="115"/>
    </row>
    <row r="1354" spans="15:49">
      <c r="O1354" s="91"/>
      <c r="X1354" s="115">
        <f t="shared" si="167"/>
        <v>0</v>
      </c>
      <c r="Y1354" s="115">
        <f t="shared" si="168"/>
        <v>0</v>
      </c>
      <c r="Z1354" s="115" t="e">
        <f t="shared" si="169"/>
        <v>#VALUE!</v>
      </c>
      <c r="AA1354" s="115">
        <f t="shared" si="170"/>
        <v>0</v>
      </c>
      <c r="AD1354" s="375" t="s">
        <v>272</v>
      </c>
      <c r="AE1354" s="376"/>
      <c r="AF1354" s="376"/>
      <c r="AG1354" s="253" t="e">
        <f>AG1353/AG1352</f>
        <v>#DIV/0!</v>
      </c>
      <c r="AH1354" s="115"/>
      <c r="AI1354" s="374" t="s">
        <v>272</v>
      </c>
      <c r="AJ1354" s="374"/>
      <c r="AK1354" s="374"/>
      <c r="AL1354" s="151" t="e">
        <f>AL1353/AL1352</f>
        <v>#DIV/0!</v>
      </c>
      <c r="AM1354" s="115"/>
      <c r="AN1354" s="375" t="s">
        <v>272</v>
      </c>
      <c r="AO1354" s="376"/>
      <c r="AP1354" s="376"/>
      <c r="AQ1354" s="253" t="e">
        <f>AQ1353/AQ1352</f>
        <v>#DIV/0!</v>
      </c>
      <c r="AS1354" s="115"/>
      <c r="AT1354" s="115"/>
      <c r="AU1354" s="115"/>
      <c r="AV1354" s="115"/>
      <c r="AW1354" s="115"/>
    </row>
    <row r="1355" spans="15:49">
      <c r="O1355" s="91"/>
      <c r="X1355" s="115">
        <f t="shared" si="167"/>
        <v>0</v>
      </c>
      <c r="Y1355" s="115">
        <f t="shared" si="168"/>
        <v>0</v>
      </c>
      <c r="Z1355" s="115" t="e">
        <f t="shared" si="169"/>
        <v>#VALUE!</v>
      </c>
      <c r="AA1355" s="115">
        <f t="shared" si="170"/>
        <v>0</v>
      </c>
      <c r="AD1355" s="375" t="s">
        <v>318</v>
      </c>
      <c r="AE1355" s="376"/>
      <c r="AF1355" s="376"/>
      <c r="AG1355" s="254">
        <f>COUNTIFS(D:D,"DD",G:G,"STANGS",L:L,"4;1",V:V,"JAH")+COUNTIFS(D:D,"DD",G:G,"STANGS",L:L,"4;1",V:V,"EI")</f>
        <v>0</v>
      </c>
      <c r="AH1355" s="115"/>
      <c r="AI1355" s="374" t="s">
        <v>318</v>
      </c>
      <c r="AJ1355" s="374"/>
      <c r="AK1355" s="374"/>
      <c r="AL1355" s="178">
        <f>COUNTIFS(D:D,"DD",G:G,"STANGS",L:L,"4;0",V:V,"JAH")+COUNTIFS(D:D,"DD",G:G,"STANGS",L:L,"4;0",V:V,"EI")</f>
        <v>0</v>
      </c>
      <c r="AM1355" s="115"/>
      <c r="AN1355" s="375" t="s">
        <v>318</v>
      </c>
      <c r="AO1355" s="376"/>
      <c r="AP1355" s="376"/>
      <c r="AQ1355" s="254">
        <f>COUNTIFS(D:D,"DD",G:G,"STANGS",L:L,"4;-1",V:V,"JAH")+COUNTIFS(D:D,"DD",G:G,"STANGS",L:L,"4;-1",V:V,"EI")</f>
        <v>0</v>
      </c>
      <c r="AS1355" s="115"/>
      <c r="AT1355" s="115"/>
      <c r="AU1355" s="115"/>
      <c r="AV1355" s="115"/>
      <c r="AW1355" s="115"/>
    </row>
    <row r="1356" spans="15:49">
      <c r="O1356" s="91"/>
      <c r="X1356" s="115">
        <f t="shared" si="167"/>
        <v>0</v>
      </c>
      <c r="Y1356" s="115">
        <f t="shared" si="168"/>
        <v>0</v>
      </c>
      <c r="Z1356" s="115" t="e">
        <f t="shared" si="169"/>
        <v>#VALUE!</v>
      </c>
      <c r="AA1356" s="115">
        <f t="shared" si="170"/>
        <v>0</v>
      </c>
      <c r="AD1356" s="375" t="s">
        <v>291</v>
      </c>
      <c r="AE1356" s="376"/>
      <c r="AF1356" s="376"/>
      <c r="AG1356" s="209">
        <f>COUNTIFS(D:D,"DD",G:G,"STANGS",L:L,"4;1",V:V,"EI")</f>
        <v>0</v>
      </c>
      <c r="AH1356" s="115"/>
      <c r="AI1356" s="374" t="s">
        <v>291</v>
      </c>
      <c r="AJ1356" s="374"/>
      <c r="AK1356" s="374"/>
      <c r="AL1356" s="115">
        <f>COUNTIFS(D:D,"DD",G:G,"STANGS",L:L,"4;0",V:V,"EI")</f>
        <v>0</v>
      </c>
      <c r="AM1356" s="115"/>
      <c r="AN1356" s="375" t="s">
        <v>291</v>
      </c>
      <c r="AO1356" s="376"/>
      <c r="AP1356" s="376"/>
      <c r="AQ1356" s="209">
        <f>COUNTIFS(D:D,"DD",G:G,"STANGS",L:L,"4;-1",V:V,"EI")</f>
        <v>0</v>
      </c>
      <c r="AS1356" s="115"/>
      <c r="AT1356" s="115"/>
      <c r="AU1356" s="115"/>
      <c r="AV1356" s="115"/>
      <c r="AW1356" s="115"/>
    </row>
    <row r="1357" spans="15:49">
      <c r="O1357" s="91"/>
      <c r="X1357" s="115">
        <f t="shared" si="167"/>
        <v>0</v>
      </c>
      <c r="Y1357" s="115">
        <f t="shared" si="168"/>
        <v>0</v>
      </c>
      <c r="Z1357" s="115" t="e">
        <f t="shared" si="169"/>
        <v>#VALUE!</v>
      </c>
      <c r="AA1357" s="115">
        <f t="shared" si="170"/>
        <v>0</v>
      </c>
      <c r="AD1357" s="375" t="s">
        <v>292</v>
      </c>
      <c r="AE1357" s="376"/>
      <c r="AF1357" s="376"/>
      <c r="AG1357" s="253" t="e">
        <f>AG1356/AG1355</f>
        <v>#DIV/0!</v>
      </c>
      <c r="AH1357" s="115"/>
      <c r="AI1357" s="374" t="s">
        <v>292</v>
      </c>
      <c r="AJ1357" s="374"/>
      <c r="AK1357" s="374"/>
      <c r="AL1357" s="151" t="e">
        <f>AL1356/AL1355</f>
        <v>#DIV/0!</v>
      </c>
      <c r="AM1357" s="115"/>
      <c r="AN1357" s="375" t="s">
        <v>292</v>
      </c>
      <c r="AO1357" s="376"/>
      <c r="AP1357" s="376"/>
      <c r="AQ1357" s="253" t="e">
        <f>AQ1356/AQ1355</f>
        <v>#DIV/0!</v>
      </c>
      <c r="AS1357" s="115"/>
      <c r="AT1357" s="115"/>
      <c r="AU1357" s="115"/>
      <c r="AV1357" s="115"/>
      <c r="AW1357" s="115"/>
    </row>
    <row r="1358" spans="15:49">
      <c r="O1358" s="91"/>
      <c r="X1358" s="115">
        <f t="shared" si="167"/>
        <v>0</v>
      </c>
      <c r="Y1358" s="115">
        <f t="shared" si="168"/>
        <v>0</v>
      </c>
      <c r="Z1358" s="115" t="e">
        <f t="shared" si="169"/>
        <v>#VALUE!</v>
      </c>
      <c r="AA1358" s="115">
        <f t="shared" si="170"/>
        <v>0</v>
      </c>
      <c r="AD1358" s="375" t="s">
        <v>724</v>
      </c>
      <c r="AE1358" s="376"/>
      <c r="AF1358" s="376"/>
      <c r="AG1358" s="209">
        <f>COUNTIFS(D:D,"DD",G:G,"STANGS",L:L,"4;1",F:F,"ATONGOAL")</f>
        <v>0</v>
      </c>
      <c r="AH1358" s="115"/>
      <c r="AI1358" s="374" t="s">
        <v>724</v>
      </c>
      <c r="AJ1358" s="374"/>
      <c r="AK1358" s="374"/>
      <c r="AL1358" s="115">
        <f>COUNTIFS(D:D,"DD",G:G,"STANGS",L:L,"4;0",F:F,"ATONGOAL")</f>
        <v>0</v>
      </c>
      <c r="AM1358" s="115"/>
      <c r="AN1358" s="375" t="s">
        <v>724</v>
      </c>
      <c r="AO1358" s="376"/>
      <c r="AP1358" s="376"/>
      <c r="AQ1358" s="209">
        <f>COUNTIFS(D:D,"DD",G:G,"STANGS",L:L,"4;-1",F:F,"ATONGOAL")</f>
        <v>0</v>
      </c>
      <c r="AS1358" s="115"/>
      <c r="AT1358" s="115"/>
      <c r="AU1358" s="115"/>
      <c r="AV1358" s="115"/>
      <c r="AW1358" s="115"/>
    </row>
    <row r="1359" spans="15:49">
      <c r="O1359" s="91"/>
      <c r="X1359" s="115">
        <f t="shared" si="167"/>
        <v>0</v>
      </c>
      <c r="Y1359" s="115">
        <f t="shared" si="168"/>
        <v>0</v>
      </c>
      <c r="Z1359" s="115" t="e">
        <f t="shared" si="169"/>
        <v>#VALUE!</v>
      </c>
      <c r="AA1359" s="115">
        <f t="shared" si="170"/>
        <v>0</v>
      </c>
      <c r="AD1359" s="375" t="s">
        <v>336</v>
      </c>
      <c r="AE1359" s="376"/>
      <c r="AF1359" s="376"/>
      <c r="AG1359" s="209">
        <f>COUNTIFS(D:D,"DD",G:G,"STANGS",L:L,"4;1",F:F,"ATON")</f>
        <v>0</v>
      </c>
      <c r="AH1359" s="115"/>
      <c r="AI1359" s="374" t="s">
        <v>336</v>
      </c>
      <c r="AJ1359" s="374"/>
      <c r="AK1359" s="374"/>
      <c r="AL1359" s="115">
        <f>COUNTIFS(D:D,"DD",G:G,"STANGS",L:L,"4;0",F:F,"ATON")</f>
        <v>0</v>
      </c>
      <c r="AM1359" s="115"/>
      <c r="AN1359" s="375" t="s">
        <v>336</v>
      </c>
      <c r="AO1359" s="376"/>
      <c r="AP1359" s="376"/>
      <c r="AQ1359" s="209">
        <f>COUNTIFS(D:D,"DD",G:G,"STANGS",L:L,"4;-1",F:F,"ATON")</f>
        <v>0</v>
      </c>
      <c r="AS1359" s="115"/>
      <c r="AT1359" s="115"/>
      <c r="AU1359" s="115"/>
      <c r="AV1359" s="115"/>
      <c r="AW1359" s="115"/>
    </row>
    <row r="1360" spans="15:49" s="115" customFormat="1">
      <c r="O1360" s="91"/>
      <c r="X1360" s="115">
        <f t="shared" si="167"/>
        <v>0</v>
      </c>
      <c r="Y1360" s="115">
        <f t="shared" si="168"/>
        <v>0</v>
      </c>
      <c r="Z1360" s="115" t="e">
        <f t="shared" si="169"/>
        <v>#VALUE!</v>
      </c>
      <c r="AA1360" s="115">
        <f t="shared" si="170"/>
        <v>0</v>
      </c>
      <c r="AB1360" s="246"/>
      <c r="AD1360" s="375" t="s">
        <v>337</v>
      </c>
      <c r="AE1360" s="376"/>
      <c r="AF1360" s="376"/>
      <c r="AG1360" s="209">
        <f>COUNTIFS(D:D,"DD",G:G,"STANGS",L:L,"4;1",F:F,"ATOF")</f>
        <v>0</v>
      </c>
      <c r="AI1360" s="374" t="s">
        <v>337</v>
      </c>
      <c r="AJ1360" s="374"/>
      <c r="AK1360" s="374"/>
      <c r="AL1360" s="115">
        <f>COUNTIFS(D:D,"DD",G:G,"STANGS",L:L,"4;0",F:F,"ATOF")</f>
        <v>0</v>
      </c>
      <c r="AN1360" s="375" t="s">
        <v>337</v>
      </c>
      <c r="AO1360" s="376"/>
      <c r="AP1360" s="376"/>
      <c r="AQ1360" s="209">
        <f>COUNTIFS(D:D,"DD",G:G,"STANGS",L:L,"4;-1",F:F,"ATOF")</f>
        <v>0</v>
      </c>
    </row>
    <row r="1361" spans="15:49" s="115" customFormat="1">
      <c r="O1361" s="91"/>
      <c r="X1361" s="115">
        <f t="shared" si="167"/>
        <v>0</v>
      </c>
      <c r="Y1361" s="115">
        <f t="shared" si="168"/>
        <v>0</v>
      </c>
      <c r="Z1361" s="115" t="e">
        <f t="shared" si="169"/>
        <v>#VALUE!</v>
      </c>
      <c r="AA1361" s="115">
        <f t="shared" si="170"/>
        <v>0</v>
      </c>
      <c r="AB1361" s="246"/>
      <c r="AD1361" s="375" t="s">
        <v>338</v>
      </c>
      <c r="AE1361" s="376"/>
      <c r="AF1361" s="376"/>
      <c r="AG1361" s="209">
        <f>COUNTIFS(D:D,"DD",G:G,"STANGS",L:L,"4;1",F:F,"ATBK")</f>
        <v>0</v>
      </c>
      <c r="AI1361" s="374" t="s">
        <v>338</v>
      </c>
      <c r="AJ1361" s="374"/>
      <c r="AK1361" s="374"/>
      <c r="AL1361" s="115">
        <f>COUNTIFS(D:D,"DD",G:G,"STANGS",L:L,"4;0",F:F,"ATBK")</f>
        <v>0</v>
      </c>
      <c r="AN1361" s="375" t="s">
        <v>338</v>
      </c>
      <c r="AO1361" s="376"/>
      <c r="AP1361" s="376"/>
      <c r="AQ1361" s="209">
        <f>COUNTIFS(D:D,"DD",G:G,"STANGS",L:L,"4;-1",F:F,"ATBK")</f>
        <v>0</v>
      </c>
    </row>
    <row r="1362" spans="15:49">
      <c r="O1362" s="91"/>
      <c r="X1362" s="115">
        <f t="shared" si="167"/>
        <v>0</v>
      </c>
      <c r="Y1362" s="115">
        <f t="shared" si="168"/>
        <v>0</v>
      </c>
      <c r="Z1362" s="115" t="e">
        <f t="shared" si="169"/>
        <v>#VALUE!</v>
      </c>
      <c r="AA1362" s="115">
        <f t="shared" si="170"/>
        <v>0</v>
      </c>
      <c r="AD1362" s="375" t="s">
        <v>315</v>
      </c>
      <c r="AE1362" s="376"/>
      <c r="AF1362" s="376"/>
      <c r="AG1362" s="209">
        <f>COUNTIFS(D:D,"DD",G:G,"STANGS",L:L,"4;1",E:E,"NEG",F:F,"WINSTAN")</f>
        <v>0</v>
      </c>
      <c r="AH1362" s="115"/>
      <c r="AI1362" s="374" t="s">
        <v>315</v>
      </c>
      <c r="AJ1362" s="374"/>
      <c r="AK1362" s="374"/>
      <c r="AL1362" s="115">
        <f>COUNTIFS(D:D,"DD",G:G,"STANGS",L:L,"4;0",E:E,"NEG",F:F,"WINSTAN")</f>
        <v>0</v>
      </c>
      <c r="AM1362" s="115"/>
      <c r="AN1362" s="375" t="s">
        <v>315</v>
      </c>
      <c r="AO1362" s="376"/>
      <c r="AP1362" s="376"/>
      <c r="AQ1362" s="209">
        <f>COUNTIFS(D:D,"DD",G:G,"STANGS",L:L,"4;-1",E:E,"NEG",F:F,"WINSTAN")</f>
        <v>0</v>
      </c>
      <c r="AS1362" s="115"/>
      <c r="AT1362" s="115"/>
      <c r="AU1362" s="115"/>
      <c r="AV1362" s="115"/>
      <c r="AW1362" s="115"/>
    </row>
    <row r="1363" spans="15:49" s="115" customFormat="1">
      <c r="O1363" s="91"/>
      <c r="X1363" s="115">
        <f t="shared" si="167"/>
        <v>0</v>
      </c>
      <c r="Y1363" s="115">
        <f t="shared" si="168"/>
        <v>0</v>
      </c>
      <c r="Z1363" s="115" t="e">
        <f t="shared" si="169"/>
        <v>#VALUE!</v>
      </c>
      <c r="AA1363" s="115">
        <f t="shared" si="170"/>
        <v>0</v>
      </c>
      <c r="AB1363" s="246"/>
      <c r="AD1363" s="375" t="s">
        <v>339</v>
      </c>
      <c r="AE1363" s="376"/>
      <c r="AF1363" s="376"/>
      <c r="AG1363" s="209">
        <f>COUNTIFS(D:D,"DD",G:G,"STANGS",L:L,"4;1",E:E,"NEG",F:F,"WINSTANTI")</f>
        <v>0</v>
      </c>
      <c r="AI1363" s="374" t="s">
        <v>339</v>
      </c>
      <c r="AJ1363" s="374"/>
      <c r="AK1363" s="374"/>
      <c r="AL1363" s="115">
        <f>COUNTIFS(D:D,"DD",G:G,"STANGS",L:L,"4;0",E:E,"NEG",F:F,"WINSTANTI")</f>
        <v>0</v>
      </c>
      <c r="AN1363" s="375" t="s">
        <v>339</v>
      </c>
      <c r="AO1363" s="376"/>
      <c r="AP1363" s="376"/>
      <c r="AQ1363" s="209">
        <f>COUNTIFS(D:D,"DD",G:G,"STANGS",L:L,"4;-1",E:E,"NEG",F:F,"WINSTANTI")</f>
        <v>0</v>
      </c>
    </row>
    <row r="1364" spans="15:49">
      <c r="O1364" s="91"/>
      <c r="X1364" s="115">
        <f t="shared" si="167"/>
        <v>0</v>
      </c>
      <c r="Y1364" s="115">
        <f t="shared" si="168"/>
        <v>0</v>
      </c>
      <c r="Z1364" s="115" t="e">
        <f t="shared" si="169"/>
        <v>#VALUE!</v>
      </c>
      <c r="AA1364" s="115">
        <f t="shared" si="170"/>
        <v>0</v>
      </c>
      <c r="AD1364" s="375" t="s">
        <v>316</v>
      </c>
      <c r="AE1364" s="376"/>
      <c r="AF1364" s="376"/>
      <c r="AG1364" s="209">
        <f>COUNTIFS(D:D,"DD",G:G,"STANGS",L:L,"4;1",F:F,"ENTRY")</f>
        <v>0</v>
      </c>
      <c r="AH1364" s="115"/>
      <c r="AI1364" s="374" t="s">
        <v>316</v>
      </c>
      <c r="AJ1364" s="374"/>
      <c r="AK1364" s="374"/>
      <c r="AL1364" s="115">
        <f>COUNTIFS(D:D,"DD",G:G,"STANGS",L:L,"4;0",F:F,"ENTRY")</f>
        <v>0</v>
      </c>
      <c r="AM1364" s="115"/>
      <c r="AN1364" s="375" t="s">
        <v>316</v>
      </c>
      <c r="AO1364" s="376"/>
      <c r="AP1364" s="376"/>
      <c r="AQ1364" s="209">
        <f>COUNTIFS(D:D,"DD",G:G,"STANGS",L:L,"4;-1",F:F,"ENTRY")</f>
        <v>0</v>
      </c>
      <c r="AS1364" s="115"/>
      <c r="AT1364" s="115"/>
      <c r="AU1364" s="115"/>
      <c r="AV1364" s="115"/>
      <c r="AW1364" s="115"/>
    </row>
    <row r="1365" spans="15:49">
      <c r="O1365" s="91"/>
      <c r="X1365" s="115">
        <f t="shared" si="167"/>
        <v>0</v>
      </c>
      <c r="Y1365" s="115">
        <f t="shared" si="168"/>
        <v>0</v>
      </c>
      <c r="Z1365" s="115" t="e">
        <f t="shared" si="169"/>
        <v>#VALUE!</v>
      </c>
      <c r="AA1365" s="115">
        <f t="shared" si="170"/>
        <v>0</v>
      </c>
      <c r="AD1365" s="375" t="s">
        <v>293</v>
      </c>
      <c r="AE1365" s="376"/>
      <c r="AF1365" s="376"/>
      <c r="AG1365" s="209">
        <f>COUNTIFS(D:D,"DD",G:G,"STANGS",L:L,"4;1",F:F,"KEEPOS")</f>
        <v>0</v>
      </c>
      <c r="AH1365" s="115"/>
      <c r="AI1365" s="374" t="s">
        <v>293</v>
      </c>
      <c r="AJ1365" s="374"/>
      <c r="AK1365" s="374"/>
      <c r="AL1365" s="115">
        <f>COUNTIFS(D:D,"DD",G:G,"STANGS",L:L,"4;0",F:F,"KEEPOS")</f>
        <v>0</v>
      </c>
      <c r="AM1365" s="115"/>
      <c r="AN1365" s="375" t="s">
        <v>293</v>
      </c>
      <c r="AO1365" s="376"/>
      <c r="AP1365" s="376"/>
      <c r="AQ1365" s="209">
        <f>COUNTIFS(D:D,"DD",G:G,"STANGS",L:L,"4;-1",F:F,"KEEPOS")</f>
        <v>0</v>
      </c>
      <c r="AS1365" s="115"/>
      <c r="AT1365" s="115"/>
      <c r="AU1365" s="115"/>
      <c r="AV1365" s="115"/>
      <c r="AW1365" s="115"/>
    </row>
    <row r="1366" spans="15:49">
      <c r="O1366" s="91"/>
      <c r="X1366" s="115">
        <f t="shared" si="167"/>
        <v>0</v>
      </c>
      <c r="Y1366" s="115">
        <f t="shared" si="168"/>
        <v>0</v>
      </c>
      <c r="Z1366" s="115" t="e">
        <f t="shared" si="169"/>
        <v>#VALUE!</v>
      </c>
      <c r="AA1366" s="115">
        <f t="shared" si="170"/>
        <v>0</v>
      </c>
      <c r="AD1366" s="375" t="s">
        <v>319</v>
      </c>
      <c r="AE1366" s="376"/>
      <c r="AF1366" s="376"/>
      <c r="AG1366" s="253" t="e">
        <f>SUM(AG1358:AG1365)/AG1352</f>
        <v>#DIV/0!</v>
      </c>
      <c r="AH1366" s="115"/>
      <c r="AI1366" s="374" t="s">
        <v>319</v>
      </c>
      <c r="AJ1366" s="374"/>
      <c r="AK1366" s="374"/>
      <c r="AL1366" s="151" t="e">
        <f>SUM(AL1358:AL1365)/AL1352</f>
        <v>#DIV/0!</v>
      </c>
      <c r="AM1366" s="115"/>
      <c r="AN1366" s="375" t="s">
        <v>319</v>
      </c>
      <c r="AO1366" s="376"/>
      <c r="AP1366" s="376"/>
      <c r="AQ1366" s="253" t="e">
        <f>SUM(AQ1358:AQ1365)/AQ1352</f>
        <v>#DIV/0!</v>
      </c>
      <c r="AS1366" s="115"/>
      <c r="AT1366" s="115"/>
      <c r="AU1366" s="115"/>
      <c r="AV1366" s="115"/>
      <c r="AW1366" s="115"/>
    </row>
    <row r="1367" spans="15:49">
      <c r="O1367" s="91"/>
      <c r="X1367" s="115">
        <f t="shared" si="167"/>
        <v>0</v>
      </c>
      <c r="Y1367" s="115">
        <f t="shared" si="168"/>
        <v>0</v>
      </c>
      <c r="Z1367" s="115" t="e">
        <f t="shared" si="169"/>
        <v>#VALUE!</v>
      </c>
      <c r="AA1367" s="115">
        <f t="shared" si="170"/>
        <v>0</v>
      </c>
      <c r="AD1367" s="208"/>
      <c r="AE1367" s="165"/>
      <c r="AF1367" s="165"/>
      <c r="AG1367" s="209"/>
      <c r="AH1367" s="115"/>
      <c r="AI1367" s="115"/>
      <c r="AJ1367" s="115"/>
      <c r="AK1367" s="115"/>
      <c r="AL1367" s="115"/>
      <c r="AM1367" s="115"/>
      <c r="AN1367" s="208"/>
      <c r="AO1367" s="165"/>
      <c r="AP1367" s="165"/>
      <c r="AQ1367" s="209"/>
      <c r="AS1367" s="115"/>
      <c r="AT1367" s="115"/>
      <c r="AU1367" s="115"/>
      <c r="AV1367" s="115"/>
      <c r="AW1367" s="115"/>
    </row>
    <row r="1368" spans="15:49">
      <c r="O1368" s="91"/>
      <c r="X1368" s="115">
        <f t="shared" si="167"/>
        <v>0</v>
      </c>
      <c r="Y1368" s="115">
        <f t="shared" si="168"/>
        <v>0</v>
      </c>
      <c r="Z1368" s="115" t="e">
        <f t="shared" si="169"/>
        <v>#VALUE!</v>
      </c>
      <c r="AA1368" s="115">
        <f t="shared" si="170"/>
        <v>0</v>
      </c>
      <c r="AD1368" s="375" t="s">
        <v>270</v>
      </c>
      <c r="AE1368" s="376"/>
      <c r="AF1368" s="376"/>
      <c r="AG1368" s="209">
        <f>COUNTIFS(D:D,"DD",G:G,"STANGS",L:L,"5;1")+AG1352</f>
        <v>0</v>
      </c>
      <c r="AH1368" s="115"/>
      <c r="AI1368" s="374" t="s">
        <v>270</v>
      </c>
      <c r="AJ1368" s="374"/>
      <c r="AK1368" s="374"/>
      <c r="AL1368" s="115">
        <f>COUNTIFS(D:D,"DD",G:G,"STANGS",L:L,"5;0")</f>
        <v>0</v>
      </c>
      <c r="AM1368" s="115"/>
      <c r="AN1368" s="375" t="s">
        <v>270</v>
      </c>
      <c r="AO1368" s="376"/>
      <c r="AP1368" s="376"/>
      <c r="AQ1368" s="209">
        <f>COUNTIFS(D:D,"DD",G:G,"STANGS",L:L,"5;-1")+AQ1352</f>
        <v>0</v>
      </c>
      <c r="AS1368" s="115"/>
      <c r="AT1368" s="115"/>
      <c r="AU1368" s="115"/>
      <c r="AV1368" s="115"/>
      <c r="AW1368" s="115"/>
    </row>
    <row r="1369" spans="15:49">
      <c r="O1369" s="91"/>
      <c r="X1369" s="115">
        <f t="shared" si="167"/>
        <v>0</v>
      </c>
      <c r="Y1369" s="115">
        <f t="shared" si="168"/>
        <v>0</v>
      </c>
      <c r="Z1369" s="115" t="e">
        <f t="shared" si="169"/>
        <v>#VALUE!</v>
      </c>
      <c r="AA1369" s="115">
        <f t="shared" si="170"/>
        <v>0</v>
      </c>
      <c r="AD1369" s="375" t="s">
        <v>271</v>
      </c>
      <c r="AE1369" s="376"/>
      <c r="AF1369" s="376"/>
      <c r="AG1369" s="209">
        <f>COUNTIFS(D:D,"DD",G:G,"STANGS",L:L,"5;1",P:P,"EI")+AG1353</f>
        <v>0</v>
      </c>
      <c r="AH1369" s="115"/>
      <c r="AI1369" s="374" t="s">
        <v>271</v>
      </c>
      <c r="AJ1369" s="374"/>
      <c r="AK1369" s="374"/>
      <c r="AL1369" s="115">
        <f>COUNTIFS(D:D,"DD",G:G,"STANGS",L:L,"5;0",P:P,"EI")</f>
        <v>0</v>
      </c>
      <c r="AM1369" s="115"/>
      <c r="AN1369" s="375" t="s">
        <v>271</v>
      </c>
      <c r="AO1369" s="376"/>
      <c r="AP1369" s="376"/>
      <c r="AQ1369" s="209">
        <f>COUNTIFS(D:D,"DD",G:G,"STANGS",L:L,"5;-1",P:P,"EI")+AQ1353</f>
        <v>0</v>
      </c>
      <c r="AS1369" s="115"/>
      <c r="AT1369" s="115"/>
      <c r="AU1369" s="115"/>
      <c r="AV1369" s="115"/>
      <c r="AW1369" s="115"/>
    </row>
    <row r="1370" spans="15:49">
      <c r="O1370" s="91"/>
      <c r="X1370" s="115">
        <f t="shared" si="167"/>
        <v>0</v>
      </c>
      <c r="Y1370" s="115">
        <f t="shared" si="168"/>
        <v>0</v>
      </c>
      <c r="Z1370" s="115" t="e">
        <f t="shared" si="169"/>
        <v>#VALUE!</v>
      </c>
      <c r="AA1370" s="115">
        <f t="shared" si="170"/>
        <v>0</v>
      </c>
      <c r="AD1370" s="375" t="s">
        <v>272</v>
      </c>
      <c r="AE1370" s="376"/>
      <c r="AF1370" s="376"/>
      <c r="AG1370" s="253" t="e">
        <f>AG1369/AG1368</f>
        <v>#DIV/0!</v>
      </c>
      <c r="AH1370" s="115"/>
      <c r="AI1370" s="374" t="s">
        <v>272</v>
      </c>
      <c r="AJ1370" s="374"/>
      <c r="AK1370" s="374"/>
      <c r="AL1370" s="151" t="e">
        <f>AL1369/AL1368</f>
        <v>#DIV/0!</v>
      </c>
      <c r="AM1370" s="115"/>
      <c r="AN1370" s="375" t="s">
        <v>272</v>
      </c>
      <c r="AO1370" s="376"/>
      <c r="AP1370" s="376"/>
      <c r="AQ1370" s="253" t="e">
        <f>AQ1369/AQ1368</f>
        <v>#DIV/0!</v>
      </c>
      <c r="AS1370" s="115"/>
      <c r="AT1370" s="115"/>
      <c r="AU1370" s="115"/>
      <c r="AV1370" s="115"/>
      <c r="AW1370" s="115"/>
    </row>
    <row r="1371" spans="15:49">
      <c r="O1371" s="91"/>
      <c r="X1371" s="115">
        <f t="shared" si="167"/>
        <v>0</v>
      </c>
      <c r="Y1371" s="115">
        <f t="shared" si="168"/>
        <v>0</v>
      </c>
      <c r="Z1371" s="115" t="e">
        <f t="shared" si="169"/>
        <v>#VALUE!</v>
      </c>
      <c r="AA1371" s="115">
        <f t="shared" si="170"/>
        <v>0</v>
      </c>
      <c r="AD1371" s="375" t="s">
        <v>318</v>
      </c>
      <c r="AE1371" s="376"/>
      <c r="AF1371" s="376"/>
      <c r="AG1371" s="254">
        <f>COUNTIFS(D:D,"DD",G:G,"STANGS",L:L,"5;1",V:V,"JAH")+COUNTIFS(D:D,"DD",G:G,"STANGS",L:L,"5;1",V:V,"EI")+AG1355</f>
        <v>0</v>
      </c>
      <c r="AH1371" s="115"/>
      <c r="AI1371" s="374" t="s">
        <v>318</v>
      </c>
      <c r="AJ1371" s="374"/>
      <c r="AK1371" s="374"/>
      <c r="AL1371" s="178">
        <f>COUNTIFS(D:D,"DD",G:G,"STANGS",L:L,"5;0",V:V,"JAH")+COUNTIFS(D:D,"DD",G:G,"STANGS",L:L,"5;0",V:V,"EI")</f>
        <v>0</v>
      </c>
      <c r="AM1371" s="115"/>
      <c r="AN1371" s="375" t="s">
        <v>318</v>
      </c>
      <c r="AO1371" s="376"/>
      <c r="AP1371" s="376"/>
      <c r="AQ1371" s="254">
        <f>COUNTIFS(D:D,"DD",G:G,"STANGS",L:L,"5;-1",V:V,"JAH")+COUNTIFS(D:D,"DD",G:G,"STANGS",L:L,"-1;-1",V:V,"EI")+AQ1355</f>
        <v>0</v>
      </c>
      <c r="AS1371" s="115"/>
      <c r="AT1371" s="115"/>
      <c r="AU1371" s="115"/>
      <c r="AV1371" s="115"/>
      <c r="AW1371" s="115"/>
    </row>
    <row r="1372" spans="15:49">
      <c r="O1372" s="91"/>
      <c r="X1372" s="115">
        <f t="shared" si="167"/>
        <v>0</v>
      </c>
      <c r="Y1372" s="115">
        <f t="shared" si="168"/>
        <v>0</v>
      </c>
      <c r="Z1372" s="115" t="e">
        <f t="shared" si="169"/>
        <v>#VALUE!</v>
      </c>
      <c r="AA1372" s="115">
        <f t="shared" si="170"/>
        <v>0</v>
      </c>
      <c r="AD1372" s="375" t="s">
        <v>291</v>
      </c>
      <c r="AE1372" s="376"/>
      <c r="AF1372" s="376"/>
      <c r="AG1372" s="209">
        <f>COUNTIFS(D:D,"DD",G:G,"STANGS",L:L,"5;1",V:V,"EI")+AG1356</f>
        <v>0</v>
      </c>
      <c r="AH1372" s="115"/>
      <c r="AI1372" s="374" t="s">
        <v>291</v>
      </c>
      <c r="AJ1372" s="374"/>
      <c r="AK1372" s="374"/>
      <c r="AL1372" s="115">
        <f>COUNTIFS(D:D,"DD",G:G,"STANGS",L:L,"5;0",V:V,"EI")</f>
        <v>0</v>
      </c>
      <c r="AM1372" s="115"/>
      <c r="AN1372" s="375" t="s">
        <v>291</v>
      </c>
      <c r="AO1372" s="376"/>
      <c r="AP1372" s="376"/>
      <c r="AQ1372" s="209">
        <f>COUNTIFS(D:D,"DD",G:G,"STANGS",L:L,"5;-1",V:V,"EI")+AQ1356</f>
        <v>0</v>
      </c>
      <c r="AS1372" s="115"/>
      <c r="AT1372" s="115"/>
      <c r="AU1372" s="115"/>
      <c r="AV1372" s="115"/>
      <c r="AW1372" s="115"/>
    </row>
    <row r="1373" spans="15:49">
      <c r="O1373" s="91"/>
      <c r="X1373" s="115">
        <f t="shared" si="167"/>
        <v>0</v>
      </c>
      <c r="Y1373" s="115">
        <f t="shared" si="168"/>
        <v>0</v>
      </c>
      <c r="Z1373" s="115" t="e">
        <f t="shared" si="169"/>
        <v>#VALUE!</v>
      </c>
      <c r="AA1373" s="115">
        <f t="shared" si="170"/>
        <v>0</v>
      </c>
      <c r="AD1373" s="375" t="s">
        <v>292</v>
      </c>
      <c r="AE1373" s="376"/>
      <c r="AF1373" s="376"/>
      <c r="AG1373" s="253" t="e">
        <f>AG1372/AG1371</f>
        <v>#DIV/0!</v>
      </c>
      <c r="AH1373" s="115"/>
      <c r="AI1373" s="374" t="s">
        <v>292</v>
      </c>
      <c r="AJ1373" s="374"/>
      <c r="AK1373" s="374"/>
      <c r="AL1373" s="151" t="e">
        <f>AL1372/AL1371</f>
        <v>#DIV/0!</v>
      </c>
      <c r="AM1373" s="115"/>
      <c r="AN1373" s="375" t="s">
        <v>292</v>
      </c>
      <c r="AO1373" s="376"/>
      <c r="AP1373" s="376"/>
      <c r="AQ1373" s="253" t="e">
        <f>AQ1372/AQ1371</f>
        <v>#DIV/0!</v>
      </c>
      <c r="AS1373" s="115"/>
      <c r="AT1373" s="115"/>
      <c r="AU1373" s="115"/>
      <c r="AV1373" s="115"/>
      <c r="AW1373" s="115"/>
    </row>
    <row r="1374" spans="15:49">
      <c r="O1374" s="91"/>
      <c r="X1374" s="115">
        <f t="shared" si="167"/>
        <v>0</v>
      </c>
      <c r="Y1374" s="115">
        <f t="shared" si="168"/>
        <v>0</v>
      </c>
      <c r="Z1374" s="115" t="e">
        <f t="shared" si="169"/>
        <v>#VALUE!</v>
      </c>
      <c r="AA1374" s="115">
        <f t="shared" si="170"/>
        <v>0</v>
      </c>
      <c r="AD1374" s="375" t="s">
        <v>724</v>
      </c>
      <c r="AE1374" s="376"/>
      <c r="AF1374" s="376"/>
      <c r="AG1374" s="209">
        <f>COUNTIFS(D:D,"DD",G:G,"STANGS",L:L,"5;1",F:F,"ATONGOAL")+AG1358</f>
        <v>0</v>
      </c>
      <c r="AH1374" s="115"/>
      <c r="AI1374" s="374" t="s">
        <v>724</v>
      </c>
      <c r="AJ1374" s="374"/>
      <c r="AK1374" s="374"/>
      <c r="AL1374" s="115">
        <f>COUNTIFS(D:D,"DD",G:G,"STANGS",L:L,"5;0",F:F,"ATONGOAL")</f>
        <v>0</v>
      </c>
      <c r="AM1374" s="115"/>
      <c r="AN1374" s="375" t="s">
        <v>724</v>
      </c>
      <c r="AO1374" s="376"/>
      <c r="AP1374" s="376"/>
      <c r="AQ1374" s="209">
        <f>COUNTIFS(D:D,"DD",G:G,"STANGS",L:L,"5;-1",F:F,"ATONGOAL")+AQ1358</f>
        <v>0</v>
      </c>
      <c r="AS1374" s="115"/>
      <c r="AT1374" s="115"/>
      <c r="AU1374" s="115"/>
      <c r="AV1374" s="115"/>
      <c r="AW1374" s="115"/>
    </row>
    <row r="1375" spans="15:49">
      <c r="O1375" s="91"/>
      <c r="X1375" s="115">
        <f t="shared" si="167"/>
        <v>0</v>
      </c>
      <c r="Y1375" s="115">
        <f t="shared" si="168"/>
        <v>0</v>
      </c>
      <c r="Z1375" s="115" t="e">
        <f t="shared" si="169"/>
        <v>#VALUE!</v>
      </c>
      <c r="AA1375" s="115">
        <f t="shared" si="170"/>
        <v>0</v>
      </c>
      <c r="AD1375" s="375" t="s">
        <v>336</v>
      </c>
      <c r="AE1375" s="376"/>
      <c r="AF1375" s="376"/>
      <c r="AG1375" s="209">
        <f>COUNTIFS(D:D,"DD",G:G,"STANGS",L:L,"5;1",F:F,"ATON")+AG1359</f>
        <v>0</v>
      </c>
      <c r="AH1375" s="115"/>
      <c r="AI1375" s="374" t="s">
        <v>336</v>
      </c>
      <c r="AJ1375" s="374"/>
      <c r="AK1375" s="374"/>
      <c r="AL1375" s="115">
        <f>COUNTIFS(D:D,"DD",G:G,"STANGS",L:L,"5;0",F:F,"ATON")</f>
        <v>0</v>
      </c>
      <c r="AM1375" s="115"/>
      <c r="AN1375" s="375" t="s">
        <v>336</v>
      </c>
      <c r="AO1375" s="376"/>
      <c r="AP1375" s="376"/>
      <c r="AQ1375" s="209">
        <f>COUNTIFS(D:D,"DD",G:G,"STANGS",L:L,"5;-1",F:F,"ATON")+AQ1359</f>
        <v>0</v>
      </c>
      <c r="AS1375" s="115"/>
      <c r="AT1375" s="115"/>
      <c r="AU1375" s="115"/>
      <c r="AV1375" s="115"/>
      <c r="AW1375" s="115"/>
    </row>
    <row r="1376" spans="15:49" s="115" customFormat="1">
      <c r="O1376" s="91"/>
      <c r="X1376" s="115">
        <f t="shared" si="167"/>
        <v>0</v>
      </c>
      <c r="Y1376" s="115">
        <f t="shared" si="168"/>
        <v>0</v>
      </c>
      <c r="Z1376" s="115" t="e">
        <f t="shared" si="169"/>
        <v>#VALUE!</v>
      </c>
      <c r="AA1376" s="115">
        <f t="shared" si="170"/>
        <v>0</v>
      </c>
      <c r="AB1376" s="246"/>
      <c r="AD1376" s="375" t="s">
        <v>337</v>
      </c>
      <c r="AE1376" s="376"/>
      <c r="AF1376" s="376"/>
      <c r="AG1376" s="209">
        <f>COUNTIFS(D:D,"DD",G:G,"STANGS",L:L,"5;1",F:F,"ATOF")+AG1360</f>
        <v>0</v>
      </c>
      <c r="AI1376" s="374" t="s">
        <v>337</v>
      </c>
      <c r="AJ1376" s="374"/>
      <c r="AK1376" s="374"/>
      <c r="AL1376" s="115">
        <f>COUNTIFS(D:D,"DD",G:G,"STANGS",L:L,"5;0",F:F,"ATOF")</f>
        <v>0</v>
      </c>
      <c r="AN1376" s="375" t="s">
        <v>337</v>
      </c>
      <c r="AO1376" s="376"/>
      <c r="AP1376" s="376"/>
      <c r="AQ1376" s="209">
        <f>COUNTIFS(D:D,"DD",G:G,"STANGS",L:L,"5;-1",F:F,"ATOF")+AQ1360</f>
        <v>0</v>
      </c>
    </row>
    <row r="1377" spans="15:49" s="115" customFormat="1">
      <c r="O1377" s="91"/>
      <c r="X1377" s="115">
        <f t="shared" si="167"/>
        <v>0</v>
      </c>
      <c r="Y1377" s="115">
        <f t="shared" si="168"/>
        <v>0</v>
      </c>
      <c r="Z1377" s="115" t="e">
        <f t="shared" si="169"/>
        <v>#VALUE!</v>
      </c>
      <c r="AA1377" s="115">
        <f t="shared" si="170"/>
        <v>0</v>
      </c>
      <c r="AB1377" s="246"/>
      <c r="AD1377" s="375" t="s">
        <v>338</v>
      </c>
      <c r="AE1377" s="376"/>
      <c r="AF1377" s="376"/>
      <c r="AG1377" s="209">
        <f>COUNTIFS(D:D,"DD",G:G,"STANGS",L:L,"5;1",F:F,"ATBK")+AG1361</f>
        <v>0</v>
      </c>
      <c r="AI1377" s="374" t="s">
        <v>338</v>
      </c>
      <c r="AJ1377" s="374"/>
      <c r="AK1377" s="374"/>
      <c r="AL1377" s="115">
        <f>COUNTIFS(D:D,"DD",G:G,"STANGS",L:L,"5;0",F:F,"ATBK")</f>
        <v>0</v>
      </c>
      <c r="AN1377" s="375" t="s">
        <v>338</v>
      </c>
      <c r="AO1377" s="376"/>
      <c r="AP1377" s="376"/>
      <c r="AQ1377" s="209">
        <f>COUNTIFS(D:D,"DD",G:G,"STANGS",L:L,"5;-1",F:F,"ATBK")+AQ1361</f>
        <v>0</v>
      </c>
    </row>
    <row r="1378" spans="15:49">
      <c r="O1378" s="91"/>
      <c r="X1378" s="115">
        <f t="shared" si="167"/>
        <v>0</v>
      </c>
      <c r="Y1378" s="115">
        <f t="shared" si="168"/>
        <v>0</v>
      </c>
      <c r="Z1378" s="115" t="e">
        <f t="shared" si="169"/>
        <v>#VALUE!</v>
      </c>
      <c r="AA1378" s="115">
        <f t="shared" si="170"/>
        <v>0</v>
      </c>
      <c r="AD1378" s="375" t="s">
        <v>315</v>
      </c>
      <c r="AE1378" s="376"/>
      <c r="AF1378" s="376"/>
      <c r="AG1378" s="209">
        <f>COUNTIFS(D:D,"DD",G:G,"STANGS",L:L,"5;1",E:E,"NEG",F:F,"WINSTAN")+AG1362</f>
        <v>0</v>
      </c>
      <c r="AH1378" s="115"/>
      <c r="AI1378" s="374" t="s">
        <v>315</v>
      </c>
      <c r="AJ1378" s="374"/>
      <c r="AK1378" s="374"/>
      <c r="AL1378" s="115">
        <f>COUNTIFS(D:D,"DD",G:G,"STANGS",L:L,"5;0",E:E,"NEG",F:F,"WINSTAN")</f>
        <v>0</v>
      </c>
      <c r="AM1378" s="115"/>
      <c r="AN1378" s="375" t="s">
        <v>315</v>
      </c>
      <c r="AO1378" s="376"/>
      <c r="AP1378" s="376"/>
      <c r="AQ1378" s="209">
        <f>COUNTIFS(D:D,"DD",G:G,"STANGS",L:L,"5;-1",E:E,"NEG",F:F,"WINSTAN")+AQ1362</f>
        <v>0</v>
      </c>
      <c r="AS1378" s="115"/>
      <c r="AT1378" s="115"/>
      <c r="AU1378" s="115"/>
      <c r="AV1378" s="115"/>
      <c r="AW1378" s="115"/>
    </row>
    <row r="1379" spans="15:49" s="115" customFormat="1">
      <c r="O1379" s="91"/>
      <c r="X1379" s="115">
        <f t="shared" si="167"/>
        <v>0</v>
      </c>
      <c r="Y1379" s="115">
        <f t="shared" si="168"/>
        <v>0</v>
      </c>
      <c r="Z1379" s="115" t="e">
        <f t="shared" si="169"/>
        <v>#VALUE!</v>
      </c>
      <c r="AA1379" s="115">
        <f t="shared" si="170"/>
        <v>0</v>
      </c>
      <c r="AB1379" s="246"/>
      <c r="AD1379" s="375" t="s">
        <v>339</v>
      </c>
      <c r="AE1379" s="376"/>
      <c r="AF1379" s="376"/>
      <c r="AG1379" s="209">
        <f>COUNTIFS(D:D,"DD",G:G,"STANGS",L:L,"5;1",E:E,"NEG",F:F,"WINSTANTI")+AG1363</f>
        <v>0</v>
      </c>
      <c r="AI1379" s="374" t="s">
        <v>339</v>
      </c>
      <c r="AJ1379" s="374"/>
      <c r="AK1379" s="374"/>
      <c r="AL1379" s="115">
        <f>COUNTIFS(D:D,"DD",G:G,"STANGS",L:L,"5;0",E:E,"NEG",F:F,"WINSTANTI")</f>
        <v>0</v>
      </c>
      <c r="AN1379" s="375" t="s">
        <v>339</v>
      </c>
      <c r="AO1379" s="376"/>
      <c r="AP1379" s="376"/>
      <c r="AQ1379" s="209">
        <f>COUNTIFS(D:D,"DD",G:G,"STANGS",L:L,"5;-1",E:E,"NEG",F:F,"WINSTANTI")+AQ1363</f>
        <v>0</v>
      </c>
    </row>
    <row r="1380" spans="15:49">
      <c r="O1380" s="91"/>
      <c r="X1380" s="115">
        <f t="shared" si="167"/>
        <v>0</v>
      </c>
      <c r="Y1380" s="115">
        <f t="shared" si="168"/>
        <v>0</v>
      </c>
      <c r="Z1380" s="115" t="e">
        <f t="shared" si="169"/>
        <v>#VALUE!</v>
      </c>
      <c r="AA1380" s="115">
        <f t="shared" si="170"/>
        <v>0</v>
      </c>
      <c r="AD1380" s="375" t="s">
        <v>316</v>
      </c>
      <c r="AE1380" s="376"/>
      <c r="AF1380" s="376"/>
      <c r="AG1380" s="209">
        <f>COUNTIFS(D:D,"DD",G:G,"STANGS",L:L,"5;1",F:F,"ENTRY")+AG1364</f>
        <v>0</v>
      </c>
      <c r="AH1380" s="115"/>
      <c r="AI1380" s="374" t="s">
        <v>316</v>
      </c>
      <c r="AJ1380" s="374"/>
      <c r="AK1380" s="374"/>
      <c r="AL1380" s="115">
        <f>COUNTIFS(D:D,"DD",G:G,"STANGS",L:L,"5;0",F:F,"ENTRY")</f>
        <v>0</v>
      </c>
      <c r="AM1380" s="115"/>
      <c r="AN1380" s="375" t="s">
        <v>316</v>
      </c>
      <c r="AO1380" s="376"/>
      <c r="AP1380" s="376"/>
      <c r="AQ1380" s="209">
        <f>COUNTIFS(D:D,"DD",G:G,"STANGS",L:L,"5;-1",F:F,"ENTRY")+AQ1364</f>
        <v>0</v>
      </c>
      <c r="AS1380" s="115"/>
      <c r="AT1380" s="115"/>
      <c r="AU1380" s="115"/>
      <c r="AV1380" s="115"/>
      <c r="AW1380" s="115"/>
    </row>
    <row r="1381" spans="15:49">
      <c r="O1381" s="91"/>
      <c r="X1381" s="115">
        <f t="shared" si="167"/>
        <v>0</v>
      </c>
      <c r="Y1381" s="115">
        <f t="shared" si="168"/>
        <v>0</v>
      </c>
      <c r="Z1381" s="115" t="e">
        <f t="shared" si="169"/>
        <v>#VALUE!</v>
      </c>
      <c r="AA1381" s="115">
        <f t="shared" si="170"/>
        <v>0</v>
      </c>
      <c r="AD1381" s="375" t="s">
        <v>293</v>
      </c>
      <c r="AE1381" s="376"/>
      <c r="AF1381" s="376"/>
      <c r="AG1381" s="209">
        <f>COUNTIFS(D:D,"DD",G:G,"STANGS",L:L,"5;1",F:F,"KEEPOS")+AG1365</f>
        <v>0</v>
      </c>
      <c r="AH1381" s="115"/>
      <c r="AI1381" s="374" t="s">
        <v>293</v>
      </c>
      <c r="AJ1381" s="374"/>
      <c r="AK1381" s="374"/>
      <c r="AL1381" s="115">
        <f>COUNTIFS(D:D,"DD",G:G,"STANGS",L:L,"5;0",F:F,"KEEPOS")</f>
        <v>0</v>
      </c>
      <c r="AM1381" s="115"/>
      <c r="AN1381" s="375" t="s">
        <v>293</v>
      </c>
      <c r="AO1381" s="376"/>
      <c r="AP1381" s="376"/>
      <c r="AQ1381" s="209">
        <f>COUNTIFS(D:D,"DD",G:G,"STANGS",L:L,"5;-1",F:F,"KEEPOS")+AQ1365</f>
        <v>0</v>
      </c>
      <c r="AS1381" s="115"/>
      <c r="AT1381" s="115"/>
      <c r="AU1381" s="115"/>
      <c r="AV1381" s="115"/>
      <c r="AW1381" s="115"/>
    </row>
    <row r="1382" spans="15:49">
      <c r="O1382" s="91"/>
      <c r="X1382" s="115">
        <f t="shared" si="167"/>
        <v>0</v>
      </c>
      <c r="Y1382" s="115">
        <f t="shared" si="168"/>
        <v>0</v>
      </c>
      <c r="Z1382" s="115" t="e">
        <f t="shared" si="169"/>
        <v>#VALUE!</v>
      </c>
      <c r="AA1382" s="115">
        <f t="shared" si="170"/>
        <v>0</v>
      </c>
      <c r="AD1382" s="386" t="s">
        <v>319</v>
      </c>
      <c r="AE1382" s="383"/>
      <c r="AF1382" s="383"/>
      <c r="AG1382" s="256" t="e">
        <f>SUM(AG1374:AG1381)/AG1368</f>
        <v>#DIV/0!</v>
      </c>
      <c r="AH1382" s="115"/>
      <c r="AI1382" s="374" t="s">
        <v>319</v>
      </c>
      <c r="AJ1382" s="374"/>
      <c r="AK1382" s="374"/>
      <c r="AL1382" s="151" t="e">
        <f>SUM(AL1374:AL1381)/AL1368</f>
        <v>#DIV/0!</v>
      </c>
      <c r="AM1382" s="115"/>
      <c r="AN1382" s="386" t="s">
        <v>319</v>
      </c>
      <c r="AO1382" s="383"/>
      <c r="AP1382" s="383"/>
      <c r="AQ1382" s="256" t="e">
        <f>SUM(AQ1374:AQ1381)/AQ1368</f>
        <v>#DIV/0!</v>
      </c>
      <c r="AS1382" s="115"/>
      <c r="AT1382" s="115"/>
      <c r="AU1382" s="115"/>
      <c r="AV1382" s="115"/>
      <c r="AW1382" s="115"/>
    </row>
    <row r="1383" spans="15:49">
      <c r="O1383" s="91"/>
      <c r="X1383" s="115">
        <f t="shared" si="167"/>
        <v>0</v>
      </c>
      <c r="Y1383" s="115">
        <f t="shared" si="168"/>
        <v>0</v>
      </c>
      <c r="Z1383" s="115" t="e">
        <f t="shared" si="169"/>
        <v>#VALUE!</v>
      </c>
      <c r="AA1383" s="115">
        <f t="shared" si="170"/>
        <v>0</v>
      </c>
    </row>
    <row r="1384" spans="15:49">
      <c r="O1384" s="91"/>
      <c r="X1384" s="115">
        <f t="shared" si="167"/>
        <v>0</v>
      </c>
      <c r="Y1384" s="115">
        <f t="shared" si="168"/>
        <v>0</v>
      </c>
      <c r="Z1384" s="115" t="e">
        <f t="shared" si="169"/>
        <v>#VALUE!</v>
      </c>
      <c r="AA1384" s="115">
        <f t="shared" si="170"/>
        <v>0</v>
      </c>
      <c r="AC1384" s="266" t="s">
        <v>463</v>
      </c>
      <c r="AD1384" s="266" t="s">
        <v>546</v>
      </c>
      <c r="AE1384" s="267" t="s">
        <v>547</v>
      </c>
      <c r="AF1384" s="268" t="s">
        <v>548</v>
      </c>
      <c r="AG1384" s="270"/>
      <c r="AH1384" s="270"/>
      <c r="AI1384" s="270"/>
    </row>
    <row r="1385" spans="15:49">
      <c r="O1385" s="91"/>
      <c r="X1385" s="115">
        <f t="shared" si="167"/>
        <v>0</v>
      </c>
      <c r="Y1385" s="115">
        <f t="shared" si="168"/>
        <v>0</v>
      </c>
      <c r="Z1385" s="115" t="e">
        <f t="shared" si="169"/>
        <v>#VALUE!</v>
      </c>
      <c r="AA1385" s="115">
        <f t="shared" si="170"/>
        <v>0</v>
      </c>
      <c r="AC1385" s="115">
        <v>5</v>
      </c>
      <c r="AD1385">
        <v>2</v>
      </c>
      <c r="AE1385">
        <v>-5</v>
      </c>
      <c r="AF1385">
        <v>0</v>
      </c>
    </row>
    <row r="1386" spans="15:49">
      <c r="O1386" s="91"/>
      <c r="X1386" s="115">
        <f t="shared" si="167"/>
        <v>0</v>
      </c>
      <c r="Y1386" s="115">
        <f t="shared" si="168"/>
        <v>0</v>
      </c>
      <c r="Z1386" s="115" t="e">
        <f t="shared" si="169"/>
        <v>#VALUE!</v>
      </c>
      <c r="AA1386" s="115">
        <f t="shared" si="170"/>
        <v>0</v>
      </c>
      <c r="AC1386" s="115">
        <v>10</v>
      </c>
      <c r="AD1386">
        <v>16</v>
      </c>
      <c r="AE1386">
        <v>0</v>
      </c>
      <c r="AF1386">
        <v>-2</v>
      </c>
    </row>
    <row r="1387" spans="15:49">
      <c r="O1387" s="91"/>
      <c r="X1387" s="115">
        <f t="shared" si="167"/>
        <v>0</v>
      </c>
      <c r="Y1387" s="115">
        <f t="shared" si="168"/>
        <v>0</v>
      </c>
      <c r="Z1387" s="115" t="e">
        <f t="shared" si="169"/>
        <v>#VALUE!</v>
      </c>
      <c r="AA1387" s="115">
        <f t="shared" si="170"/>
        <v>0</v>
      </c>
      <c r="AC1387" s="115">
        <v>15</v>
      </c>
      <c r="AD1387">
        <v>2</v>
      </c>
      <c r="AE1387">
        <v>0</v>
      </c>
      <c r="AF1387">
        <v>-2</v>
      </c>
    </row>
    <row r="1388" spans="15:49">
      <c r="O1388" s="91"/>
      <c r="X1388" s="115">
        <f t="shared" si="167"/>
        <v>0</v>
      </c>
      <c r="Y1388" s="115">
        <f t="shared" si="168"/>
        <v>0</v>
      </c>
      <c r="Z1388" s="115" t="e">
        <f t="shared" si="169"/>
        <v>#VALUE!</v>
      </c>
      <c r="AA1388" s="115">
        <f t="shared" si="170"/>
        <v>0</v>
      </c>
      <c r="AC1388" s="115">
        <v>20</v>
      </c>
      <c r="AD1388">
        <v>7</v>
      </c>
      <c r="AE1388">
        <v>-2</v>
      </c>
      <c r="AF1388">
        <v>-2</v>
      </c>
    </row>
    <row r="1389" spans="15:49">
      <c r="O1389" s="91"/>
      <c r="X1389" s="115">
        <f t="shared" si="167"/>
        <v>0</v>
      </c>
      <c r="Y1389" s="115">
        <f t="shared" si="168"/>
        <v>0</v>
      </c>
      <c r="Z1389" s="115" t="e">
        <f t="shared" si="169"/>
        <v>#VALUE!</v>
      </c>
      <c r="AA1389" s="115">
        <f t="shared" si="170"/>
        <v>0</v>
      </c>
      <c r="AC1389" s="115">
        <v>25</v>
      </c>
      <c r="AD1389">
        <v>11</v>
      </c>
      <c r="AE1389">
        <v>-2</v>
      </c>
      <c r="AF1389">
        <v>-2</v>
      </c>
    </row>
    <row r="1390" spans="15:49">
      <c r="O1390" s="91"/>
      <c r="X1390" s="115">
        <f t="shared" si="167"/>
        <v>0</v>
      </c>
      <c r="Y1390" s="115">
        <f t="shared" si="168"/>
        <v>0</v>
      </c>
      <c r="Z1390" s="115" t="e">
        <f t="shared" si="169"/>
        <v>#VALUE!</v>
      </c>
      <c r="AA1390" s="115">
        <f t="shared" si="170"/>
        <v>0</v>
      </c>
      <c r="AC1390" s="115">
        <v>30</v>
      </c>
      <c r="AD1390">
        <v>3</v>
      </c>
      <c r="AE1390">
        <v>0</v>
      </c>
      <c r="AF1390">
        <v>0</v>
      </c>
    </row>
    <row r="1391" spans="15:49">
      <c r="O1391" s="91"/>
      <c r="X1391" s="115">
        <f t="shared" si="167"/>
        <v>0</v>
      </c>
      <c r="Y1391" s="115">
        <f t="shared" si="168"/>
        <v>0</v>
      </c>
      <c r="Z1391" s="115" t="e">
        <f t="shared" si="169"/>
        <v>#VALUE!</v>
      </c>
      <c r="AA1391" s="115">
        <f t="shared" si="170"/>
        <v>0</v>
      </c>
      <c r="AC1391" s="115">
        <v>35</v>
      </c>
      <c r="AD1391">
        <v>2</v>
      </c>
      <c r="AE1391">
        <v>-2</v>
      </c>
      <c r="AF1391">
        <v>0</v>
      </c>
    </row>
    <row r="1392" spans="15:49">
      <c r="O1392" s="91"/>
      <c r="X1392" s="115">
        <f t="shared" si="167"/>
        <v>0</v>
      </c>
      <c r="Y1392" s="115">
        <f t="shared" si="168"/>
        <v>0</v>
      </c>
      <c r="Z1392" s="115" t="e">
        <f t="shared" si="169"/>
        <v>#VALUE!</v>
      </c>
      <c r="AA1392" s="115">
        <f t="shared" si="170"/>
        <v>0</v>
      </c>
      <c r="AC1392" s="115">
        <v>40</v>
      </c>
      <c r="AD1392" s="115">
        <v>-3</v>
      </c>
      <c r="AE1392">
        <v>0</v>
      </c>
      <c r="AF1392">
        <v>0</v>
      </c>
    </row>
    <row r="1393" spans="15:32">
      <c r="O1393" s="91"/>
      <c r="X1393" s="115">
        <f t="shared" si="167"/>
        <v>0</v>
      </c>
      <c r="Y1393" s="115">
        <f t="shared" si="168"/>
        <v>0</v>
      </c>
      <c r="Z1393" s="115" t="e">
        <f t="shared" si="169"/>
        <v>#VALUE!</v>
      </c>
      <c r="AA1393" s="115">
        <f t="shared" si="170"/>
        <v>0</v>
      </c>
      <c r="AC1393" s="115">
        <v>45</v>
      </c>
      <c r="AD1393" s="115">
        <v>0</v>
      </c>
      <c r="AE1393">
        <v>2</v>
      </c>
      <c r="AF1393">
        <v>-70</v>
      </c>
    </row>
    <row r="1394" spans="15:32">
      <c r="O1394" s="91"/>
      <c r="X1394" s="115">
        <f t="shared" si="167"/>
        <v>0</v>
      </c>
      <c r="Y1394" s="115">
        <f t="shared" si="168"/>
        <v>0</v>
      </c>
      <c r="Z1394" s="115" t="e">
        <f t="shared" si="169"/>
        <v>#VALUE!</v>
      </c>
      <c r="AA1394" s="115">
        <f t="shared" si="170"/>
        <v>0</v>
      </c>
      <c r="AC1394" s="115">
        <v>50</v>
      </c>
      <c r="AD1394" s="115">
        <v>2</v>
      </c>
      <c r="AE1394">
        <v>5</v>
      </c>
      <c r="AF1394">
        <v>0</v>
      </c>
    </row>
    <row r="1395" spans="15:32">
      <c r="O1395" s="91"/>
      <c r="X1395" s="115">
        <f t="shared" si="167"/>
        <v>0</v>
      </c>
      <c r="Y1395" s="115">
        <f t="shared" si="168"/>
        <v>0</v>
      </c>
      <c r="Z1395" s="115" t="e">
        <f t="shared" si="169"/>
        <v>#VALUE!</v>
      </c>
      <c r="AA1395" s="115">
        <f t="shared" si="170"/>
        <v>0</v>
      </c>
      <c r="AC1395" s="115">
        <v>55</v>
      </c>
      <c r="AD1395" s="115">
        <v>2</v>
      </c>
      <c r="AE1395">
        <v>0</v>
      </c>
      <c r="AF1395">
        <v>2</v>
      </c>
    </row>
    <row r="1396" spans="15:32">
      <c r="O1396" s="91"/>
      <c r="X1396" s="115">
        <f t="shared" si="167"/>
        <v>0</v>
      </c>
      <c r="Y1396" s="115">
        <f t="shared" si="168"/>
        <v>0</v>
      </c>
      <c r="Z1396" s="115" t="e">
        <f t="shared" si="169"/>
        <v>#VALUE!</v>
      </c>
      <c r="AA1396" s="115">
        <f t="shared" si="170"/>
        <v>0</v>
      </c>
      <c r="AC1396" s="115">
        <v>60</v>
      </c>
      <c r="AD1396" s="115">
        <v>2</v>
      </c>
      <c r="AE1396">
        <v>-1</v>
      </c>
      <c r="AF1396">
        <v>2</v>
      </c>
    </row>
    <row r="1397" spans="15:32">
      <c r="O1397" s="91"/>
      <c r="X1397" s="115">
        <f t="shared" si="167"/>
        <v>0</v>
      </c>
      <c r="Y1397" s="115">
        <f t="shared" si="168"/>
        <v>0</v>
      </c>
      <c r="Z1397" s="115" t="e">
        <f t="shared" si="169"/>
        <v>#VALUE!</v>
      </c>
      <c r="AA1397" s="115">
        <f t="shared" si="170"/>
        <v>0</v>
      </c>
      <c r="AC1397" s="115">
        <v>65</v>
      </c>
      <c r="AD1397" s="115">
        <v>13</v>
      </c>
      <c r="AE1397">
        <v>1</v>
      </c>
      <c r="AF1397">
        <v>2</v>
      </c>
    </row>
    <row r="1398" spans="15:32">
      <c r="O1398" s="91"/>
      <c r="X1398" s="115">
        <f t="shared" si="167"/>
        <v>0</v>
      </c>
      <c r="Y1398" s="115">
        <f t="shared" si="168"/>
        <v>0</v>
      </c>
      <c r="Z1398" s="115" t="e">
        <f t="shared" si="169"/>
        <v>#VALUE!</v>
      </c>
      <c r="AA1398" s="115">
        <f t="shared" si="170"/>
        <v>0</v>
      </c>
      <c r="AC1398" s="115">
        <v>70</v>
      </c>
      <c r="AD1398" s="115">
        <v>2</v>
      </c>
      <c r="AE1398">
        <v>-3</v>
      </c>
      <c r="AF1398">
        <v>2</v>
      </c>
    </row>
    <row r="1399" spans="15:32">
      <c r="O1399" s="91"/>
      <c r="X1399" s="115">
        <f t="shared" si="167"/>
        <v>0</v>
      </c>
      <c r="Y1399" s="115">
        <f t="shared" si="168"/>
        <v>0</v>
      </c>
      <c r="Z1399" s="115" t="e">
        <f t="shared" si="169"/>
        <v>#VALUE!</v>
      </c>
      <c r="AA1399" s="115">
        <f t="shared" si="170"/>
        <v>0</v>
      </c>
      <c r="AC1399" s="115">
        <v>75</v>
      </c>
      <c r="AD1399">
        <v>-9</v>
      </c>
      <c r="AE1399">
        <v>-3</v>
      </c>
      <c r="AF1399">
        <v>2</v>
      </c>
    </row>
    <row r="1400" spans="15:32">
      <c r="O1400" s="91"/>
      <c r="X1400" s="115">
        <f t="shared" si="167"/>
        <v>0</v>
      </c>
      <c r="Y1400" s="115">
        <f t="shared" si="168"/>
        <v>0</v>
      </c>
      <c r="Z1400" s="115" t="e">
        <f t="shared" si="169"/>
        <v>#VALUE!</v>
      </c>
      <c r="AA1400" s="115">
        <f t="shared" si="170"/>
        <v>0</v>
      </c>
      <c r="AC1400" s="115">
        <v>80</v>
      </c>
      <c r="AD1400">
        <v>-1</v>
      </c>
      <c r="AE1400">
        <v>-6</v>
      </c>
      <c r="AF1400">
        <v>0</v>
      </c>
    </row>
    <row r="1401" spans="15:32">
      <c r="O1401" s="91"/>
      <c r="X1401" s="115">
        <f t="shared" si="167"/>
        <v>0</v>
      </c>
      <c r="Y1401" s="115">
        <f t="shared" si="168"/>
        <v>0</v>
      </c>
      <c r="Z1401" s="115" t="e">
        <f t="shared" si="169"/>
        <v>#VALUE!</v>
      </c>
      <c r="AA1401" s="115">
        <f t="shared" si="170"/>
        <v>0</v>
      </c>
      <c r="AC1401" s="115">
        <v>85</v>
      </c>
      <c r="AD1401">
        <v>2</v>
      </c>
      <c r="AE1401">
        <v>16</v>
      </c>
      <c r="AF1401">
        <v>-2</v>
      </c>
    </row>
    <row r="1402" spans="15:32">
      <c r="O1402" s="91"/>
      <c r="X1402" s="115">
        <f t="shared" si="167"/>
        <v>0</v>
      </c>
      <c r="Y1402" s="115">
        <f t="shared" si="168"/>
        <v>0</v>
      </c>
      <c r="Z1402" s="115" t="e">
        <f t="shared" si="169"/>
        <v>#VALUE!</v>
      </c>
      <c r="AA1402" s="115">
        <f t="shared" si="170"/>
        <v>0</v>
      </c>
      <c r="AC1402" s="115">
        <v>90</v>
      </c>
      <c r="AD1402" s="115">
        <v>7</v>
      </c>
      <c r="AE1402">
        <v>2</v>
      </c>
      <c r="AF1402">
        <v>-2</v>
      </c>
    </row>
    <row r="1403" spans="15:32">
      <c r="O1403" s="91"/>
      <c r="X1403" s="115">
        <f t="shared" si="167"/>
        <v>0</v>
      </c>
      <c r="Y1403" s="115">
        <f t="shared" si="168"/>
        <v>0</v>
      </c>
      <c r="Z1403" s="115" t="e">
        <f t="shared" si="169"/>
        <v>#VALUE!</v>
      </c>
      <c r="AA1403" s="115">
        <f t="shared" si="170"/>
        <v>0</v>
      </c>
    </row>
    <row r="1404" spans="15:32">
      <c r="O1404" s="91"/>
      <c r="X1404" s="115">
        <f t="shared" si="167"/>
        <v>0</v>
      </c>
      <c r="Y1404" s="115">
        <f t="shared" si="168"/>
        <v>0</v>
      </c>
      <c r="Z1404" s="115" t="e">
        <f t="shared" si="169"/>
        <v>#VALUE!</v>
      </c>
      <c r="AA1404" s="115">
        <f t="shared" si="170"/>
        <v>0</v>
      </c>
    </row>
    <row r="1405" spans="15:32">
      <c r="O1405" s="91"/>
      <c r="X1405" s="115">
        <f t="shared" si="167"/>
        <v>0</v>
      </c>
      <c r="Y1405" s="115">
        <f t="shared" si="168"/>
        <v>0</v>
      </c>
      <c r="Z1405" s="115" t="e">
        <f t="shared" si="169"/>
        <v>#VALUE!</v>
      </c>
      <c r="AA1405" s="115">
        <f t="shared" si="170"/>
        <v>0</v>
      </c>
    </row>
    <row r="1406" spans="15:32">
      <c r="O1406" s="91"/>
      <c r="X1406" s="115">
        <f t="shared" si="167"/>
        <v>0</v>
      </c>
      <c r="Y1406" s="115">
        <f t="shared" si="168"/>
        <v>0</v>
      </c>
      <c r="Z1406" s="115" t="e">
        <f t="shared" si="169"/>
        <v>#VALUE!</v>
      </c>
      <c r="AA1406" s="115">
        <f t="shared" si="170"/>
        <v>0</v>
      </c>
    </row>
    <row r="1407" spans="15:32">
      <c r="O1407" s="91"/>
      <c r="X1407" s="115">
        <f t="shared" si="167"/>
        <v>0</v>
      </c>
      <c r="Y1407" s="115">
        <f t="shared" si="168"/>
        <v>0</v>
      </c>
      <c r="Z1407" s="115" t="e">
        <f t="shared" si="169"/>
        <v>#VALUE!</v>
      </c>
      <c r="AA1407" s="115">
        <f t="shared" si="170"/>
        <v>0</v>
      </c>
    </row>
    <row r="1408" spans="15:32">
      <c r="O1408" s="91"/>
      <c r="X1408" s="115">
        <f t="shared" si="167"/>
        <v>0</v>
      </c>
      <c r="Y1408" s="115">
        <f t="shared" si="168"/>
        <v>0</v>
      </c>
      <c r="Z1408" s="115" t="e">
        <f t="shared" si="169"/>
        <v>#VALUE!</v>
      </c>
      <c r="AA1408" s="115">
        <f t="shared" si="170"/>
        <v>0</v>
      </c>
    </row>
    <row r="1409" spans="15:34">
      <c r="O1409" s="91"/>
      <c r="X1409" s="115">
        <f t="shared" si="167"/>
        <v>0</v>
      </c>
      <c r="Y1409" s="115">
        <f t="shared" si="168"/>
        <v>0</v>
      </c>
      <c r="Z1409" s="115" t="e">
        <f t="shared" si="169"/>
        <v>#VALUE!</v>
      </c>
      <c r="AA1409" s="115">
        <f t="shared" si="170"/>
        <v>0</v>
      </c>
      <c r="AC1409" s="265"/>
      <c r="AD1409" s="265"/>
      <c r="AE1409" s="265"/>
      <c r="AF1409" s="265"/>
      <c r="AG1409" s="265"/>
      <c r="AH1409" s="265"/>
    </row>
    <row r="1410" spans="15:34">
      <c r="O1410" s="91"/>
      <c r="X1410" s="115">
        <f t="shared" si="167"/>
        <v>0</v>
      </c>
      <c r="Y1410" s="115">
        <f t="shared" si="168"/>
        <v>0</v>
      </c>
      <c r="Z1410" s="115" t="e">
        <f t="shared" si="169"/>
        <v>#VALUE!</v>
      </c>
      <c r="AA1410" s="115">
        <f t="shared" si="170"/>
        <v>0</v>
      </c>
      <c r="AC1410" s="265"/>
      <c r="AD1410" s="265"/>
      <c r="AE1410" s="265"/>
      <c r="AF1410" s="265"/>
      <c r="AG1410" s="265"/>
      <c r="AH1410" s="265"/>
    </row>
    <row r="1411" spans="15:34">
      <c r="O1411" s="91"/>
      <c r="X1411" s="115">
        <f t="shared" ref="X1411:X1474" si="171">mapValues(E1411,F1411,"P265")</f>
        <v>0</v>
      </c>
      <c r="Y1411" s="115">
        <f t="shared" ref="Y1411:Y1474" si="172">X1410+X1411</f>
        <v>0</v>
      </c>
      <c r="Z1411" s="115" t="e">
        <f t="shared" ref="Z1411:Z1474" si="173">VALUE(MID(B1411,FIND(" ",B1411)+1,FIND(" ",B1411,FIND(" ",B1411)+1)-FIND(" ",B1411)))</f>
        <v>#VALUE!</v>
      </c>
      <c r="AA1411" s="115">
        <f t="shared" ref="AA1411:AA1474" si="174">T1411/1000</f>
        <v>0</v>
      </c>
      <c r="AC1411" s="265"/>
      <c r="AD1411" s="265"/>
      <c r="AE1411" s="265"/>
      <c r="AF1411" s="265"/>
      <c r="AG1411" s="265"/>
      <c r="AH1411" s="265"/>
    </row>
    <row r="1412" spans="15:34">
      <c r="O1412" s="91"/>
      <c r="X1412" s="115">
        <f t="shared" si="171"/>
        <v>0</v>
      </c>
      <c r="Y1412" s="115">
        <f t="shared" si="172"/>
        <v>0</v>
      </c>
      <c r="Z1412" s="115" t="e">
        <f t="shared" si="173"/>
        <v>#VALUE!</v>
      </c>
      <c r="AA1412" s="115">
        <f t="shared" si="174"/>
        <v>0</v>
      </c>
      <c r="AC1412" s="265"/>
      <c r="AD1412" s="265"/>
      <c r="AE1412" s="265"/>
      <c r="AF1412" s="265"/>
      <c r="AG1412" s="265"/>
      <c r="AH1412" s="265"/>
    </row>
    <row r="1413" spans="15:34">
      <c r="O1413" s="91"/>
      <c r="X1413" s="115">
        <f t="shared" si="171"/>
        <v>0</v>
      </c>
      <c r="Y1413" s="115">
        <f t="shared" si="172"/>
        <v>0</v>
      </c>
      <c r="Z1413" s="115" t="e">
        <f t="shared" si="173"/>
        <v>#VALUE!</v>
      </c>
      <c r="AA1413" s="115">
        <f t="shared" si="174"/>
        <v>0</v>
      </c>
      <c r="AC1413" s="265"/>
      <c r="AD1413" s="265"/>
      <c r="AE1413" s="265"/>
      <c r="AF1413" s="265"/>
      <c r="AG1413" s="265"/>
      <c r="AH1413" s="265"/>
    </row>
    <row r="1414" spans="15:34">
      <c r="O1414" s="91"/>
      <c r="X1414" s="115">
        <f t="shared" si="171"/>
        <v>0</v>
      </c>
      <c r="Y1414" s="115">
        <f t="shared" si="172"/>
        <v>0</v>
      </c>
      <c r="Z1414" s="115" t="e">
        <f t="shared" si="173"/>
        <v>#VALUE!</v>
      </c>
      <c r="AA1414" s="115">
        <f t="shared" si="174"/>
        <v>0</v>
      </c>
      <c r="AC1414" s="265"/>
      <c r="AD1414" s="265"/>
      <c r="AE1414" s="265"/>
      <c r="AF1414" s="265"/>
      <c r="AG1414" s="265"/>
      <c r="AH1414" s="265"/>
    </row>
    <row r="1415" spans="15:34">
      <c r="O1415" s="91"/>
      <c r="X1415" s="115">
        <f t="shared" si="171"/>
        <v>0</v>
      </c>
      <c r="Y1415" s="115">
        <f t="shared" si="172"/>
        <v>0</v>
      </c>
      <c r="Z1415" s="115" t="e">
        <f t="shared" si="173"/>
        <v>#VALUE!</v>
      </c>
      <c r="AA1415" s="115">
        <f t="shared" si="174"/>
        <v>0</v>
      </c>
      <c r="AC1415" s="265"/>
      <c r="AD1415" s="265"/>
      <c r="AE1415" s="265"/>
      <c r="AF1415" s="265"/>
      <c r="AG1415" s="265"/>
      <c r="AH1415" s="265"/>
    </row>
    <row r="1416" spans="15:34">
      <c r="O1416" s="91"/>
      <c r="X1416" s="115">
        <f t="shared" si="171"/>
        <v>0</v>
      </c>
      <c r="Y1416" s="115">
        <f t="shared" si="172"/>
        <v>0</v>
      </c>
      <c r="Z1416" s="115" t="e">
        <f t="shared" si="173"/>
        <v>#VALUE!</v>
      </c>
      <c r="AA1416" s="115">
        <f t="shared" si="174"/>
        <v>0</v>
      </c>
      <c r="AC1416" s="265"/>
      <c r="AD1416" s="265"/>
      <c r="AE1416" s="265"/>
      <c r="AF1416" s="265"/>
      <c r="AG1416" s="265"/>
      <c r="AH1416" s="265"/>
    </row>
    <row r="1417" spans="15:34">
      <c r="O1417" s="91"/>
      <c r="X1417" s="115">
        <f t="shared" si="171"/>
        <v>0</v>
      </c>
      <c r="Y1417" s="115">
        <f t="shared" si="172"/>
        <v>0</v>
      </c>
      <c r="Z1417" s="115" t="e">
        <f t="shared" si="173"/>
        <v>#VALUE!</v>
      </c>
      <c r="AA1417" s="115">
        <f t="shared" si="174"/>
        <v>0</v>
      </c>
      <c r="AC1417" s="265"/>
      <c r="AD1417" s="265"/>
      <c r="AE1417" s="265"/>
      <c r="AF1417" s="265"/>
      <c r="AG1417" s="265"/>
      <c r="AH1417" s="265"/>
    </row>
    <row r="1418" spans="15:34">
      <c r="O1418" s="91"/>
      <c r="X1418" s="115">
        <f t="shared" si="171"/>
        <v>0</v>
      </c>
      <c r="Y1418" s="115">
        <f t="shared" si="172"/>
        <v>0</v>
      </c>
      <c r="Z1418" s="115" t="e">
        <f t="shared" si="173"/>
        <v>#VALUE!</v>
      </c>
      <c r="AA1418" s="115">
        <f t="shared" si="174"/>
        <v>0</v>
      </c>
      <c r="AC1418" s="265"/>
      <c r="AD1418" s="265"/>
      <c r="AE1418" s="265"/>
      <c r="AF1418" s="265"/>
      <c r="AG1418" s="265"/>
      <c r="AH1418" s="265"/>
    </row>
    <row r="1419" spans="15:34">
      <c r="O1419" s="91"/>
      <c r="X1419" s="115">
        <f t="shared" si="171"/>
        <v>0</v>
      </c>
      <c r="Y1419" s="115">
        <f t="shared" si="172"/>
        <v>0</v>
      </c>
      <c r="Z1419" s="115" t="e">
        <f t="shared" si="173"/>
        <v>#VALUE!</v>
      </c>
      <c r="AA1419" s="115">
        <f t="shared" si="174"/>
        <v>0</v>
      </c>
      <c r="AC1419" s="265"/>
      <c r="AD1419" s="265"/>
      <c r="AE1419" s="265"/>
      <c r="AF1419" s="265"/>
      <c r="AG1419" s="265"/>
      <c r="AH1419" s="265"/>
    </row>
    <row r="1420" spans="15:34">
      <c r="O1420" s="91"/>
      <c r="X1420" s="115">
        <f t="shared" si="171"/>
        <v>0</v>
      </c>
      <c r="Y1420" s="115">
        <f t="shared" si="172"/>
        <v>0</v>
      </c>
      <c r="Z1420" s="115" t="e">
        <f t="shared" si="173"/>
        <v>#VALUE!</v>
      </c>
      <c r="AA1420" s="115">
        <f t="shared" si="174"/>
        <v>0</v>
      </c>
      <c r="AC1420" s="265"/>
      <c r="AD1420" s="265"/>
      <c r="AE1420" s="265"/>
      <c r="AF1420" s="265"/>
      <c r="AG1420" s="265"/>
      <c r="AH1420" s="265"/>
    </row>
    <row r="1421" spans="15:34">
      <c r="O1421" s="91"/>
      <c r="X1421" s="115">
        <f t="shared" si="171"/>
        <v>0</v>
      </c>
      <c r="Y1421" s="115">
        <f t="shared" si="172"/>
        <v>0</v>
      </c>
      <c r="Z1421" s="115" t="e">
        <f t="shared" si="173"/>
        <v>#VALUE!</v>
      </c>
      <c r="AA1421" s="115">
        <f t="shared" si="174"/>
        <v>0</v>
      </c>
      <c r="AC1421" s="265"/>
      <c r="AD1421" s="265"/>
      <c r="AE1421" s="265"/>
      <c r="AF1421" s="265"/>
      <c r="AG1421" s="265"/>
      <c r="AH1421" s="265"/>
    </row>
    <row r="1422" spans="15:34">
      <c r="O1422" s="91"/>
      <c r="X1422" s="115">
        <f t="shared" si="171"/>
        <v>0</v>
      </c>
      <c r="Y1422" s="115">
        <f t="shared" si="172"/>
        <v>0</v>
      </c>
      <c r="Z1422" s="115" t="e">
        <f t="shared" si="173"/>
        <v>#VALUE!</v>
      </c>
      <c r="AA1422" s="115">
        <f t="shared" si="174"/>
        <v>0</v>
      </c>
      <c r="AC1422" s="265"/>
      <c r="AD1422" s="265"/>
      <c r="AE1422" s="265"/>
      <c r="AF1422" s="265"/>
      <c r="AG1422" s="265"/>
      <c r="AH1422" s="265"/>
    </row>
    <row r="1423" spans="15:34">
      <c r="O1423" s="91"/>
      <c r="X1423" s="115">
        <f t="shared" si="171"/>
        <v>0</v>
      </c>
      <c r="Y1423" s="115">
        <f t="shared" si="172"/>
        <v>0</v>
      </c>
      <c r="Z1423" s="115" t="e">
        <f t="shared" si="173"/>
        <v>#VALUE!</v>
      </c>
      <c r="AA1423" s="115">
        <f t="shared" si="174"/>
        <v>0</v>
      </c>
      <c r="AC1423" s="265"/>
      <c r="AD1423" s="265"/>
      <c r="AE1423" s="265"/>
      <c r="AF1423" s="265"/>
      <c r="AG1423" s="265"/>
      <c r="AH1423" s="265"/>
    </row>
    <row r="1424" spans="15:34">
      <c r="O1424" s="91"/>
      <c r="X1424" s="115">
        <f t="shared" si="171"/>
        <v>0</v>
      </c>
      <c r="Y1424" s="115">
        <f t="shared" si="172"/>
        <v>0</v>
      </c>
      <c r="Z1424" s="115" t="e">
        <f t="shared" si="173"/>
        <v>#VALUE!</v>
      </c>
      <c r="AA1424" s="115">
        <f t="shared" si="174"/>
        <v>0</v>
      </c>
      <c r="AC1424" s="265"/>
      <c r="AD1424" s="265"/>
      <c r="AE1424" s="265"/>
      <c r="AF1424" s="265"/>
      <c r="AG1424" s="265"/>
      <c r="AH1424" s="265"/>
    </row>
    <row r="1425" spans="15:56">
      <c r="O1425" s="91"/>
      <c r="X1425" s="115">
        <f t="shared" si="171"/>
        <v>0</v>
      </c>
      <c r="Y1425" s="115">
        <f t="shared" si="172"/>
        <v>0</v>
      </c>
      <c r="Z1425" s="115" t="e">
        <f t="shared" si="173"/>
        <v>#VALUE!</v>
      </c>
      <c r="AA1425" s="115">
        <f t="shared" si="174"/>
        <v>0</v>
      </c>
      <c r="AC1425" s="265"/>
      <c r="AD1425" s="265"/>
      <c r="AE1425" s="265"/>
      <c r="AF1425" s="265"/>
      <c r="AG1425" s="265"/>
      <c r="AH1425" s="265"/>
    </row>
    <row r="1426" spans="15:56">
      <c r="O1426" s="91"/>
      <c r="X1426" s="115">
        <f t="shared" si="171"/>
        <v>0</v>
      </c>
      <c r="Y1426" s="115">
        <f t="shared" si="172"/>
        <v>0</v>
      </c>
      <c r="Z1426" s="115" t="e">
        <f t="shared" si="173"/>
        <v>#VALUE!</v>
      </c>
      <c r="AA1426" s="115">
        <f t="shared" si="174"/>
        <v>0</v>
      </c>
    </row>
    <row r="1427" spans="15:56">
      <c r="O1427" s="91"/>
      <c r="X1427" s="115">
        <f t="shared" si="171"/>
        <v>0</v>
      </c>
      <c r="Y1427" s="115">
        <f t="shared" si="172"/>
        <v>0</v>
      </c>
      <c r="Z1427" s="115" t="e">
        <f t="shared" si="173"/>
        <v>#VALUE!</v>
      </c>
      <c r="AA1427" s="115">
        <f t="shared" si="174"/>
        <v>0</v>
      </c>
      <c r="AC1427"/>
      <c r="AR1427"/>
    </row>
    <row r="1428" spans="15:56">
      <c r="O1428" s="91"/>
      <c r="X1428" s="115">
        <f t="shared" si="171"/>
        <v>0</v>
      </c>
      <c r="Y1428" s="115">
        <f t="shared" si="172"/>
        <v>0</v>
      </c>
      <c r="Z1428" s="115" t="e">
        <f t="shared" si="173"/>
        <v>#VALUE!</v>
      </c>
      <c r="AA1428" s="115">
        <f t="shared" si="174"/>
        <v>0</v>
      </c>
      <c r="AC1428"/>
      <c r="AR1428"/>
    </row>
    <row r="1429" spans="15:56">
      <c r="O1429" s="91"/>
      <c r="X1429" s="115">
        <f t="shared" si="171"/>
        <v>0</v>
      </c>
      <c r="Y1429" s="115">
        <f t="shared" si="172"/>
        <v>0</v>
      </c>
      <c r="Z1429" s="115" t="e">
        <f t="shared" si="173"/>
        <v>#VALUE!</v>
      </c>
      <c r="AA1429" s="115">
        <f t="shared" si="174"/>
        <v>0</v>
      </c>
      <c r="AC1429" s="374" t="s">
        <v>550</v>
      </c>
      <c r="AD1429" s="374"/>
      <c r="AE1429" s="374"/>
      <c r="AF1429" s="374"/>
      <c r="AG1429" s="374"/>
      <c r="AH1429" s="374"/>
      <c r="AI1429" s="374"/>
      <c r="AL1429" s="346"/>
      <c r="AM1429" s="374" t="s">
        <v>550</v>
      </c>
      <c r="AN1429" s="374"/>
      <c r="AO1429" s="374"/>
      <c r="AP1429" s="374"/>
      <c r="AQ1429" s="374"/>
      <c r="AR1429" s="374"/>
      <c r="AS1429" s="374"/>
      <c r="AT1429" s="346"/>
      <c r="AV1429" s="346"/>
      <c r="AW1429" s="374"/>
      <c r="AX1429" s="374"/>
      <c r="AY1429" s="374"/>
      <c r="AZ1429" s="374"/>
      <c r="BA1429" s="374"/>
      <c r="BB1429" s="374"/>
      <c r="BC1429" s="374"/>
      <c r="BD1429" s="346"/>
    </row>
    <row r="1430" spans="15:56">
      <c r="O1430" s="91"/>
      <c r="X1430" s="115">
        <f t="shared" si="171"/>
        <v>0</v>
      </c>
      <c r="Y1430" s="115">
        <f t="shared" si="172"/>
        <v>0</v>
      </c>
      <c r="Z1430" s="115" t="e">
        <f t="shared" si="173"/>
        <v>#VALUE!</v>
      </c>
      <c r="AA1430" s="115">
        <f t="shared" si="174"/>
        <v>0</v>
      </c>
      <c r="AC1430" s="374" t="s">
        <v>592</v>
      </c>
      <c r="AD1430" s="374"/>
      <c r="AE1430" s="374"/>
      <c r="AF1430" s="115"/>
      <c r="AG1430" s="374" t="s">
        <v>592</v>
      </c>
      <c r="AH1430" s="374"/>
      <c r="AI1430" s="374"/>
      <c r="AL1430" s="346"/>
      <c r="AM1430" s="374" t="s">
        <v>593</v>
      </c>
      <c r="AN1430" s="374"/>
      <c r="AO1430" s="374"/>
      <c r="AP1430" s="346"/>
      <c r="AQ1430" s="374" t="s">
        <v>593</v>
      </c>
      <c r="AR1430" s="374"/>
      <c r="AS1430" s="374"/>
      <c r="AT1430" s="346"/>
      <c r="AV1430" s="346"/>
      <c r="AW1430" s="374"/>
      <c r="AX1430" s="374"/>
      <c r="AY1430" s="374"/>
      <c r="AZ1430" s="346"/>
      <c r="BA1430" s="374"/>
      <c r="BB1430" s="374"/>
      <c r="BC1430" s="374"/>
      <c r="BD1430" s="346"/>
    </row>
    <row r="1431" spans="15:56">
      <c r="O1431" s="91"/>
      <c r="X1431" s="115">
        <f t="shared" si="171"/>
        <v>0</v>
      </c>
      <c r="Y1431" s="115">
        <f t="shared" si="172"/>
        <v>0</v>
      </c>
      <c r="Z1431" s="115" t="e">
        <f t="shared" si="173"/>
        <v>#VALUE!</v>
      </c>
      <c r="AA1431" s="115">
        <f t="shared" si="174"/>
        <v>0</v>
      </c>
      <c r="AC1431" s="374" t="s">
        <v>312</v>
      </c>
      <c r="AD1431" s="374"/>
      <c r="AE1431" s="374"/>
      <c r="AF1431" s="115"/>
      <c r="AG1431" s="374" t="s">
        <v>551</v>
      </c>
      <c r="AH1431" s="374"/>
      <c r="AI1431" s="374"/>
      <c r="AL1431" s="346"/>
      <c r="AM1431" s="374" t="s">
        <v>312</v>
      </c>
      <c r="AN1431" s="374"/>
      <c r="AO1431" s="374"/>
      <c r="AP1431" s="346"/>
      <c r="AQ1431" s="374" t="s">
        <v>551</v>
      </c>
      <c r="AR1431" s="374"/>
      <c r="AS1431" s="374"/>
      <c r="AT1431" s="346"/>
      <c r="AV1431" s="346"/>
      <c r="AW1431" s="374"/>
      <c r="AX1431" s="374"/>
      <c r="AY1431" s="374"/>
      <c r="AZ1431" s="346"/>
      <c r="BA1431" s="374"/>
      <c r="BB1431" s="374"/>
      <c r="BC1431" s="374"/>
      <c r="BD1431" s="346"/>
    </row>
    <row r="1432" spans="15:56">
      <c r="O1432" s="91"/>
      <c r="X1432" s="115">
        <f t="shared" si="171"/>
        <v>0</v>
      </c>
      <c r="Y1432" s="115">
        <f t="shared" si="172"/>
        <v>0</v>
      </c>
      <c r="Z1432" s="115" t="e">
        <f t="shared" si="173"/>
        <v>#VALUE!</v>
      </c>
      <c r="AA1432" s="115">
        <f t="shared" si="174"/>
        <v>0</v>
      </c>
      <c r="AB1432" s="372">
        <v>3</v>
      </c>
      <c r="AC1432" s="346">
        <f>COUNTIFS($A:$A,"1.",$E:$E,"POS",$I:$I,"S3",$L:$L,"L3")</f>
        <v>1</v>
      </c>
      <c r="AD1432" s="346">
        <f>COUNTIFS($A:$A,"1.",$E:$E,"POS",$I:$I,"S3",$L:$L,"M3")</f>
        <v>1</v>
      </c>
      <c r="AE1432" s="346">
        <f>COUNTIFS($A:$A,"1.",$E:$E,"POS",$I:$I,"S3",$L:$L,"R3")</f>
        <v>2</v>
      </c>
      <c r="AF1432" s="115" t="s">
        <v>552</v>
      </c>
      <c r="AG1432" s="115">
        <f>COUNTIFS($A:$A,"1.",$E:$E,"NEG",$I:$I,"S3",$L:$L,"L3")</f>
        <v>1</v>
      </c>
      <c r="AH1432" s="346">
        <f>COUNTIFS($A:$A,"1.",$E:$E,"NEG",$I:$I,"S3",$L:$L,"M3")</f>
        <v>5</v>
      </c>
      <c r="AI1432" s="346">
        <f>COUNTIFS($A:$A,"1.",$E:$E,"NEG",$I:$I,"S3",$L:$L,"R3")</f>
        <v>1</v>
      </c>
      <c r="AJ1432" s="347">
        <v>3</v>
      </c>
      <c r="AL1432" s="347">
        <v>3</v>
      </c>
      <c r="AM1432" s="346">
        <f>COUNTIFS($A:$A,"2.",$E:$E,"POS",$I:$I,"S3",$L:$L,"L3")</f>
        <v>1</v>
      </c>
      <c r="AN1432" s="346">
        <f>COUNTIFS($A:$A,"2.",$E:$E,"POS",$I:$I,"S3",$L:$L,"M3")</f>
        <v>2</v>
      </c>
      <c r="AO1432" s="346">
        <f>COUNTIFS($A:$A,"2.",$E:$E,"POS",$I:$I,"S3",$L:$L,"R3")</f>
        <v>2</v>
      </c>
      <c r="AP1432" s="346" t="s">
        <v>552</v>
      </c>
      <c r="AQ1432" s="346">
        <f>COUNTIFS($A:$A,"2.",$E:$E,"NEG",$I:$I,"S3",$L:$L,"L3")</f>
        <v>0</v>
      </c>
      <c r="AR1432" s="346">
        <f>COUNTIFS($A:$A,"2.",$E:$E,"NEG",$I:$I,"S3",$L:$L,"M3")</f>
        <v>5</v>
      </c>
      <c r="AS1432" s="346">
        <f>COUNTIFS($A:$A,"2.",$E:$E,"NEG",$I:$I,"S3",$L:$L,"R3")</f>
        <v>2</v>
      </c>
      <c r="AT1432" s="347">
        <v>3</v>
      </c>
      <c r="AV1432" s="347"/>
      <c r="AW1432" s="346"/>
      <c r="AX1432" s="346"/>
      <c r="AY1432" s="346"/>
      <c r="AZ1432" s="346"/>
      <c r="BA1432" s="346"/>
      <c r="BB1432" s="346"/>
      <c r="BC1432" s="346"/>
      <c r="BD1432" s="347"/>
    </row>
    <row r="1433" spans="15:56">
      <c r="O1433" s="91"/>
      <c r="X1433" s="115">
        <f t="shared" si="171"/>
        <v>0</v>
      </c>
      <c r="Y1433" s="115">
        <f t="shared" si="172"/>
        <v>0</v>
      </c>
      <c r="Z1433" s="115" t="e">
        <f t="shared" si="173"/>
        <v>#VALUE!</v>
      </c>
      <c r="AA1433" s="115">
        <f t="shared" si="174"/>
        <v>0</v>
      </c>
      <c r="AB1433" s="373" t="s">
        <v>575</v>
      </c>
      <c r="AC1433" s="346">
        <f>COUNTIFS($A:$A,"1.",$E:$E,"POS",$I:$I,"S2",$L:$L,"L2/2")</f>
        <v>2</v>
      </c>
      <c r="AD1433" s="346">
        <f>COUNTIFS($A:$A,"1.",$E:$E,"POS",$I:$I,"S2",$L:$L,"M2/2")</f>
        <v>1</v>
      </c>
      <c r="AE1433" s="346">
        <f>COUNTIFS($A:$A,"1.",$E:$E,"POS",$I:$I,"S2",$L:$L,"R2/2")</f>
        <v>0</v>
      </c>
      <c r="AF1433" s="115" t="s">
        <v>553</v>
      </c>
      <c r="AG1433" s="115">
        <f>COUNTIFS($A:$A,"1.",$E:$E,"NEG",$I:$I,"S2",$L:$L,"L2/2")</f>
        <v>1</v>
      </c>
      <c r="AH1433" s="346">
        <f>COUNTIFS($A:$A,"1.",$E:$E,"NEG",$I:$I,"S2",$L:$L,"M2/2")</f>
        <v>4</v>
      </c>
      <c r="AI1433" s="346">
        <f>COUNTIFS($A:$A,"1.",$E:$E,"NEG",$I:$I,"S2",$L:$L,"R2/2")</f>
        <v>1</v>
      </c>
      <c r="AJ1433" s="348" t="s">
        <v>575</v>
      </c>
      <c r="AL1433" s="348" t="s">
        <v>575</v>
      </c>
      <c r="AM1433" s="346">
        <f>COUNTIFS($A:$A,"2.",$E:$E,"POS",$I:$I,"S2",$L:$L,"L2/2")</f>
        <v>1</v>
      </c>
      <c r="AN1433" s="346">
        <f>COUNTIFS($A:$A,"2.",$E:$E,"POS",$I:$I,"S2",$L:$L,"M2/2")</f>
        <v>2</v>
      </c>
      <c r="AO1433" s="346">
        <f>COUNTIFS($A:$A,"2.",$E:$E,"POS",$I:$I,"S2",$L:$L,"R2/2")</f>
        <v>1</v>
      </c>
      <c r="AP1433" s="346" t="s">
        <v>553</v>
      </c>
      <c r="AQ1433" s="346">
        <f>COUNTIFS($A:$A,"2.",$E:$E,"NEG",$I:$I,"S2",$L:$L,"L2/2")</f>
        <v>1</v>
      </c>
      <c r="AR1433" s="346">
        <f>COUNTIFS($A:$A,"2.",$E:$E,"NEG",$I:$I,"S2",$L:$L,"M2/2")</f>
        <v>3</v>
      </c>
      <c r="AS1433" s="346">
        <f>COUNTIFS($A:$A,"2.",$E:$E,"NEG",$I:$I,"S2",$L:$L,"R2/2")</f>
        <v>1</v>
      </c>
      <c r="AT1433" s="348" t="s">
        <v>575</v>
      </c>
      <c r="AV1433" s="348"/>
      <c r="AW1433" s="346"/>
      <c r="AX1433" s="346"/>
      <c r="AY1433" s="346"/>
      <c r="AZ1433" s="346"/>
      <c r="BA1433" s="346"/>
      <c r="BB1433" s="346"/>
      <c r="BC1433" s="346"/>
      <c r="BD1433" s="348"/>
    </row>
    <row r="1434" spans="15:56">
      <c r="O1434" s="91"/>
      <c r="X1434" s="115">
        <f t="shared" si="171"/>
        <v>0</v>
      </c>
      <c r="Y1434" s="115">
        <f t="shared" si="172"/>
        <v>0</v>
      </c>
      <c r="Z1434" s="115" t="e">
        <f t="shared" si="173"/>
        <v>#VALUE!</v>
      </c>
      <c r="AA1434" s="115">
        <f t="shared" si="174"/>
        <v>0</v>
      </c>
      <c r="AB1434" s="373" t="s">
        <v>576</v>
      </c>
      <c r="AC1434" s="346">
        <f>COUNTIFS($A:$A,"1.",$E:$E,"POS",$I:$I,"S2",$L:$L,"L2/1")</f>
        <v>2</v>
      </c>
      <c r="AD1434" s="346">
        <f>COUNTIFS($A:$A,"1.",$E:$E,"POS",$I:$I,"S2",$L:$L,"M2/1")</f>
        <v>1</v>
      </c>
      <c r="AE1434" s="346">
        <f>COUNTIFS($A:$A,"1.",$E:$E,"POS",$I:$I,"S2",$L:$L,"R2/1")</f>
        <v>1</v>
      </c>
      <c r="AF1434" s="115" t="s">
        <v>553</v>
      </c>
      <c r="AG1434" s="115">
        <f>COUNTIFS($A:$A,"1.",$E:$E,"NEG",$I:$I,"S2",$L:$L,"L2/1")</f>
        <v>3</v>
      </c>
      <c r="AH1434" s="346">
        <f>COUNTIFS($A:$A,"1.",$E:$E,"NEG",$I:$I,"S2",$L:$L,"M2/1")</f>
        <v>3</v>
      </c>
      <c r="AI1434" s="346">
        <f>COUNTIFS($A:$A,"1.",$E:$E,"NEG",$I:$I,"S2",$L:$L,"R2/1")</f>
        <v>1</v>
      </c>
      <c r="AJ1434" s="348" t="s">
        <v>576</v>
      </c>
      <c r="AL1434" s="348" t="s">
        <v>576</v>
      </c>
      <c r="AM1434" s="346">
        <f>COUNTIFS($A:$A,"2.",$E:$E,"POS",$I:$I,"S2",$L:$L,"L2/1")</f>
        <v>0</v>
      </c>
      <c r="AN1434" s="346">
        <f>COUNTIFS($A:$A,"2.",$E:$E,"POS",$I:$I,"S2",$L:$L,"M2/1")</f>
        <v>1</v>
      </c>
      <c r="AO1434" s="346">
        <f>COUNTIFS($A:$A,"2.",$E:$E,"POS",$I:$I,"S2",$L:$L,"R2/1")</f>
        <v>0</v>
      </c>
      <c r="AP1434" s="346" t="s">
        <v>553</v>
      </c>
      <c r="AQ1434" s="346">
        <f>COUNTIFS($A:$A,"2.",$E:$E,"NEG",$I:$I,"S2",$L:$L,"L2/1")</f>
        <v>1</v>
      </c>
      <c r="AR1434" s="346">
        <f>COUNTIFS($A:$A,"2.",$E:$E,"NEG",$I:$I,"S2",$L:$L,"M2/1")</f>
        <v>3</v>
      </c>
      <c r="AS1434" s="346">
        <f>COUNTIFS($A:$A,"2.",$E:$E,"NEG",$I:$I,"S2",$L:$L,"R2/1")</f>
        <v>0</v>
      </c>
      <c r="AT1434" s="348" t="s">
        <v>576</v>
      </c>
      <c r="AV1434" s="348"/>
      <c r="AW1434" s="346"/>
      <c r="AX1434" s="346"/>
      <c r="AY1434" s="346"/>
      <c r="AZ1434" s="346"/>
      <c r="BA1434" s="346"/>
      <c r="BB1434" s="346"/>
      <c r="BC1434" s="346"/>
      <c r="BD1434" s="348"/>
    </row>
    <row r="1435" spans="15:56">
      <c r="O1435" s="91"/>
      <c r="X1435" s="115">
        <f t="shared" si="171"/>
        <v>0</v>
      </c>
      <c r="Y1435" s="115">
        <f t="shared" si="172"/>
        <v>0</v>
      </c>
      <c r="Z1435" s="115" t="e">
        <f t="shared" si="173"/>
        <v>#VALUE!</v>
      </c>
      <c r="AA1435" s="115">
        <f t="shared" si="174"/>
        <v>0</v>
      </c>
      <c r="AB1435" s="372">
        <v>1</v>
      </c>
      <c r="AC1435" s="346">
        <f>COUNTIFS($A:$A,"1.",$E:$E,"POS",$I:$I,"S1",$L:$L,"L1")</f>
        <v>3</v>
      </c>
      <c r="AD1435" s="346">
        <f>COUNTIFS($A:$A,"1.",$E:$E,"POS",$I:$I,"S1",$L:$L,"M1")</f>
        <v>0</v>
      </c>
      <c r="AE1435" s="346">
        <f>COUNTIFS($A:$A,"1.",$E:$E,"POS",$I:$I,"S1",$L:$L,"R1")</f>
        <v>0</v>
      </c>
      <c r="AF1435" s="115" t="s">
        <v>554</v>
      </c>
      <c r="AG1435" s="115">
        <f>COUNTIFS($A:$A,"1.",$E:$E,"NEG",$I:$I,"S1",$L:$L,"L1")</f>
        <v>2</v>
      </c>
      <c r="AH1435" s="346">
        <f>COUNTIFS($A:$A,"1.",$E:$E,"NEG",$I:$I,"S1",$L:$L,"M1")</f>
        <v>3</v>
      </c>
      <c r="AI1435" s="346">
        <f>COUNTIFS($A:$A,"1.",$E:$E,"NEG",$I:$I,"S1",$L:$L,"R1")</f>
        <v>3</v>
      </c>
      <c r="AJ1435" s="347">
        <v>1</v>
      </c>
      <c r="AL1435" s="347">
        <v>1</v>
      </c>
      <c r="AM1435" s="346">
        <f>COUNTIFS($A:$A,"2.",$E:$E,"POS",$I:$I,"S1",$L:$L,"L1")</f>
        <v>0</v>
      </c>
      <c r="AN1435" s="346">
        <f>COUNTIFS($A:$A,"2.",$E:$E,"POS",$I:$I,"S1",$L:$L,"M1")</f>
        <v>3</v>
      </c>
      <c r="AO1435" s="346">
        <f>COUNTIFS($A:$A,"2.",$E:$E,"POS",$I:$I,"S1",$L:$L,"R1")</f>
        <v>1</v>
      </c>
      <c r="AP1435" s="346" t="s">
        <v>554</v>
      </c>
      <c r="AQ1435" s="346">
        <f>COUNTIFS($A:$A,"2.",$E:$E,"NEG",$I:$I,"S1",$L:$L,"L1")</f>
        <v>2</v>
      </c>
      <c r="AR1435" s="346">
        <f>COUNTIFS($A:$A,"2.",$E:$E,"NEG",$I:$I,"S1",$L:$L,"M1")</f>
        <v>4</v>
      </c>
      <c r="AS1435" s="346">
        <f>COUNTIFS($A:$A,"2.",$E:$E,"NEG",$I:$I,"S1",$L:$L,"R1")</f>
        <v>1</v>
      </c>
      <c r="AT1435" s="347">
        <v>1</v>
      </c>
      <c r="AV1435" s="347"/>
      <c r="AW1435" s="346"/>
      <c r="AX1435" s="346"/>
      <c r="AY1435" s="346"/>
      <c r="AZ1435" s="346"/>
      <c r="BA1435" s="346"/>
      <c r="BB1435" s="346"/>
      <c r="BC1435" s="346"/>
      <c r="BD1435" s="347"/>
    </row>
    <row r="1436" spans="15:56">
      <c r="O1436" s="91"/>
      <c r="X1436" s="115">
        <f t="shared" si="171"/>
        <v>0</v>
      </c>
      <c r="Y1436" s="115">
        <f t="shared" si="172"/>
        <v>0</v>
      </c>
      <c r="Z1436" s="115" t="e">
        <f t="shared" si="173"/>
        <v>#VALUE!</v>
      </c>
      <c r="AA1436" s="115">
        <f t="shared" si="174"/>
        <v>0</v>
      </c>
      <c r="AC1436" s="115" t="s">
        <v>555</v>
      </c>
      <c r="AD1436" s="115" t="s">
        <v>556</v>
      </c>
      <c r="AE1436" s="115" t="s">
        <v>557</v>
      </c>
      <c r="AF1436" s="115"/>
      <c r="AG1436" s="115" t="s">
        <v>555</v>
      </c>
      <c r="AH1436" s="115" t="s">
        <v>556</v>
      </c>
      <c r="AI1436" s="115" t="s">
        <v>557</v>
      </c>
      <c r="AL1436" s="346"/>
      <c r="AM1436" s="346" t="s">
        <v>555</v>
      </c>
      <c r="AN1436" s="346" t="s">
        <v>556</v>
      </c>
      <c r="AO1436" s="346" t="s">
        <v>557</v>
      </c>
      <c r="AP1436" s="346"/>
      <c r="AQ1436" s="346" t="s">
        <v>555</v>
      </c>
      <c r="AR1436" s="346" t="s">
        <v>556</v>
      </c>
      <c r="AS1436" s="346" t="s">
        <v>557</v>
      </c>
      <c r="AT1436" s="346"/>
      <c r="AV1436" s="346"/>
      <c r="AW1436" s="346"/>
      <c r="AX1436" s="346"/>
      <c r="AY1436" s="346"/>
      <c r="AZ1436" s="346"/>
      <c r="BA1436" s="346"/>
      <c r="BB1436" s="346"/>
      <c r="BC1436" s="346"/>
      <c r="BD1436" s="346"/>
    </row>
    <row r="1437" spans="15:56">
      <c r="O1437" s="91"/>
      <c r="X1437" s="115">
        <f t="shared" si="171"/>
        <v>0</v>
      </c>
      <c r="Y1437" s="115">
        <f t="shared" si="172"/>
        <v>0</v>
      </c>
      <c r="Z1437" s="115" t="e">
        <f t="shared" si="173"/>
        <v>#VALUE!</v>
      </c>
      <c r="AA1437" s="115">
        <f t="shared" si="174"/>
        <v>0</v>
      </c>
      <c r="AC1437" s="347" t="s">
        <v>572</v>
      </c>
      <c r="AD1437" s="347" t="s">
        <v>573</v>
      </c>
      <c r="AE1437" s="347" t="s">
        <v>574</v>
      </c>
      <c r="AG1437" s="347" t="s">
        <v>572</v>
      </c>
      <c r="AH1437" s="347" t="s">
        <v>573</v>
      </c>
      <c r="AI1437" s="347" t="s">
        <v>574</v>
      </c>
      <c r="AL1437" s="346"/>
      <c r="AM1437" s="347" t="s">
        <v>572</v>
      </c>
      <c r="AN1437" s="347" t="s">
        <v>573</v>
      </c>
      <c r="AO1437" s="347" t="s">
        <v>574</v>
      </c>
      <c r="AP1437" s="346"/>
      <c r="AQ1437" s="347" t="s">
        <v>572</v>
      </c>
      <c r="AR1437" s="347" t="s">
        <v>573</v>
      </c>
      <c r="AS1437" s="347" t="s">
        <v>574</v>
      </c>
      <c r="AT1437" s="346"/>
      <c r="AV1437" s="346"/>
      <c r="AW1437" s="347"/>
      <c r="AX1437" s="347"/>
      <c r="AY1437" s="347"/>
      <c r="AZ1437" s="346"/>
      <c r="BA1437" s="347"/>
      <c r="BB1437" s="347"/>
      <c r="BC1437" s="347"/>
      <c r="BD1437" s="346"/>
    </row>
    <row r="1438" spans="15:56">
      <c r="O1438" s="91"/>
      <c r="X1438" s="115">
        <f t="shared" si="171"/>
        <v>0</v>
      </c>
      <c r="Y1438" s="115">
        <f t="shared" si="172"/>
        <v>0</v>
      </c>
      <c r="Z1438" s="115" t="e">
        <f t="shared" si="173"/>
        <v>#VALUE!</v>
      </c>
      <c r="AA1438" s="115">
        <f t="shared" si="174"/>
        <v>0</v>
      </c>
      <c r="AC1438"/>
      <c r="AR1438"/>
    </row>
    <row r="1439" spans="15:56">
      <c r="O1439" s="91"/>
      <c r="X1439" s="115">
        <f t="shared" si="171"/>
        <v>0</v>
      </c>
      <c r="Y1439" s="115">
        <f t="shared" si="172"/>
        <v>0</v>
      </c>
      <c r="Z1439" s="115" t="e">
        <f t="shared" si="173"/>
        <v>#VALUE!</v>
      </c>
      <c r="AA1439" s="115">
        <f t="shared" si="174"/>
        <v>0</v>
      </c>
      <c r="AC1439"/>
      <c r="AR1439"/>
    </row>
    <row r="1440" spans="15:56">
      <c r="O1440" s="91"/>
      <c r="X1440" s="115">
        <f t="shared" si="171"/>
        <v>0</v>
      </c>
      <c r="Y1440" s="115">
        <f t="shared" si="172"/>
        <v>0</v>
      </c>
      <c r="Z1440" s="115" t="e">
        <f t="shared" si="173"/>
        <v>#VALUE!</v>
      </c>
      <c r="AA1440" s="115">
        <f t="shared" si="174"/>
        <v>0</v>
      </c>
      <c r="AC1440"/>
      <c r="AR1440"/>
    </row>
    <row r="1441" spans="15:44">
      <c r="O1441" s="91"/>
      <c r="X1441" s="115">
        <f t="shared" si="171"/>
        <v>0</v>
      </c>
      <c r="Y1441" s="115">
        <f t="shared" si="172"/>
        <v>0</v>
      </c>
      <c r="Z1441" s="115" t="e">
        <f t="shared" si="173"/>
        <v>#VALUE!</v>
      </c>
      <c r="AA1441" s="115">
        <f t="shared" si="174"/>
        <v>0</v>
      </c>
      <c r="AC1441" s="346" t="s">
        <v>309</v>
      </c>
      <c r="AD1441" s="346"/>
      <c r="AE1441" s="346"/>
      <c r="AF1441" s="346"/>
      <c r="AG1441" s="346"/>
      <c r="AH1441" s="346"/>
      <c r="AI1441" s="346"/>
      <c r="AR1441"/>
    </row>
    <row r="1442" spans="15:44">
      <c r="O1442" s="91"/>
      <c r="X1442" s="115">
        <f t="shared" si="171"/>
        <v>0</v>
      </c>
      <c r="Y1442" s="115">
        <f t="shared" si="172"/>
        <v>0</v>
      </c>
      <c r="Z1442" s="115" t="e">
        <f t="shared" si="173"/>
        <v>#VALUE!</v>
      </c>
      <c r="AA1442" s="115">
        <f t="shared" si="174"/>
        <v>0</v>
      </c>
      <c r="AC1442" s="346" t="s">
        <v>725</v>
      </c>
      <c r="AD1442" s="346">
        <v>3</v>
      </c>
      <c r="AE1442" s="346"/>
      <c r="AF1442" s="346"/>
      <c r="AG1442" s="346" t="s">
        <v>287</v>
      </c>
      <c r="AH1442" s="346"/>
      <c r="AI1442" s="346" t="s">
        <v>287</v>
      </c>
      <c r="AR1442"/>
    </row>
    <row r="1443" spans="15:44">
      <c r="O1443" s="91"/>
      <c r="X1443" s="115">
        <f t="shared" si="171"/>
        <v>0</v>
      </c>
      <c r="Y1443" s="115">
        <f t="shared" si="172"/>
        <v>0</v>
      </c>
      <c r="Z1443" s="115" t="e">
        <f t="shared" si="173"/>
        <v>#VALUE!</v>
      </c>
      <c r="AA1443" s="115">
        <f t="shared" si="174"/>
        <v>0</v>
      </c>
      <c r="AC1443" s="369" t="s">
        <v>284</v>
      </c>
      <c r="AD1443" s="369" t="s">
        <v>285</v>
      </c>
      <c r="AE1443" s="369" t="s">
        <v>726</v>
      </c>
      <c r="AF1443" s="346"/>
      <c r="AG1443" s="369" t="s">
        <v>727</v>
      </c>
      <c r="AH1443" s="346"/>
      <c r="AI1443" s="369" t="s">
        <v>727</v>
      </c>
      <c r="AR1443"/>
    </row>
    <row r="1444" spans="15:44">
      <c r="O1444" s="91"/>
      <c r="X1444" s="115">
        <f t="shared" si="171"/>
        <v>0</v>
      </c>
      <c r="Y1444" s="115">
        <f t="shared" si="172"/>
        <v>0</v>
      </c>
      <c r="Z1444" s="115" t="e">
        <f t="shared" si="173"/>
        <v>#VALUE!</v>
      </c>
      <c r="AA1444" s="115">
        <f t="shared" si="174"/>
        <v>0</v>
      </c>
      <c r="AC1444" s="369">
        <v>0</v>
      </c>
      <c r="AD1444" s="369">
        <v>1</v>
      </c>
      <c r="AE1444" s="369">
        <v>2</v>
      </c>
      <c r="AF1444" s="346"/>
      <c r="AG1444" s="269">
        <f>AG6/AD1442</f>
        <v>0</v>
      </c>
      <c r="AH1444" s="246"/>
      <c r="AI1444" s="269">
        <f>AV6/AD1442</f>
        <v>0.66666666666666663</v>
      </c>
      <c r="AR1444"/>
    </row>
    <row r="1445" spans="15:44">
      <c r="O1445" s="91"/>
      <c r="X1445" s="115">
        <f t="shared" si="171"/>
        <v>0</v>
      </c>
      <c r="Y1445" s="115">
        <f t="shared" si="172"/>
        <v>0</v>
      </c>
      <c r="Z1445" s="115" t="e">
        <f t="shared" si="173"/>
        <v>#VALUE!</v>
      </c>
      <c r="AA1445" s="115">
        <f t="shared" si="174"/>
        <v>0</v>
      </c>
      <c r="AC1445"/>
      <c r="AR1445"/>
    </row>
    <row r="1446" spans="15:44">
      <c r="O1446" s="91"/>
      <c r="X1446" s="115">
        <f t="shared" si="171"/>
        <v>0</v>
      </c>
      <c r="Y1446" s="115">
        <f t="shared" si="172"/>
        <v>0</v>
      </c>
      <c r="Z1446" s="115" t="e">
        <f t="shared" si="173"/>
        <v>#VALUE!</v>
      </c>
      <c r="AA1446" s="115">
        <f t="shared" si="174"/>
        <v>0</v>
      </c>
      <c r="AC1446"/>
      <c r="AR1446"/>
    </row>
    <row r="1447" spans="15:44">
      <c r="O1447" s="91"/>
      <c r="X1447" s="115">
        <f t="shared" si="171"/>
        <v>0</v>
      </c>
      <c r="Y1447" s="115">
        <f t="shared" si="172"/>
        <v>0</v>
      </c>
      <c r="Z1447" s="115" t="e">
        <f t="shared" si="173"/>
        <v>#VALUE!</v>
      </c>
      <c r="AA1447" s="115">
        <f t="shared" si="174"/>
        <v>0</v>
      </c>
      <c r="AC1447"/>
      <c r="AR1447"/>
    </row>
    <row r="1448" spans="15:44">
      <c r="O1448" s="91"/>
      <c r="X1448" s="115">
        <f t="shared" si="171"/>
        <v>0</v>
      </c>
      <c r="Y1448" s="115">
        <f t="shared" si="172"/>
        <v>0</v>
      </c>
      <c r="Z1448" s="115" t="e">
        <f t="shared" si="173"/>
        <v>#VALUE!</v>
      </c>
      <c r="AA1448" s="115">
        <f t="shared" si="174"/>
        <v>0</v>
      </c>
      <c r="AC1448"/>
      <c r="AR1448"/>
    </row>
    <row r="1449" spans="15:44">
      <c r="O1449" s="91"/>
      <c r="X1449" s="115">
        <f t="shared" si="171"/>
        <v>0</v>
      </c>
      <c r="Y1449" s="115">
        <f t="shared" si="172"/>
        <v>0</v>
      </c>
      <c r="Z1449" s="115" t="e">
        <f t="shared" si="173"/>
        <v>#VALUE!</v>
      </c>
      <c r="AA1449" s="115">
        <f t="shared" si="174"/>
        <v>0</v>
      </c>
      <c r="AC1449"/>
      <c r="AR1449"/>
    </row>
    <row r="1450" spans="15:44">
      <c r="O1450" s="91"/>
      <c r="X1450" s="115">
        <f t="shared" si="171"/>
        <v>0</v>
      </c>
      <c r="Y1450" s="115">
        <f t="shared" si="172"/>
        <v>0</v>
      </c>
      <c r="Z1450" s="115" t="e">
        <f t="shared" si="173"/>
        <v>#VALUE!</v>
      </c>
      <c r="AA1450" s="115">
        <f t="shared" si="174"/>
        <v>0</v>
      </c>
      <c r="AC1450"/>
      <c r="AR1450"/>
    </row>
    <row r="1451" spans="15:44">
      <c r="O1451" s="91"/>
      <c r="X1451" s="115">
        <f t="shared" si="171"/>
        <v>0</v>
      </c>
      <c r="Y1451" s="115">
        <f t="shared" si="172"/>
        <v>0</v>
      </c>
      <c r="Z1451" s="115" t="e">
        <f t="shared" si="173"/>
        <v>#VALUE!</v>
      </c>
      <c r="AA1451" s="115">
        <f t="shared" si="174"/>
        <v>0</v>
      </c>
      <c r="AC1451"/>
      <c r="AR1451"/>
    </row>
    <row r="1452" spans="15:44">
      <c r="O1452" s="91"/>
      <c r="X1452" s="115">
        <f t="shared" si="171"/>
        <v>0</v>
      </c>
      <c r="Y1452" s="115">
        <f t="shared" si="172"/>
        <v>0</v>
      </c>
      <c r="Z1452" s="115" t="e">
        <f t="shared" si="173"/>
        <v>#VALUE!</v>
      </c>
      <c r="AA1452" s="115">
        <f t="shared" si="174"/>
        <v>0</v>
      </c>
      <c r="AC1452"/>
      <c r="AR1452"/>
    </row>
    <row r="1453" spans="15:44">
      <c r="O1453" s="91"/>
      <c r="X1453" s="115">
        <f t="shared" si="171"/>
        <v>0</v>
      </c>
      <c r="Y1453" s="115">
        <f t="shared" si="172"/>
        <v>0</v>
      </c>
      <c r="Z1453" s="115" t="e">
        <f t="shared" si="173"/>
        <v>#VALUE!</v>
      </c>
      <c r="AA1453" s="115">
        <f t="shared" si="174"/>
        <v>0</v>
      </c>
      <c r="AC1453"/>
      <c r="AR1453"/>
    </row>
    <row r="1454" spans="15:44">
      <c r="O1454" s="91"/>
      <c r="X1454" s="115">
        <f t="shared" si="171"/>
        <v>0</v>
      </c>
      <c r="Y1454" s="115">
        <f t="shared" si="172"/>
        <v>0</v>
      </c>
      <c r="Z1454" s="115" t="e">
        <f t="shared" si="173"/>
        <v>#VALUE!</v>
      </c>
      <c r="AA1454" s="115">
        <f t="shared" si="174"/>
        <v>0</v>
      </c>
      <c r="AC1454"/>
      <c r="AR1454"/>
    </row>
    <row r="1455" spans="15:44">
      <c r="O1455" s="91"/>
      <c r="X1455" s="115">
        <f t="shared" si="171"/>
        <v>0</v>
      </c>
      <c r="Y1455" s="115">
        <f t="shared" si="172"/>
        <v>0</v>
      </c>
      <c r="Z1455" s="115" t="e">
        <f t="shared" si="173"/>
        <v>#VALUE!</v>
      </c>
      <c r="AA1455" s="115">
        <f t="shared" si="174"/>
        <v>0</v>
      </c>
      <c r="AC1455"/>
      <c r="AR1455"/>
    </row>
    <row r="1456" spans="15:44">
      <c r="O1456" s="91"/>
      <c r="X1456" s="115">
        <f t="shared" si="171"/>
        <v>0</v>
      </c>
      <c r="Y1456" s="115">
        <f t="shared" si="172"/>
        <v>0</v>
      </c>
      <c r="Z1456" s="115" t="e">
        <f t="shared" si="173"/>
        <v>#VALUE!</v>
      </c>
      <c r="AA1456" s="115">
        <f t="shared" si="174"/>
        <v>0</v>
      </c>
      <c r="AC1456"/>
      <c r="AR1456"/>
    </row>
    <row r="1457" spans="15:44">
      <c r="O1457" s="91"/>
      <c r="X1457" s="115">
        <f t="shared" si="171"/>
        <v>0</v>
      </c>
      <c r="Y1457" s="115">
        <f t="shared" si="172"/>
        <v>0</v>
      </c>
      <c r="Z1457" s="115" t="e">
        <f t="shared" si="173"/>
        <v>#VALUE!</v>
      </c>
      <c r="AA1457" s="115">
        <f t="shared" si="174"/>
        <v>0</v>
      </c>
      <c r="AC1457"/>
      <c r="AR1457"/>
    </row>
    <row r="1458" spans="15:44">
      <c r="O1458" s="91"/>
      <c r="X1458" s="115">
        <f t="shared" si="171"/>
        <v>0</v>
      </c>
      <c r="Y1458" s="115">
        <f t="shared" si="172"/>
        <v>0</v>
      </c>
      <c r="Z1458" s="115" t="e">
        <f t="shared" si="173"/>
        <v>#VALUE!</v>
      </c>
      <c r="AA1458" s="115">
        <f t="shared" si="174"/>
        <v>0</v>
      </c>
      <c r="AC1458"/>
      <c r="AR1458"/>
    </row>
    <row r="1459" spans="15:44">
      <c r="O1459" s="91"/>
      <c r="X1459" s="115">
        <f t="shared" si="171"/>
        <v>0</v>
      </c>
      <c r="Y1459" s="115">
        <f t="shared" si="172"/>
        <v>0</v>
      </c>
      <c r="Z1459" s="115" t="e">
        <f t="shared" si="173"/>
        <v>#VALUE!</v>
      </c>
      <c r="AA1459" s="115">
        <f t="shared" si="174"/>
        <v>0</v>
      </c>
      <c r="AC1459"/>
      <c r="AR1459"/>
    </row>
    <row r="1460" spans="15:44">
      <c r="O1460" s="91"/>
      <c r="X1460" s="115">
        <f t="shared" si="171"/>
        <v>0</v>
      </c>
      <c r="Y1460" s="115">
        <f t="shared" si="172"/>
        <v>0</v>
      </c>
      <c r="Z1460" s="115" t="e">
        <f t="shared" si="173"/>
        <v>#VALUE!</v>
      </c>
      <c r="AA1460" s="115">
        <f t="shared" si="174"/>
        <v>0</v>
      </c>
      <c r="AC1460"/>
      <c r="AR1460"/>
    </row>
    <row r="1461" spans="15:44">
      <c r="O1461" s="91"/>
      <c r="X1461" s="115">
        <f t="shared" si="171"/>
        <v>0</v>
      </c>
      <c r="Y1461" s="115">
        <f t="shared" si="172"/>
        <v>0</v>
      </c>
      <c r="Z1461" s="115" t="e">
        <f t="shared" si="173"/>
        <v>#VALUE!</v>
      </c>
      <c r="AA1461" s="115">
        <f t="shared" si="174"/>
        <v>0</v>
      </c>
      <c r="AC1461"/>
      <c r="AR1461"/>
    </row>
    <row r="1462" spans="15:44">
      <c r="O1462" s="91"/>
      <c r="X1462" s="115">
        <f t="shared" si="171"/>
        <v>0</v>
      </c>
      <c r="Y1462" s="115">
        <f t="shared" si="172"/>
        <v>0</v>
      </c>
      <c r="Z1462" s="115" t="e">
        <f t="shared" si="173"/>
        <v>#VALUE!</v>
      </c>
      <c r="AA1462" s="115">
        <f t="shared" si="174"/>
        <v>0</v>
      </c>
      <c r="AC1462"/>
      <c r="AR1462"/>
    </row>
    <row r="1463" spans="15:44">
      <c r="O1463" s="91"/>
      <c r="X1463" s="115">
        <f t="shared" si="171"/>
        <v>0</v>
      </c>
      <c r="Y1463" s="115">
        <f t="shared" si="172"/>
        <v>0</v>
      </c>
      <c r="Z1463" s="115" t="e">
        <f t="shared" si="173"/>
        <v>#VALUE!</v>
      </c>
      <c r="AA1463" s="115">
        <f t="shared" si="174"/>
        <v>0</v>
      </c>
      <c r="AC1463"/>
      <c r="AR1463"/>
    </row>
    <row r="1464" spans="15:44">
      <c r="O1464" s="91"/>
      <c r="X1464" s="115">
        <f t="shared" si="171"/>
        <v>0</v>
      </c>
      <c r="Y1464" s="115">
        <f t="shared" si="172"/>
        <v>0</v>
      </c>
      <c r="Z1464" s="115" t="e">
        <f t="shared" si="173"/>
        <v>#VALUE!</v>
      </c>
      <c r="AA1464" s="115">
        <f t="shared" si="174"/>
        <v>0</v>
      </c>
      <c r="AC1464"/>
      <c r="AR1464"/>
    </row>
    <row r="1465" spans="15:44">
      <c r="O1465" s="91"/>
      <c r="X1465" s="115">
        <f t="shared" si="171"/>
        <v>0</v>
      </c>
      <c r="Y1465" s="115">
        <f t="shared" si="172"/>
        <v>0</v>
      </c>
      <c r="Z1465" s="115" t="e">
        <f t="shared" si="173"/>
        <v>#VALUE!</v>
      </c>
      <c r="AA1465" s="115">
        <f t="shared" si="174"/>
        <v>0</v>
      </c>
      <c r="AC1465"/>
      <c r="AR1465"/>
    </row>
    <row r="1466" spans="15:44">
      <c r="O1466" s="91"/>
      <c r="X1466" s="115">
        <f t="shared" si="171"/>
        <v>0</v>
      </c>
      <c r="Y1466" s="115">
        <f t="shared" si="172"/>
        <v>0</v>
      </c>
      <c r="Z1466" s="115" t="e">
        <f t="shared" si="173"/>
        <v>#VALUE!</v>
      </c>
      <c r="AA1466" s="115">
        <f t="shared" si="174"/>
        <v>0</v>
      </c>
      <c r="AC1466"/>
      <c r="AR1466"/>
    </row>
    <row r="1467" spans="15:44">
      <c r="O1467" s="91"/>
      <c r="X1467" s="115">
        <f t="shared" si="171"/>
        <v>0</v>
      </c>
      <c r="Y1467" s="115">
        <f t="shared" si="172"/>
        <v>0</v>
      </c>
      <c r="Z1467" s="115" t="e">
        <f t="shared" si="173"/>
        <v>#VALUE!</v>
      </c>
      <c r="AA1467" s="115">
        <f t="shared" si="174"/>
        <v>0</v>
      </c>
      <c r="AC1467"/>
      <c r="AR1467"/>
    </row>
    <row r="1468" spans="15:44">
      <c r="O1468" s="91"/>
      <c r="X1468" s="115">
        <f t="shared" si="171"/>
        <v>0</v>
      </c>
      <c r="Y1468" s="115">
        <f t="shared" si="172"/>
        <v>0</v>
      </c>
      <c r="Z1468" s="115" t="e">
        <f t="shared" si="173"/>
        <v>#VALUE!</v>
      </c>
      <c r="AA1468" s="115">
        <f t="shared" si="174"/>
        <v>0</v>
      </c>
      <c r="AC1468"/>
      <c r="AR1468"/>
    </row>
    <row r="1469" spans="15:44">
      <c r="O1469" s="91"/>
      <c r="X1469" s="115">
        <f t="shared" si="171"/>
        <v>0</v>
      </c>
      <c r="Y1469" s="115">
        <f t="shared" si="172"/>
        <v>0</v>
      </c>
      <c r="Z1469" s="115" t="e">
        <f t="shared" si="173"/>
        <v>#VALUE!</v>
      </c>
      <c r="AA1469" s="115">
        <f t="shared" si="174"/>
        <v>0</v>
      </c>
      <c r="AC1469"/>
      <c r="AR1469"/>
    </row>
    <row r="1470" spans="15:44">
      <c r="O1470" s="91"/>
      <c r="X1470" s="115">
        <f t="shared" si="171"/>
        <v>0</v>
      </c>
      <c r="Y1470" s="115">
        <f t="shared" si="172"/>
        <v>0</v>
      </c>
      <c r="Z1470" s="115" t="e">
        <f t="shared" si="173"/>
        <v>#VALUE!</v>
      </c>
      <c r="AA1470" s="115">
        <f t="shared" si="174"/>
        <v>0</v>
      </c>
      <c r="AC1470"/>
      <c r="AR1470"/>
    </row>
    <row r="1471" spans="15:44">
      <c r="O1471" s="91"/>
      <c r="X1471" s="115">
        <f t="shared" si="171"/>
        <v>0</v>
      </c>
      <c r="Y1471" s="115">
        <f t="shared" si="172"/>
        <v>0</v>
      </c>
      <c r="Z1471" s="115" t="e">
        <f t="shared" si="173"/>
        <v>#VALUE!</v>
      </c>
      <c r="AA1471" s="115">
        <f t="shared" si="174"/>
        <v>0</v>
      </c>
      <c r="AC1471"/>
      <c r="AR1471"/>
    </row>
    <row r="1472" spans="15:44">
      <c r="O1472" s="91"/>
      <c r="X1472" s="115">
        <f t="shared" si="171"/>
        <v>0</v>
      </c>
      <c r="Y1472" s="115">
        <f t="shared" si="172"/>
        <v>0</v>
      </c>
      <c r="Z1472" s="115" t="e">
        <f t="shared" si="173"/>
        <v>#VALUE!</v>
      </c>
      <c r="AA1472" s="115">
        <f t="shared" si="174"/>
        <v>0</v>
      </c>
      <c r="AC1472"/>
      <c r="AR1472"/>
    </row>
    <row r="1473" spans="15:44">
      <c r="O1473" s="91"/>
      <c r="X1473" s="115">
        <f t="shared" si="171"/>
        <v>0</v>
      </c>
      <c r="Y1473" s="115">
        <f t="shared" si="172"/>
        <v>0</v>
      </c>
      <c r="Z1473" s="115" t="e">
        <f t="shared" si="173"/>
        <v>#VALUE!</v>
      </c>
      <c r="AA1473" s="115">
        <f t="shared" si="174"/>
        <v>0</v>
      </c>
      <c r="AC1473"/>
      <c r="AR1473"/>
    </row>
    <row r="1474" spans="15:44">
      <c r="O1474" s="91"/>
      <c r="X1474" s="115">
        <f t="shared" si="171"/>
        <v>0</v>
      </c>
      <c r="Y1474" s="115">
        <f t="shared" si="172"/>
        <v>0</v>
      </c>
      <c r="Z1474" s="115" t="e">
        <f t="shared" si="173"/>
        <v>#VALUE!</v>
      </c>
      <c r="AA1474" s="115">
        <f t="shared" si="174"/>
        <v>0</v>
      </c>
      <c r="AC1474"/>
      <c r="AR1474"/>
    </row>
    <row r="1475" spans="15:44">
      <c r="O1475" s="91"/>
      <c r="X1475" s="115">
        <f t="shared" ref="X1475:X1538" si="175">mapValues(E1475,F1475,"P265")</f>
        <v>0</v>
      </c>
      <c r="Y1475" s="115">
        <f t="shared" ref="Y1475:Y1538" si="176">X1474+X1475</f>
        <v>0</v>
      </c>
      <c r="Z1475" s="115" t="e">
        <f t="shared" ref="Z1475:Z1538" si="177">VALUE(MID(B1475,FIND(" ",B1475)+1,FIND(" ",B1475,FIND(" ",B1475)+1)-FIND(" ",B1475)))</f>
        <v>#VALUE!</v>
      </c>
      <c r="AA1475" s="115">
        <f t="shared" ref="AA1475:AA1538" si="178">T1475/1000</f>
        <v>0</v>
      </c>
      <c r="AC1475"/>
      <c r="AR1475"/>
    </row>
    <row r="1476" spans="15:44">
      <c r="O1476" s="91"/>
      <c r="X1476" s="115">
        <f t="shared" si="175"/>
        <v>0</v>
      </c>
      <c r="Y1476" s="115">
        <f t="shared" si="176"/>
        <v>0</v>
      </c>
      <c r="Z1476" s="115" t="e">
        <f t="shared" si="177"/>
        <v>#VALUE!</v>
      </c>
      <c r="AA1476" s="115">
        <f t="shared" si="178"/>
        <v>0</v>
      </c>
      <c r="AC1476"/>
      <c r="AR1476"/>
    </row>
    <row r="1477" spans="15:44">
      <c r="O1477" s="91"/>
      <c r="X1477" s="115">
        <f t="shared" si="175"/>
        <v>0</v>
      </c>
      <c r="Y1477" s="115">
        <f t="shared" si="176"/>
        <v>0</v>
      </c>
      <c r="Z1477" s="115" t="e">
        <f t="shared" si="177"/>
        <v>#VALUE!</v>
      </c>
      <c r="AA1477" s="115">
        <f t="shared" si="178"/>
        <v>0</v>
      </c>
      <c r="AC1477"/>
      <c r="AR1477"/>
    </row>
    <row r="1478" spans="15:44">
      <c r="O1478" s="91"/>
      <c r="X1478" s="115">
        <f t="shared" si="175"/>
        <v>0</v>
      </c>
      <c r="Y1478" s="115">
        <f t="shared" si="176"/>
        <v>0</v>
      </c>
      <c r="Z1478" s="115" t="e">
        <f t="shared" si="177"/>
        <v>#VALUE!</v>
      </c>
      <c r="AA1478" s="115">
        <f t="shared" si="178"/>
        <v>0</v>
      </c>
      <c r="AC1478"/>
      <c r="AR1478"/>
    </row>
    <row r="1479" spans="15:44">
      <c r="O1479" s="91"/>
      <c r="X1479" s="115">
        <f t="shared" si="175"/>
        <v>0</v>
      </c>
      <c r="Y1479" s="115">
        <f t="shared" si="176"/>
        <v>0</v>
      </c>
      <c r="Z1479" s="115" t="e">
        <f t="shared" si="177"/>
        <v>#VALUE!</v>
      </c>
      <c r="AA1479" s="115">
        <f t="shared" si="178"/>
        <v>0</v>
      </c>
      <c r="AC1479"/>
      <c r="AR1479"/>
    </row>
    <row r="1480" spans="15:44">
      <c r="O1480" s="91"/>
      <c r="X1480" s="115">
        <f t="shared" si="175"/>
        <v>0</v>
      </c>
      <c r="Y1480" s="115">
        <f t="shared" si="176"/>
        <v>0</v>
      </c>
      <c r="Z1480" s="115" t="e">
        <f t="shared" si="177"/>
        <v>#VALUE!</v>
      </c>
      <c r="AA1480" s="115">
        <f t="shared" si="178"/>
        <v>0</v>
      </c>
      <c r="AC1480"/>
      <c r="AR1480"/>
    </row>
    <row r="1481" spans="15:44">
      <c r="O1481" s="91"/>
      <c r="X1481" s="115">
        <f t="shared" si="175"/>
        <v>0</v>
      </c>
      <c r="Y1481" s="115">
        <f t="shared" si="176"/>
        <v>0</v>
      </c>
      <c r="Z1481" s="115" t="e">
        <f t="shared" si="177"/>
        <v>#VALUE!</v>
      </c>
      <c r="AA1481" s="115">
        <f t="shared" si="178"/>
        <v>0</v>
      </c>
      <c r="AC1481"/>
      <c r="AR1481"/>
    </row>
    <row r="1482" spans="15:44">
      <c r="O1482" s="91"/>
      <c r="X1482" s="115">
        <f t="shared" si="175"/>
        <v>0</v>
      </c>
      <c r="Y1482" s="115">
        <f t="shared" si="176"/>
        <v>0</v>
      </c>
      <c r="Z1482" s="115" t="e">
        <f t="shared" si="177"/>
        <v>#VALUE!</v>
      </c>
      <c r="AA1482" s="115">
        <f t="shared" si="178"/>
        <v>0</v>
      </c>
      <c r="AC1482"/>
      <c r="AR1482"/>
    </row>
    <row r="1483" spans="15:44">
      <c r="O1483" s="91"/>
      <c r="X1483" s="115">
        <f t="shared" si="175"/>
        <v>0</v>
      </c>
      <c r="Y1483" s="115">
        <f t="shared" si="176"/>
        <v>0</v>
      </c>
      <c r="Z1483" s="115" t="e">
        <f t="shared" si="177"/>
        <v>#VALUE!</v>
      </c>
      <c r="AA1483" s="115">
        <f t="shared" si="178"/>
        <v>0</v>
      </c>
      <c r="AC1483"/>
      <c r="AR1483"/>
    </row>
    <row r="1484" spans="15:44">
      <c r="O1484" s="91"/>
      <c r="X1484" s="115">
        <f t="shared" si="175"/>
        <v>0</v>
      </c>
      <c r="Y1484" s="115">
        <f t="shared" si="176"/>
        <v>0</v>
      </c>
      <c r="Z1484" s="115" t="e">
        <f t="shared" si="177"/>
        <v>#VALUE!</v>
      </c>
      <c r="AA1484" s="115">
        <f t="shared" si="178"/>
        <v>0</v>
      </c>
      <c r="AC1484"/>
      <c r="AR1484"/>
    </row>
    <row r="1485" spans="15:44">
      <c r="O1485" s="91"/>
      <c r="X1485" s="115">
        <f t="shared" si="175"/>
        <v>0</v>
      </c>
      <c r="Y1485" s="115">
        <f t="shared" si="176"/>
        <v>0</v>
      </c>
      <c r="Z1485" s="115" t="e">
        <f t="shared" si="177"/>
        <v>#VALUE!</v>
      </c>
      <c r="AA1485" s="115">
        <f t="shared" si="178"/>
        <v>0</v>
      </c>
      <c r="AC1485"/>
      <c r="AR1485"/>
    </row>
    <row r="1486" spans="15:44">
      <c r="O1486" s="91"/>
      <c r="X1486" s="115">
        <f t="shared" si="175"/>
        <v>0</v>
      </c>
      <c r="Y1486" s="115">
        <f t="shared" si="176"/>
        <v>0</v>
      </c>
      <c r="Z1486" s="115" t="e">
        <f t="shared" si="177"/>
        <v>#VALUE!</v>
      </c>
      <c r="AA1486" s="115">
        <f t="shared" si="178"/>
        <v>0</v>
      </c>
      <c r="AC1486"/>
      <c r="AR1486"/>
    </row>
    <row r="1487" spans="15:44">
      <c r="O1487" s="91"/>
      <c r="X1487" s="115">
        <f t="shared" si="175"/>
        <v>0</v>
      </c>
      <c r="Y1487" s="115">
        <f t="shared" si="176"/>
        <v>0</v>
      </c>
      <c r="Z1487" s="115" t="e">
        <f t="shared" si="177"/>
        <v>#VALUE!</v>
      </c>
      <c r="AA1487" s="115">
        <f t="shared" si="178"/>
        <v>0</v>
      </c>
      <c r="AC1487"/>
      <c r="AR1487"/>
    </row>
    <row r="1488" spans="15:44">
      <c r="O1488" s="91"/>
      <c r="X1488" s="115">
        <f t="shared" si="175"/>
        <v>0</v>
      </c>
      <c r="Y1488" s="115">
        <f t="shared" si="176"/>
        <v>0</v>
      </c>
      <c r="Z1488" s="115" t="e">
        <f t="shared" si="177"/>
        <v>#VALUE!</v>
      </c>
      <c r="AA1488" s="115">
        <f t="shared" si="178"/>
        <v>0</v>
      </c>
      <c r="AC1488"/>
      <c r="AR1488"/>
    </row>
    <row r="1489" spans="15:44">
      <c r="O1489" s="91"/>
      <c r="X1489" s="115">
        <f t="shared" si="175"/>
        <v>0</v>
      </c>
      <c r="Y1489" s="115">
        <f t="shared" si="176"/>
        <v>0</v>
      </c>
      <c r="Z1489" s="115" t="e">
        <f t="shared" si="177"/>
        <v>#VALUE!</v>
      </c>
      <c r="AA1489" s="115">
        <f t="shared" si="178"/>
        <v>0</v>
      </c>
      <c r="AC1489"/>
      <c r="AR1489"/>
    </row>
    <row r="1490" spans="15:44">
      <c r="O1490" s="91"/>
      <c r="X1490" s="115">
        <f t="shared" si="175"/>
        <v>0</v>
      </c>
      <c r="Y1490" s="115">
        <f t="shared" si="176"/>
        <v>0</v>
      </c>
      <c r="Z1490" s="115" t="e">
        <f t="shared" si="177"/>
        <v>#VALUE!</v>
      </c>
      <c r="AA1490" s="115">
        <f t="shared" si="178"/>
        <v>0</v>
      </c>
      <c r="AC1490"/>
      <c r="AR1490"/>
    </row>
    <row r="1491" spans="15:44">
      <c r="O1491" s="91"/>
      <c r="X1491" s="115">
        <f t="shared" si="175"/>
        <v>0</v>
      </c>
      <c r="Y1491" s="115">
        <f t="shared" si="176"/>
        <v>0</v>
      </c>
      <c r="Z1491" s="115" t="e">
        <f t="shared" si="177"/>
        <v>#VALUE!</v>
      </c>
      <c r="AA1491" s="115">
        <f t="shared" si="178"/>
        <v>0</v>
      </c>
      <c r="AC1491"/>
      <c r="AR1491"/>
    </row>
    <row r="1492" spans="15:44">
      <c r="O1492" s="91"/>
      <c r="X1492" s="115">
        <f t="shared" si="175"/>
        <v>0</v>
      </c>
      <c r="Y1492" s="115">
        <f t="shared" si="176"/>
        <v>0</v>
      </c>
      <c r="Z1492" s="115" t="e">
        <f t="shared" si="177"/>
        <v>#VALUE!</v>
      </c>
      <c r="AA1492" s="115">
        <f t="shared" si="178"/>
        <v>0</v>
      </c>
      <c r="AC1492"/>
      <c r="AR1492"/>
    </row>
    <row r="1493" spans="15:44">
      <c r="O1493" s="91"/>
      <c r="X1493" s="115">
        <f t="shared" si="175"/>
        <v>0</v>
      </c>
      <c r="Y1493" s="115">
        <f t="shared" si="176"/>
        <v>0</v>
      </c>
      <c r="Z1493" s="115" t="e">
        <f t="shared" si="177"/>
        <v>#VALUE!</v>
      </c>
      <c r="AA1493" s="115">
        <f t="shared" si="178"/>
        <v>0</v>
      </c>
      <c r="AC1493"/>
      <c r="AR1493"/>
    </row>
    <row r="1494" spans="15:44">
      <c r="O1494" s="91"/>
      <c r="X1494" s="115">
        <f t="shared" si="175"/>
        <v>0</v>
      </c>
      <c r="Y1494" s="115">
        <f t="shared" si="176"/>
        <v>0</v>
      </c>
      <c r="Z1494" s="115" t="e">
        <f t="shared" si="177"/>
        <v>#VALUE!</v>
      </c>
      <c r="AA1494" s="115">
        <f t="shared" si="178"/>
        <v>0</v>
      </c>
      <c r="AC1494"/>
      <c r="AR1494"/>
    </row>
    <row r="1495" spans="15:44">
      <c r="O1495" s="91"/>
      <c r="X1495" s="115">
        <f t="shared" si="175"/>
        <v>0</v>
      </c>
      <c r="Y1495" s="115">
        <f t="shared" si="176"/>
        <v>0</v>
      </c>
      <c r="Z1495" s="115" t="e">
        <f t="shared" si="177"/>
        <v>#VALUE!</v>
      </c>
      <c r="AA1495" s="115">
        <f t="shared" si="178"/>
        <v>0</v>
      </c>
      <c r="AC1495"/>
      <c r="AR1495"/>
    </row>
    <row r="1496" spans="15:44">
      <c r="O1496" s="91"/>
      <c r="X1496" s="115">
        <f t="shared" si="175"/>
        <v>0</v>
      </c>
      <c r="Y1496" s="115">
        <f t="shared" si="176"/>
        <v>0</v>
      </c>
      <c r="Z1496" s="115" t="e">
        <f t="shared" si="177"/>
        <v>#VALUE!</v>
      </c>
      <c r="AA1496" s="115">
        <f t="shared" si="178"/>
        <v>0</v>
      </c>
      <c r="AC1496"/>
      <c r="AR1496"/>
    </row>
    <row r="1497" spans="15:44">
      <c r="O1497" s="91"/>
      <c r="X1497" s="115">
        <f t="shared" si="175"/>
        <v>0</v>
      </c>
      <c r="Y1497" s="115">
        <f t="shared" si="176"/>
        <v>0</v>
      </c>
      <c r="Z1497" s="115" t="e">
        <f t="shared" si="177"/>
        <v>#VALUE!</v>
      </c>
      <c r="AA1497" s="115">
        <f t="shared" si="178"/>
        <v>0</v>
      </c>
      <c r="AC1497"/>
      <c r="AR1497"/>
    </row>
    <row r="1498" spans="15:44">
      <c r="O1498" s="91"/>
      <c r="X1498" s="115">
        <f t="shared" si="175"/>
        <v>0</v>
      </c>
      <c r="Y1498" s="115">
        <f t="shared" si="176"/>
        <v>0</v>
      </c>
      <c r="Z1498" s="115" t="e">
        <f t="shared" si="177"/>
        <v>#VALUE!</v>
      </c>
      <c r="AA1498" s="115">
        <f t="shared" si="178"/>
        <v>0</v>
      </c>
      <c r="AC1498"/>
      <c r="AR1498"/>
    </row>
    <row r="1499" spans="15:44">
      <c r="O1499" s="91"/>
      <c r="X1499" s="115">
        <f t="shared" si="175"/>
        <v>0</v>
      </c>
      <c r="Y1499" s="115">
        <f t="shared" si="176"/>
        <v>0</v>
      </c>
      <c r="Z1499" s="115" t="e">
        <f t="shared" si="177"/>
        <v>#VALUE!</v>
      </c>
      <c r="AA1499" s="115">
        <f t="shared" si="178"/>
        <v>0</v>
      </c>
      <c r="AC1499"/>
      <c r="AR1499"/>
    </row>
    <row r="1500" spans="15:44">
      <c r="O1500" s="91"/>
      <c r="X1500" s="115">
        <f t="shared" si="175"/>
        <v>0</v>
      </c>
      <c r="Y1500" s="115">
        <f t="shared" si="176"/>
        <v>0</v>
      </c>
      <c r="Z1500" s="115" t="e">
        <f t="shared" si="177"/>
        <v>#VALUE!</v>
      </c>
      <c r="AA1500" s="115">
        <f t="shared" si="178"/>
        <v>0</v>
      </c>
      <c r="AC1500"/>
      <c r="AR1500"/>
    </row>
    <row r="1501" spans="15:44">
      <c r="O1501" s="91"/>
      <c r="X1501" s="115">
        <f t="shared" si="175"/>
        <v>0</v>
      </c>
      <c r="Y1501" s="115">
        <f t="shared" si="176"/>
        <v>0</v>
      </c>
      <c r="Z1501" s="115" t="e">
        <f t="shared" si="177"/>
        <v>#VALUE!</v>
      </c>
      <c r="AA1501" s="115">
        <f t="shared" si="178"/>
        <v>0</v>
      </c>
      <c r="AC1501"/>
      <c r="AR1501"/>
    </row>
    <row r="1502" spans="15:44">
      <c r="O1502" s="91"/>
      <c r="X1502" s="115">
        <f t="shared" si="175"/>
        <v>0</v>
      </c>
      <c r="Y1502" s="115">
        <f t="shared" si="176"/>
        <v>0</v>
      </c>
      <c r="Z1502" s="115" t="e">
        <f t="shared" si="177"/>
        <v>#VALUE!</v>
      </c>
      <c r="AA1502" s="115">
        <f t="shared" si="178"/>
        <v>0</v>
      </c>
      <c r="AC1502"/>
      <c r="AR1502"/>
    </row>
    <row r="1503" spans="15:44">
      <c r="O1503" s="91"/>
      <c r="X1503" s="115">
        <f t="shared" si="175"/>
        <v>0</v>
      </c>
      <c r="Y1503" s="115">
        <f t="shared" si="176"/>
        <v>0</v>
      </c>
      <c r="Z1503" s="115" t="e">
        <f t="shared" si="177"/>
        <v>#VALUE!</v>
      </c>
      <c r="AA1503" s="115">
        <f t="shared" si="178"/>
        <v>0</v>
      </c>
      <c r="AC1503"/>
      <c r="AR1503"/>
    </row>
    <row r="1504" spans="15:44">
      <c r="O1504" s="91"/>
      <c r="X1504" s="115">
        <f t="shared" si="175"/>
        <v>0</v>
      </c>
      <c r="Y1504" s="115">
        <f t="shared" si="176"/>
        <v>0</v>
      </c>
      <c r="Z1504" s="115" t="e">
        <f t="shared" si="177"/>
        <v>#VALUE!</v>
      </c>
      <c r="AA1504" s="115">
        <f t="shared" si="178"/>
        <v>0</v>
      </c>
      <c r="AC1504"/>
      <c r="AR1504"/>
    </row>
    <row r="1505" spans="15:44">
      <c r="O1505" s="91"/>
      <c r="X1505" s="115">
        <f t="shared" si="175"/>
        <v>0</v>
      </c>
      <c r="Y1505" s="115">
        <f t="shared" si="176"/>
        <v>0</v>
      </c>
      <c r="Z1505" s="115" t="e">
        <f t="shared" si="177"/>
        <v>#VALUE!</v>
      </c>
      <c r="AA1505" s="115">
        <f t="shared" si="178"/>
        <v>0</v>
      </c>
      <c r="AC1505"/>
      <c r="AR1505"/>
    </row>
    <row r="1506" spans="15:44">
      <c r="O1506" s="91"/>
      <c r="X1506" s="115">
        <f t="shared" si="175"/>
        <v>0</v>
      </c>
      <c r="Y1506" s="115">
        <f t="shared" si="176"/>
        <v>0</v>
      </c>
      <c r="Z1506" s="115" t="e">
        <f t="shared" si="177"/>
        <v>#VALUE!</v>
      </c>
      <c r="AA1506" s="115">
        <f t="shared" si="178"/>
        <v>0</v>
      </c>
      <c r="AC1506"/>
      <c r="AR1506"/>
    </row>
    <row r="1507" spans="15:44">
      <c r="O1507" s="91"/>
      <c r="X1507" s="115">
        <f t="shared" si="175"/>
        <v>0</v>
      </c>
      <c r="Y1507" s="115">
        <f t="shared" si="176"/>
        <v>0</v>
      </c>
      <c r="Z1507" s="115" t="e">
        <f t="shared" si="177"/>
        <v>#VALUE!</v>
      </c>
      <c r="AA1507" s="115">
        <f t="shared" si="178"/>
        <v>0</v>
      </c>
      <c r="AC1507"/>
      <c r="AR1507"/>
    </row>
    <row r="1508" spans="15:44">
      <c r="O1508" s="91"/>
      <c r="X1508" s="115">
        <f t="shared" si="175"/>
        <v>0</v>
      </c>
      <c r="Y1508" s="115">
        <f t="shared" si="176"/>
        <v>0</v>
      </c>
      <c r="Z1508" s="115" t="e">
        <f t="shared" si="177"/>
        <v>#VALUE!</v>
      </c>
      <c r="AA1508" s="115">
        <f t="shared" si="178"/>
        <v>0</v>
      </c>
      <c r="AC1508"/>
      <c r="AR1508"/>
    </row>
    <row r="1509" spans="15:44">
      <c r="O1509" s="91"/>
      <c r="X1509" s="115">
        <f t="shared" si="175"/>
        <v>0</v>
      </c>
      <c r="Y1509" s="115">
        <f t="shared" si="176"/>
        <v>0</v>
      </c>
      <c r="Z1509" s="115" t="e">
        <f t="shared" si="177"/>
        <v>#VALUE!</v>
      </c>
      <c r="AA1509" s="115">
        <f t="shared" si="178"/>
        <v>0</v>
      </c>
      <c r="AC1509"/>
      <c r="AR1509"/>
    </row>
    <row r="1510" spans="15:44">
      <c r="O1510" s="91"/>
      <c r="X1510" s="115">
        <f t="shared" si="175"/>
        <v>0</v>
      </c>
      <c r="Y1510" s="115">
        <f t="shared" si="176"/>
        <v>0</v>
      </c>
      <c r="Z1510" s="115" t="e">
        <f t="shared" si="177"/>
        <v>#VALUE!</v>
      </c>
      <c r="AA1510" s="115">
        <f t="shared" si="178"/>
        <v>0</v>
      </c>
      <c r="AC1510"/>
      <c r="AR1510"/>
    </row>
    <row r="1511" spans="15:44">
      <c r="O1511" s="91"/>
      <c r="X1511" s="115">
        <f t="shared" si="175"/>
        <v>0</v>
      </c>
      <c r="Y1511" s="115">
        <f t="shared" si="176"/>
        <v>0</v>
      </c>
      <c r="Z1511" s="115" t="e">
        <f t="shared" si="177"/>
        <v>#VALUE!</v>
      </c>
      <c r="AA1511" s="115">
        <f t="shared" si="178"/>
        <v>0</v>
      </c>
      <c r="AC1511"/>
      <c r="AR1511"/>
    </row>
    <row r="1512" spans="15:44">
      <c r="O1512" s="91"/>
      <c r="X1512" s="115">
        <f t="shared" si="175"/>
        <v>0</v>
      </c>
      <c r="Y1512" s="115">
        <f t="shared" si="176"/>
        <v>0</v>
      </c>
      <c r="Z1512" s="115" t="e">
        <f t="shared" si="177"/>
        <v>#VALUE!</v>
      </c>
      <c r="AA1512" s="115">
        <f t="shared" si="178"/>
        <v>0</v>
      </c>
      <c r="AC1512"/>
      <c r="AR1512"/>
    </row>
    <row r="1513" spans="15:44">
      <c r="O1513" s="91"/>
      <c r="X1513" s="115">
        <f t="shared" si="175"/>
        <v>0</v>
      </c>
      <c r="Y1513" s="115">
        <f t="shared" si="176"/>
        <v>0</v>
      </c>
      <c r="Z1513" s="115" t="e">
        <f t="shared" si="177"/>
        <v>#VALUE!</v>
      </c>
      <c r="AA1513" s="115">
        <f t="shared" si="178"/>
        <v>0</v>
      </c>
      <c r="AC1513"/>
      <c r="AR1513"/>
    </row>
    <row r="1514" spans="15:44">
      <c r="O1514" s="91"/>
      <c r="X1514" s="115">
        <f t="shared" si="175"/>
        <v>0</v>
      </c>
      <c r="Y1514" s="115">
        <f t="shared" si="176"/>
        <v>0</v>
      </c>
      <c r="Z1514" s="115" t="e">
        <f t="shared" si="177"/>
        <v>#VALUE!</v>
      </c>
      <c r="AA1514" s="115">
        <f t="shared" si="178"/>
        <v>0</v>
      </c>
      <c r="AC1514"/>
      <c r="AR1514"/>
    </row>
    <row r="1515" spans="15:44">
      <c r="O1515" s="91"/>
      <c r="X1515" s="115">
        <f t="shared" si="175"/>
        <v>0</v>
      </c>
      <c r="Y1515" s="115">
        <f t="shared" si="176"/>
        <v>0</v>
      </c>
      <c r="Z1515" s="115" t="e">
        <f t="shared" si="177"/>
        <v>#VALUE!</v>
      </c>
      <c r="AA1515" s="115">
        <f t="shared" si="178"/>
        <v>0</v>
      </c>
      <c r="AC1515"/>
      <c r="AR1515"/>
    </row>
    <row r="1516" spans="15:44">
      <c r="O1516" s="91"/>
      <c r="X1516" s="115">
        <f t="shared" si="175"/>
        <v>0</v>
      </c>
      <c r="Y1516" s="115">
        <f t="shared" si="176"/>
        <v>0</v>
      </c>
      <c r="Z1516" s="115" t="e">
        <f t="shared" si="177"/>
        <v>#VALUE!</v>
      </c>
      <c r="AA1516" s="115">
        <f t="shared" si="178"/>
        <v>0</v>
      </c>
      <c r="AC1516"/>
      <c r="AR1516"/>
    </row>
    <row r="1517" spans="15:44">
      <c r="O1517" s="91"/>
      <c r="X1517" s="115">
        <f t="shared" si="175"/>
        <v>0</v>
      </c>
      <c r="Y1517" s="115">
        <f t="shared" si="176"/>
        <v>0</v>
      </c>
      <c r="Z1517" s="115" t="e">
        <f t="shared" si="177"/>
        <v>#VALUE!</v>
      </c>
      <c r="AA1517" s="115">
        <f t="shared" si="178"/>
        <v>0</v>
      </c>
      <c r="AC1517"/>
      <c r="AR1517"/>
    </row>
    <row r="1518" spans="15:44">
      <c r="O1518" s="91"/>
      <c r="X1518" s="115">
        <f t="shared" si="175"/>
        <v>0</v>
      </c>
      <c r="Y1518" s="115">
        <f t="shared" si="176"/>
        <v>0</v>
      </c>
      <c r="Z1518" s="115" t="e">
        <f t="shared" si="177"/>
        <v>#VALUE!</v>
      </c>
      <c r="AA1518" s="115">
        <f t="shared" si="178"/>
        <v>0</v>
      </c>
      <c r="AC1518"/>
      <c r="AR1518"/>
    </row>
    <row r="1519" spans="15:44">
      <c r="O1519" s="91"/>
      <c r="X1519" s="115">
        <f t="shared" si="175"/>
        <v>0</v>
      </c>
      <c r="Y1519" s="115">
        <f t="shared" si="176"/>
        <v>0</v>
      </c>
      <c r="Z1519" s="115" t="e">
        <f t="shared" si="177"/>
        <v>#VALUE!</v>
      </c>
      <c r="AA1519" s="115">
        <f t="shared" si="178"/>
        <v>0</v>
      </c>
      <c r="AC1519"/>
      <c r="AR1519"/>
    </row>
    <row r="1520" spans="15:44">
      <c r="O1520" s="91"/>
      <c r="X1520" s="115">
        <f t="shared" si="175"/>
        <v>0</v>
      </c>
      <c r="Y1520" s="115">
        <f t="shared" si="176"/>
        <v>0</v>
      </c>
      <c r="Z1520" s="115" t="e">
        <f t="shared" si="177"/>
        <v>#VALUE!</v>
      </c>
      <c r="AA1520" s="115">
        <f t="shared" si="178"/>
        <v>0</v>
      </c>
      <c r="AC1520"/>
      <c r="AR1520"/>
    </row>
    <row r="1521" spans="15:44">
      <c r="O1521" s="91"/>
      <c r="X1521" s="115">
        <f t="shared" si="175"/>
        <v>0</v>
      </c>
      <c r="Y1521" s="115">
        <f t="shared" si="176"/>
        <v>0</v>
      </c>
      <c r="Z1521" s="115" t="e">
        <f t="shared" si="177"/>
        <v>#VALUE!</v>
      </c>
      <c r="AA1521" s="115">
        <f t="shared" si="178"/>
        <v>0</v>
      </c>
      <c r="AC1521"/>
      <c r="AR1521"/>
    </row>
    <row r="1522" spans="15:44">
      <c r="O1522" s="91"/>
      <c r="X1522" s="115">
        <f t="shared" si="175"/>
        <v>0</v>
      </c>
      <c r="Y1522" s="115">
        <f t="shared" si="176"/>
        <v>0</v>
      </c>
      <c r="Z1522" s="115" t="e">
        <f t="shared" si="177"/>
        <v>#VALUE!</v>
      </c>
      <c r="AA1522" s="115">
        <f t="shared" si="178"/>
        <v>0</v>
      </c>
      <c r="AC1522"/>
      <c r="AR1522"/>
    </row>
    <row r="1523" spans="15:44">
      <c r="O1523" s="91"/>
      <c r="X1523" s="115">
        <f t="shared" si="175"/>
        <v>0</v>
      </c>
      <c r="Y1523" s="115">
        <f t="shared" si="176"/>
        <v>0</v>
      </c>
      <c r="Z1523" s="115" t="e">
        <f t="shared" si="177"/>
        <v>#VALUE!</v>
      </c>
      <c r="AA1523" s="115">
        <f t="shared" si="178"/>
        <v>0</v>
      </c>
      <c r="AC1523"/>
      <c r="AR1523"/>
    </row>
    <row r="1524" spans="15:44">
      <c r="O1524" s="91"/>
      <c r="X1524" s="115">
        <f t="shared" si="175"/>
        <v>0</v>
      </c>
      <c r="Y1524" s="115">
        <f t="shared" si="176"/>
        <v>0</v>
      </c>
      <c r="Z1524" s="115" t="e">
        <f t="shared" si="177"/>
        <v>#VALUE!</v>
      </c>
      <c r="AA1524" s="115">
        <f t="shared" si="178"/>
        <v>0</v>
      </c>
      <c r="AC1524"/>
      <c r="AR1524"/>
    </row>
    <row r="1525" spans="15:44">
      <c r="O1525" s="91"/>
      <c r="X1525" s="115">
        <f t="shared" si="175"/>
        <v>0</v>
      </c>
      <c r="Y1525" s="115">
        <f t="shared" si="176"/>
        <v>0</v>
      </c>
      <c r="Z1525" s="115" t="e">
        <f t="shared" si="177"/>
        <v>#VALUE!</v>
      </c>
      <c r="AA1525" s="115">
        <f t="shared" si="178"/>
        <v>0</v>
      </c>
      <c r="AC1525"/>
      <c r="AR1525"/>
    </row>
    <row r="1526" spans="15:44">
      <c r="O1526" s="91"/>
      <c r="X1526" s="115">
        <f t="shared" si="175"/>
        <v>0</v>
      </c>
      <c r="Y1526" s="115">
        <f t="shared" si="176"/>
        <v>0</v>
      </c>
      <c r="Z1526" s="115" t="e">
        <f t="shared" si="177"/>
        <v>#VALUE!</v>
      </c>
      <c r="AA1526" s="115">
        <f t="shared" si="178"/>
        <v>0</v>
      </c>
      <c r="AC1526"/>
      <c r="AR1526"/>
    </row>
    <row r="1527" spans="15:44">
      <c r="O1527" s="91"/>
      <c r="X1527" s="115">
        <f t="shared" si="175"/>
        <v>0</v>
      </c>
      <c r="Y1527" s="115">
        <f t="shared" si="176"/>
        <v>0</v>
      </c>
      <c r="Z1527" s="115" t="e">
        <f t="shared" si="177"/>
        <v>#VALUE!</v>
      </c>
      <c r="AA1527" s="115">
        <f t="shared" si="178"/>
        <v>0</v>
      </c>
      <c r="AC1527"/>
      <c r="AR1527"/>
    </row>
    <row r="1528" spans="15:44">
      <c r="O1528" s="91"/>
      <c r="X1528" s="115">
        <f t="shared" si="175"/>
        <v>0</v>
      </c>
      <c r="Y1528" s="115">
        <f t="shared" si="176"/>
        <v>0</v>
      </c>
      <c r="Z1528" s="115" t="e">
        <f t="shared" si="177"/>
        <v>#VALUE!</v>
      </c>
      <c r="AA1528" s="115">
        <f t="shared" si="178"/>
        <v>0</v>
      </c>
      <c r="AC1528"/>
      <c r="AR1528"/>
    </row>
    <row r="1529" spans="15:44">
      <c r="O1529" s="91"/>
      <c r="X1529" s="115">
        <f t="shared" si="175"/>
        <v>0</v>
      </c>
      <c r="Y1529" s="115">
        <f t="shared" si="176"/>
        <v>0</v>
      </c>
      <c r="Z1529" s="115" t="e">
        <f t="shared" si="177"/>
        <v>#VALUE!</v>
      </c>
      <c r="AA1529" s="115">
        <f t="shared" si="178"/>
        <v>0</v>
      </c>
      <c r="AC1529"/>
      <c r="AR1529"/>
    </row>
    <row r="1530" spans="15:44">
      <c r="O1530" s="91"/>
      <c r="X1530" s="115">
        <f t="shared" si="175"/>
        <v>0</v>
      </c>
      <c r="Y1530" s="115">
        <f t="shared" si="176"/>
        <v>0</v>
      </c>
      <c r="Z1530" s="115" t="e">
        <f t="shared" si="177"/>
        <v>#VALUE!</v>
      </c>
      <c r="AA1530" s="115">
        <f t="shared" si="178"/>
        <v>0</v>
      </c>
      <c r="AC1530"/>
      <c r="AR1530"/>
    </row>
    <row r="1531" spans="15:44">
      <c r="O1531" s="91"/>
      <c r="X1531" s="115">
        <f t="shared" si="175"/>
        <v>0</v>
      </c>
      <c r="Y1531" s="115">
        <f t="shared" si="176"/>
        <v>0</v>
      </c>
      <c r="Z1531" s="115" t="e">
        <f t="shared" si="177"/>
        <v>#VALUE!</v>
      </c>
      <c r="AA1531" s="115">
        <f t="shared" si="178"/>
        <v>0</v>
      </c>
      <c r="AC1531"/>
      <c r="AR1531"/>
    </row>
    <row r="1532" spans="15:44">
      <c r="O1532" s="91"/>
      <c r="X1532" s="115">
        <f t="shared" si="175"/>
        <v>0</v>
      </c>
      <c r="Y1532" s="115">
        <f t="shared" si="176"/>
        <v>0</v>
      </c>
      <c r="Z1532" s="115" t="e">
        <f t="shared" si="177"/>
        <v>#VALUE!</v>
      </c>
      <c r="AA1532" s="115">
        <f t="shared" si="178"/>
        <v>0</v>
      </c>
      <c r="AC1532"/>
      <c r="AR1532"/>
    </row>
    <row r="1533" spans="15:44">
      <c r="O1533" s="91"/>
      <c r="X1533" s="115">
        <f t="shared" si="175"/>
        <v>0</v>
      </c>
      <c r="Y1533" s="115">
        <f t="shared" si="176"/>
        <v>0</v>
      </c>
      <c r="Z1533" s="115" t="e">
        <f t="shared" si="177"/>
        <v>#VALUE!</v>
      </c>
      <c r="AA1533" s="115">
        <f t="shared" si="178"/>
        <v>0</v>
      </c>
      <c r="AC1533"/>
      <c r="AR1533"/>
    </row>
    <row r="1534" spans="15:44">
      <c r="O1534" s="91"/>
      <c r="X1534" s="115">
        <f t="shared" si="175"/>
        <v>0</v>
      </c>
      <c r="Y1534" s="115">
        <f t="shared" si="176"/>
        <v>0</v>
      </c>
      <c r="Z1534" s="115" t="e">
        <f t="shared" si="177"/>
        <v>#VALUE!</v>
      </c>
      <c r="AA1534" s="115">
        <f t="shared" si="178"/>
        <v>0</v>
      </c>
      <c r="AC1534"/>
      <c r="AR1534"/>
    </row>
    <row r="1535" spans="15:44">
      <c r="O1535" s="91"/>
      <c r="X1535" s="115">
        <f t="shared" si="175"/>
        <v>0</v>
      </c>
      <c r="Y1535" s="115">
        <f t="shared" si="176"/>
        <v>0</v>
      </c>
      <c r="Z1535" s="115" t="e">
        <f t="shared" si="177"/>
        <v>#VALUE!</v>
      </c>
      <c r="AA1535" s="115">
        <f t="shared" si="178"/>
        <v>0</v>
      </c>
      <c r="AC1535"/>
      <c r="AR1535"/>
    </row>
    <row r="1536" spans="15:44">
      <c r="O1536" s="91"/>
      <c r="X1536" s="115">
        <f t="shared" si="175"/>
        <v>0</v>
      </c>
      <c r="Y1536" s="115">
        <f t="shared" si="176"/>
        <v>0</v>
      </c>
      <c r="Z1536" s="115" t="e">
        <f t="shared" si="177"/>
        <v>#VALUE!</v>
      </c>
      <c r="AA1536" s="115">
        <f t="shared" si="178"/>
        <v>0</v>
      </c>
      <c r="AC1536"/>
      <c r="AR1536"/>
    </row>
    <row r="1537" spans="15:44">
      <c r="O1537" s="91"/>
      <c r="X1537" s="115">
        <f t="shared" si="175"/>
        <v>0</v>
      </c>
      <c r="Y1537" s="115">
        <f t="shared" si="176"/>
        <v>0</v>
      </c>
      <c r="Z1537" s="115" t="e">
        <f t="shared" si="177"/>
        <v>#VALUE!</v>
      </c>
      <c r="AA1537" s="115">
        <f t="shared" si="178"/>
        <v>0</v>
      </c>
      <c r="AC1537"/>
      <c r="AR1537"/>
    </row>
    <row r="1538" spans="15:44">
      <c r="O1538" s="91"/>
      <c r="X1538" s="115">
        <f t="shared" si="175"/>
        <v>0</v>
      </c>
      <c r="Y1538" s="115">
        <f t="shared" si="176"/>
        <v>0</v>
      </c>
      <c r="Z1538" s="115" t="e">
        <f t="shared" si="177"/>
        <v>#VALUE!</v>
      </c>
      <c r="AA1538" s="115">
        <f t="shared" si="178"/>
        <v>0</v>
      </c>
      <c r="AC1538"/>
      <c r="AR1538"/>
    </row>
    <row r="1539" spans="15:44">
      <c r="O1539" s="91"/>
      <c r="X1539" s="115">
        <f t="shared" ref="X1539:X1602" si="179">mapValues(E1539,F1539,"P265")</f>
        <v>0</v>
      </c>
      <c r="Y1539" s="115">
        <f t="shared" ref="Y1539:Y1602" si="180">X1538+X1539</f>
        <v>0</v>
      </c>
      <c r="Z1539" s="115" t="e">
        <f t="shared" ref="Z1539:Z1602" si="181">VALUE(MID(B1539,FIND(" ",B1539)+1,FIND(" ",B1539,FIND(" ",B1539)+1)-FIND(" ",B1539)))</f>
        <v>#VALUE!</v>
      </c>
      <c r="AA1539" s="115">
        <f t="shared" ref="AA1539:AA1602" si="182">T1539/1000</f>
        <v>0</v>
      </c>
      <c r="AC1539"/>
      <c r="AR1539"/>
    </row>
    <row r="1540" spans="15:44">
      <c r="O1540" s="91"/>
      <c r="X1540" s="115">
        <f t="shared" si="179"/>
        <v>0</v>
      </c>
      <c r="Y1540" s="115">
        <f t="shared" si="180"/>
        <v>0</v>
      </c>
      <c r="Z1540" s="115" t="e">
        <f t="shared" si="181"/>
        <v>#VALUE!</v>
      </c>
      <c r="AA1540" s="115">
        <f t="shared" si="182"/>
        <v>0</v>
      </c>
      <c r="AC1540"/>
      <c r="AR1540"/>
    </row>
    <row r="1541" spans="15:44">
      <c r="O1541" s="91"/>
      <c r="X1541" s="115">
        <f t="shared" si="179"/>
        <v>0</v>
      </c>
      <c r="Y1541" s="115">
        <f t="shared" si="180"/>
        <v>0</v>
      </c>
      <c r="Z1541" s="115" t="e">
        <f t="shared" si="181"/>
        <v>#VALUE!</v>
      </c>
      <c r="AA1541" s="115">
        <f t="shared" si="182"/>
        <v>0</v>
      </c>
      <c r="AC1541"/>
      <c r="AR1541"/>
    </row>
    <row r="1542" spans="15:44">
      <c r="O1542" s="91"/>
      <c r="X1542" s="115">
        <f t="shared" si="179"/>
        <v>0</v>
      </c>
      <c r="Y1542" s="115">
        <f t="shared" si="180"/>
        <v>0</v>
      </c>
      <c r="Z1542" s="115" t="e">
        <f t="shared" si="181"/>
        <v>#VALUE!</v>
      </c>
      <c r="AA1542" s="115">
        <f t="shared" si="182"/>
        <v>0</v>
      </c>
      <c r="AC1542"/>
      <c r="AR1542"/>
    </row>
    <row r="1543" spans="15:44">
      <c r="O1543" s="91"/>
      <c r="X1543" s="115">
        <f t="shared" si="179"/>
        <v>0</v>
      </c>
      <c r="Y1543" s="115">
        <f t="shared" si="180"/>
        <v>0</v>
      </c>
      <c r="Z1543" s="115" t="e">
        <f t="shared" si="181"/>
        <v>#VALUE!</v>
      </c>
      <c r="AA1543" s="115">
        <f t="shared" si="182"/>
        <v>0</v>
      </c>
      <c r="AC1543"/>
      <c r="AR1543"/>
    </row>
    <row r="1544" spans="15:44">
      <c r="O1544" s="91"/>
      <c r="X1544" s="115">
        <f t="shared" si="179"/>
        <v>0</v>
      </c>
      <c r="Y1544" s="115">
        <f t="shared" si="180"/>
        <v>0</v>
      </c>
      <c r="Z1544" s="115" t="e">
        <f t="shared" si="181"/>
        <v>#VALUE!</v>
      </c>
      <c r="AA1544" s="115">
        <f t="shared" si="182"/>
        <v>0</v>
      </c>
      <c r="AC1544"/>
      <c r="AR1544"/>
    </row>
    <row r="1545" spans="15:44">
      <c r="O1545" s="91"/>
      <c r="X1545" s="115">
        <f t="shared" si="179"/>
        <v>0</v>
      </c>
      <c r="Y1545" s="115">
        <f t="shared" si="180"/>
        <v>0</v>
      </c>
      <c r="Z1545" s="115" t="e">
        <f t="shared" si="181"/>
        <v>#VALUE!</v>
      </c>
      <c r="AA1545" s="115">
        <f t="shared" si="182"/>
        <v>0</v>
      </c>
      <c r="AC1545"/>
      <c r="AR1545"/>
    </row>
    <row r="1546" spans="15:44">
      <c r="O1546" s="91"/>
      <c r="X1546" s="115">
        <f t="shared" si="179"/>
        <v>0</v>
      </c>
      <c r="Y1546" s="115">
        <f t="shared" si="180"/>
        <v>0</v>
      </c>
      <c r="Z1546" s="115" t="e">
        <f t="shared" si="181"/>
        <v>#VALUE!</v>
      </c>
      <c r="AA1546" s="115">
        <f t="shared" si="182"/>
        <v>0</v>
      </c>
      <c r="AC1546"/>
      <c r="AR1546"/>
    </row>
    <row r="1547" spans="15:44">
      <c r="O1547" s="91"/>
      <c r="X1547" s="115">
        <f t="shared" si="179"/>
        <v>0</v>
      </c>
      <c r="Y1547" s="115">
        <f t="shared" si="180"/>
        <v>0</v>
      </c>
      <c r="Z1547" s="115" t="e">
        <f t="shared" si="181"/>
        <v>#VALUE!</v>
      </c>
      <c r="AA1547" s="115">
        <f t="shared" si="182"/>
        <v>0</v>
      </c>
      <c r="AC1547"/>
      <c r="AR1547"/>
    </row>
    <row r="1548" spans="15:44">
      <c r="O1548" s="91"/>
      <c r="X1548" s="115">
        <f t="shared" si="179"/>
        <v>0</v>
      </c>
      <c r="Y1548" s="115">
        <f t="shared" si="180"/>
        <v>0</v>
      </c>
      <c r="Z1548" s="115" t="e">
        <f t="shared" si="181"/>
        <v>#VALUE!</v>
      </c>
      <c r="AA1548" s="115">
        <f t="shared" si="182"/>
        <v>0</v>
      </c>
      <c r="AC1548"/>
      <c r="AR1548"/>
    </row>
    <row r="1549" spans="15:44">
      <c r="O1549" s="91"/>
      <c r="X1549" s="115">
        <f t="shared" si="179"/>
        <v>0</v>
      </c>
      <c r="Y1549" s="115">
        <f t="shared" si="180"/>
        <v>0</v>
      </c>
      <c r="Z1549" s="115" t="e">
        <f t="shared" si="181"/>
        <v>#VALUE!</v>
      </c>
      <c r="AA1549" s="115">
        <f t="shared" si="182"/>
        <v>0</v>
      </c>
      <c r="AC1549"/>
      <c r="AR1549"/>
    </row>
    <row r="1550" spans="15:44">
      <c r="O1550" s="91"/>
      <c r="X1550" s="115">
        <f t="shared" si="179"/>
        <v>0</v>
      </c>
      <c r="Y1550" s="115">
        <f t="shared" si="180"/>
        <v>0</v>
      </c>
      <c r="Z1550" s="115" t="e">
        <f t="shared" si="181"/>
        <v>#VALUE!</v>
      </c>
      <c r="AA1550" s="115">
        <f t="shared" si="182"/>
        <v>0</v>
      </c>
      <c r="AC1550"/>
      <c r="AR1550"/>
    </row>
    <row r="1551" spans="15:44">
      <c r="O1551" s="91"/>
      <c r="X1551" s="115">
        <f t="shared" si="179"/>
        <v>0</v>
      </c>
      <c r="Y1551" s="115">
        <f t="shared" si="180"/>
        <v>0</v>
      </c>
      <c r="Z1551" s="115" t="e">
        <f t="shared" si="181"/>
        <v>#VALUE!</v>
      </c>
      <c r="AA1551" s="115">
        <f t="shared" si="182"/>
        <v>0</v>
      </c>
      <c r="AC1551"/>
      <c r="AR1551"/>
    </row>
    <row r="1552" spans="15:44">
      <c r="O1552" s="91"/>
      <c r="X1552" s="115">
        <f t="shared" si="179"/>
        <v>0</v>
      </c>
      <c r="Y1552" s="115">
        <f t="shared" si="180"/>
        <v>0</v>
      </c>
      <c r="Z1552" s="115" t="e">
        <f t="shared" si="181"/>
        <v>#VALUE!</v>
      </c>
      <c r="AA1552" s="115">
        <f t="shared" si="182"/>
        <v>0</v>
      </c>
      <c r="AC1552"/>
      <c r="AR1552"/>
    </row>
    <row r="1553" spans="15:44">
      <c r="O1553" s="91"/>
      <c r="X1553" s="115">
        <f t="shared" si="179"/>
        <v>0</v>
      </c>
      <c r="Y1553" s="115">
        <f t="shared" si="180"/>
        <v>0</v>
      </c>
      <c r="Z1553" s="115" t="e">
        <f t="shared" si="181"/>
        <v>#VALUE!</v>
      </c>
      <c r="AA1553" s="115">
        <f t="shared" si="182"/>
        <v>0</v>
      </c>
      <c r="AC1553"/>
      <c r="AR1553"/>
    </row>
    <row r="1554" spans="15:44">
      <c r="O1554" s="91"/>
      <c r="X1554" s="115">
        <f t="shared" si="179"/>
        <v>0</v>
      </c>
      <c r="Y1554" s="115">
        <f t="shared" si="180"/>
        <v>0</v>
      </c>
      <c r="Z1554" s="115" t="e">
        <f t="shared" si="181"/>
        <v>#VALUE!</v>
      </c>
      <c r="AA1554" s="115">
        <f t="shared" si="182"/>
        <v>0</v>
      </c>
      <c r="AC1554"/>
      <c r="AR1554"/>
    </row>
    <row r="1555" spans="15:44">
      <c r="O1555" s="91"/>
      <c r="X1555" s="115">
        <f t="shared" si="179"/>
        <v>0</v>
      </c>
      <c r="Y1555" s="115">
        <f t="shared" si="180"/>
        <v>0</v>
      </c>
      <c r="Z1555" s="115" t="e">
        <f t="shared" si="181"/>
        <v>#VALUE!</v>
      </c>
      <c r="AA1555" s="115">
        <f t="shared" si="182"/>
        <v>0</v>
      </c>
      <c r="AC1555"/>
      <c r="AR1555"/>
    </row>
    <row r="1556" spans="15:44">
      <c r="O1556" s="91"/>
      <c r="X1556" s="115">
        <f t="shared" si="179"/>
        <v>0</v>
      </c>
      <c r="Y1556" s="115">
        <f t="shared" si="180"/>
        <v>0</v>
      </c>
      <c r="Z1556" s="115" t="e">
        <f t="shared" si="181"/>
        <v>#VALUE!</v>
      </c>
      <c r="AA1556" s="115">
        <f t="shared" si="182"/>
        <v>0</v>
      </c>
      <c r="AC1556"/>
      <c r="AR1556"/>
    </row>
    <row r="1557" spans="15:44">
      <c r="O1557" s="91"/>
      <c r="X1557" s="115">
        <f t="shared" si="179"/>
        <v>0</v>
      </c>
      <c r="Y1557" s="115">
        <f t="shared" si="180"/>
        <v>0</v>
      </c>
      <c r="Z1557" s="115" t="e">
        <f t="shared" si="181"/>
        <v>#VALUE!</v>
      </c>
      <c r="AA1557" s="115">
        <f t="shared" si="182"/>
        <v>0</v>
      </c>
      <c r="AC1557"/>
      <c r="AR1557"/>
    </row>
    <row r="1558" spans="15:44">
      <c r="O1558" s="91"/>
      <c r="X1558" s="115">
        <f t="shared" si="179"/>
        <v>0</v>
      </c>
      <c r="Y1558" s="115">
        <f t="shared" si="180"/>
        <v>0</v>
      </c>
      <c r="Z1558" s="115" t="e">
        <f t="shared" si="181"/>
        <v>#VALUE!</v>
      </c>
      <c r="AA1558" s="115">
        <f t="shared" si="182"/>
        <v>0</v>
      </c>
      <c r="AC1558"/>
      <c r="AR1558"/>
    </row>
    <row r="1559" spans="15:44">
      <c r="O1559" s="91"/>
      <c r="X1559" s="115">
        <f t="shared" si="179"/>
        <v>0</v>
      </c>
      <c r="Y1559" s="115">
        <f t="shared" si="180"/>
        <v>0</v>
      </c>
      <c r="Z1559" s="115" t="e">
        <f t="shared" si="181"/>
        <v>#VALUE!</v>
      </c>
      <c r="AA1559" s="115">
        <f t="shared" si="182"/>
        <v>0</v>
      </c>
      <c r="AC1559"/>
      <c r="AR1559"/>
    </row>
    <row r="1560" spans="15:44">
      <c r="O1560" s="91"/>
      <c r="X1560" s="115">
        <f t="shared" si="179"/>
        <v>0</v>
      </c>
      <c r="Y1560" s="115">
        <f t="shared" si="180"/>
        <v>0</v>
      </c>
      <c r="Z1560" s="115" t="e">
        <f t="shared" si="181"/>
        <v>#VALUE!</v>
      </c>
      <c r="AA1560" s="115">
        <f t="shared" si="182"/>
        <v>0</v>
      </c>
      <c r="AC1560"/>
      <c r="AR1560"/>
    </row>
    <row r="1561" spans="15:44">
      <c r="O1561" s="91"/>
      <c r="X1561" s="115">
        <f t="shared" si="179"/>
        <v>0</v>
      </c>
      <c r="Y1561" s="115">
        <f t="shared" si="180"/>
        <v>0</v>
      </c>
      <c r="Z1561" s="115" t="e">
        <f t="shared" si="181"/>
        <v>#VALUE!</v>
      </c>
      <c r="AA1561" s="115">
        <f t="shared" si="182"/>
        <v>0</v>
      </c>
      <c r="AC1561"/>
      <c r="AR1561"/>
    </row>
    <row r="1562" spans="15:44">
      <c r="O1562" s="91"/>
      <c r="X1562" s="115">
        <f t="shared" si="179"/>
        <v>0</v>
      </c>
      <c r="Y1562" s="115">
        <f t="shared" si="180"/>
        <v>0</v>
      </c>
      <c r="Z1562" s="115" t="e">
        <f t="shared" si="181"/>
        <v>#VALUE!</v>
      </c>
      <c r="AA1562" s="115">
        <f t="shared" si="182"/>
        <v>0</v>
      </c>
      <c r="AC1562"/>
      <c r="AR1562"/>
    </row>
    <row r="1563" spans="15:44">
      <c r="O1563" s="91"/>
      <c r="X1563" s="115">
        <f t="shared" si="179"/>
        <v>0</v>
      </c>
      <c r="Y1563" s="115">
        <f t="shared" si="180"/>
        <v>0</v>
      </c>
      <c r="Z1563" s="115" t="e">
        <f t="shared" si="181"/>
        <v>#VALUE!</v>
      </c>
      <c r="AA1563" s="115">
        <f t="shared" si="182"/>
        <v>0</v>
      </c>
      <c r="AC1563"/>
      <c r="AR1563"/>
    </row>
    <row r="1564" spans="15:44">
      <c r="O1564" s="91"/>
      <c r="X1564" s="115">
        <f t="shared" si="179"/>
        <v>0</v>
      </c>
      <c r="Y1564" s="115">
        <f t="shared" si="180"/>
        <v>0</v>
      </c>
      <c r="Z1564" s="115" t="e">
        <f t="shared" si="181"/>
        <v>#VALUE!</v>
      </c>
      <c r="AA1564" s="115">
        <f t="shared" si="182"/>
        <v>0</v>
      </c>
      <c r="AC1564"/>
      <c r="AR1564"/>
    </row>
    <row r="1565" spans="15:44">
      <c r="O1565" s="91"/>
      <c r="X1565" s="115">
        <f t="shared" si="179"/>
        <v>0</v>
      </c>
      <c r="Y1565" s="115">
        <f t="shared" si="180"/>
        <v>0</v>
      </c>
      <c r="Z1565" s="115" t="e">
        <f t="shared" si="181"/>
        <v>#VALUE!</v>
      </c>
      <c r="AA1565" s="115">
        <f t="shared" si="182"/>
        <v>0</v>
      </c>
      <c r="AC1565"/>
      <c r="AR1565"/>
    </row>
    <row r="1566" spans="15:44">
      <c r="O1566" s="91"/>
      <c r="X1566" s="115">
        <f t="shared" si="179"/>
        <v>0</v>
      </c>
      <c r="Y1566" s="115">
        <f t="shared" si="180"/>
        <v>0</v>
      </c>
      <c r="Z1566" s="115" t="e">
        <f t="shared" si="181"/>
        <v>#VALUE!</v>
      </c>
      <c r="AA1566" s="115">
        <f t="shared" si="182"/>
        <v>0</v>
      </c>
      <c r="AC1566"/>
      <c r="AR1566"/>
    </row>
    <row r="1567" spans="15:44">
      <c r="O1567" s="91"/>
      <c r="X1567" s="115">
        <f t="shared" si="179"/>
        <v>0</v>
      </c>
      <c r="Y1567" s="115">
        <f t="shared" si="180"/>
        <v>0</v>
      </c>
      <c r="Z1567" s="115" t="e">
        <f t="shared" si="181"/>
        <v>#VALUE!</v>
      </c>
      <c r="AA1567" s="115">
        <f t="shared" si="182"/>
        <v>0</v>
      </c>
      <c r="AC1567"/>
      <c r="AR1567"/>
    </row>
    <row r="1568" spans="15:44">
      <c r="O1568" s="91"/>
      <c r="X1568" s="115">
        <f t="shared" si="179"/>
        <v>0</v>
      </c>
      <c r="Y1568" s="115">
        <f t="shared" si="180"/>
        <v>0</v>
      </c>
      <c r="Z1568" s="115" t="e">
        <f t="shared" si="181"/>
        <v>#VALUE!</v>
      </c>
      <c r="AA1568" s="115">
        <f t="shared" si="182"/>
        <v>0</v>
      </c>
      <c r="AC1568"/>
      <c r="AR1568"/>
    </row>
    <row r="1569" spans="15:44">
      <c r="O1569" s="91"/>
      <c r="X1569" s="115">
        <f t="shared" si="179"/>
        <v>0</v>
      </c>
      <c r="Y1569" s="115">
        <f t="shared" si="180"/>
        <v>0</v>
      </c>
      <c r="Z1569" s="115" t="e">
        <f t="shared" si="181"/>
        <v>#VALUE!</v>
      </c>
      <c r="AA1569" s="115">
        <f t="shared" si="182"/>
        <v>0</v>
      </c>
      <c r="AC1569"/>
      <c r="AR1569"/>
    </row>
    <row r="1570" spans="15:44">
      <c r="O1570" s="91"/>
      <c r="X1570" s="115">
        <f t="shared" si="179"/>
        <v>0</v>
      </c>
      <c r="Y1570" s="115">
        <f t="shared" si="180"/>
        <v>0</v>
      </c>
      <c r="Z1570" s="115" t="e">
        <f t="shared" si="181"/>
        <v>#VALUE!</v>
      </c>
      <c r="AA1570" s="115">
        <f t="shared" si="182"/>
        <v>0</v>
      </c>
      <c r="AC1570"/>
      <c r="AR1570"/>
    </row>
    <row r="1571" spans="15:44">
      <c r="O1571" s="91"/>
      <c r="X1571" s="115">
        <f t="shared" si="179"/>
        <v>0</v>
      </c>
      <c r="Y1571" s="115">
        <f t="shared" si="180"/>
        <v>0</v>
      </c>
      <c r="Z1571" s="115" t="e">
        <f t="shared" si="181"/>
        <v>#VALUE!</v>
      </c>
      <c r="AA1571" s="115">
        <f t="shared" si="182"/>
        <v>0</v>
      </c>
      <c r="AC1571"/>
      <c r="AR1571"/>
    </row>
    <row r="1572" spans="15:44">
      <c r="O1572" s="91"/>
      <c r="X1572" s="115">
        <f t="shared" si="179"/>
        <v>0</v>
      </c>
      <c r="Y1572" s="115">
        <f t="shared" si="180"/>
        <v>0</v>
      </c>
      <c r="Z1572" s="115" t="e">
        <f t="shared" si="181"/>
        <v>#VALUE!</v>
      </c>
      <c r="AA1572" s="115">
        <f t="shared" si="182"/>
        <v>0</v>
      </c>
      <c r="AC1572"/>
      <c r="AR1572"/>
    </row>
    <row r="1573" spans="15:44">
      <c r="O1573" s="91"/>
      <c r="X1573" s="115">
        <f t="shared" si="179"/>
        <v>0</v>
      </c>
      <c r="Y1573" s="115">
        <f t="shared" si="180"/>
        <v>0</v>
      </c>
      <c r="Z1573" s="115" t="e">
        <f t="shared" si="181"/>
        <v>#VALUE!</v>
      </c>
      <c r="AA1573" s="115">
        <f t="shared" si="182"/>
        <v>0</v>
      </c>
      <c r="AC1573"/>
      <c r="AR1573"/>
    </row>
    <row r="1574" spans="15:44">
      <c r="O1574" s="91"/>
      <c r="X1574" s="115">
        <f t="shared" si="179"/>
        <v>0</v>
      </c>
      <c r="Y1574" s="115">
        <f t="shared" si="180"/>
        <v>0</v>
      </c>
      <c r="Z1574" s="115" t="e">
        <f t="shared" si="181"/>
        <v>#VALUE!</v>
      </c>
      <c r="AA1574" s="115">
        <f t="shared" si="182"/>
        <v>0</v>
      </c>
      <c r="AC1574"/>
      <c r="AR1574"/>
    </row>
    <row r="1575" spans="15:44">
      <c r="O1575" s="91"/>
      <c r="X1575" s="115">
        <f t="shared" si="179"/>
        <v>0</v>
      </c>
      <c r="Y1575" s="115">
        <f t="shared" si="180"/>
        <v>0</v>
      </c>
      <c r="Z1575" s="115" t="e">
        <f t="shared" si="181"/>
        <v>#VALUE!</v>
      </c>
      <c r="AA1575" s="115">
        <f t="shared" si="182"/>
        <v>0</v>
      </c>
      <c r="AC1575"/>
      <c r="AR1575"/>
    </row>
    <row r="1576" spans="15:44">
      <c r="O1576" s="91"/>
      <c r="X1576" s="115">
        <f t="shared" si="179"/>
        <v>0</v>
      </c>
      <c r="Y1576" s="115">
        <f t="shared" si="180"/>
        <v>0</v>
      </c>
      <c r="Z1576" s="115" t="e">
        <f t="shared" si="181"/>
        <v>#VALUE!</v>
      </c>
      <c r="AA1576" s="115">
        <f t="shared" si="182"/>
        <v>0</v>
      </c>
      <c r="AC1576"/>
      <c r="AR1576"/>
    </row>
    <row r="1577" spans="15:44">
      <c r="O1577" s="91"/>
      <c r="X1577" s="115">
        <f t="shared" si="179"/>
        <v>0</v>
      </c>
      <c r="Y1577" s="115">
        <f t="shared" si="180"/>
        <v>0</v>
      </c>
      <c r="Z1577" s="115" t="e">
        <f t="shared" si="181"/>
        <v>#VALUE!</v>
      </c>
      <c r="AA1577" s="115">
        <f t="shared" si="182"/>
        <v>0</v>
      </c>
      <c r="AC1577"/>
      <c r="AR1577"/>
    </row>
    <row r="1578" spans="15:44">
      <c r="O1578" s="91"/>
      <c r="X1578" s="115">
        <f t="shared" si="179"/>
        <v>0</v>
      </c>
      <c r="Y1578" s="115">
        <f t="shared" si="180"/>
        <v>0</v>
      </c>
      <c r="Z1578" s="115" t="e">
        <f t="shared" si="181"/>
        <v>#VALUE!</v>
      </c>
      <c r="AA1578" s="115">
        <f t="shared" si="182"/>
        <v>0</v>
      </c>
      <c r="AC1578"/>
      <c r="AR1578"/>
    </row>
    <row r="1579" spans="15:44">
      <c r="O1579" s="91"/>
      <c r="X1579" s="115">
        <f t="shared" si="179"/>
        <v>0</v>
      </c>
      <c r="Y1579" s="115">
        <f t="shared" si="180"/>
        <v>0</v>
      </c>
      <c r="Z1579" s="115" t="e">
        <f t="shared" si="181"/>
        <v>#VALUE!</v>
      </c>
      <c r="AA1579" s="115">
        <f t="shared" si="182"/>
        <v>0</v>
      </c>
      <c r="AC1579"/>
      <c r="AR1579"/>
    </row>
    <row r="1580" spans="15:44">
      <c r="O1580" s="91"/>
      <c r="X1580" s="115">
        <f t="shared" si="179"/>
        <v>0</v>
      </c>
      <c r="Y1580" s="115">
        <f t="shared" si="180"/>
        <v>0</v>
      </c>
      <c r="Z1580" s="115" t="e">
        <f t="shared" si="181"/>
        <v>#VALUE!</v>
      </c>
      <c r="AA1580" s="115">
        <f t="shared" si="182"/>
        <v>0</v>
      </c>
      <c r="AC1580"/>
      <c r="AR1580"/>
    </row>
    <row r="1581" spans="15:44">
      <c r="O1581" s="91"/>
      <c r="X1581" s="115">
        <f t="shared" si="179"/>
        <v>0</v>
      </c>
      <c r="Y1581" s="115">
        <f t="shared" si="180"/>
        <v>0</v>
      </c>
      <c r="Z1581" s="115" t="e">
        <f t="shared" si="181"/>
        <v>#VALUE!</v>
      </c>
      <c r="AA1581" s="115">
        <f t="shared" si="182"/>
        <v>0</v>
      </c>
      <c r="AC1581"/>
      <c r="AR1581"/>
    </row>
    <row r="1582" spans="15:44">
      <c r="O1582" s="91"/>
      <c r="X1582" s="115">
        <f t="shared" si="179"/>
        <v>0</v>
      </c>
      <c r="Y1582" s="115">
        <f t="shared" si="180"/>
        <v>0</v>
      </c>
      <c r="Z1582" s="115" t="e">
        <f t="shared" si="181"/>
        <v>#VALUE!</v>
      </c>
      <c r="AA1582" s="115">
        <f t="shared" si="182"/>
        <v>0</v>
      </c>
      <c r="AC1582"/>
      <c r="AR1582"/>
    </row>
    <row r="1583" spans="15:44">
      <c r="O1583" s="91"/>
      <c r="X1583" s="115">
        <f t="shared" si="179"/>
        <v>0</v>
      </c>
      <c r="Y1583" s="115">
        <f t="shared" si="180"/>
        <v>0</v>
      </c>
      <c r="Z1583" s="115" t="e">
        <f t="shared" si="181"/>
        <v>#VALUE!</v>
      </c>
      <c r="AA1583" s="115">
        <f t="shared" si="182"/>
        <v>0</v>
      </c>
      <c r="AC1583"/>
      <c r="AR1583"/>
    </row>
    <row r="1584" spans="15:44">
      <c r="O1584" s="91"/>
      <c r="X1584" s="115">
        <f t="shared" si="179"/>
        <v>0</v>
      </c>
      <c r="Y1584" s="115">
        <f t="shared" si="180"/>
        <v>0</v>
      </c>
      <c r="Z1584" s="115" t="e">
        <f t="shared" si="181"/>
        <v>#VALUE!</v>
      </c>
      <c r="AA1584" s="115">
        <f t="shared" si="182"/>
        <v>0</v>
      </c>
      <c r="AC1584"/>
      <c r="AR1584"/>
    </row>
    <row r="1585" spans="15:44">
      <c r="O1585" s="91"/>
      <c r="X1585" s="115">
        <f t="shared" si="179"/>
        <v>0</v>
      </c>
      <c r="Y1585" s="115">
        <f t="shared" si="180"/>
        <v>0</v>
      </c>
      <c r="Z1585" s="115" t="e">
        <f t="shared" si="181"/>
        <v>#VALUE!</v>
      </c>
      <c r="AA1585" s="115">
        <f t="shared" si="182"/>
        <v>0</v>
      </c>
      <c r="AC1585"/>
      <c r="AR1585"/>
    </row>
    <row r="1586" spans="15:44">
      <c r="O1586" s="91"/>
      <c r="X1586" s="115">
        <f t="shared" si="179"/>
        <v>0</v>
      </c>
      <c r="Y1586" s="115">
        <f t="shared" si="180"/>
        <v>0</v>
      </c>
      <c r="Z1586" s="115" t="e">
        <f t="shared" si="181"/>
        <v>#VALUE!</v>
      </c>
      <c r="AA1586" s="115">
        <f t="shared" si="182"/>
        <v>0</v>
      </c>
      <c r="AC1586"/>
      <c r="AR1586"/>
    </row>
    <row r="1587" spans="15:44">
      <c r="O1587" s="91"/>
      <c r="X1587" s="115">
        <f t="shared" si="179"/>
        <v>0</v>
      </c>
      <c r="Y1587" s="115">
        <f t="shared" si="180"/>
        <v>0</v>
      </c>
      <c r="Z1587" s="115" t="e">
        <f t="shared" si="181"/>
        <v>#VALUE!</v>
      </c>
      <c r="AA1587" s="115">
        <f t="shared" si="182"/>
        <v>0</v>
      </c>
      <c r="AC1587"/>
      <c r="AR1587"/>
    </row>
    <row r="1588" spans="15:44">
      <c r="O1588" s="91"/>
      <c r="X1588" s="115">
        <f t="shared" si="179"/>
        <v>0</v>
      </c>
      <c r="Y1588" s="115">
        <f t="shared" si="180"/>
        <v>0</v>
      </c>
      <c r="Z1588" s="115" t="e">
        <f t="shared" si="181"/>
        <v>#VALUE!</v>
      </c>
      <c r="AA1588" s="115">
        <f t="shared" si="182"/>
        <v>0</v>
      </c>
      <c r="AC1588"/>
      <c r="AR1588"/>
    </row>
    <row r="1589" spans="15:44">
      <c r="O1589" s="91"/>
      <c r="X1589" s="115">
        <f t="shared" si="179"/>
        <v>0</v>
      </c>
      <c r="Y1589" s="115">
        <f t="shared" si="180"/>
        <v>0</v>
      </c>
      <c r="Z1589" s="115" t="e">
        <f t="shared" si="181"/>
        <v>#VALUE!</v>
      </c>
      <c r="AA1589" s="115">
        <f t="shared" si="182"/>
        <v>0</v>
      </c>
      <c r="AC1589"/>
      <c r="AR1589"/>
    </row>
    <row r="1590" spans="15:44">
      <c r="O1590" s="91"/>
      <c r="X1590" s="115">
        <f t="shared" si="179"/>
        <v>0</v>
      </c>
      <c r="Y1590" s="115">
        <f t="shared" si="180"/>
        <v>0</v>
      </c>
      <c r="Z1590" s="115" t="e">
        <f t="shared" si="181"/>
        <v>#VALUE!</v>
      </c>
      <c r="AA1590" s="115">
        <f t="shared" si="182"/>
        <v>0</v>
      </c>
      <c r="AC1590"/>
      <c r="AR1590"/>
    </row>
    <row r="1591" spans="15:44">
      <c r="O1591" s="91"/>
      <c r="X1591" s="115">
        <f t="shared" si="179"/>
        <v>0</v>
      </c>
      <c r="Y1591" s="115">
        <f t="shared" si="180"/>
        <v>0</v>
      </c>
      <c r="Z1591" s="115" t="e">
        <f t="shared" si="181"/>
        <v>#VALUE!</v>
      </c>
      <c r="AA1591" s="115">
        <f t="shared" si="182"/>
        <v>0</v>
      </c>
      <c r="AC1591"/>
      <c r="AR1591"/>
    </row>
    <row r="1592" spans="15:44">
      <c r="O1592" s="91"/>
      <c r="X1592" s="115">
        <f t="shared" si="179"/>
        <v>0</v>
      </c>
      <c r="Y1592" s="115">
        <f t="shared" si="180"/>
        <v>0</v>
      </c>
      <c r="Z1592" s="115" t="e">
        <f t="shared" si="181"/>
        <v>#VALUE!</v>
      </c>
      <c r="AA1592" s="115">
        <f t="shared" si="182"/>
        <v>0</v>
      </c>
      <c r="AC1592"/>
      <c r="AR1592"/>
    </row>
    <row r="1593" spans="15:44">
      <c r="O1593" s="91"/>
      <c r="X1593" s="115">
        <f t="shared" si="179"/>
        <v>0</v>
      </c>
      <c r="Y1593" s="115">
        <f t="shared" si="180"/>
        <v>0</v>
      </c>
      <c r="Z1593" s="115" t="e">
        <f t="shared" si="181"/>
        <v>#VALUE!</v>
      </c>
      <c r="AA1593" s="115">
        <f t="shared" si="182"/>
        <v>0</v>
      </c>
      <c r="AC1593"/>
      <c r="AR1593"/>
    </row>
    <row r="1594" spans="15:44">
      <c r="O1594" s="91"/>
      <c r="X1594" s="115">
        <f t="shared" si="179"/>
        <v>0</v>
      </c>
      <c r="Y1594" s="115">
        <f t="shared" si="180"/>
        <v>0</v>
      </c>
      <c r="Z1594" s="115" t="e">
        <f t="shared" si="181"/>
        <v>#VALUE!</v>
      </c>
      <c r="AA1594" s="115">
        <f t="shared" si="182"/>
        <v>0</v>
      </c>
      <c r="AC1594"/>
      <c r="AR1594"/>
    </row>
    <row r="1595" spans="15:44">
      <c r="O1595" s="91"/>
      <c r="X1595" s="115">
        <f t="shared" si="179"/>
        <v>0</v>
      </c>
      <c r="Y1595" s="115">
        <f t="shared" si="180"/>
        <v>0</v>
      </c>
      <c r="Z1595" s="115" t="e">
        <f t="shared" si="181"/>
        <v>#VALUE!</v>
      </c>
      <c r="AA1595" s="115">
        <f t="shared" si="182"/>
        <v>0</v>
      </c>
      <c r="AC1595"/>
      <c r="AR1595"/>
    </row>
    <row r="1596" spans="15:44">
      <c r="O1596" s="91"/>
      <c r="X1596" s="115">
        <f t="shared" si="179"/>
        <v>0</v>
      </c>
      <c r="Y1596" s="115">
        <f t="shared" si="180"/>
        <v>0</v>
      </c>
      <c r="Z1596" s="115" t="e">
        <f t="shared" si="181"/>
        <v>#VALUE!</v>
      </c>
      <c r="AA1596" s="115">
        <f t="shared" si="182"/>
        <v>0</v>
      </c>
      <c r="AC1596"/>
      <c r="AR1596"/>
    </row>
    <row r="1597" spans="15:44">
      <c r="O1597" s="91"/>
      <c r="X1597" s="115">
        <f t="shared" si="179"/>
        <v>0</v>
      </c>
      <c r="Y1597" s="115">
        <f t="shared" si="180"/>
        <v>0</v>
      </c>
      <c r="Z1597" s="115" t="e">
        <f t="shared" si="181"/>
        <v>#VALUE!</v>
      </c>
      <c r="AA1597" s="115">
        <f t="shared" si="182"/>
        <v>0</v>
      </c>
      <c r="AC1597"/>
      <c r="AR1597"/>
    </row>
    <row r="1598" spans="15:44">
      <c r="O1598" s="91"/>
      <c r="X1598" s="115">
        <f t="shared" si="179"/>
        <v>0</v>
      </c>
      <c r="Y1598" s="115">
        <f t="shared" si="180"/>
        <v>0</v>
      </c>
      <c r="Z1598" s="115" t="e">
        <f t="shared" si="181"/>
        <v>#VALUE!</v>
      </c>
      <c r="AA1598" s="115">
        <f t="shared" si="182"/>
        <v>0</v>
      </c>
      <c r="AC1598"/>
      <c r="AR1598"/>
    </row>
    <row r="1599" spans="15:44">
      <c r="O1599" s="91"/>
      <c r="X1599" s="115">
        <f t="shared" si="179"/>
        <v>0</v>
      </c>
      <c r="Y1599" s="115">
        <f t="shared" si="180"/>
        <v>0</v>
      </c>
      <c r="Z1599" s="115" t="e">
        <f t="shared" si="181"/>
        <v>#VALUE!</v>
      </c>
      <c r="AA1599" s="115">
        <f t="shared" si="182"/>
        <v>0</v>
      </c>
      <c r="AC1599"/>
      <c r="AR1599"/>
    </row>
    <row r="1600" spans="15:44">
      <c r="O1600" s="91"/>
      <c r="X1600" s="115">
        <f t="shared" si="179"/>
        <v>0</v>
      </c>
      <c r="Y1600" s="115">
        <f t="shared" si="180"/>
        <v>0</v>
      </c>
      <c r="Z1600" s="115" t="e">
        <f t="shared" si="181"/>
        <v>#VALUE!</v>
      </c>
      <c r="AA1600" s="115">
        <f t="shared" si="182"/>
        <v>0</v>
      </c>
      <c r="AC1600"/>
      <c r="AR1600"/>
    </row>
    <row r="1601" spans="15:44">
      <c r="O1601" s="91"/>
      <c r="X1601" s="115">
        <f t="shared" si="179"/>
        <v>0</v>
      </c>
      <c r="Y1601" s="115">
        <f t="shared" si="180"/>
        <v>0</v>
      </c>
      <c r="Z1601" s="115" t="e">
        <f t="shared" si="181"/>
        <v>#VALUE!</v>
      </c>
      <c r="AA1601" s="115">
        <f t="shared" si="182"/>
        <v>0</v>
      </c>
      <c r="AC1601"/>
      <c r="AR1601"/>
    </row>
    <row r="1602" spans="15:44">
      <c r="O1602" s="91"/>
      <c r="X1602" s="115">
        <f t="shared" si="179"/>
        <v>0</v>
      </c>
      <c r="Y1602" s="115">
        <f t="shared" si="180"/>
        <v>0</v>
      </c>
      <c r="Z1602" s="115" t="e">
        <f t="shared" si="181"/>
        <v>#VALUE!</v>
      </c>
      <c r="AA1602" s="115">
        <f t="shared" si="182"/>
        <v>0</v>
      </c>
      <c r="AC1602"/>
      <c r="AR1602"/>
    </row>
    <row r="1603" spans="15:44">
      <c r="O1603" s="91"/>
      <c r="X1603" s="115">
        <f t="shared" ref="X1603:X1666" si="183">mapValues(E1603,F1603,"P265")</f>
        <v>0</v>
      </c>
      <c r="Y1603" s="115">
        <f t="shared" ref="Y1603:Y1666" si="184">X1602+X1603</f>
        <v>0</v>
      </c>
      <c r="Z1603" s="115" t="e">
        <f t="shared" ref="Z1603:Z1666" si="185">VALUE(MID(B1603,FIND(" ",B1603)+1,FIND(" ",B1603,FIND(" ",B1603)+1)-FIND(" ",B1603)))</f>
        <v>#VALUE!</v>
      </c>
      <c r="AA1603" s="115">
        <f t="shared" ref="AA1603:AA1666" si="186">T1603/1000</f>
        <v>0</v>
      </c>
      <c r="AC1603"/>
      <c r="AR1603"/>
    </row>
    <row r="1604" spans="15:44">
      <c r="O1604" s="91"/>
      <c r="X1604" s="115">
        <f t="shared" si="183"/>
        <v>0</v>
      </c>
      <c r="Y1604" s="115">
        <f t="shared" si="184"/>
        <v>0</v>
      </c>
      <c r="Z1604" s="115" t="e">
        <f t="shared" si="185"/>
        <v>#VALUE!</v>
      </c>
      <c r="AA1604" s="115">
        <f t="shared" si="186"/>
        <v>0</v>
      </c>
      <c r="AC1604"/>
      <c r="AR1604"/>
    </row>
    <row r="1605" spans="15:44">
      <c r="O1605" s="91"/>
      <c r="X1605" s="115">
        <f t="shared" si="183"/>
        <v>0</v>
      </c>
      <c r="Y1605" s="115">
        <f t="shared" si="184"/>
        <v>0</v>
      </c>
      <c r="Z1605" s="115" t="e">
        <f t="shared" si="185"/>
        <v>#VALUE!</v>
      </c>
      <c r="AA1605" s="115">
        <f t="shared" si="186"/>
        <v>0</v>
      </c>
      <c r="AC1605"/>
      <c r="AR1605"/>
    </row>
    <row r="1606" spans="15:44">
      <c r="O1606" s="91"/>
      <c r="X1606" s="115">
        <f t="shared" si="183"/>
        <v>0</v>
      </c>
      <c r="Y1606" s="115">
        <f t="shared" si="184"/>
        <v>0</v>
      </c>
      <c r="Z1606" s="115" t="e">
        <f t="shared" si="185"/>
        <v>#VALUE!</v>
      </c>
      <c r="AA1606" s="115">
        <f t="shared" si="186"/>
        <v>0</v>
      </c>
      <c r="AC1606"/>
      <c r="AR1606"/>
    </row>
    <row r="1607" spans="15:44">
      <c r="O1607" s="91"/>
      <c r="X1607" s="115">
        <f t="shared" si="183"/>
        <v>0</v>
      </c>
      <c r="Y1607" s="115">
        <f t="shared" si="184"/>
        <v>0</v>
      </c>
      <c r="Z1607" s="115" t="e">
        <f t="shared" si="185"/>
        <v>#VALUE!</v>
      </c>
      <c r="AA1607" s="115">
        <f t="shared" si="186"/>
        <v>0</v>
      </c>
      <c r="AC1607"/>
      <c r="AR1607"/>
    </row>
    <row r="1608" spans="15:44">
      <c r="O1608" s="91"/>
      <c r="X1608" s="115">
        <f t="shared" si="183"/>
        <v>0</v>
      </c>
      <c r="Y1608" s="115">
        <f t="shared" si="184"/>
        <v>0</v>
      </c>
      <c r="Z1608" s="115" t="e">
        <f t="shared" si="185"/>
        <v>#VALUE!</v>
      </c>
      <c r="AA1608" s="115">
        <f t="shared" si="186"/>
        <v>0</v>
      </c>
      <c r="AC1608"/>
      <c r="AR1608"/>
    </row>
    <row r="1609" spans="15:44">
      <c r="O1609" s="91"/>
      <c r="X1609" s="115">
        <f t="shared" si="183"/>
        <v>0</v>
      </c>
      <c r="Y1609" s="115">
        <f t="shared" si="184"/>
        <v>0</v>
      </c>
      <c r="Z1609" s="115" t="e">
        <f t="shared" si="185"/>
        <v>#VALUE!</v>
      </c>
      <c r="AA1609" s="115">
        <f t="shared" si="186"/>
        <v>0</v>
      </c>
      <c r="AC1609"/>
      <c r="AR1609"/>
    </row>
    <row r="1610" spans="15:44">
      <c r="O1610" s="91"/>
      <c r="X1610" s="115">
        <f t="shared" si="183"/>
        <v>0</v>
      </c>
      <c r="Y1610" s="115">
        <f t="shared" si="184"/>
        <v>0</v>
      </c>
      <c r="Z1610" s="115" t="e">
        <f t="shared" si="185"/>
        <v>#VALUE!</v>
      </c>
      <c r="AA1610" s="115">
        <f t="shared" si="186"/>
        <v>0</v>
      </c>
      <c r="AC1610"/>
      <c r="AR1610"/>
    </row>
    <row r="1611" spans="15:44">
      <c r="O1611" s="91"/>
      <c r="X1611" s="115">
        <f t="shared" si="183"/>
        <v>0</v>
      </c>
      <c r="Y1611" s="115">
        <f t="shared" si="184"/>
        <v>0</v>
      </c>
      <c r="Z1611" s="115" t="e">
        <f t="shared" si="185"/>
        <v>#VALUE!</v>
      </c>
      <c r="AA1611" s="115">
        <f t="shared" si="186"/>
        <v>0</v>
      </c>
      <c r="AC1611"/>
      <c r="AR1611"/>
    </row>
    <row r="1612" spans="15:44">
      <c r="O1612" s="91"/>
      <c r="X1612" s="115">
        <f t="shared" si="183"/>
        <v>0</v>
      </c>
      <c r="Y1612" s="115">
        <f t="shared" si="184"/>
        <v>0</v>
      </c>
      <c r="Z1612" s="115" t="e">
        <f t="shared" si="185"/>
        <v>#VALUE!</v>
      </c>
      <c r="AA1612" s="115">
        <f t="shared" si="186"/>
        <v>0</v>
      </c>
      <c r="AC1612"/>
      <c r="AR1612"/>
    </row>
    <row r="1613" spans="15:44">
      <c r="O1613" s="91"/>
      <c r="X1613" s="115">
        <f t="shared" si="183"/>
        <v>0</v>
      </c>
      <c r="Y1613" s="115">
        <f t="shared" si="184"/>
        <v>0</v>
      </c>
      <c r="Z1613" s="115" t="e">
        <f t="shared" si="185"/>
        <v>#VALUE!</v>
      </c>
      <c r="AA1613" s="115">
        <f t="shared" si="186"/>
        <v>0</v>
      </c>
      <c r="AC1613"/>
      <c r="AR1613"/>
    </row>
    <row r="1614" spans="15:44">
      <c r="O1614" s="91"/>
      <c r="X1614" s="115">
        <f t="shared" si="183"/>
        <v>0</v>
      </c>
      <c r="Y1614" s="115">
        <f t="shared" si="184"/>
        <v>0</v>
      </c>
      <c r="Z1614" s="115" t="e">
        <f t="shared" si="185"/>
        <v>#VALUE!</v>
      </c>
      <c r="AA1614" s="115">
        <f t="shared" si="186"/>
        <v>0</v>
      </c>
      <c r="AC1614"/>
      <c r="AR1614"/>
    </row>
    <row r="1615" spans="15:44">
      <c r="O1615" s="91"/>
      <c r="X1615" s="115">
        <f t="shared" si="183"/>
        <v>0</v>
      </c>
      <c r="Y1615" s="115">
        <f t="shared" si="184"/>
        <v>0</v>
      </c>
      <c r="Z1615" s="115" t="e">
        <f t="shared" si="185"/>
        <v>#VALUE!</v>
      </c>
      <c r="AA1615" s="115">
        <f t="shared" si="186"/>
        <v>0</v>
      </c>
      <c r="AC1615"/>
      <c r="AR1615"/>
    </row>
    <row r="1616" spans="15:44">
      <c r="O1616" s="91"/>
      <c r="X1616" s="115">
        <f t="shared" si="183"/>
        <v>0</v>
      </c>
      <c r="Y1616" s="115">
        <f t="shared" si="184"/>
        <v>0</v>
      </c>
      <c r="Z1616" s="115" t="e">
        <f t="shared" si="185"/>
        <v>#VALUE!</v>
      </c>
      <c r="AA1616" s="115">
        <f t="shared" si="186"/>
        <v>0</v>
      </c>
      <c r="AC1616"/>
      <c r="AR1616"/>
    </row>
    <row r="1617" spans="15:44">
      <c r="O1617" s="91"/>
      <c r="X1617" s="115">
        <f t="shared" si="183"/>
        <v>0</v>
      </c>
      <c r="Y1617" s="115">
        <f t="shared" si="184"/>
        <v>0</v>
      </c>
      <c r="Z1617" s="115" t="e">
        <f t="shared" si="185"/>
        <v>#VALUE!</v>
      </c>
      <c r="AA1617" s="115">
        <f t="shared" si="186"/>
        <v>0</v>
      </c>
      <c r="AC1617"/>
      <c r="AR1617"/>
    </row>
    <row r="1618" spans="15:44">
      <c r="O1618" s="91"/>
      <c r="X1618" s="115">
        <f t="shared" si="183"/>
        <v>0</v>
      </c>
      <c r="Y1618" s="115">
        <f t="shared" si="184"/>
        <v>0</v>
      </c>
      <c r="Z1618" s="115" t="e">
        <f t="shared" si="185"/>
        <v>#VALUE!</v>
      </c>
      <c r="AA1618" s="115">
        <f t="shared" si="186"/>
        <v>0</v>
      </c>
      <c r="AC1618"/>
      <c r="AR1618"/>
    </row>
    <row r="1619" spans="15:44">
      <c r="O1619" s="91"/>
      <c r="X1619" s="115">
        <f t="shared" si="183"/>
        <v>0</v>
      </c>
      <c r="Y1619" s="115">
        <f t="shared" si="184"/>
        <v>0</v>
      </c>
      <c r="Z1619" s="115" t="e">
        <f t="shared" si="185"/>
        <v>#VALUE!</v>
      </c>
      <c r="AA1619" s="115">
        <f t="shared" si="186"/>
        <v>0</v>
      </c>
      <c r="AC1619"/>
      <c r="AR1619"/>
    </row>
    <row r="1620" spans="15:44">
      <c r="O1620" s="91"/>
      <c r="X1620" s="115">
        <f t="shared" si="183"/>
        <v>0</v>
      </c>
      <c r="Y1620" s="115">
        <f t="shared" si="184"/>
        <v>0</v>
      </c>
      <c r="Z1620" s="115" t="e">
        <f t="shared" si="185"/>
        <v>#VALUE!</v>
      </c>
      <c r="AA1620" s="115">
        <f t="shared" si="186"/>
        <v>0</v>
      </c>
      <c r="AC1620"/>
      <c r="AR1620"/>
    </row>
    <row r="1621" spans="15:44">
      <c r="O1621" s="91"/>
      <c r="X1621" s="115">
        <f t="shared" si="183"/>
        <v>0</v>
      </c>
      <c r="Y1621" s="115">
        <f t="shared" si="184"/>
        <v>0</v>
      </c>
      <c r="Z1621" s="115" t="e">
        <f t="shared" si="185"/>
        <v>#VALUE!</v>
      </c>
      <c r="AA1621" s="115">
        <f t="shared" si="186"/>
        <v>0</v>
      </c>
      <c r="AC1621"/>
      <c r="AR1621"/>
    </row>
    <row r="1622" spans="15:44">
      <c r="O1622" s="91"/>
      <c r="X1622" s="115">
        <f t="shared" si="183"/>
        <v>0</v>
      </c>
      <c r="Y1622" s="115">
        <f t="shared" si="184"/>
        <v>0</v>
      </c>
      <c r="Z1622" s="115" t="e">
        <f t="shared" si="185"/>
        <v>#VALUE!</v>
      </c>
      <c r="AA1622" s="115">
        <f t="shared" si="186"/>
        <v>0</v>
      </c>
      <c r="AC1622"/>
      <c r="AR1622"/>
    </row>
    <row r="1623" spans="15:44">
      <c r="O1623" s="91"/>
      <c r="X1623" s="115">
        <f t="shared" si="183"/>
        <v>0</v>
      </c>
      <c r="Y1623" s="115">
        <f t="shared" si="184"/>
        <v>0</v>
      </c>
      <c r="Z1623" s="115" t="e">
        <f t="shared" si="185"/>
        <v>#VALUE!</v>
      </c>
      <c r="AA1623" s="115">
        <f t="shared" si="186"/>
        <v>0</v>
      </c>
      <c r="AC1623"/>
      <c r="AR1623"/>
    </row>
    <row r="1624" spans="15:44">
      <c r="O1624" s="91"/>
      <c r="X1624" s="115">
        <f t="shared" si="183"/>
        <v>0</v>
      </c>
      <c r="Y1624" s="115">
        <f t="shared" si="184"/>
        <v>0</v>
      </c>
      <c r="Z1624" s="115" t="e">
        <f t="shared" si="185"/>
        <v>#VALUE!</v>
      </c>
      <c r="AA1624" s="115">
        <f t="shared" si="186"/>
        <v>0</v>
      </c>
      <c r="AC1624"/>
      <c r="AR1624"/>
    </row>
    <row r="1625" spans="15:44">
      <c r="O1625" s="91"/>
      <c r="X1625" s="115">
        <f t="shared" si="183"/>
        <v>0</v>
      </c>
      <c r="Y1625" s="115">
        <f t="shared" si="184"/>
        <v>0</v>
      </c>
      <c r="Z1625" s="115" t="e">
        <f t="shared" si="185"/>
        <v>#VALUE!</v>
      </c>
      <c r="AA1625" s="115">
        <f t="shared" si="186"/>
        <v>0</v>
      </c>
      <c r="AC1625"/>
      <c r="AR1625"/>
    </row>
    <row r="1626" spans="15:44">
      <c r="O1626" s="91"/>
      <c r="X1626" s="115">
        <f t="shared" si="183"/>
        <v>0</v>
      </c>
      <c r="Y1626" s="115">
        <f t="shared" si="184"/>
        <v>0</v>
      </c>
      <c r="Z1626" s="115" t="e">
        <f t="shared" si="185"/>
        <v>#VALUE!</v>
      </c>
      <c r="AA1626" s="115">
        <f t="shared" si="186"/>
        <v>0</v>
      </c>
      <c r="AC1626"/>
      <c r="AR1626"/>
    </row>
    <row r="1627" spans="15:44">
      <c r="O1627" s="91"/>
      <c r="X1627" s="115">
        <f t="shared" si="183"/>
        <v>0</v>
      </c>
      <c r="Y1627" s="115">
        <f t="shared" si="184"/>
        <v>0</v>
      </c>
      <c r="Z1627" s="115" t="e">
        <f t="shared" si="185"/>
        <v>#VALUE!</v>
      </c>
      <c r="AA1627" s="115">
        <f t="shared" si="186"/>
        <v>0</v>
      </c>
      <c r="AC1627"/>
      <c r="AR1627"/>
    </row>
    <row r="1628" spans="15:44">
      <c r="O1628" s="91"/>
      <c r="X1628" s="115">
        <f t="shared" si="183"/>
        <v>0</v>
      </c>
      <c r="Y1628" s="115">
        <f t="shared" si="184"/>
        <v>0</v>
      </c>
      <c r="Z1628" s="115" t="e">
        <f t="shared" si="185"/>
        <v>#VALUE!</v>
      </c>
      <c r="AA1628" s="115">
        <f t="shared" si="186"/>
        <v>0</v>
      </c>
      <c r="AC1628"/>
      <c r="AR1628"/>
    </row>
    <row r="1629" spans="15:44">
      <c r="O1629" s="91"/>
      <c r="X1629" s="115">
        <f t="shared" si="183"/>
        <v>0</v>
      </c>
      <c r="Y1629" s="115">
        <f t="shared" si="184"/>
        <v>0</v>
      </c>
      <c r="Z1629" s="115" t="e">
        <f t="shared" si="185"/>
        <v>#VALUE!</v>
      </c>
      <c r="AA1629" s="115">
        <f t="shared" si="186"/>
        <v>0</v>
      </c>
      <c r="AC1629"/>
      <c r="AR1629"/>
    </row>
    <row r="1630" spans="15:44">
      <c r="O1630" s="91"/>
      <c r="X1630" s="115">
        <f t="shared" si="183"/>
        <v>0</v>
      </c>
      <c r="Y1630" s="115">
        <f t="shared" si="184"/>
        <v>0</v>
      </c>
      <c r="Z1630" s="115" t="e">
        <f t="shared" si="185"/>
        <v>#VALUE!</v>
      </c>
      <c r="AA1630" s="115">
        <f t="shared" si="186"/>
        <v>0</v>
      </c>
      <c r="AC1630"/>
      <c r="AR1630"/>
    </row>
    <row r="1631" spans="15:44">
      <c r="O1631" s="91"/>
      <c r="X1631" s="115">
        <f t="shared" si="183"/>
        <v>0</v>
      </c>
      <c r="Y1631" s="115">
        <f t="shared" si="184"/>
        <v>0</v>
      </c>
      <c r="Z1631" s="115" t="e">
        <f t="shared" si="185"/>
        <v>#VALUE!</v>
      </c>
      <c r="AA1631" s="115">
        <f t="shared" si="186"/>
        <v>0</v>
      </c>
      <c r="AC1631"/>
      <c r="AR1631"/>
    </row>
    <row r="1632" spans="15:44">
      <c r="O1632" s="91"/>
      <c r="X1632" s="115">
        <f t="shared" si="183"/>
        <v>0</v>
      </c>
      <c r="Y1632" s="115">
        <f t="shared" si="184"/>
        <v>0</v>
      </c>
      <c r="Z1632" s="115" t="e">
        <f t="shared" si="185"/>
        <v>#VALUE!</v>
      </c>
      <c r="AA1632" s="115">
        <f t="shared" si="186"/>
        <v>0</v>
      </c>
      <c r="AC1632"/>
      <c r="AR1632"/>
    </row>
    <row r="1633" spans="15:44">
      <c r="O1633" s="91"/>
      <c r="X1633" s="115">
        <f t="shared" si="183"/>
        <v>0</v>
      </c>
      <c r="Y1633" s="115">
        <f t="shared" si="184"/>
        <v>0</v>
      </c>
      <c r="Z1633" s="115" t="e">
        <f t="shared" si="185"/>
        <v>#VALUE!</v>
      </c>
      <c r="AA1633" s="115">
        <f t="shared" si="186"/>
        <v>0</v>
      </c>
      <c r="AC1633"/>
      <c r="AR1633"/>
    </row>
    <row r="1634" spans="15:44">
      <c r="O1634" s="91"/>
      <c r="X1634" s="115">
        <f t="shared" si="183"/>
        <v>0</v>
      </c>
      <c r="Y1634" s="115">
        <f t="shared" si="184"/>
        <v>0</v>
      </c>
      <c r="Z1634" s="115" t="e">
        <f t="shared" si="185"/>
        <v>#VALUE!</v>
      </c>
      <c r="AA1634" s="115">
        <f t="shared" si="186"/>
        <v>0</v>
      </c>
      <c r="AC1634"/>
      <c r="AR1634"/>
    </row>
    <row r="1635" spans="15:44">
      <c r="O1635" s="91"/>
      <c r="X1635" s="115">
        <f t="shared" si="183"/>
        <v>0</v>
      </c>
      <c r="Y1635" s="115">
        <f t="shared" si="184"/>
        <v>0</v>
      </c>
      <c r="Z1635" s="115" t="e">
        <f t="shared" si="185"/>
        <v>#VALUE!</v>
      </c>
      <c r="AA1635" s="115">
        <f t="shared" si="186"/>
        <v>0</v>
      </c>
      <c r="AC1635"/>
      <c r="AR1635"/>
    </row>
    <row r="1636" spans="15:44">
      <c r="O1636" s="91"/>
      <c r="X1636" s="115">
        <f t="shared" si="183"/>
        <v>0</v>
      </c>
      <c r="Y1636" s="115">
        <f t="shared" si="184"/>
        <v>0</v>
      </c>
      <c r="Z1636" s="115" t="e">
        <f t="shared" si="185"/>
        <v>#VALUE!</v>
      </c>
      <c r="AA1636" s="115">
        <f t="shared" si="186"/>
        <v>0</v>
      </c>
      <c r="AC1636"/>
      <c r="AR1636"/>
    </row>
    <row r="1637" spans="15:44">
      <c r="O1637" s="91"/>
      <c r="X1637" s="115">
        <f t="shared" si="183"/>
        <v>0</v>
      </c>
      <c r="Y1637" s="115">
        <f t="shared" si="184"/>
        <v>0</v>
      </c>
      <c r="Z1637" s="115" t="e">
        <f t="shared" si="185"/>
        <v>#VALUE!</v>
      </c>
      <c r="AA1637" s="115">
        <f t="shared" si="186"/>
        <v>0</v>
      </c>
      <c r="AC1637"/>
      <c r="AR1637"/>
    </row>
    <row r="1638" spans="15:44">
      <c r="O1638" s="91"/>
      <c r="X1638" s="115">
        <f t="shared" si="183"/>
        <v>0</v>
      </c>
      <c r="Y1638" s="115">
        <f t="shared" si="184"/>
        <v>0</v>
      </c>
      <c r="Z1638" s="115" t="e">
        <f t="shared" si="185"/>
        <v>#VALUE!</v>
      </c>
      <c r="AA1638" s="115">
        <f t="shared" si="186"/>
        <v>0</v>
      </c>
      <c r="AC1638"/>
      <c r="AR1638"/>
    </row>
    <row r="1639" spans="15:44">
      <c r="O1639" s="91"/>
      <c r="X1639" s="115">
        <f t="shared" si="183"/>
        <v>0</v>
      </c>
      <c r="Y1639" s="115">
        <f t="shared" si="184"/>
        <v>0</v>
      </c>
      <c r="Z1639" s="115" t="e">
        <f t="shared" si="185"/>
        <v>#VALUE!</v>
      </c>
      <c r="AA1639" s="115">
        <f t="shared" si="186"/>
        <v>0</v>
      </c>
      <c r="AC1639"/>
      <c r="AR1639"/>
    </row>
    <row r="1640" spans="15:44">
      <c r="O1640" s="91"/>
      <c r="X1640" s="115">
        <f t="shared" si="183"/>
        <v>0</v>
      </c>
      <c r="Y1640" s="115">
        <f t="shared" si="184"/>
        <v>0</v>
      </c>
      <c r="Z1640" s="115" t="e">
        <f t="shared" si="185"/>
        <v>#VALUE!</v>
      </c>
      <c r="AA1640" s="115">
        <f t="shared" si="186"/>
        <v>0</v>
      </c>
      <c r="AC1640"/>
      <c r="AR1640"/>
    </row>
    <row r="1641" spans="15:44">
      <c r="O1641" s="91"/>
      <c r="X1641" s="115">
        <f t="shared" si="183"/>
        <v>0</v>
      </c>
      <c r="Y1641" s="115">
        <f t="shared" si="184"/>
        <v>0</v>
      </c>
      <c r="Z1641" s="115" t="e">
        <f t="shared" si="185"/>
        <v>#VALUE!</v>
      </c>
      <c r="AA1641" s="115">
        <f t="shared" si="186"/>
        <v>0</v>
      </c>
      <c r="AC1641"/>
      <c r="AR1641"/>
    </row>
    <row r="1642" spans="15:44">
      <c r="O1642" s="91"/>
      <c r="X1642" s="115">
        <f t="shared" si="183"/>
        <v>0</v>
      </c>
      <c r="Y1642" s="115">
        <f t="shared" si="184"/>
        <v>0</v>
      </c>
      <c r="Z1642" s="115" t="e">
        <f t="shared" si="185"/>
        <v>#VALUE!</v>
      </c>
      <c r="AA1642" s="115">
        <f t="shared" si="186"/>
        <v>0</v>
      </c>
      <c r="AC1642"/>
      <c r="AR1642"/>
    </row>
    <row r="1643" spans="15:44">
      <c r="O1643" s="91"/>
      <c r="X1643" s="115">
        <f t="shared" si="183"/>
        <v>0</v>
      </c>
      <c r="Y1643" s="115">
        <f t="shared" si="184"/>
        <v>0</v>
      </c>
      <c r="Z1643" s="115" t="e">
        <f t="shared" si="185"/>
        <v>#VALUE!</v>
      </c>
      <c r="AA1643" s="115">
        <f t="shared" si="186"/>
        <v>0</v>
      </c>
      <c r="AC1643"/>
      <c r="AR1643"/>
    </row>
    <row r="1644" spans="15:44">
      <c r="O1644" s="91"/>
      <c r="X1644" s="115">
        <f t="shared" si="183"/>
        <v>0</v>
      </c>
      <c r="Y1644" s="115">
        <f t="shared" si="184"/>
        <v>0</v>
      </c>
      <c r="Z1644" s="115" t="e">
        <f t="shared" si="185"/>
        <v>#VALUE!</v>
      </c>
      <c r="AA1644" s="115">
        <f t="shared" si="186"/>
        <v>0</v>
      </c>
      <c r="AC1644"/>
      <c r="AR1644"/>
    </row>
    <row r="1645" spans="15:44">
      <c r="O1645" s="91"/>
      <c r="X1645" s="115">
        <f t="shared" si="183"/>
        <v>0</v>
      </c>
      <c r="Y1645" s="115">
        <f t="shared" si="184"/>
        <v>0</v>
      </c>
      <c r="Z1645" s="115" t="e">
        <f t="shared" si="185"/>
        <v>#VALUE!</v>
      </c>
      <c r="AA1645" s="115">
        <f t="shared" si="186"/>
        <v>0</v>
      </c>
      <c r="AC1645"/>
      <c r="AR1645"/>
    </row>
    <row r="1646" spans="15:44">
      <c r="O1646" s="91"/>
      <c r="X1646" s="115">
        <f t="shared" si="183"/>
        <v>0</v>
      </c>
      <c r="Y1646" s="115">
        <f t="shared" si="184"/>
        <v>0</v>
      </c>
      <c r="Z1646" s="115" t="e">
        <f t="shared" si="185"/>
        <v>#VALUE!</v>
      </c>
      <c r="AA1646" s="115">
        <f t="shared" si="186"/>
        <v>0</v>
      </c>
      <c r="AC1646"/>
      <c r="AR1646"/>
    </row>
    <row r="1647" spans="15:44">
      <c r="O1647" s="91"/>
      <c r="X1647" s="115">
        <f t="shared" si="183"/>
        <v>0</v>
      </c>
      <c r="Y1647" s="115">
        <f t="shared" si="184"/>
        <v>0</v>
      </c>
      <c r="Z1647" s="115" t="e">
        <f t="shared" si="185"/>
        <v>#VALUE!</v>
      </c>
      <c r="AA1647" s="115">
        <f t="shared" si="186"/>
        <v>0</v>
      </c>
      <c r="AC1647"/>
      <c r="AR1647"/>
    </row>
    <row r="1648" spans="15:44">
      <c r="O1648" s="91"/>
      <c r="X1648" s="115">
        <f t="shared" si="183"/>
        <v>0</v>
      </c>
      <c r="Y1648" s="115">
        <f t="shared" si="184"/>
        <v>0</v>
      </c>
      <c r="Z1648" s="115" t="e">
        <f t="shared" si="185"/>
        <v>#VALUE!</v>
      </c>
      <c r="AA1648" s="115">
        <f t="shared" si="186"/>
        <v>0</v>
      </c>
      <c r="AC1648"/>
      <c r="AR1648"/>
    </row>
    <row r="1649" spans="15:44">
      <c r="O1649" s="91"/>
      <c r="X1649" s="115">
        <f t="shared" si="183"/>
        <v>0</v>
      </c>
      <c r="Y1649" s="115">
        <f t="shared" si="184"/>
        <v>0</v>
      </c>
      <c r="Z1649" s="115" t="e">
        <f t="shared" si="185"/>
        <v>#VALUE!</v>
      </c>
      <c r="AA1649" s="115">
        <f t="shared" si="186"/>
        <v>0</v>
      </c>
      <c r="AC1649"/>
      <c r="AR1649"/>
    </row>
    <row r="1650" spans="15:44">
      <c r="O1650" s="91"/>
      <c r="X1650" s="115">
        <f t="shared" si="183"/>
        <v>0</v>
      </c>
      <c r="Y1650" s="115">
        <f t="shared" si="184"/>
        <v>0</v>
      </c>
      <c r="Z1650" s="115" t="e">
        <f t="shared" si="185"/>
        <v>#VALUE!</v>
      </c>
      <c r="AA1650" s="115">
        <f t="shared" si="186"/>
        <v>0</v>
      </c>
      <c r="AC1650"/>
      <c r="AR1650"/>
    </row>
    <row r="1651" spans="15:44">
      <c r="O1651" s="91"/>
      <c r="X1651" s="115">
        <f t="shared" si="183"/>
        <v>0</v>
      </c>
      <c r="Y1651" s="115">
        <f t="shared" si="184"/>
        <v>0</v>
      </c>
      <c r="Z1651" s="115" t="e">
        <f t="shared" si="185"/>
        <v>#VALUE!</v>
      </c>
      <c r="AA1651" s="115">
        <f t="shared" si="186"/>
        <v>0</v>
      </c>
      <c r="AC1651"/>
      <c r="AR1651"/>
    </row>
    <row r="1652" spans="15:44">
      <c r="O1652" s="91"/>
      <c r="X1652" s="115">
        <f t="shared" si="183"/>
        <v>0</v>
      </c>
      <c r="Y1652" s="115">
        <f t="shared" si="184"/>
        <v>0</v>
      </c>
      <c r="Z1652" s="115" t="e">
        <f t="shared" si="185"/>
        <v>#VALUE!</v>
      </c>
      <c r="AA1652" s="115">
        <f t="shared" si="186"/>
        <v>0</v>
      </c>
      <c r="AC1652"/>
      <c r="AR1652"/>
    </row>
    <row r="1653" spans="15:44">
      <c r="O1653" s="91"/>
      <c r="X1653" s="115">
        <f t="shared" si="183"/>
        <v>0</v>
      </c>
      <c r="Y1653" s="115">
        <f t="shared" si="184"/>
        <v>0</v>
      </c>
      <c r="Z1653" s="115" t="e">
        <f t="shared" si="185"/>
        <v>#VALUE!</v>
      </c>
      <c r="AA1653" s="115">
        <f t="shared" si="186"/>
        <v>0</v>
      </c>
      <c r="AC1653"/>
      <c r="AR1653"/>
    </row>
    <row r="1654" spans="15:44">
      <c r="O1654" s="91"/>
      <c r="X1654" s="115">
        <f t="shared" si="183"/>
        <v>0</v>
      </c>
      <c r="Y1654" s="115">
        <f t="shared" si="184"/>
        <v>0</v>
      </c>
      <c r="Z1654" s="115" t="e">
        <f t="shared" si="185"/>
        <v>#VALUE!</v>
      </c>
      <c r="AA1654" s="115">
        <f t="shared" si="186"/>
        <v>0</v>
      </c>
      <c r="AC1654"/>
      <c r="AR1654"/>
    </row>
    <row r="1655" spans="15:44">
      <c r="O1655" s="91"/>
      <c r="X1655" s="115">
        <f t="shared" si="183"/>
        <v>0</v>
      </c>
      <c r="Y1655" s="115">
        <f t="shared" si="184"/>
        <v>0</v>
      </c>
      <c r="Z1655" s="115" t="e">
        <f t="shared" si="185"/>
        <v>#VALUE!</v>
      </c>
      <c r="AA1655" s="115">
        <f t="shared" si="186"/>
        <v>0</v>
      </c>
      <c r="AC1655"/>
      <c r="AR1655"/>
    </row>
    <row r="1656" spans="15:44">
      <c r="O1656" s="91"/>
      <c r="X1656" s="115">
        <f t="shared" si="183"/>
        <v>0</v>
      </c>
      <c r="Y1656" s="115">
        <f t="shared" si="184"/>
        <v>0</v>
      </c>
      <c r="Z1656" s="115" t="e">
        <f t="shared" si="185"/>
        <v>#VALUE!</v>
      </c>
      <c r="AA1656" s="115">
        <f t="shared" si="186"/>
        <v>0</v>
      </c>
      <c r="AC1656"/>
      <c r="AR1656"/>
    </row>
    <row r="1657" spans="15:44">
      <c r="O1657" s="91"/>
      <c r="X1657" s="115">
        <f t="shared" si="183"/>
        <v>0</v>
      </c>
      <c r="Y1657" s="115">
        <f t="shared" si="184"/>
        <v>0</v>
      </c>
      <c r="Z1657" s="115" t="e">
        <f t="shared" si="185"/>
        <v>#VALUE!</v>
      </c>
      <c r="AA1657" s="115">
        <f t="shared" si="186"/>
        <v>0</v>
      </c>
      <c r="AC1657"/>
      <c r="AR1657"/>
    </row>
    <row r="1658" spans="15:44">
      <c r="O1658" s="91"/>
      <c r="X1658" s="115">
        <f t="shared" si="183"/>
        <v>0</v>
      </c>
      <c r="Y1658" s="115">
        <f t="shared" si="184"/>
        <v>0</v>
      </c>
      <c r="Z1658" s="115" t="e">
        <f t="shared" si="185"/>
        <v>#VALUE!</v>
      </c>
      <c r="AA1658" s="115">
        <f t="shared" si="186"/>
        <v>0</v>
      </c>
      <c r="AC1658"/>
      <c r="AR1658"/>
    </row>
    <row r="1659" spans="15:44">
      <c r="O1659" s="91"/>
      <c r="X1659" s="115">
        <f t="shared" si="183"/>
        <v>0</v>
      </c>
      <c r="Y1659" s="115">
        <f t="shared" si="184"/>
        <v>0</v>
      </c>
      <c r="Z1659" s="115" t="e">
        <f t="shared" si="185"/>
        <v>#VALUE!</v>
      </c>
      <c r="AA1659" s="115">
        <f t="shared" si="186"/>
        <v>0</v>
      </c>
      <c r="AC1659"/>
      <c r="AR1659"/>
    </row>
    <row r="1660" spans="15:44">
      <c r="O1660" s="91"/>
      <c r="X1660" s="115">
        <f t="shared" si="183"/>
        <v>0</v>
      </c>
      <c r="Y1660" s="115">
        <f t="shared" si="184"/>
        <v>0</v>
      </c>
      <c r="Z1660" s="115" t="e">
        <f t="shared" si="185"/>
        <v>#VALUE!</v>
      </c>
      <c r="AA1660" s="115">
        <f t="shared" si="186"/>
        <v>0</v>
      </c>
      <c r="AC1660"/>
      <c r="AR1660"/>
    </row>
    <row r="1661" spans="15:44">
      <c r="O1661" s="91"/>
      <c r="X1661" s="115">
        <f t="shared" si="183"/>
        <v>0</v>
      </c>
      <c r="Y1661" s="115">
        <f t="shared" si="184"/>
        <v>0</v>
      </c>
      <c r="Z1661" s="115" t="e">
        <f t="shared" si="185"/>
        <v>#VALUE!</v>
      </c>
      <c r="AA1661" s="115">
        <f t="shared" si="186"/>
        <v>0</v>
      </c>
      <c r="AC1661"/>
      <c r="AR1661"/>
    </row>
    <row r="1662" spans="15:44">
      <c r="O1662" s="91"/>
      <c r="X1662" s="115">
        <f t="shared" si="183"/>
        <v>0</v>
      </c>
      <c r="Y1662" s="115">
        <f t="shared" si="184"/>
        <v>0</v>
      </c>
      <c r="Z1662" s="115" t="e">
        <f t="shared" si="185"/>
        <v>#VALUE!</v>
      </c>
      <c r="AA1662" s="115">
        <f t="shared" si="186"/>
        <v>0</v>
      </c>
      <c r="AC1662"/>
      <c r="AR1662"/>
    </row>
    <row r="1663" spans="15:44">
      <c r="O1663" s="91"/>
      <c r="X1663" s="115">
        <f t="shared" si="183"/>
        <v>0</v>
      </c>
      <c r="Y1663" s="115">
        <f t="shared" si="184"/>
        <v>0</v>
      </c>
      <c r="Z1663" s="115" t="e">
        <f t="shared" si="185"/>
        <v>#VALUE!</v>
      </c>
      <c r="AA1663" s="115">
        <f t="shared" si="186"/>
        <v>0</v>
      </c>
      <c r="AC1663"/>
      <c r="AR1663"/>
    </row>
    <row r="1664" spans="15:44">
      <c r="O1664" s="91"/>
      <c r="X1664" s="115">
        <f t="shared" si="183"/>
        <v>0</v>
      </c>
      <c r="Y1664" s="115">
        <f t="shared" si="184"/>
        <v>0</v>
      </c>
      <c r="Z1664" s="115" t="e">
        <f t="shared" si="185"/>
        <v>#VALUE!</v>
      </c>
      <c r="AA1664" s="115">
        <f t="shared" si="186"/>
        <v>0</v>
      </c>
      <c r="AC1664"/>
      <c r="AR1664"/>
    </row>
    <row r="1665" spans="15:44">
      <c r="O1665" s="91"/>
      <c r="X1665" s="115">
        <f t="shared" si="183"/>
        <v>0</v>
      </c>
      <c r="Y1665" s="115">
        <f t="shared" si="184"/>
        <v>0</v>
      </c>
      <c r="Z1665" s="115" t="e">
        <f t="shared" si="185"/>
        <v>#VALUE!</v>
      </c>
      <c r="AA1665" s="115">
        <f t="shared" si="186"/>
        <v>0</v>
      </c>
      <c r="AC1665"/>
      <c r="AR1665"/>
    </row>
    <row r="1666" spans="15:44">
      <c r="O1666" s="91"/>
      <c r="X1666" s="115">
        <f t="shared" si="183"/>
        <v>0</v>
      </c>
      <c r="Y1666" s="115">
        <f t="shared" si="184"/>
        <v>0</v>
      </c>
      <c r="Z1666" s="115" t="e">
        <f t="shared" si="185"/>
        <v>#VALUE!</v>
      </c>
      <c r="AA1666" s="115">
        <f t="shared" si="186"/>
        <v>0</v>
      </c>
      <c r="AC1666"/>
      <c r="AR1666"/>
    </row>
    <row r="1667" spans="15:44">
      <c r="O1667" s="91"/>
      <c r="X1667" s="115">
        <f t="shared" ref="X1667:X1701" si="187">mapValues(E1667,F1667,"P265")</f>
        <v>0</v>
      </c>
      <c r="Y1667" s="115">
        <f t="shared" ref="Y1667:Y1701" si="188">X1666+X1667</f>
        <v>0</v>
      </c>
      <c r="Z1667" s="115" t="e">
        <f t="shared" ref="Z1667:Z1701" si="189">VALUE(MID(B1667,FIND(" ",B1667)+1,FIND(" ",B1667,FIND(" ",B1667)+1)-FIND(" ",B1667)))</f>
        <v>#VALUE!</v>
      </c>
      <c r="AA1667" s="115">
        <f t="shared" ref="AA1667:AA1701" si="190">T1667/1000</f>
        <v>0</v>
      </c>
      <c r="AC1667"/>
      <c r="AR1667"/>
    </row>
    <row r="1668" spans="15:44">
      <c r="O1668" s="91"/>
      <c r="X1668" s="115">
        <f t="shared" si="187"/>
        <v>0</v>
      </c>
      <c r="Y1668" s="115">
        <f t="shared" si="188"/>
        <v>0</v>
      </c>
      <c r="Z1668" s="115" t="e">
        <f t="shared" si="189"/>
        <v>#VALUE!</v>
      </c>
      <c r="AA1668" s="115">
        <f t="shared" si="190"/>
        <v>0</v>
      </c>
      <c r="AC1668"/>
      <c r="AR1668"/>
    </row>
    <row r="1669" spans="15:44">
      <c r="O1669" s="91"/>
      <c r="X1669" s="115">
        <f t="shared" si="187"/>
        <v>0</v>
      </c>
      <c r="Y1669" s="115">
        <f t="shared" si="188"/>
        <v>0</v>
      </c>
      <c r="Z1669" s="115" t="e">
        <f t="shared" si="189"/>
        <v>#VALUE!</v>
      </c>
      <c r="AA1669" s="115">
        <f t="shared" si="190"/>
        <v>0</v>
      </c>
      <c r="AC1669"/>
      <c r="AR1669"/>
    </row>
    <row r="1670" spans="15:44">
      <c r="O1670" s="91"/>
      <c r="X1670" s="115">
        <f t="shared" si="187"/>
        <v>0</v>
      </c>
      <c r="Y1670" s="115">
        <f t="shared" si="188"/>
        <v>0</v>
      </c>
      <c r="Z1670" s="115" t="e">
        <f t="shared" si="189"/>
        <v>#VALUE!</v>
      </c>
      <c r="AA1670" s="115">
        <f t="shared" si="190"/>
        <v>0</v>
      </c>
      <c r="AC1670"/>
      <c r="AR1670"/>
    </row>
    <row r="1671" spans="15:44">
      <c r="O1671" s="91"/>
      <c r="X1671" s="115">
        <f t="shared" si="187"/>
        <v>0</v>
      </c>
      <c r="Y1671" s="115">
        <f t="shared" si="188"/>
        <v>0</v>
      </c>
      <c r="Z1671" s="115" t="e">
        <f t="shared" si="189"/>
        <v>#VALUE!</v>
      </c>
      <c r="AA1671" s="115">
        <f t="shared" si="190"/>
        <v>0</v>
      </c>
      <c r="AC1671"/>
      <c r="AR1671"/>
    </row>
    <row r="1672" spans="15:44">
      <c r="O1672" s="91"/>
      <c r="X1672" s="115">
        <f t="shared" si="187"/>
        <v>0</v>
      </c>
      <c r="Y1672" s="115">
        <f t="shared" si="188"/>
        <v>0</v>
      </c>
      <c r="Z1672" s="115" t="e">
        <f t="shared" si="189"/>
        <v>#VALUE!</v>
      </c>
      <c r="AA1672" s="115">
        <f t="shared" si="190"/>
        <v>0</v>
      </c>
      <c r="AC1672"/>
      <c r="AR1672"/>
    </row>
    <row r="1673" spans="15:44">
      <c r="O1673" s="91"/>
      <c r="X1673" s="115">
        <f t="shared" si="187"/>
        <v>0</v>
      </c>
      <c r="Y1673" s="115">
        <f t="shared" si="188"/>
        <v>0</v>
      </c>
      <c r="Z1673" s="115" t="e">
        <f t="shared" si="189"/>
        <v>#VALUE!</v>
      </c>
      <c r="AA1673" s="115">
        <f t="shared" si="190"/>
        <v>0</v>
      </c>
      <c r="AC1673"/>
      <c r="AR1673"/>
    </row>
    <row r="1674" spans="15:44">
      <c r="O1674" s="91"/>
      <c r="X1674" s="115">
        <f t="shared" si="187"/>
        <v>0</v>
      </c>
      <c r="Y1674" s="115">
        <f t="shared" si="188"/>
        <v>0</v>
      </c>
      <c r="Z1674" s="115" t="e">
        <f t="shared" si="189"/>
        <v>#VALUE!</v>
      </c>
      <c r="AA1674" s="115">
        <f t="shared" si="190"/>
        <v>0</v>
      </c>
      <c r="AC1674"/>
      <c r="AR1674"/>
    </row>
    <row r="1675" spans="15:44">
      <c r="O1675" s="91"/>
      <c r="X1675" s="115">
        <f t="shared" si="187"/>
        <v>0</v>
      </c>
      <c r="Y1675" s="115">
        <f t="shared" si="188"/>
        <v>0</v>
      </c>
      <c r="Z1675" s="115" t="e">
        <f t="shared" si="189"/>
        <v>#VALUE!</v>
      </c>
      <c r="AA1675" s="115">
        <f t="shared" si="190"/>
        <v>0</v>
      </c>
      <c r="AC1675"/>
      <c r="AR1675"/>
    </row>
    <row r="1676" spans="15:44">
      <c r="O1676" s="91"/>
      <c r="X1676" s="115">
        <f t="shared" si="187"/>
        <v>0</v>
      </c>
      <c r="Y1676" s="115">
        <f t="shared" si="188"/>
        <v>0</v>
      </c>
      <c r="Z1676" s="115" t="e">
        <f t="shared" si="189"/>
        <v>#VALUE!</v>
      </c>
      <c r="AA1676" s="115">
        <f t="shared" si="190"/>
        <v>0</v>
      </c>
      <c r="AC1676"/>
      <c r="AR1676"/>
    </row>
    <row r="1677" spans="15:44">
      <c r="O1677" s="91"/>
      <c r="X1677" s="115">
        <f t="shared" si="187"/>
        <v>0</v>
      </c>
      <c r="Y1677" s="115">
        <f t="shared" si="188"/>
        <v>0</v>
      </c>
      <c r="Z1677" s="115" t="e">
        <f t="shared" si="189"/>
        <v>#VALUE!</v>
      </c>
      <c r="AA1677" s="115">
        <f t="shared" si="190"/>
        <v>0</v>
      </c>
      <c r="AC1677"/>
      <c r="AR1677"/>
    </row>
    <row r="1678" spans="15:44">
      <c r="O1678" s="91"/>
      <c r="X1678" s="115">
        <f t="shared" si="187"/>
        <v>0</v>
      </c>
      <c r="Y1678" s="115">
        <f t="shared" si="188"/>
        <v>0</v>
      </c>
      <c r="Z1678" s="115" t="e">
        <f t="shared" si="189"/>
        <v>#VALUE!</v>
      </c>
      <c r="AA1678" s="115">
        <f t="shared" si="190"/>
        <v>0</v>
      </c>
      <c r="AC1678"/>
      <c r="AR1678"/>
    </row>
    <row r="1679" spans="15:44">
      <c r="O1679" s="91"/>
      <c r="X1679" s="115">
        <f t="shared" si="187"/>
        <v>0</v>
      </c>
      <c r="Y1679" s="115">
        <f t="shared" si="188"/>
        <v>0</v>
      </c>
      <c r="Z1679" s="115" t="e">
        <f t="shared" si="189"/>
        <v>#VALUE!</v>
      </c>
      <c r="AA1679" s="115">
        <f t="shared" si="190"/>
        <v>0</v>
      </c>
      <c r="AC1679"/>
      <c r="AR1679"/>
    </row>
    <row r="1680" spans="15:44">
      <c r="O1680" s="91"/>
      <c r="X1680" s="115">
        <f t="shared" si="187"/>
        <v>0</v>
      </c>
      <c r="Y1680" s="115">
        <f t="shared" si="188"/>
        <v>0</v>
      </c>
      <c r="Z1680" s="115" t="e">
        <f t="shared" si="189"/>
        <v>#VALUE!</v>
      </c>
      <c r="AA1680" s="115">
        <f t="shared" si="190"/>
        <v>0</v>
      </c>
      <c r="AC1680"/>
      <c r="AR1680"/>
    </row>
    <row r="1681" spans="15:44">
      <c r="O1681" s="91"/>
      <c r="X1681" s="115">
        <f t="shared" si="187"/>
        <v>0</v>
      </c>
      <c r="Y1681" s="115">
        <f t="shared" si="188"/>
        <v>0</v>
      </c>
      <c r="Z1681" s="115" t="e">
        <f t="shared" si="189"/>
        <v>#VALUE!</v>
      </c>
      <c r="AA1681" s="115">
        <f t="shared" si="190"/>
        <v>0</v>
      </c>
      <c r="AC1681"/>
      <c r="AR1681"/>
    </row>
    <row r="1682" spans="15:44">
      <c r="O1682" s="91"/>
      <c r="X1682" s="115">
        <f t="shared" si="187"/>
        <v>0</v>
      </c>
      <c r="Y1682" s="115">
        <f t="shared" si="188"/>
        <v>0</v>
      </c>
      <c r="Z1682" s="115" t="e">
        <f t="shared" si="189"/>
        <v>#VALUE!</v>
      </c>
      <c r="AA1682" s="115">
        <f t="shared" si="190"/>
        <v>0</v>
      </c>
      <c r="AC1682"/>
      <c r="AR1682"/>
    </row>
    <row r="1683" spans="15:44">
      <c r="O1683" s="91"/>
      <c r="X1683" s="115">
        <f t="shared" si="187"/>
        <v>0</v>
      </c>
      <c r="Y1683" s="115">
        <f t="shared" si="188"/>
        <v>0</v>
      </c>
      <c r="Z1683" s="115" t="e">
        <f t="shared" si="189"/>
        <v>#VALUE!</v>
      </c>
      <c r="AA1683" s="115">
        <f t="shared" si="190"/>
        <v>0</v>
      </c>
      <c r="AC1683"/>
      <c r="AR1683"/>
    </row>
    <row r="1684" spans="15:44">
      <c r="O1684" s="91"/>
      <c r="X1684" s="115">
        <f t="shared" si="187"/>
        <v>0</v>
      </c>
      <c r="Y1684" s="115">
        <f t="shared" si="188"/>
        <v>0</v>
      </c>
      <c r="Z1684" s="115" t="e">
        <f t="shared" si="189"/>
        <v>#VALUE!</v>
      </c>
      <c r="AA1684" s="115">
        <f t="shared" si="190"/>
        <v>0</v>
      </c>
      <c r="AC1684"/>
      <c r="AR1684"/>
    </row>
    <row r="1685" spans="15:44">
      <c r="O1685" s="91"/>
      <c r="X1685" s="115">
        <f t="shared" si="187"/>
        <v>0</v>
      </c>
      <c r="Y1685" s="115">
        <f t="shared" si="188"/>
        <v>0</v>
      </c>
      <c r="Z1685" s="115" t="e">
        <f t="shared" si="189"/>
        <v>#VALUE!</v>
      </c>
      <c r="AA1685" s="115">
        <f t="shared" si="190"/>
        <v>0</v>
      </c>
      <c r="AC1685"/>
      <c r="AR1685"/>
    </row>
    <row r="1686" spans="15:44">
      <c r="O1686" s="91"/>
      <c r="X1686" s="115">
        <f t="shared" si="187"/>
        <v>0</v>
      </c>
      <c r="Y1686" s="115">
        <f t="shared" si="188"/>
        <v>0</v>
      </c>
      <c r="Z1686" s="115" t="e">
        <f t="shared" si="189"/>
        <v>#VALUE!</v>
      </c>
      <c r="AA1686" s="115">
        <f t="shared" si="190"/>
        <v>0</v>
      </c>
      <c r="AC1686"/>
      <c r="AR1686"/>
    </row>
    <row r="1687" spans="15:44">
      <c r="O1687" s="91"/>
      <c r="X1687" s="115">
        <f t="shared" si="187"/>
        <v>0</v>
      </c>
      <c r="Y1687" s="115">
        <f t="shared" si="188"/>
        <v>0</v>
      </c>
      <c r="Z1687" s="115" t="e">
        <f t="shared" si="189"/>
        <v>#VALUE!</v>
      </c>
      <c r="AA1687" s="115">
        <f t="shared" si="190"/>
        <v>0</v>
      </c>
      <c r="AC1687"/>
      <c r="AR1687"/>
    </row>
    <row r="1688" spans="15:44">
      <c r="O1688" s="91"/>
      <c r="X1688" s="115">
        <f t="shared" si="187"/>
        <v>0</v>
      </c>
      <c r="Y1688" s="115">
        <f t="shared" si="188"/>
        <v>0</v>
      </c>
      <c r="Z1688" s="115" t="e">
        <f t="shared" si="189"/>
        <v>#VALUE!</v>
      </c>
      <c r="AA1688" s="115">
        <f t="shared" si="190"/>
        <v>0</v>
      </c>
      <c r="AC1688"/>
      <c r="AR1688"/>
    </row>
    <row r="1689" spans="15:44">
      <c r="O1689" s="91"/>
      <c r="X1689" s="115">
        <f t="shared" si="187"/>
        <v>0</v>
      </c>
      <c r="Y1689" s="115">
        <f t="shared" si="188"/>
        <v>0</v>
      </c>
      <c r="Z1689" s="115" t="e">
        <f t="shared" si="189"/>
        <v>#VALUE!</v>
      </c>
      <c r="AA1689" s="115">
        <f t="shared" si="190"/>
        <v>0</v>
      </c>
      <c r="AC1689"/>
      <c r="AR1689"/>
    </row>
    <row r="1690" spans="15:44">
      <c r="O1690" s="91"/>
      <c r="X1690" s="115">
        <f t="shared" si="187"/>
        <v>0</v>
      </c>
      <c r="Y1690" s="115">
        <f t="shared" si="188"/>
        <v>0</v>
      </c>
      <c r="Z1690" s="115" t="e">
        <f t="shared" si="189"/>
        <v>#VALUE!</v>
      </c>
      <c r="AA1690" s="115">
        <f t="shared" si="190"/>
        <v>0</v>
      </c>
      <c r="AC1690"/>
      <c r="AR1690"/>
    </row>
    <row r="1691" spans="15:44">
      <c r="O1691" s="91"/>
      <c r="X1691" s="115">
        <f t="shared" si="187"/>
        <v>0</v>
      </c>
      <c r="Y1691" s="115">
        <f t="shared" si="188"/>
        <v>0</v>
      </c>
      <c r="Z1691" s="115" t="e">
        <f t="shared" si="189"/>
        <v>#VALUE!</v>
      </c>
      <c r="AA1691" s="115">
        <f t="shared" si="190"/>
        <v>0</v>
      </c>
      <c r="AC1691"/>
      <c r="AR1691"/>
    </row>
    <row r="1692" spans="15:44">
      <c r="O1692" s="91"/>
      <c r="X1692" s="115">
        <f t="shared" si="187"/>
        <v>0</v>
      </c>
      <c r="Y1692" s="115">
        <f t="shared" si="188"/>
        <v>0</v>
      </c>
      <c r="Z1692" s="115" t="e">
        <f t="shared" si="189"/>
        <v>#VALUE!</v>
      </c>
      <c r="AA1692" s="115">
        <f t="shared" si="190"/>
        <v>0</v>
      </c>
      <c r="AC1692"/>
      <c r="AR1692"/>
    </row>
    <row r="1693" spans="15:44">
      <c r="O1693" s="91"/>
      <c r="X1693" s="115">
        <f t="shared" si="187"/>
        <v>0</v>
      </c>
      <c r="Y1693" s="115">
        <f t="shared" si="188"/>
        <v>0</v>
      </c>
      <c r="Z1693" s="115" t="e">
        <f t="shared" si="189"/>
        <v>#VALUE!</v>
      </c>
      <c r="AA1693" s="115">
        <f t="shared" si="190"/>
        <v>0</v>
      </c>
      <c r="AC1693"/>
      <c r="AR1693"/>
    </row>
    <row r="1694" spans="15:44">
      <c r="O1694" s="91"/>
      <c r="X1694" s="115">
        <f t="shared" si="187"/>
        <v>0</v>
      </c>
      <c r="Y1694" s="115">
        <f t="shared" si="188"/>
        <v>0</v>
      </c>
      <c r="Z1694" s="115" t="e">
        <f t="shared" si="189"/>
        <v>#VALUE!</v>
      </c>
      <c r="AA1694" s="115">
        <f t="shared" si="190"/>
        <v>0</v>
      </c>
      <c r="AC1694"/>
      <c r="AR1694"/>
    </row>
    <row r="1695" spans="15:44">
      <c r="O1695" s="91"/>
      <c r="X1695" s="115">
        <f t="shared" si="187"/>
        <v>0</v>
      </c>
      <c r="Y1695" s="115">
        <f t="shared" si="188"/>
        <v>0</v>
      </c>
      <c r="Z1695" s="115" t="e">
        <f t="shared" si="189"/>
        <v>#VALUE!</v>
      </c>
      <c r="AA1695" s="115">
        <f t="shared" si="190"/>
        <v>0</v>
      </c>
      <c r="AC1695"/>
      <c r="AR1695"/>
    </row>
    <row r="1696" spans="15:44">
      <c r="O1696" s="91"/>
      <c r="X1696" s="115">
        <f t="shared" si="187"/>
        <v>0</v>
      </c>
      <c r="Y1696" s="115">
        <f t="shared" si="188"/>
        <v>0</v>
      </c>
      <c r="Z1696" s="115" t="e">
        <f t="shared" si="189"/>
        <v>#VALUE!</v>
      </c>
      <c r="AA1696" s="115">
        <f t="shared" si="190"/>
        <v>0</v>
      </c>
      <c r="AC1696"/>
      <c r="AR1696"/>
    </row>
    <row r="1697" spans="15:44">
      <c r="O1697" s="91"/>
      <c r="X1697" s="115">
        <f t="shared" si="187"/>
        <v>0</v>
      </c>
      <c r="Y1697" s="115">
        <f t="shared" si="188"/>
        <v>0</v>
      </c>
      <c r="Z1697" s="115" t="e">
        <f t="shared" si="189"/>
        <v>#VALUE!</v>
      </c>
      <c r="AA1697" s="115">
        <f t="shared" si="190"/>
        <v>0</v>
      </c>
      <c r="AC1697"/>
      <c r="AR1697"/>
    </row>
    <row r="1698" spans="15:44">
      <c r="O1698" s="91"/>
      <c r="X1698" s="115">
        <f t="shared" si="187"/>
        <v>0</v>
      </c>
      <c r="Y1698" s="115">
        <f t="shared" si="188"/>
        <v>0</v>
      </c>
      <c r="Z1698" s="115" t="e">
        <f t="shared" si="189"/>
        <v>#VALUE!</v>
      </c>
      <c r="AA1698" s="115">
        <f t="shared" si="190"/>
        <v>0</v>
      </c>
      <c r="AC1698"/>
      <c r="AR1698"/>
    </row>
    <row r="1699" spans="15:44">
      <c r="O1699" s="91"/>
      <c r="X1699" s="115">
        <f t="shared" si="187"/>
        <v>0</v>
      </c>
      <c r="Y1699" s="115">
        <f t="shared" si="188"/>
        <v>0</v>
      </c>
      <c r="Z1699" s="115" t="e">
        <f t="shared" si="189"/>
        <v>#VALUE!</v>
      </c>
      <c r="AA1699" s="115">
        <f t="shared" si="190"/>
        <v>0</v>
      </c>
      <c r="AC1699"/>
      <c r="AR1699"/>
    </row>
    <row r="1700" spans="15:44">
      <c r="O1700" s="91"/>
      <c r="X1700" s="115">
        <f t="shared" si="187"/>
        <v>0</v>
      </c>
      <c r="Y1700" s="115">
        <f t="shared" si="188"/>
        <v>0</v>
      </c>
      <c r="Z1700" s="115" t="e">
        <f t="shared" si="189"/>
        <v>#VALUE!</v>
      </c>
      <c r="AA1700" s="115">
        <f t="shared" si="190"/>
        <v>0</v>
      </c>
      <c r="AC1700"/>
      <c r="AR1700"/>
    </row>
    <row r="1701" spans="15:44">
      <c r="O1701" s="91"/>
      <c r="X1701" s="115">
        <f t="shared" si="187"/>
        <v>0</v>
      </c>
      <c r="Y1701" s="115">
        <f t="shared" si="188"/>
        <v>0</v>
      </c>
      <c r="Z1701" s="115" t="e">
        <f t="shared" si="189"/>
        <v>#VALUE!</v>
      </c>
      <c r="AA1701" s="115">
        <f t="shared" si="190"/>
        <v>0</v>
      </c>
      <c r="AC1701"/>
      <c r="AR1701"/>
    </row>
    <row r="1702" spans="15:44">
      <c r="O1702" s="91"/>
      <c r="X1702"/>
      <c r="Y1702"/>
      <c r="Z1702"/>
      <c r="AA1702"/>
      <c r="AC1702"/>
      <c r="AR1702"/>
    </row>
    <row r="1703" spans="15:44">
      <c r="O1703" s="91"/>
      <c r="X1703"/>
      <c r="Y1703"/>
      <c r="Z1703"/>
      <c r="AA1703"/>
      <c r="AC1703"/>
      <c r="AR1703"/>
    </row>
    <row r="1704" spans="15:44">
      <c r="O1704" s="91"/>
      <c r="X1704"/>
      <c r="Y1704"/>
      <c r="Z1704"/>
      <c r="AA1704"/>
      <c r="AC1704"/>
      <c r="AR1704"/>
    </row>
    <row r="1705" spans="15:44">
      <c r="O1705" s="91"/>
      <c r="X1705"/>
      <c r="Y1705"/>
      <c r="Z1705"/>
      <c r="AA1705"/>
      <c r="AC1705"/>
      <c r="AR1705"/>
    </row>
    <row r="1706" spans="15:44">
      <c r="O1706" s="91"/>
      <c r="X1706"/>
      <c r="Y1706"/>
      <c r="Z1706"/>
      <c r="AA1706"/>
      <c r="AC1706"/>
      <c r="AR1706"/>
    </row>
    <row r="1707" spans="15:44">
      <c r="O1707" s="91"/>
      <c r="X1707"/>
      <c r="Y1707"/>
      <c r="Z1707"/>
      <c r="AA1707"/>
      <c r="AC1707"/>
      <c r="AR1707"/>
    </row>
    <row r="1708" spans="15:44">
      <c r="X1708"/>
      <c r="Y1708"/>
      <c r="Z1708"/>
      <c r="AA1708"/>
      <c r="AC1708"/>
      <c r="AR1708"/>
    </row>
    <row r="1709" spans="15:44">
      <c r="X1709"/>
      <c r="Y1709"/>
      <c r="Z1709"/>
      <c r="AA1709"/>
      <c r="AC1709"/>
      <c r="AR1709"/>
    </row>
    <row r="1710" spans="15:44">
      <c r="X1710"/>
      <c r="Y1710"/>
      <c r="Z1710"/>
      <c r="AA1710"/>
      <c r="AC1710"/>
      <c r="AR1710"/>
    </row>
    <row r="1711" spans="15:44">
      <c r="X1711"/>
      <c r="Y1711"/>
      <c r="Z1711"/>
      <c r="AA1711"/>
      <c r="AC1711"/>
      <c r="AR1711"/>
    </row>
    <row r="1712" spans="15:44">
      <c r="X1712"/>
      <c r="Y1712"/>
      <c r="Z1712"/>
      <c r="AA1712"/>
      <c r="AC1712"/>
      <c r="AR1712"/>
    </row>
    <row r="1713" spans="24:44">
      <c r="X1713"/>
      <c r="Y1713"/>
      <c r="Z1713"/>
      <c r="AA1713"/>
      <c r="AC1713"/>
      <c r="AR1713"/>
    </row>
    <row r="1714" spans="24:44">
      <c r="X1714"/>
      <c r="Y1714"/>
      <c r="Z1714"/>
      <c r="AA1714"/>
      <c r="AC1714"/>
      <c r="AR1714"/>
    </row>
    <row r="1715" spans="24:44">
      <c r="X1715"/>
      <c r="Y1715"/>
      <c r="Z1715"/>
      <c r="AA1715"/>
      <c r="AC1715"/>
      <c r="AR1715"/>
    </row>
    <row r="1716" spans="24:44">
      <c r="X1716"/>
      <c r="Y1716"/>
      <c r="Z1716"/>
      <c r="AA1716"/>
      <c r="AC1716"/>
      <c r="AR1716"/>
    </row>
    <row r="1717" spans="24:44">
      <c r="X1717"/>
      <c r="Y1717"/>
      <c r="Z1717"/>
      <c r="AA1717"/>
      <c r="AC1717"/>
      <c r="AR1717"/>
    </row>
    <row r="1718" spans="24:44">
      <c r="X1718"/>
      <c r="Y1718"/>
      <c r="Z1718"/>
      <c r="AA1718"/>
      <c r="AC1718"/>
      <c r="AR1718"/>
    </row>
    <row r="1719" spans="24:44">
      <c r="X1719"/>
      <c r="Y1719"/>
      <c r="Z1719"/>
      <c r="AA1719"/>
      <c r="AC1719"/>
      <c r="AR1719"/>
    </row>
    <row r="1720" spans="24:44">
      <c r="X1720"/>
      <c r="Y1720"/>
      <c r="Z1720"/>
      <c r="AA1720"/>
      <c r="AC1720"/>
      <c r="AR1720"/>
    </row>
    <row r="1721" spans="24:44">
      <c r="X1721"/>
      <c r="Y1721"/>
      <c r="Z1721"/>
      <c r="AA1721"/>
      <c r="AC1721"/>
      <c r="AR1721"/>
    </row>
    <row r="1722" spans="24:44">
      <c r="X1722"/>
      <c r="Y1722"/>
      <c r="Z1722"/>
      <c r="AA1722"/>
      <c r="AC1722"/>
      <c r="AR1722"/>
    </row>
    <row r="1723" spans="24:44">
      <c r="X1723"/>
      <c r="Y1723"/>
      <c r="Z1723"/>
      <c r="AA1723"/>
      <c r="AC1723"/>
      <c r="AR1723"/>
    </row>
    <row r="1724" spans="24:44">
      <c r="X1724"/>
      <c r="Y1724"/>
      <c r="Z1724"/>
      <c r="AA1724"/>
      <c r="AC1724"/>
      <c r="AR1724"/>
    </row>
    <row r="1725" spans="24:44">
      <c r="X1725"/>
      <c r="Y1725"/>
      <c r="Z1725"/>
      <c r="AA1725"/>
      <c r="AC1725"/>
      <c r="AR1725"/>
    </row>
    <row r="1726" spans="24:44">
      <c r="X1726"/>
      <c r="Y1726"/>
      <c r="Z1726"/>
      <c r="AA1726"/>
      <c r="AC1726"/>
      <c r="AR1726"/>
    </row>
    <row r="1727" spans="24:44">
      <c r="X1727"/>
      <c r="Y1727"/>
      <c r="Z1727"/>
      <c r="AA1727"/>
      <c r="AC1727"/>
      <c r="AR1727"/>
    </row>
    <row r="1728" spans="24:44">
      <c r="X1728"/>
      <c r="Y1728"/>
      <c r="Z1728"/>
      <c r="AA1728"/>
      <c r="AC1728"/>
      <c r="AR1728"/>
    </row>
    <row r="1729" spans="24:44">
      <c r="X1729"/>
      <c r="Y1729"/>
      <c r="Z1729"/>
      <c r="AA1729"/>
      <c r="AC1729"/>
      <c r="AR1729"/>
    </row>
    <row r="1730" spans="24:44">
      <c r="X1730"/>
      <c r="Y1730"/>
      <c r="Z1730"/>
      <c r="AA1730"/>
      <c r="AC1730"/>
      <c r="AR1730"/>
    </row>
    <row r="1731" spans="24:44">
      <c r="X1731"/>
      <c r="Y1731"/>
      <c r="Z1731"/>
      <c r="AA1731"/>
      <c r="AC1731"/>
      <c r="AR1731"/>
    </row>
    <row r="1732" spans="24:44">
      <c r="X1732"/>
      <c r="Y1732"/>
      <c r="Z1732"/>
      <c r="AA1732"/>
      <c r="AC1732"/>
      <c r="AR1732"/>
    </row>
    <row r="1733" spans="24:44">
      <c r="X1733"/>
      <c r="Y1733"/>
      <c r="Z1733"/>
      <c r="AA1733"/>
      <c r="AC1733"/>
      <c r="AR1733"/>
    </row>
    <row r="1734" spans="24:44">
      <c r="X1734"/>
      <c r="Y1734"/>
      <c r="Z1734"/>
      <c r="AA1734"/>
      <c r="AC1734"/>
      <c r="AR1734"/>
    </row>
    <row r="1735" spans="24:44">
      <c r="X1735"/>
      <c r="Y1735"/>
      <c r="Z1735"/>
      <c r="AA1735"/>
      <c r="AC1735"/>
      <c r="AR1735"/>
    </row>
    <row r="1736" spans="24:44">
      <c r="X1736"/>
      <c r="Y1736"/>
      <c r="Z1736"/>
      <c r="AA1736"/>
      <c r="AC1736"/>
      <c r="AR1736"/>
    </row>
    <row r="1737" spans="24:44">
      <c r="X1737"/>
      <c r="Y1737"/>
      <c r="Z1737"/>
      <c r="AA1737"/>
      <c r="AC1737"/>
      <c r="AR1737"/>
    </row>
    <row r="1738" spans="24:44">
      <c r="X1738"/>
      <c r="Y1738"/>
      <c r="Z1738"/>
      <c r="AA1738"/>
      <c r="AC1738"/>
      <c r="AR1738"/>
    </row>
    <row r="1739" spans="24:44">
      <c r="X1739"/>
      <c r="Y1739"/>
      <c r="Z1739"/>
      <c r="AA1739"/>
      <c r="AC1739"/>
      <c r="AR1739"/>
    </row>
    <row r="1740" spans="24:44">
      <c r="X1740"/>
      <c r="Y1740"/>
      <c r="Z1740"/>
      <c r="AA1740"/>
      <c r="AC1740"/>
      <c r="AR1740"/>
    </row>
    <row r="1741" spans="24:44">
      <c r="X1741"/>
      <c r="Y1741"/>
      <c r="Z1741"/>
      <c r="AA1741"/>
      <c r="AC1741"/>
      <c r="AR1741"/>
    </row>
    <row r="1742" spans="24:44">
      <c r="X1742"/>
      <c r="Y1742"/>
      <c r="Z1742"/>
      <c r="AA1742"/>
      <c r="AC1742"/>
      <c r="AR1742"/>
    </row>
    <row r="1743" spans="24:44">
      <c r="X1743"/>
      <c r="Y1743"/>
      <c r="Z1743"/>
      <c r="AA1743"/>
      <c r="AC1743"/>
      <c r="AR1743"/>
    </row>
    <row r="1744" spans="24:44">
      <c r="X1744"/>
      <c r="Y1744"/>
      <c r="Z1744"/>
      <c r="AA1744"/>
      <c r="AC1744"/>
      <c r="AR1744"/>
    </row>
    <row r="1745" spans="24:44">
      <c r="X1745"/>
      <c r="Y1745"/>
      <c r="Z1745"/>
      <c r="AA1745"/>
      <c r="AC1745"/>
      <c r="AR1745"/>
    </row>
    <row r="1746" spans="24:44">
      <c r="X1746"/>
      <c r="Y1746"/>
      <c r="Z1746"/>
      <c r="AA1746"/>
      <c r="AC1746"/>
      <c r="AR1746"/>
    </row>
    <row r="1747" spans="24:44">
      <c r="X1747"/>
      <c r="Y1747"/>
      <c r="Z1747"/>
      <c r="AA1747"/>
      <c r="AC1747"/>
      <c r="AR1747"/>
    </row>
    <row r="1748" spans="24:44">
      <c r="X1748"/>
      <c r="Y1748"/>
      <c r="Z1748"/>
      <c r="AA1748"/>
      <c r="AC1748"/>
      <c r="AR1748"/>
    </row>
    <row r="1749" spans="24:44">
      <c r="X1749"/>
      <c r="Y1749"/>
      <c r="Z1749"/>
      <c r="AA1749"/>
      <c r="AC1749"/>
      <c r="AR1749"/>
    </row>
    <row r="1750" spans="24:44">
      <c r="X1750"/>
      <c r="Y1750"/>
      <c r="Z1750"/>
      <c r="AA1750"/>
      <c r="AC1750"/>
      <c r="AR1750"/>
    </row>
    <row r="1751" spans="24:44">
      <c r="X1751"/>
      <c r="Y1751"/>
      <c r="Z1751"/>
      <c r="AA1751"/>
      <c r="AC1751"/>
      <c r="AR1751"/>
    </row>
    <row r="1752" spans="24:44">
      <c r="X1752"/>
      <c r="Y1752"/>
      <c r="Z1752"/>
      <c r="AA1752"/>
      <c r="AC1752"/>
      <c r="AR1752"/>
    </row>
    <row r="1753" spans="24:44">
      <c r="X1753"/>
      <c r="Y1753"/>
      <c r="Z1753"/>
      <c r="AA1753"/>
      <c r="AC1753"/>
      <c r="AR1753"/>
    </row>
    <row r="1754" spans="24:44">
      <c r="X1754"/>
      <c r="Y1754"/>
      <c r="Z1754"/>
      <c r="AA1754"/>
      <c r="AC1754"/>
      <c r="AR1754"/>
    </row>
    <row r="1755" spans="24:44">
      <c r="X1755"/>
      <c r="Y1755"/>
      <c r="Z1755"/>
      <c r="AA1755"/>
      <c r="AC1755"/>
      <c r="AR1755"/>
    </row>
    <row r="1756" spans="24:44">
      <c r="X1756"/>
      <c r="Y1756"/>
      <c r="Z1756"/>
      <c r="AA1756"/>
      <c r="AC1756"/>
      <c r="AR1756"/>
    </row>
    <row r="1757" spans="24:44">
      <c r="X1757"/>
      <c r="Y1757"/>
      <c r="Z1757"/>
      <c r="AA1757"/>
      <c r="AC1757"/>
      <c r="AR1757"/>
    </row>
    <row r="1758" spans="24:44">
      <c r="X1758"/>
      <c r="Y1758"/>
      <c r="Z1758"/>
      <c r="AA1758"/>
      <c r="AC1758"/>
      <c r="AR1758"/>
    </row>
    <row r="1759" spans="24:44">
      <c r="X1759"/>
      <c r="Y1759"/>
      <c r="Z1759"/>
      <c r="AA1759"/>
      <c r="AC1759"/>
      <c r="AR1759"/>
    </row>
    <row r="1760" spans="24:44">
      <c r="X1760"/>
      <c r="Y1760"/>
      <c r="Z1760"/>
      <c r="AA1760"/>
      <c r="AC1760"/>
      <c r="AR1760"/>
    </row>
    <row r="1761" spans="24:44">
      <c r="X1761"/>
      <c r="Y1761"/>
      <c r="Z1761"/>
      <c r="AA1761"/>
      <c r="AC1761"/>
      <c r="AR1761"/>
    </row>
    <row r="1762" spans="24:44">
      <c r="X1762"/>
      <c r="Y1762"/>
      <c r="Z1762"/>
      <c r="AA1762"/>
      <c r="AC1762"/>
      <c r="AR1762"/>
    </row>
    <row r="1763" spans="24:44">
      <c r="X1763"/>
      <c r="Y1763"/>
      <c r="Z1763"/>
      <c r="AA1763"/>
      <c r="AC1763"/>
      <c r="AR1763"/>
    </row>
    <row r="1764" spans="24:44">
      <c r="X1764"/>
      <c r="Y1764"/>
      <c r="Z1764"/>
      <c r="AA1764"/>
      <c r="AC1764"/>
      <c r="AR1764"/>
    </row>
    <row r="1765" spans="24:44">
      <c r="X1765"/>
      <c r="Y1765"/>
      <c r="Z1765"/>
      <c r="AA1765"/>
      <c r="AC1765"/>
      <c r="AR1765"/>
    </row>
    <row r="1766" spans="24:44">
      <c r="X1766"/>
      <c r="Y1766"/>
      <c r="Z1766"/>
      <c r="AA1766"/>
      <c r="AC1766"/>
      <c r="AR1766"/>
    </row>
    <row r="1767" spans="24:44">
      <c r="X1767"/>
      <c r="Y1767"/>
      <c r="Z1767"/>
      <c r="AA1767"/>
      <c r="AC1767"/>
      <c r="AR1767"/>
    </row>
    <row r="1768" spans="24:44">
      <c r="X1768"/>
      <c r="Y1768"/>
      <c r="Z1768"/>
      <c r="AA1768"/>
      <c r="AC1768"/>
      <c r="AR1768"/>
    </row>
    <row r="1769" spans="24:44">
      <c r="X1769"/>
      <c r="Y1769"/>
      <c r="Z1769"/>
      <c r="AA1769"/>
      <c r="AC1769"/>
      <c r="AR1769"/>
    </row>
    <row r="1770" spans="24:44">
      <c r="X1770"/>
      <c r="Y1770"/>
      <c r="Z1770"/>
      <c r="AA1770"/>
      <c r="AC1770"/>
      <c r="AR1770"/>
    </row>
    <row r="1771" spans="24:44">
      <c r="X1771"/>
      <c r="Y1771"/>
      <c r="Z1771"/>
      <c r="AA1771"/>
      <c r="AC1771"/>
      <c r="AR1771"/>
    </row>
    <row r="1772" spans="24:44">
      <c r="X1772"/>
      <c r="Y1772"/>
      <c r="Z1772"/>
      <c r="AA1772"/>
      <c r="AC1772"/>
      <c r="AR1772"/>
    </row>
    <row r="1773" spans="24:44">
      <c r="X1773"/>
      <c r="Y1773"/>
      <c r="Z1773"/>
      <c r="AA1773"/>
      <c r="AC1773"/>
      <c r="AR1773"/>
    </row>
    <row r="1774" spans="24:44">
      <c r="X1774"/>
      <c r="Y1774"/>
      <c r="Z1774"/>
      <c r="AA1774"/>
      <c r="AC1774"/>
      <c r="AR1774"/>
    </row>
    <row r="1775" spans="24:44">
      <c r="X1775"/>
      <c r="Y1775"/>
      <c r="Z1775"/>
      <c r="AA1775"/>
      <c r="AC1775"/>
      <c r="AR1775"/>
    </row>
    <row r="1776" spans="24:44">
      <c r="X1776"/>
      <c r="Y1776"/>
      <c r="Z1776"/>
      <c r="AA1776"/>
      <c r="AC1776"/>
      <c r="AR1776"/>
    </row>
    <row r="1777" spans="24:44">
      <c r="X1777"/>
      <c r="Y1777"/>
      <c r="Z1777"/>
      <c r="AA1777"/>
      <c r="AC1777"/>
      <c r="AR1777"/>
    </row>
    <row r="1778" spans="24:44">
      <c r="X1778"/>
      <c r="Y1778"/>
      <c r="Z1778"/>
      <c r="AA1778"/>
      <c r="AC1778"/>
      <c r="AR1778"/>
    </row>
    <row r="1779" spans="24:44">
      <c r="X1779"/>
      <c r="Y1779"/>
      <c r="Z1779"/>
      <c r="AA1779"/>
      <c r="AC1779"/>
      <c r="AR1779"/>
    </row>
    <row r="1780" spans="24:44">
      <c r="X1780"/>
      <c r="Y1780"/>
      <c r="Z1780"/>
      <c r="AA1780"/>
      <c r="AC1780"/>
      <c r="AR1780"/>
    </row>
    <row r="1781" spans="24:44">
      <c r="X1781"/>
      <c r="Y1781"/>
      <c r="Z1781"/>
      <c r="AA1781"/>
      <c r="AC1781"/>
      <c r="AR1781"/>
    </row>
    <row r="1782" spans="24:44">
      <c r="X1782"/>
      <c r="Y1782"/>
      <c r="Z1782"/>
      <c r="AA1782"/>
      <c r="AC1782"/>
      <c r="AR1782"/>
    </row>
    <row r="1783" spans="24:44">
      <c r="X1783"/>
      <c r="Y1783"/>
      <c r="Z1783"/>
      <c r="AA1783"/>
      <c r="AC1783"/>
      <c r="AR1783"/>
    </row>
    <row r="1784" spans="24:44">
      <c r="X1784"/>
      <c r="Y1784"/>
      <c r="Z1784"/>
      <c r="AA1784"/>
      <c r="AC1784"/>
      <c r="AR1784"/>
    </row>
    <row r="1785" spans="24:44">
      <c r="X1785"/>
      <c r="Y1785"/>
      <c r="Z1785"/>
      <c r="AA1785"/>
      <c r="AC1785"/>
      <c r="AR1785"/>
    </row>
    <row r="1786" spans="24:44">
      <c r="X1786"/>
      <c r="Y1786"/>
      <c r="Z1786"/>
      <c r="AA1786"/>
      <c r="AC1786"/>
      <c r="AR1786"/>
    </row>
    <row r="1787" spans="24:44">
      <c r="X1787"/>
      <c r="Y1787"/>
      <c r="Z1787"/>
      <c r="AA1787"/>
      <c r="AC1787"/>
      <c r="AR1787"/>
    </row>
    <row r="1788" spans="24:44">
      <c r="X1788"/>
      <c r="Y1788"/>
      <c r="Z1788"/>
      <c r="AA1788"/>
      <c r="AC1788"/>
      <c r="AR1788"/>
    </row>
    <row r="1789" spans="24:44">
      <c r="X1789"/>
      <c r="Y1789"/>
      <c r="Z1789"/>
      <c r="AA1789"/>
      <c r="AC1789"/>
      <c r="AR1789"/>
    </row>
    <row r="1790" spans="24:44">
      <c r="X1790"/>
      <c r="Y1790"/>
      <c r="Z1790"/>
      <c r="AA1790"/>
      <c r="AC1790"/>
      <c r="AR1790"/>
    </row>
    <row r="1791" spans="24:44">
      <c r="X1791"/>
      <c r="Y1791"/>
      <c r="Z1791"/>
      <c r="AA1791"/>
      <c r="AC1791"/>
      <c r="AR1791"/>
    </row>
    <row r="1792" spans="24:44">
      <c r="X1792"/>
      <c r="Y1792"/>
      <c r="Z1792"/>
      <c r="AA1792"/>
      <c r="AC1792"/>
      <c r="AR1792"/>
    </row>
    <row r="1793" spans="24:44">
      <c r="X1793"/>
      <c r="Y1793"/>
      <c r="Z1793"/>
      <c r="AA1793"/>
      <c r="AC1793"/>
      <c r="AR1793"/>
    </row>
    <row r="1794" spans="24:44">
      <c r="X1794"/>
      <c r="Y1794"/>
      <c r="Z1794"/>
      <c r="AA1794"/>
      <c r="AC1794"/>
      <c r="AR1794"/>
    </row>
    <row r="1795" spans="24:44">
      <c r="X1795"/>
      <c r="Y1795"/>
      <c r="Z1795"/>
      <c r="AA1795"/>
      <c r="AC1795"/>
      <c r="AR1795"/>
    </row>
    <row r="1796" spans="24:44">
      <c r="X1796"/>
      <c r="Y1796"/>
      <c r="Z1796"/>
      <c r="AA1796"/>
      <c r="AC1796"/>
      <c r="AR1796"/>
    </row>
    <row r="1797" spans="24:44">
      <c r="X1797"/>
      <c r="Y1797"/>
      <c r="Z1797"/>
      <c r="AA1797"/>
      <c r="AC1797"/>
      <c r="AR1797"/>
    </row>
    <row r="1798" spans="24:44">
      <c r="X1798"/>
      <c r="Y1798"/>
      <c r="Z1798"/>
      <c r="AA1798"/>
      <c r="AC1798"/>
      <c r="AR1798"/>
    </row>
    <row r="1799" spans="24:44">
      <c r="X1799"/>
      <c r="Y1799"/>
      <c r="Z1799"/>
      <c r="AA1799"/>
      <c r="AC1799"/>
      <c r="AR1799"/>
    </row>
    <row r="1800" spans="24:44">
      <c r="X1800"/>
      <c r="Y1800"/>
      <c r="Z1800"/>
      <c r="AA1800"/>
      <c r="AC1800"/>
      <c r="AR1800"/>
    </row>
    <row r="1801" spans="24:44">
      <c r="X1801"/>
      <c r="Y1801"/>
      <c r="Z1801"/>
      <c r="AA1801"/>
      <c r="AC1801"/>
      <c r="AR1801"/>
    </row>
    <row r="1802" spans="24:44">
      <c r="X1802"/>
      <c r="Y1802"/>
      <c r="Z1802"/>
      <c r="AA1802"/>
      <c r="AC1802"/>
      <c r="AR1802"/>
    </row>
    <row r="1803" spans="24:44">
      <c r="X1803"/>
      <c r="Y1803"/>
      <c r="Z1803"/>
      <c r="AA1803"/>
      <c r="AC1803"/>
      <c r="AR1803"/>
    </row>
    <row r="1804" spans="24:44">
      <c r="X1804"/>
      <c r="Y1804"/>
      <c r="Z1804"/>
      <c r="AA1804"/>
      <c r="AC1804"/>
      <c r="AR1804"/>
    </row>
    <row r="1805" spans="24:44">
      <c r="X1805"/>
      <c r="Y1805"/>
      <c r="Z1805"/>
      <c r="AA1805"/>
      <c r="AC1805"/>
      <c r="AR1805"/>
    </row>
    <row r="1806" spans="24:44">
      <c r="X1806"/>
      <c r="Y1806"/>
      <c r="Z1806"/>
      <c r="AA1806"/>
      <c r="AC1806"/>
      <c r="AR1806"/>
    </row>
    <row r="1807" spans="24:44">
      <c r="X1807"/>
      <c r="Y1807"/>
      <c r="Z1807"/>
      <c r="AA1807"/>
      <c r="AC1807"/>
      <c r="AR1807"/>
    </row>
    <row r="1808" spans="24:44">
      <c r="X1808"/>
      <c r="Y1808"/>
      <c r="Z1808"/>
      <c r="AA1808"/>
      <c r="AC1808"/>
      <c r="AR1808"/>
    </row>
    <row r="1809" spans="24:44">
      <c r="X1809"/>
      <c r="Y1809"/>
      <c r="Z1809"/>
      <c r="AA1809"/>
      <c r="AC1809"/>
      <c r="AR1809"/>
    </row>
    <row r="1810" spans="24:44">
      <c r="X1810"/>
      <c r="Y1810"/>
      <c r="Z1810"/>
      <c r="AA1810"/>
      <c r="AC1810"/>
      <c r="AR1810"/>
    </row>
    <row r="1811" spans="24:44">
      <c r="X1811"/>
      <c r="Y1811"/>
      <c r="Z1811"/>
      <c r="AA1811"/>
      <c r="AC1811"/>
      <c r="AR1811"/>
    </row>
    <row r="1812" spans="24:44">
      <c r="X1812"/>
      <c r="Y1812"/>
      <c r="Z1812"/>
      <c r="AA1812"/>
      <c r="AC1812"/>
      <c r="AR1812"/>
    </row>
    <row r="1813" spans="24:44">
      <c r="X1813"/>
      <c r="Y1813"/>
      <c r="Z1813"/>
      <c r="AA1813"/>
      <c r="AC1813"/>
      <c r="AR1813"/>
    </row>
    <row r="1814" spans="24:44">
      <c r="X1814"/>
      <c r="Y1814"/>
      <c r="Z1814"/>
      <c r="AA1814"/>
      <c r="AC1814"/>
      <c r="AR1814"/>
    </row>
    <row r="1815" spans="24:44">
      <c r="X1815"/>
      <c r="Y1815"/>
      <c r="Z1815"/>
      <c r="AA1815"/>
      <c r="AC1815"/>
      <c r="AR1815"/>
    </row>
    <row r="1816" spans="24:44">
      <c r="X1816"/>
      <c r="Y1816"/>
      <c r="Z1816"/>
      <c r="AA1816"/>
      <c r="AC1816"/>
      <c r="AR1816"/>
    </row>
    <row r="1817" spans="24:44">
      <c r="X1817"/>
      <c r="Y1817"/>
      <c r="Z1817"/>
      <c r="AA1817"/>
      <c r="AC1817"/>
      <c r="AR1817"/>
    </row>
    <row r="1818" spans="24:44">
      <c r="X1818"/>
      <c r="Y1818"/>
      <c r="Z1818"/>
      <c r="AA1818"/>
      <c r="AC1818"/>
      <c r="AR1818"/>
    </row>
    <row r="1819" spans="24:44">
      <c r="X1819"/>
      <c r="Y1819"/>
      <c r="Z1819"/>
      <c r="AA1819"/>
      <c r="AC1819"/>
      <c r="AR1819"/>
    </row>
    <row r="1820" spans="24:44">
      <c r="X1820"/>
      <c r="Y1820"/>
      <c r="Z1820"/>
      <c r="AA1820"/>
      <c r="AC1820"/>
      <c r="AR1820"/>
    </row>
    <row r="1821" spans="24:44">
      <c r="X1821"/>
      <c r="Y1821"/>
      <c r="Z1821"/>
      <c r="AA1821"/>
      <c r="AC1821"/>
      <c r="AR1821"/>
    </row>
    <row r="1822" spans="24:44">
      <c r="X1822"/>
      <c r="Y1822"/>
      <c r="Z1822"/>
      <c r="AA1822"/>
      <c r="AC1822"/>
      <c r="AR1822"/>
    </row>
    <row r="1823" spans="24:44">
      <c r="X1823"/>
      <c r="Y1823"/>
      <c r="Z1823"/>
      <c r="AA1823"/>
      <c r="AC1823"/>
      <c r="AR1823"/>
    </row>
    <row r="1824" spans="24:44">
      <c r="X1824"/>
      <c r="Y1824"/>
      <c r="Z1824"/>
      <c r="AA1824"/>
      <c r="AC1824"/>
      <c r="AR1824"/>
    </row>
    <row r="1825" spans="24:44">
      <c r="X1825"/>
      <c r="Y1825"/>
      <c r="Z1825"/>
      <c r="AA1825"/>
      <c r="AC1825"/>
      <c r="AR1825"/>
    </row>
    <row r="1826" spans="24:44">
      <c r="X1826"/>
      <c r="Y1826"/>
      <c r="Z1826"/>
      <c r="AA1826"/>
      <c r="AC1826"/>
      <c r="AR1826"/>
    </row>
    <row r="1827" spans="24:44">
      <c r="X1827"/>
      <c r="Y1827"/>
      <c r="Z1827"/>
      <c r="AA1827"/>
      <c r="AC1827"/>
      <c r="AR1827"/>
    </row>
    <row r="1828" spans="24:44">
      <c r="X1828"/>
      <c r="Y1828"/>
      <c r="Z1828"/>
      <c r="AA1828"/>
      <c r="AC1828"/>
      <c r="AR1828"/>
    </row>
    <row r="1829" spans="24:44">
      <c r="X1829"/>
      <c r="Y1829"/>
      <c r="Z1829"/>
      <c r="AA1829"/>
      <c r="AC1829"/>
      <c r="AR1829"/>
    </row>
    <row r="1830" spans="24:44">
      <c r="X1830"/>
      <c r="Y1830"/>
      <c r="Z1830"/>
      <c r="AA1830"/>
      <c r="AC1830"/>
      <c r="AR1830"/>
    </row>
    <row r="1831" spans="24:44">
      <c r="X1831"/>
      <c r="Y1831"/>
      <c r="Z1831"/>
      <c r="AA1831"/>
      <c r="AC1831"/>
      <c r="AR1831"/>
    </row>
    <row r="1832" spans="24:44">
      <c r="X1832"/>
      <c r="Y1832"/>
      <c r="Z1832"/>
      <c r="AA1832"/>
      <c r="AC1832"/>
      <c r="AR1832"/>
    </row>
    <row r="1833" spans="24:44">
      <c r="X1833"/>
      <c r="Y1833"/>
      <c r="Z1833"/>
      <c r="AA1833"/>
      <c r="AC1833"/>
      <c r="AR1833"/>
    </row>
    <row r="1834" spans="24:44">
      <c r="X1834"/>
      <c r="Y1834"/>
      <c r="Z1834"/>
      <c r="AA1834"/>
      <c r="AC1834"/>
      <c r="AR1834"/>
    </row>
    <row r="1835" spans="24:44">
      <c r="X1835"/>
      <c r="Y1835"/>
      <c r="Z1835"/>
      <c r="AA1835"/>
      <c r="AC1835"/>
      <c r="AR1835"/>
    </row>
    <row r="1836" spans="24:44">
      <c r="X1836"/>
      <c r="Y1836"/>
      <c r="Z1836"/>
      <c r="AA1836"/>
      <c r="AC1836"/>
      <c r="AR1836"/>
    </row>
    <row r="1837" spans="24:44">
      <c r="X1837"/>
      <c r="Y1837"/>
      <c r="Z1837"/>
      <c r="AA1837"/>
      <c r="AC1837"/>
      <c r="AR1837"/>
    </row>
    <row r="1838" spans="24:44">
      <c r="X1838"/>
      <c r="Y1838"/>
      <c r="Z1838"/>
      <c r="AA1838"/>
      <c r="AC1838"/>
      <c r="AR1838"/>
    </row>
    <row r="1839" spans="24:44">
      <c r="X1839"/>
      <c r="Y1839"/>
      <c r="Z1839"/>
      <c r="AA1839"/>
      <c r="AC1839"/>
      <c r="AR1839"/>
    </row>
    <row r="1840" spans="24:44">
      <c r="X1840"/>
      <c r="Y1840"/>
      <c r="Z1840"/>
      <c r="AA1840"/>
      <c r="AC1840"/>
      <c r="AR1840"/>
    </row>
    <row r="1841" spans="24:44">
      <c r="X1841"/>
      <c r="Y1841"/>
      <c r="Z1841"/>
      <c r="AA1841"/>
      <c r="AC1841"/>
      <c r="AR1841"/>
    </row>
    <row r="1842" spans="24:44">
      <c r="X1842"/>
      <c r="Y1842"/>
      <c r="Z1842"/>
      <c r="AA1842"/>
      <c r="AC1842"/>
      <c r="AR1842"/>
    </row>
    <row r="1843" spans="24:44">
      <c r="X1843"/>
      <c r="Y1843"/>
      <c r="Z1843"/>
      <c r="AA1843"/>
      <c r="AC1843"/>
      <c r="AR1843"/>
    </row>
    <row r="1844" spans="24:44">
      <c r="X1844"/>
      <c r="Y1844"/>
      <c r="Z1844"/>
      <c r="AA1844"/>
      <c r="AC1844"/>
      <c r="AR1844"/>
    </row>
    <row r="1845" spans="24:44">
      <c r="X1845"/>
      <c r="Y1845"/>
      <c r="Z1845"/>
      <c r="AA1845"/>
      <c r="AC1845"/>
      <c r="AR1845"/>
    </row>
    <row r="1846" spans="24:44">
      <c r="X1846"/>
      <c r="Y1846"/>
      <c r="Z1846"/>
      <c r="AA1846"/>
      <c r="AC1846"/>
      <c r="AR1846"/>
    </row>
    <row r="1847" spans="24:44">
      <c r="X1847"/>
      <c r="Y1847"/>
      <c r="Z1847"/>
      <c r="AA1847"/>
      <c r="AC1847"/>
      <c r="AR1847"/>
    </row>
    <row r="1848" spans="24:44">
      <c r="X1848"/>
      <c r="Y1848"/>
      <c r="Z1848"/>
      <c r="AA1848"/>
      <c r="AC1848"/>
      <c r="AR1848"/>
    </row>
    <row r="1849" spans="24:44">
      <c r="X1849"/>
      <c r="Y1849"/>
      <c r="Z1849"/>
      <c r="AA1849"/>
      <c r="AC1849"/>
      <c r="AR1849"/>
    </row>
    <row r="1850" spans="24:44">
      <c r="X1850"/>
      <c r="Y1850"/>
      <c r="Z1850"/>
      <c r="AA1850"/>
      <c r="AC1850"/>
      <c r="AR1850"/>
    </row>
    <row r="1851" spans="24:44">
      <c r="X1851"/>
      <c r="Y1851"/>
      <c r="Z1851"/>
      <c r="AA1851"/>
      <c r="AC1851"/>
      <c r="AR1851"/>
    </row>
    <row r="1852" spans="24:44">
      <c r="X1852"/>
      <c r="Y1852"/>
      <c r="Z1852"/>
      <c r="AA1852"/>
      <c r="AC1852"/>
      <c r="AR1852"/>
    </row>
    <row r="1853" spans="24:44">
      <c r="X1853"/>
      <c r="Y1853"/>
      <c r="Z1853"/>
      <c r="AA1853"/>
      <c r="AC1853"/>
      <c r="AR1853"/>
    </row>
    <row r="1854" spans="24:44">
      <c r="X1854"/>
      <c r="Y1854"/>
      <c r="Z1854"/>
      <c r="AA1854"/>
      <c r="AC1854"/>
      <c r="AR1854"/>
    </row>
    <row r="1855" spans="24:44">
      <c r="X1855"/>
      <c r="Y1855"/>
      <c r="Z1855"/>
      <c r="AA1855"/>
      <c r="AC1855"/>
      <c r="AR1855"/>
    </row>
    <row r="1856" spans="24:44">
      <c r="X1856"/>
      <c r="Y1856"/>
      <c r="Z1856"/>
      <c r="AA1856"/>
      <c r="AC1856"/>
      <c r="AR1856"/>
    </row>
    <row r="1857" spans="24:44">
      <c r="X1857"/>
      <c r="Y1857"/>
      <c r="Z1857"/>
      <c r="AA1857"/>
      <c r="AC1857"/>
      <c r="AR1857"/>
    </row>
    <row r="1858" spans="24:44">
      <c r="X1858"/>
      <c r="Y1858"/>
      <c r="Z1858"/>
      <c r="AA1858"/>
      <c r="AC1858"/>
      <c r="AR1858"/>
    </row>
    <row r="1859" spans="24:44">
      <c r="X1859"/>
      <c r="Y1859"/>
      <c r="Z1859"/>
      <c r="AA1859"/>
      <c r="AC1859"/>
      <c r="AR1859"/>
    </row>
    <row r="1860" spans="24:44">
      <c r="X1860"/>
      <c r="Y1860"/>
      <c r="Z1860"/>
      <c r="AA1860"/>
      <c r="AC1860"/>
      <c r="AR1860"/>
    </row>
    <row r="1861" spans="24:44">
      <c r="X1861"/>
      <c r="Y1861"/>
      <c r="Z1861"/>
      <c r="AA1861"/>
      <c r="AC1861"/>
      <c r="AR1861"/>
    </row>
    <row r="1862" spans="24:44">
      <c r="X1862"/>
      <c r="Y1862"/>
      <c r="Z1862"/>
      <c r="AA1862"/>
      <c r="AC1862"/>
      <c r="AR1862"/>
    </row>
    <row r="1863" spans="24:44">
      <c r="X1863"/>
      <c r="Y1863"/>
      <c r="Z1863"/>
      <c r="AA1863"/>
      <c r="AC1863"/>
      <c r="AR1863"/>
    </row>
    <row r="1864" spans="24:44">
      <c r="X1864"/>
      <c r="Y1864"/>
      <c r="Z1864"/>
      <c r="AA1864"/>
      <c r="AC1864"/>
      <c r="AR1864"/>
    </row>
    <row r="1865" spans="24:44">
      <c r="X1865"/>
      <c r="Y1865"/>
      <c r="Z1865"/>
      <c r="AA1865"/>
      <c r="AC1865"/>
      <c r="AR1865"/>
    </row>
    <row r="1866" spans="24:44">
      <c r="X1866"/>
      <c r="Y1866"/>
      <c r="Z1866"/>
      <c r="AA1866"/>
      <c r="AC1866"/>
      <c r="AR1866"/>
    </row>
    <row r="1867" spans="24:44">
      <c r="X1867"/>
      <c r="Y1867"/>
      <c r="Z1867"/>
      <c r="AA1867"/>
      <c r="AC1867"/>
      <c r="AR1867"/>
    </row>
    <row r="1868" spans="24:44">
      <c r="X1868"/>
      <c r="Y1868"/>
      <c r="Z1868"/>
      <c r="AA1868"/>
      <c r="AC1868"/>
      <c r="AR1868"/>
    </row>
    <row r="1869" spans="24:44">
      <c r="X1869"/>
      <c r="Y1869"/>
      <c r="Z1869"/>
      <c r="AA1869"/>
      <c r="AC1869"/>
      <c r="AR1869"/>
    </row>
    <row r="1870" spans="24:44">
      <c r="X1870"/>
      <c r="Y1870"/>
      <c r="Z1870"/>
      <c r="AA1870"/>
      <c r="AC1870"/>
      <c r="AR1870"/>
    </row>
    <row r="1871" spans="24:44">
      <c r="X1871"/>
      <c r="Y1871"/>
      <c r="Z1871"/>
      <c r="AA1871"/>
      <c r="AC1871"/>
      <c r="AR1871"/>
    </row>
    <row r="1872" spans="24:44">
      <c r="X1872"/>
      <c r="Y1872"/>
      <c r="Z1872"/>
      <c r="AA1872"/>
      <c r="AC1872"/>
      <c r="AR1872"/>
    </row>
    <row r="1873" spans="24:44">
      <c r="X1873"/>
      <c r="Y1873"/>
      <c r="Z1873"/>
      <c r="AA1873"/>
      <c r="AC1873"/>
      <c r="AR1873"/>
    </row>
    <row r="1874" spans="24:44">
      <c r="X1874"/>
      <c r="Y1874"/>
      <c r="Z1874"/>
      <c r="AA1874"/>
      <c r="AC1874"/>
      <c r="AR1874"/>
    </row>
    <row r="1875" spans="24:44">
      <c r="X1875"/>
      <c r="Y1875"/>
      <c r="Z1875"/>
      <c r="AA1875"/>
      <c r="AC1875"/>
      <c r="AR1875"/>
    </row>
    <row r="1876" spans="24:44">
      <c r="X1876"/>
      <c r="Y1876"/>
      <c r="Z1876"/>
      <c r="AA1876"/>
      <c r="AC1876"/>
      <c r="AR1876"/>
    </row>
    <row r="1877" spans="24:44">
      <c r="X1877"/>
      <c r="Y1877"/>
      <c r="Z1877"/>
      <c r="AA1877"/>
      <c r="AC1877"/>
      <c r="AR1877"/>
    </row>
    <row r="1878" spans="24:44">
      <c r="X1878"/>
      <c r="Y1878"/>
      <c r="Z1878"/>
      <c r="AA1878"/>
      <c r="AC1878"/>
      <c r="AR1878"/>
    </row>
    <row r="1879" spans="24:44">
      <c r="X1879"/>
      <c r="Y1879"/>
      <c r="Z1879"/>
      <c r="AA1879"/>
      <c r="AC1879"/>
      <c r="AR1879"/>
    </row>
    <row r="1880" spans="24:44">
      <c r="X1880"/>
      <c r="Y1880"/>
      <c r="Z1880"/>
      <c r="AA1880"/>
      <c r="AC1880"/>
      <c r="AR1880"/>
    </row>
    <row r="1881" spans="24:44">
      <c r="X1881"/>
      <c r="Y1881"/>
      <c r="Z1881"/>
      <c r="AA1881"/>
      <c r="AC1881"/>
      <c r="AR1881"/>
    </row>
    <row r="1882" spans="24:44">
      <c r="X1882"/>
      <c r="Y1882"/>
      <c r="Z1882"/>
      <c r="AA1882"/>
      <c r="AC1882"/>
      <c r="AR1882"/>
    </row>
    <row r="1883" spans="24:44">
      <c r="X1883"/>
      <c r="Y1883"/>
      <c r="Z1883"/>
      <c r="AA1883"/>
      <c r="AC1883"/>
      <c r="AR1883"/>
    </row>
    <row r="1884" spans="24:44">
      <c r="X1884"/>
      <c r="Y1884"/>
      <c r="Z1884"/>
      <c r="AA1884"/>
      <c r="AC1884"/>
      <c r="AR1884"/>
    </row>
    <row r="1885" spans="24:44">
      <c r="X1885"/>
      <c r="Y1885"/>
      <c r="Z1885"/>
      <c r="AA1885"/>
      <c r="AC1885"/>
      <c r="AR1885"/>
    </row>
    <row r="1886" spans="24:44">
      <c r="X1886"/>
      <c r="Y1886"/>
      <c r="Z1886"/>
      <c r="AA1886"/>
      <c r="AC1886"/>
      <c r="AR1886"/>
    </row>
    <row r="1887" spans="24:44">
      <c r="X1887"/>
      <c r="Y1887"/>
      <c r="Z1887"/>
      <c r="AA1887"/>
      <c r="AC1887"/>
      <c r="AR1887"/>
    </row>
    <row r="1888" spans="24:44">
      <c r="X1888"/>
      <c r="Y1888"/>
      <c r="Z1888"/>
      <c r="AA1888"/>
      <c r="AC1888"/>
      <c r="AR1888"/>
    </row>
    <row r="1889" spans="24:44">
      <c r="X1889"/>
      <c r="Y1889"/>
      <c r="Z1889"/>
      <c r="AA1889"/>
      <c r="AC1889"/>
      <c r="AR1889"/>
    </row>
    <row r="1890" spans="24:44">
      <c r="X1890"/>
      <c r="Y1890"/>
      <c r="Z1890"/>
      <c r="AA1890"/>
      <c r="AC1890"/>
      <c r="AR1890"/>
    </row>
    <row r="1891" spans="24:44">
      <c r="X1891"/>
      <c r="Y1891"/>
      <c r="Z1891"/>
      <c r="AA1891"/>
      <c r="AC1891"/>
      <c r="AR1891"/>
    </row>
    <row r="1892" spans="24:44">
      <c r="X1892"/>
      <c r="Y1892"/>
      <c r="Z1892"/>
      <c r="AA1892"/>
      <c r="AC1892"/>
      <c r="AR1892"/>
    </row>
    <row r="1893" spans="24:44">
      <c r="X1893"/>
      <c r="Y1893"/>
      <c r="Z1893"/>
      <c r="AA1893"/>
      <c r="AC1893"/>
      <c r="AR1893"/>
    </row>
    <row r="1894" spans="24:44">
      <c r="X1894"/>
      <c r="Y1894"/>
      <c r="Z1894"/>
      <c r="AA1894"/>
      <c r="AC1894"/>
      <c r="AR1894"/>
    </row>
    <row r="1895" spans="24:44">
      <c r="X1895"/>
      <c r="Y1895"/>
      <c r="Z1895"/>
      <c r="AA1895"/>
      <c r="AC1895"/>
      <c r="AR1895"/>
    </row>
    <row r="1896" spans="24:44">
      <c r="X1896"/>
      <c r="Y1896"/>
      <c r="Z1896"/>
      <c r="AA1896"/>
      <c r="AC1896"/>
      <c r="AR1896"/>
    </row>
    <row r="1897" spans="24:44">
      <c r="X1897"/>
      <c r="Y1897"/>
      <c r="Z1897"/>
      <c r="AA1897"/>
      <c r="AC1897"/>
      <c r="AR1897"/>
    </row>
    <row r="1898" spans="24:44">
      <c r="X1898"/>
      <c r="Y1898"/>
      <c r="Z1898"/>
      <c r="AA1898"/>
      <c r="AC1898"/>
      <c r="AR1898"/>
    </row>
    <row r="1899" spans="24:44">
      <c r="X1899"/>
      <c r="Y1899"/>
      <c r="Z1899"/>
      <c r="AA1899"/>
      <c r="AC1899"/>
      <c r="AR1899"/>
    </row>
    <row r="1900" spans="24:44">
      <c r="X1900"/>
      <c r="Y1900"/>
      <c r="Z1900"/>
      <c r="AA1900"/>
      <c r="AC1900"/>
      <c r="AR1900"/>
    </row>
    <row r="1901" spans="24:44">
      <c r="X1901"/>
      <c r="Y1901"/>
      <c r="Z1901"/>
      <c r="AA1901"/>
      <c r="AC1901"/>
      <c r="AR1901"/>
    </row>
    <row r="1902" spans="24:44">
      <c r="X1902"/>
      <c r="Y1902"/>
      <c r="Z1902"/>
      <c r="AA1902"/>
      <c r="AC1902"/>
      <c r="AR1902"/>
    </row>
    <row r="1903" spans="24:44">
      <c r="X1903"/>
      <c r="Y1903"/>
      <c r="Z1903"/>
      <c r="AA1903"/>
      <c r="AC1903"/>
      <c r="AR1903"/>
    </row>
    <row r="1904" spans="24:44">
      <c r="X1904"/>
      <c r="Y1904"/>
      <c r="Z1904"/>
      <c r="AA1904"/>
      <c r="AC1904"/>
      <c r="AR1904"/>
    </row>
    <row r="1905" spans="24:44">
      <c r="X1905"/>
      <c r="Y1905"/>
      <c r="Z1905"/>
      <c r="AA1905"/>
      <c r="AC1905"/>
      <c r="AR1905"/>
    </row>
    <row r="1906" spans="24:44">
      <c r="X1906"/>
      <c r="Y1906"/>
      <c r="Z1906"/>
      <c r="AA1906"/>
      <c r="AC1906"/>
      <c r="AR1906"/>
    </row>
    <row r="1907" spans="24:44">
      <c r="X1907"/>
      <c r="Y1907"/>
      <c r="Z1907"/>
      <c r="AA1907"/>
      <c r="AC1907"/>
      <c r="AR1907"/>
    </row>
    <row r="1908" spans="24:44">
      <c r="X1908"/>
      <c r="Y1908"/>
      <c r="Z1908"/>
      <c r="AA1908"/>
      <c r="AC1908"/>
      <c r="AR1908"/>
    </row>
    <row r="1909" spans="24:44">
      <c r="X1909"/>
      <c r="Y1909"/>
      <c r="Z1909"/>
      <c r="AA1909"/>
      <c r="AC1909"/>
      <c r="AR1909"/>
    </row>
    <row r="1910" spans="24:44">
      <c r="X1910"/>
      <c r="Y1910"/>
      <c r="Z1910"/>
      <c r="AA1910"/>
      <c r="AC1910"/>
      <c r="AR1910"/>
    </row>
    <row r="1911" spans="24:44">
      <c r="X1911"/>
      <c r="Y1911"/>
      <c r="Z1911"/>
      <c r="AA1911"/>
      <c r="AC1911"/>
      <c r="AR1911"/>
    </row>
    <row r="1912" spans="24:44">
      <c r="X1912"/>
      <c r="Y1912"/>
      <c r="Z1912"/>
      <c r="AA1912"/>
      <c r="AC1912"/>
      <c r="AR1912"/>
    </row>
    <row r="1913" spans="24:44">
      <c r="X1913"/>
      <c r="Y1913"/>
      <c r="Z1913"/>
      <c r="AA1913"/>
      <c r="AC1913"/>
      <c r="AR1913"/>
    </row>
    <row r="1914" spans="24:44">
      <c r="X1914"/>
      <c r="Y1914"/>
      <c r="Z1914"/>
      <c r="AA1914"/>
      <c r="AC1914"/>
      <c r="AR1914"/>
    </row>
    <row r="1915" spans="24:44">
      <c r="X1915"/>
      <c r="Y1915"/>
      <c r="Z1915"/>
      <c r="AA1915"/>
      <c r="AC1915"/>
      <c r="AR1915"/>
    </row>
    <row r="1916" spans="24:44">
      <c r="X1916"/>
      <c r="Y1916"/>
      <c r="Z1916"/>
      <c r="AA1916"/>
      <c r="AC1916"/>
      <c r="AR1916"/>
    </row>
    <row r="1917" spans="24:44">
      <c r="X1917"/>
      <c r="Y1917"/>
      <c r="Z1917"/>
      <c r="AA1917"/>
      <c r="AC1917"/>
      <c r="AR1917"/>
    </row>
    <row r="1918" spans="24:44">
      <c r="X1918"/>
      <c r="Y1918"/>
      <c r="Z1918"/>
      <c r="AA1918"/>
      <c r="AC1918"/>
      <c r="AR1918"/>
    </row>
    <row r="1919" spans="24:44">
      <c r="X1919"/>
      <c r="Y1919"/>
      <c r="Z1919"/>
      <c r="AA1919"/>
      <c r="AC1919"/>
      <c r="AR1919"/>
    </row>
    <row r="1920" spans="24:44">
      <c r="X1920"/>
      <c r="Y1920"/>
      <c r="Z1920"/>
      <c r="AA1920"/>
      <c r="AC1920"/>
      <c r="AR1920"/>
    </row>
    <row r="1921" spans="24:44">
      <c r="X1921"/>
      <c r="Y1921"/>
      <c r="Z1921"/>
      <c r="AA1921"/>
      <c r="AC1921"/>
      <c r="AR1921"/>
    </row>
    <row r="1922" spans="24:44">
      <c r="X1922"/>
      <c r="Y1922"/>
      <c r="Z1922"/>
      <c r="AA1922"/>
      <c r="AC1922"/>
      <c r="AR1922"/>
    </row>
    <row r="1923" spans="24:44">
      <c r="X1923"/>
      <c r="Y1923"/>
      <c r="Z1923"/>
      <c r="AA1923"/>
      <c r="AC1923"/>
      <c r="AR1923"/>
    </row>
    <row r="1924" spans="24:44">
      <c r="X1924"/>
      <c r="Y1924"/>
      <c r="Z1924"/>
      <c r="AA1924"/>
      <c r="AC1924"/>
      <c r="AR1924"/>
    </row>
    <row r="1925" spans="24:44">
      <c r="X1925"/>
      <c r="Y1925"/>
      <c r="Z1925"/>
      <c r="AA1925"/>
      <c r="AC1925"/>
      <c r="AR1925"/>
    </row>
    <row r="1926" spans="24:44">
      <c r="X1926"/>
      <c r="Y1926"/>
      <c r="Z1926"/>
      <c r="AA1926"/>
      <c r="AC1926"/>
      <c r="AR1926"/>
    </row>
    <row r="1927" spans="24:44">
      <c r="X1927"/>
      <c r="Y1927"/>
      <c r="Z1927"/>
      <c r="AA1927"/>
      <c r="AC1927"/>
      <c r="AR1927"/>
    </row>
    <row r="1928" spans="24:44">
      <c r="X1928"/>
      <c r="Y1928"/>
      <c r="Z1928"/>
      <c r="AA1928"/>
      <c r="AC1928"/>
      <c r="AR1928"/>
    </row>
    <row r="1929" spans="24:44">
      <c r="X1929"/>
      <c r="Y1929"/>
      <c r="Z1929"/>
      <c r="AA1929"/>
      <c r="AC1929"/>
      <c r="AR1929"/>
    </row>
    <row r="1930" spans="24:44">
      <c r="X1930"/>
      <c r="Y1930"/>
      <c r="Z1930"/>
      <c r="AA1930"/>
      <c r="AC1930"/>
      <c r="AR1930"/>
    </row>
    <row r="1931" spans="24:44">
      <c r="X1931"/>
      <c r="Y1931"/>
      <c r="Z1931"/>
      <c r="AA1931"/>
      <c r="AC1931"/>
      <c r="AR1931"/>
    </row>
    <row r="1932" spans="24:44">
      <c r="X1932"/>
      <c r="Y1932"/>
      <c r="Z1932"/>
      <c r="AA1932"/>
      <c r="AC1932"/>
      <c r="AR1932"/>
    </row>
    <row r="1933" spans="24:44">
      <c r="X1933"/>
      <c r="Y1933"/>
      <c r="Z1933"/>
      <c r="AA1933"/>
      <c r="AC1933"/>
      <c r="AR1933"/>
    </row>
    <row r="1934" spans="24:44">
      <c r="X1934"/>
      <c r="Y1934"/>
      <c r="Z1934"/>
      <c r="AA1934"/>
      <c r="AC1934"/>
      <c r="AR1934"/>
    </row>
    <row r="1935" spans="24:44">
      <c r="X1935"/>
      <c r="Y1935"/>
      <c r="Z1935"/>
      <c r="AA1935"/>
      <c r="AC1935"/>
      <c r="AR1935"/>
    </row>
    <row r="1936" spans="24:44">
      <c r="X1936"/>
      <c r="Y1936"/>
      <c r="Z1936"/>
      <c r="AA1936"/>
      <c r="AC1936"/>
      <c r="AR1936"/>
    </row>
    <row r="1937" spans="24:44">
      <c r="X1937"/>
      <c r="Y1937"/>
      <c r="Z1937"/>
      <c r="AA1937"/>
      <c r="AC1937"/>
      <c r="AR1937"/>
    </row>
    <row r="1938" spans="24:44">
      <c r="X1938"/>
      <c r="Y1938"/>
      <c r="Z1938"/>
      <c r="AA1938"/>
      <c r="AC1938"/>
      <c r="AR1938"/>
    </row>
    <row r="1939" spans="24:44">
      <c r="X1939"/>
      <c r="Y1939"/>
      <c r="Z1939"/>
      <c r="AA1939"/>
      <c r="AC1939"/>
      <c r="AR1939"/>
    </row>
    <row r="1940" spans="24:44">
      <c r="X1940"/>
      <c r="Y1940"/>
      <c r="Z1940"/>
      <c r="AA1940"/>
      <c r="AC1940"/>
      <c r="AR1940"/>
    </row>
    <row r="1941" spans="24:44">
      <c r="X1941"/>
      <c r="Y1941"/>
      <c r="Z1941"/>
      <c r="AA1941"/>
      <c r="AC1941"/>
      <c r="AR1941"/>
    </row>
    <row r="1942" spans="24:44">
      <c r="X1942"/>
      <c r="Y1942"/>
      <c r="Z1942"/>
      <c r="AA1942"/>
      <c r="AC1942"/>
      <c r="AR1942"/>
    </row>
    <row r="1943" spans="24:44">
      <c r="X1943"/>
      <c r="Y1943"/>
      <c r="Z1943"/>
      <c r="AA1943"/>
      <c r="AC1943"/>
      <c r="AR1943"/>
    </row>
    <row r="1944" spans="24:44">
      <c r="X1944"/>
      <c r="Y1944"/>
      <c r="Z1944"/>
      <c r="AA1944"/>
      <c r="AC1944"/>
      <c r="AR1944"/>
    </row>
    <row r="1945" spans="24:44">
      <c r="X1945"/>
      <c r="Y1945"/>
      <c r="Z1945"/>
      <c r="AA1945"/>
      <c r="AC1945"/>
      <c r="AR1945"/>
    </row>
    <row r="1946" spans="24:44">
      <c r="X1946"/>
      <c r="Y1946"/>
      <c r="Z1946"/>
      <c r="AA1946"/>
      <c r="AC1946"/>
      <c r="AR1946"/>
    </row>
    <row r="1947" spans="24:44">
      <c r="X1947"/>
      <c r="Y1947"/>
      <c r="Z1947"/>
      <c r="AA1947"/>
      <c r="AC1947"/>
      <c r="AR1947"/>
    </row>
    <row r="1948" spans="24:44">
      <c r="X1948"/>
      <c r="Y1948"/>
      <c r="Z1948"/>
      <c r="AA1948"/>
      <c r="AC1948"/>
      <c r="AR1948"/>
    </row>
    <row r="1949" spans="24:44">
      <c r="X1949"/>
      <c r="Y1949"/>
      <c r="Z1949"/>
      <c r="AA1949"/>
      <c r="AC1949"/>
      <c r="AR1949"/>
    </row>
    <row r="1950" spans="24:44">
      <c r="X1950"/>
      <c r="Y1950"/>
      <c r="Z1950"/>
      <c r="AA1950"/>
      <c r="AC1950"/>
      <c r="AR1950"/>
    </row>
    <row r="1951" spans="24:44">
      <c r="X1951"/>
      <c r="Y1951"/>
      <c r="Z1951"/>
      <c r="AA1951"/>
      <c r="AC1951"/>
      <c r="AR1951"/>
    </row>
    <row r="1952" spans="24:44">
      <c r="X1952"/>
      <c r="Y1952"/>
      <c r="Z1952"/>
      <c r="AA1952"/>
      <c r="AC1952"/>
      <c r="AR1952"/>
    </row>
    <row r="1953" spans="24:44">
      <c r="X1953"/>
      <c r="Y1953"/>
      <c r="Z1953"/>
      <c r="AA1953"/>
      <c r="AC1953"/>
      <c r="AR1953"/>
    </row>
    <row r="1954" spans="24:44">
      <c r="X1954"/>
      <c r="Y1954"/>
      <c r="Z1954"/>
      <c r="AA1954"/>
      <c r="AC1954"/>
      <c r="AR1954"/>
    </row>
    <row r="1955" spans="24:44">
      <c r="X1955"/>
      <c r="Y1955"/>
      <c r="Z1955"/>
      <c r="AA1955"/>
      <c r="AC1955"/>
      <c r="AR1955"/>
    </row>
    <row r="1956" spans="24:44">
      <c r="X1956"/>
      <c r="Y1956"/>
      <c r="Z1956"/>
      <c r="AA1956"/>
      <c r="AC1956"/>
      <c r="AR1956"/>
    </row>
    <row r="1957" spans="24:44">
      <c r="X1957"/>
      <c r="Y1957"/>
      <c r="Z1957"/>
      <c r="AA1957"/>
      <c r="AC1957"/>
      <c r="AR1957"/>
    </row>
    <row r="1958" spans="24:44">
      <c r="X1958"/>
      <c r="Y1958"/>
      <c r="Z1958"/>
      <c r="AA1958"/>
      <c r="AC1958"/>
      <c r="AR1958"/>
    </row>
    <row r="1959" spans="24:44">
      <c r="X1959"/>
      <c r="Y1959"/>
      <c r="Z1959"/>
      <c r="AA1959"/>
      <c r="AC1959"/>
      <c r="AR1959"/>
    </row>
    <row r="1960" spans="24:44">
      <c r="X1960"/>
      <c r="Y1960"/>
      <c r="Z1960"/>
      <c r="AA1960"/>
      <c r="AC1960"/>
      <c r="AR1960"/>
    </row>
    <row r="1961" spans="24:44">
      <c r="X1961"/>
      <c r="Y1961"/>
      <c r="Z1961"/>
      <c r="AA1961"/>
      <c r="AC1961"/>
      <c r="AR1961"/>
    </row>
    <row r="1962" spans="24:44">
      <c r="X1962"/>
      <c r="Y1962"/>
      <c r="Z1962"/>
      <c r="AA1962"/>
      <c r="AC1962"/>
      <c r="AR1962"/>
    </row>
    <row r="1963" spans="24:44">
      <c r="X1963"/>
      <c r="Y1963"/>
      <c r="Z1963"/>
      <c r="AA1963"/>
      <c r="AC1963"/>
      <c r="AR1963"/>
    </row>
    <row r="1964" spans="24:44">
      <c r="X1964"/>
      <c r="Y1964"/>
      <c r="Z1964"/>
      <c r="AA1964"/>
      <c r="AC1964"/>
      <c r="AR1964"/>
    </row>
    <row r="1965" spans="24:44">
      <c r="X1965"/>
      <c r="Y1965"/>
      <c r="Z1965"/>
      <c r="AA1965"/>
      <c r="AC1965"/>
      <c r="AR1965"/>
    </row>
    <row r="1966" spans="24:44">
      <c r="X1966"/>
      <c r="Y1966"/>
      <c r="Z1966"/>
      <c r="AA1966"/>
      <c r="AC1966"/>
      <c r="AR1966"/>
    </row>
    <row r="1967" spans="24:44">
      <c r="X1967"/>
      <c r="Y1967"/>
      <c r="Z1967"/>
      <c r="AA1967"/>
      <c r="AC1967"/>
      <c r="AR1967"/>
    </row>
    <row r="1968" spans="24:44">
      <c r="X1968"/>
      <c r="Y1968"/>
      <c r="Z1968"/>
      <c r="AA1968"/>
      <c r="AC1968"/>
      <c r="AR1968"/>
    </row>
    <row r="1969" spans="24:44">
      <c r="X1969"/>
      <c r="Y1969"/>
      <c r="Z1969"/>
      <c r="AA1969"/>
      <c r="AC1969"/>
      <c r="AR1969"/>
    </row>
    <row r="1970" spans="24:44">
      <c r="X1970"/>
      <c r="Y1970"/>
      <c r="Z1970"/>
      <c r="AA1970"/>
      <c r="AC1970"/>
      <c r="AR1970"/>
    </row>
    <row r="1971" spans="24:44">
      <c r="X1971"/>
      <c r="Y1971"/>
      <c r="Z1971"/>
      <c r="AA1971"/>
      <c r="AC1971"/>
      <c r="AR1971"/>
    </row>
    <row r="1972" spans="24:44">
      <c r="X1972"/>
      <c r="Y1972"/>
      <c r="Z1972"/>
      <c r="AA1972"/>
      <c r="AC1972"/>
      <c r="AR1972"/>
    </row>
    <row r="1973" spans="24:44">
      <c r="X1973"/>
      <c r="Y1973"/>
      <c r="Z1973"/>
      <c r="AA1973"/>
      <c r="AC1973"/>
      <c r="AR1973"/>
    </row>
    <row r="1974" spans="24:44">
      <c r="X1974"/>
      <c r="Y1974"/>
      <c r="Z1974"/>
      <c r="AA1974"/>
      <c r="AC1974"/>
      <c r="AR1974"/>
    </row>
    <row r="1975" spans="24:44">
      <c r="X1975"/>
      <c r="Y1975"/>
      <c r="Z1975"/>
      <c r="AA1975"/>
      <c r="AC1975"/>
      <c r="AR1975"/>
    </row>
    <row r="1976" spans="24:44">
      <c r="X1976"/>
      <c r="Y1976"/>
      <c r="Z1976"/>
      <c r="AA1976"/>
      <c r="AC1976"/>
      <c r="AR1976"/>
    </row>
    <row r="1977" spans="24:44">
      <c r="X1977"/>
      <c r="Y1977"/>
      <c r="Z1977"/>
      <c r="AA1977"/>
      <c r="AC1977"/>
      <c r="AR1977"/>
    </row>
    <row r="1978" spans="24:44">
      <c r="X1978"/>
      <c r="Y1978"/>
      <c r="Z1978"/>
      <c r="AA1978"/>
      <c r="AC1978"/>
      <c r="AR1978"/>
    </row>
    <row r="1979" spans="24:44">
      <c r="X1979"/>
      <c r="Y1979"/>
      <c r="Z1979"/>
      <c r="AA1979"/>
      <c r="AC1979"/>
      <c r="AR1979"/>
    </row>
    <row r="1980" spans="24:44">
      <c r="X1980"/>
      <c r="Y1980"/>
      <c r="Z1980"/>
      <c r="AA1980"/>
      <c r="AC1980"/>
      <c r="AR1980"/>
    </row>
    <row r="1981" spans="24:44">
      <c r="X1981"/>
      <c r="Y1981"/>
      <c r="Z1981"/>
      <c r="AA1981"/>
      <c r="AC1981"/>
      <c r="AR1981"/>
    </row>
    <row r="1982" spans="24:44">
      <c r="X1982"/>
      <c r="Y1982"/>
      <c r="Z1982"/>
      <c r="AA1982"/>
      <c r="AC1982"/>
      <c r="AR1982"/>
    </row>
    <row r="1983" spans="24:44">
      <c r="X1983"/>
      <c r="Y1983"/>
      <c r="Z1983"/>
      <c r="AA1983"/>
      <c r="AC1983"/>
      <c r="AR1983"/>
    </row>
    <row r="1984" spans="24:44">
      <c r="X1984"/>
      <c r="Y1984"/>
      <c r="Z1984"/>
      <c r="AA1984"/>
      <c r="AC1984"/>
      <c r="AR1984"/>
    </row>
    <row r="1985" spans="24:44">
      <c r="X1985"/>
      <c r="Y1985"/>
      <c r="Z1985"/>
      <c r="AA1985"/>
      <c r="AC1985"/>
      <c r="AR1985"/>
    </row>
    <row r="1986" spans="24:44">
      <c r="X1986"/>
      <c r="Y1986"/>
      <c r="Z1986"/>
      <c r="AA1986"/>
      <c r="AC1986"/>
      <c r="AR1986"/>
    </row>
    <row r="1987" spans="24:44">
      <c r="X1987"/>
      <c r="Y1987"/>
      <c r="Z1987"/>
      <c r="AA1987"/>
      <c r="AC1987"/>
      <c r="AR1987"/>
    </row>
    <row r="1988" spans="24:44">
      <c r="X1988"/>
      <c r="Y1988"/>
      <c r="Z1988"/>
      <c r="AA1988"/>
      <c r="AC1988"/>
      <c r="AR1988"/>
    </row>
    <row r="1989" spans="24:44">
      <c r="X1989"/>
      <c r="Y1989"/>
      <c r="Z1989"/>
      <c r="AA1989"/>
      <c r="AC1989"/>
      <c r="AR1989"/>
    </row>
    <row r="1990" spans="24:44">
      <c r="X1990"/>
      <c r="Y1990"/>
      <c r="Z1990"/>
      <c r="AA1990"/>
      <c r="AC1990"/>
      <c r="AR1990"/>
    </row>
    <row r="1991" spans="24:44">
      <c r="X1991"/>
      <c r="Y1991"/>
      <c r="Z1991"/>
      <c r="AA1991"/>
      <c r="AC1991"/>
      <c r="AR1991"/>
    </row>
    <row r="1992" spans="24:44">
      <c r="X1992"/>
      <c r="Y1992"/>
      <c r="Z1992"/>
      <c r="AA1992"/>
      <c r="AC1992"/>
      <c r="AR1992"/>
    </row>
    <row r="1993" spans="24:44">
      <c r="X1993"/>
      <c r="Y1993"/>
      <c r="Z1993"/>
      <c r="AA1993"/>
      <c r="AC1993"/>
      <c r="AR1993"/>
    </row>
    <row r="1994" spans="24:44">
      <c r="X1994"/>
      <c r="Y1994"/>
      <c r="Z1994"/>
      <c r="AA1994"/>
      <c r="AC1994"/>
      <c r="AR1994"/>
    </row>
    <row r="1995" spans="24:44">
      <c r="X1995"/>
      <c r="Y1995"/>
      <c r="Z1995"/>
      <c r="AA1995"/>
      <c r="AC1995"/>
      <c r="AR1995"/>
    </row>
    <row r="1996" spans="24:44">
      <c r="X1996"/>
      <c r="Y1996"/>
      <c r="Z1996"/>
      <c r="AA1996"/>
      <c r="AC1996"/>
      <c r="AR1996"/>
    </row>
    <row r="1997" spans="24:44">
      <c r="X1997"/>
      <c r="Y1997"/>
      <c r="Z1997"/>
      <c r="AA1997"/>
      <c r="AC1997"/>
      <c r="AR1997"/>
    </row>
    <row r="1998" spans="24:44">
      <c r="X1998"/>
      <c r="Y1998"/>
      <c r="Z1998"/>
      <c r="AA1998"/>
      <c r="AC1998"/>
      <c r="AR1998"/>
    </row>
    <row r="1999" spans="24:44">
      <c r="X1999"/>
      <c r="Y1999"/>
      <c r="Z1999"/>
      <c r="AA1999"/>
      <c r="AC1999"/>
      <c r="AR1999"/>
    </row>
    <row r="2000" spans="24:44">
      <c r="X2000"/>
      <c r="Y2000"/>
      <c r="Z2000"/>
      <c r="AA2000"/>
      <c r="AC2000"/>
      <c r="AR2000"/>
    </row>
    <row r="2001" spans="24:44">
      <c r="X2001"/>
      <c r="Y2001"/>
      <c r="Z2001"/>
      <c r="AA2001"/>
      <c r="AC2001"/>
      <c r="AR2001"/>
    </row>
    <row r="2002" spans="24:44">
      <c r="X2002"/>
      <c r="Y2002"/>
      <c r="Z2002"/>
      <c r="AA2002"/>
      <c r="AC2002"/>
      <c r="AR2002"/>
    </row>
    <row r="2003" spans="24:44">
      <c r="X2003"/>
      <c r="Y2003"/>
      <c r="Z2003"/>
      <c r="AA2003"/>
      <c r="AC2003"/>
      <c r="AR2003"/>
    </row>
    <row r="2004" spans="24:44">
      <c r="X2004"/>
      <c r="Y2004"/>
      <c r="Z2004"/>
      <c r="AA2004"/>
      <c r="AC2004"/>
      <c r="AR2004"/>
    </row>
    <row r="2005" spans="24:44">
      <c r="X2005"/>
      <c r="Y2005"/>
      <c r="Z2005"/>
      <c r="AA2005"/>
      <c r="AC2005"/>
      <c r="AR2005"/>
    </row>
    <row r="2006" spans="24:44">
      <c r="X2006"/>
      <c r="Y2006"/>
      <c r="Z2006"/>
      <c r="AA2006"/>
      <c r="AC2006"/>
      <c r="AR2006"/>
    </row>
    <row r="2007" spans="24:44">
      <c r="X2007"/>
      <c r="Y2007"/>
      <c r="Z2007"/>
      <c r="AA2007"/>
      <c r="AC2007"/>
      <c r="AR2007"/>
    </row>
    <row r="2008" spans="24:44">
      <c r="X2008"/>
      <c r="Y2008"/>
      <c r="Z2008"/>
      <c r="AA2008"/>
      <c r="AC2008"/>
      <c r="AR2008"/>
    </row>
    <row r="2009" spans="24:44">
      <c r="X2009"/>
      <c r="Y2009"/>
      <c r="Z2009"/>
      <c r="AA2009"/>
      <c r="AC2009"/>
      <c r="AR2009"/>
    </row>
    <row r="2010" spans="24:44">
      <c r="X2010"/>
      <c r="Y2010"/>
      <c r="Z2010"/>
      <c r="AA2010"/>
      <c r="AC2010"/>
      <c r="AR2010"/>
    </row>
    <row r="2011" spans="24:44">
      <c r="X2011"/>
      <c r="Y2011"/>
      <c r="Z2011"/>
      <c r="AA2011"/>
      <c r="AC2011"/>
      <c r="AR2011"/>
    </row>
    <row r="2012" spans="24:44">
      <c r="X2012"/>
      <c r="Y2012"/>
      <c r="Z2012"/>
      <c r="AA2012"/>
      <c r="AC2012"/>
      <c r="AR2012"/>
    </row>
    <row r="2013" spans="24:44">
      <c r="X2013"/>
      <c r="Y2013"/>
      <c r="Z2013"/>
      <c r="AA2013"/>
      <c r="AC2013"/>
      <c r="AR2013"/>
    </row>
    <row r="2014" spans="24:44">
      <c r="X2014"/>
      <c r="Y2014"/>
      <c r="Z2014"/>
      <c r="AA2014"/>
      <c r="AC2014"/>
      <c r="AR2014"/>
    </row>
    <row r="2015" spans="24:44">
      <c r="X2015"/>
      <c r="Y2015"/>
      <c r="Z2015"/>
      <c r="AA2015"/>
      <c r="AC2015"/>
      <c r="AR2015"/>
    </row>
    <row r="2016" spans="24:44">
      <c r="X2016"/>
      <c r="Y2016"/>
      <c r="Z2016"/>
      <c r="AA2016"/>
      <c r="AC2016"/>
      <c r="AR2016"/>
    </row>
    <row r="2017" spans="24:44">
      <c r="X2017"/>
      <c r="Y2017"/>
      <c r="Z2017"/>
      <c r="AA2017"/>
      <c r="AC2017"/>
      <c r="AR2017"/>
    </row>
    <row r="2018" spans="24:44">
      <c r="X2018"/>
      <c r="Y2018"/>
      <c r="Z2018"/>
      <c r="AA2018"/>
      <c r="AC2018"/>
      <c r="AR2018"/>
    </row>
    <row r="2019" spans="24:44">
      <c r="X2019"/>
      <c r="Y2019"/>
      <c r="Z2019"/>
      <c r="AA2019"/>
      <c r="AC2019"/>
      <c r="AR2019"/>
    </row>
    <row r="2020" spans="24:44">
      <c r="X2020"/>
      <c r="Y2020"/>
      <c r="Z2020"/>
      <c r="AA2020"/>
      <c r="AC2020"/>
      <c r="AR2020"/>
    </row>
    <row r="2021" spans="24:44">
      <c r="X2021"/>
      <c r="Y2021"/>
      <c r="Z2021"/>
      <c r="AA2021"/>
      <c r="AC2021"/>
      <c r="AR2021"/>
    </row>
    <row r="2022" spans="24:44">
      <c r="X2022"/>
      <c r="Y2022"/>
      <c r="Z2022"/>
      <c r="AA2022"/>
      <c r="AC2022"/>
      <c r="AR2022"/>
    </row>
    <row r="2023" spans="24:44">
      <c r="X2023"/>
      <c r="Y2023"/>
      <c r="Z2023"/>
      <c r="AA2023"/>
      <c r="AC2023"/>
      <c r="AR2023"/>
    </row>
    <row r="2024" spans="24:44">
      <c r="X2024"/>
      <c r="Y2024"/>
      <c r="Z2024"/>
      <c r="AA2024"/>
      <c r="AC2024"/>
      <c r="AR2024"/>
    </row>
    <row r="2025" spans="24:44">
      <c r="X2025"/>
      <c r="Y2025"/>
      <c r="Z2025"/>
      <c r="AA2025"/>
      <c r="AC2025"/>
      <c r="AR2025"/>
    </row>
    <row r="2026" spans="24:44">
      <c r="X2026"/>
      <c r="Y2026"/>
      <c r="Z2026"/>
      <c r="AA2026"/>
      <c r="AC2026"/>
      <c r="AR2026"/>
    </row>
    <row r="2027" spans="24:44">
      <c r="X2027"/>
      <c r="Y2027"/>
      <c r="Z2027"/>
      <c r="AA2027"/>
      <c r="AC2027"/>
      <c r="AR2027"/>
    </row>
    <row r="2028" spans="24:44">
      <c r="X2028"/>
      <c r="Y2028"/>
      <c r="Z2028"/>
      <c r="AA2028"/>
      <c r="AC2028"/>
      <c r="AR2028"/>
    </row>
    <row r="2029" spans="24:44">
      <c r="X2029"/>
      <c r="Y2029"/>
      <c r="Z2029"/>
      <c r="AA2029"/>
      <c r="AC2029"/>
      <c r="AR2029"/>
    </row>
    <row r="2030" spans="24:44">
      <c r="X2030"/>
      <c r="Y2030"/>
      <c r="Z2030"/>
      <c r="AA2030"/>
      <c r="AC2030"/>
      <c r="AR2030"/>
    </row>
    <row r="2031" spans="24:44">
      <c r="X2031"/>
      <c r="Y2031"/>
      <c r="Z2031"/>
      <c r="AA2031"/>
      <c r="AC2031"/>
      <c r="AR2031"/>
    </row>
    <row r="2032" spans="24:44">
      <c r="X2032"/>
      <c r="Y2032"/>
      <c r="Z2032"/>
      <c r="AA2032"/>
      <c r="AC2032"/>
      <c r="AR2032"/>
    </row>
    <row r="2033" spans="24:44">
      <c r="X2033"/>
      <c r="Y2033"/>
      <c r="Z2033"/>
      <c r="AA2033"/>
      <c r="AC2033"/>
      <c r="AR2033"/>
    </row>
    <row r="2034" spans="24:44">
      <c r="X2034"/>
      <c r="Y2034"/>
      <c r="Z2034"/>
      <c r="AA2034"/>
      <c r="AC2034"/>
      <c r="AR2034"/>
    </row>
    <row r="2035" spans="24:44">
      <c r="X2035"/>
      <c r="Y2035"/>
      <c r="Z2035"/>
      <c r="AA2035"/>
      <c r="AC2035"/>
      <c r="AR2035"/>
    </row>
    <row r="2036" spans="24:44">
      <c r="X2036"/>
      <c r="Y2036"/>
      <c r="Z2036"/>
      <c r="AA2036"/>
      <c r="AC2036"/>
      <c r="AR2036"/>
    </row>
    <row r="2037" spans="24:44">
      <c r="X2037"/>
      <c r="Y2037"/>
      <c r="Z2037"/>
      <c r="AA2037"/>
      <c r="AC2037"/>
      <c r="AR2037"/>
    </row>
    <row r="2038" spans="24:44">
      <c r="X2038"/>
      <c r="Y2038"/>
      <c r="Z2038"/>
      <c r="AA2038"/>
      <c r="AC2038"/>
      <c r="AR2038"/>
    </row>
    <row r="2039" spans="24:44">
      <c r="X2039"/>
      <c r="Y2039"/>
      <c r="Z2039"/>
      <c r="AA2039"/>
      <c r="AC2039"/>
      <c r="AR2039"/>
    </row>
    <row r="2040" spans="24:44">
      <c r="X2040"/>
      <c r="Y2040"/>
      <c r="Z2040"/>
      <c r="AA2040"/>
      <c r="AC2040"/>
      <c r="AR2040"/>
    </row>
    <row r="2041" spans="24:44">
      <c r="X2041"/>
      <c r="Y2041"/>
      <c r="Z2041"/>
      <c r="AA2041"/>
      <c r="AC2041"/>
      <c r="AR2041"/>
    </row>
    <row r="2042" spans="24:44">
      <c r="X2042"/>
      <c r="Y2042"/>
      <c r="Z2042"/>
      <c r="AA2042"/>
      <c r="AC2042"/>
      <c r="AR2042"/>
    </row>
    <row r="2043" spans="24:44">
      <c r="X2043"/>
      <c r="Y2043"/>
      <c r="Z2043"/>
      <c r="AA2043"/>
      <c r="AC2043"/>
      <c r="AR2043"/>
    </row>
    <row r="2044" spans="24:44">
      <c r="X2044"/>
      <c r="Y2044"/>
      <c r="Z2044"/>
      <c r="AA2044"/>
      <c r="AC2044"/>
      <c r="AR2044"/>
    </row>
    <row r="2045" spans="24:44">
      <c r="X2045"/>
      <c r="Y2045"/>
      <c r="Z2045"/>
      <c r="AA2045"/>
      <c r="AC2045"/>
      <c r="AR2045"/>
    </row>
    <row r="2046" spans="24:44">
      <c r="X2046"/>
      <c r="Y2046"/>
      <c r="Z2046"/>
      <c r="AA2046"/>
      <c r="AC2046"/>
      <c r="AR2046"/>
    </row>
    <row r="2047" spans="24:44">
      <c r="X2047"/>
      <c r="Y2047"/>
      <c r="Z2047"/>
      <c r="AA2047"/>
      <c r="AC2047"/>
      <c r="AR2047"/>
    </row>
    <row r="2048" spans="24:44">
      <c r="X2048"/>
      <c r="Y2048"/>
      <c r="Z2048"/>
      <c r="AA2048"/>
      <c r="AC2048"/>
      <c r="AR2048"/>
    </row>
    <row r="2049" spans="24:44">
      <c r="X2049"/>
      <c r="Y2049"/>
      <c r="Z2049"/>
      <c r="AA2049"/>
      <c r="AC2049"/>
      <c r="AR2049"/>
    </row>
    <row r="2050" spans="24:44">
      <c r="X2050"/>
      <c r="Y2050"/>
      <c r="Z2050"/>
      <c r="AA2050"/>
      <c r="AC2050"/>
      <c r="AR2050"/>
    </row>
    <row r="2051" spans="24:44">
      <c r="X2051"/>
      <c r="Y2051"/>
      <c r="Z2051"/>
      <c r="AA2051"/>
      <c r="AC2051"/>
      <c r="AR2051"/>
    </row>
    <row r="2052" spans="24:44">
      <c r="X2052"/>
      <c r="Y2052"/>
      <c r="Z2052"/>
      <c r="AA2052"/>
      <c r="AC2052"/>
      <c r="AR2052"/>
    </row>
    <row r="2053" spans="24:44">
      <c r="X2053"/>
      <c r="Y2053"/>
      <c r="Z2053"/>
      <c r="AA2053"/>
      <c r="AC2053"/>
      <c r="AR2053"/>
    </row>
    <row r="2054" spans="24:44">
      <c r="X2054"/>
      <c r="Y2054"/>
      <c r="Z2054"/>
      <c r="AA2054"/>
      <c r="AC2054"/>
      <c r="AR2054"/>
    </row>
    <row r="2055" spans="24:44">
      <c r="X2055"/>
      <c r="Y2055"/>
      <c r="Z2055"/>
      <c r="AA2055"/>
      <c r="AC2055"/>
      <c r="AR2055"/>
    </row>
    <row r="2056" spans="24:44">
      <c r="X2056"/>
      <c r="Y2056"/>
      <c r="Z2056"/>
      <c r="AA2056"/>
      <c r="AC2056"/>
      <c r="AR2056"/>
    </row>
    <row r="2057" spans="24:44">
      <c r="X2057"/>
      <c r="Y2057"/>
      <c r="Z2057"/>
      <c r="AA2057"/>
      <c r="AC2057"/>
      <c r="AR2057"/>
    </row>
    <row r="2058" spans="24:44">
      <c r="X2058"/>
      <c r="Y2058"/>
      <c r="Z2058"/>
      <c r="AA2058"/>
      <c r="AC2058"/>
      <c r="AR2058"/>
    </row>
    <row r="2059" spans="24:44">
      <c r="X2059"/>
      <c r="Y2059"/>
      <c r="Z2059"/>
      <c r="AA2059"/>
      <c r="AC2059"/>
      <c r="AR2059"/>
    </row>
    <row r="2060" spans="24:44">
      <c r="X2060"/>
      <c r="Y2060"/>
      <c r="Z2060"/>
      <c r="AA2060"/>
      <c r="AC2060"/>
      <c r="AR2060"/>
    </row>
    <row r="2061" spans="24:44">
      <c r="X2061"/>
      <c r="Y2061"/>
      <c r="Z2061"/>
      <c r="AA2061"/>
      <c r="AC2061"/>
      <c r="AR2061"/>
    </row>
    <row r="2062" spans="24:44">
      <c r="X2062"/>
      <c r="Y2062"/>
      <c r="Z2062"/>
      <c r="AA2062"/>
      <c r="AC2062"/>
      <c r="AR2062"/>
    </row>
    <row r="2063" spans="24:44">
      <c r="X2063"/>
      <c r="Y2063"/>
      <c r="Z2063"/>
      <c r="AA2063"/>
      <c r="AC2063"/>
      <c r="AR2063"/>
    </row>
    <row r="2064" spans="24:44">
      <c r="X2064"/>
      <c r="Y2064"/>
      <c r="Z2064"/>
      <c r="AA2064"/>
      <c r="AC2064"/>
      <c r="AR2064"/>
    </row>
    <row r="2065" spans="24:44">
      <c r="X2065"/>
      <c r="Y2065"/>
      <c r="Z2065"/>
      <c r="AA2065"/>
      <c r="AC2065"/>
      <c r="AR2065"/>
    </row>
    <row r="2066" spans="24:44">
      <c r="X2066"/>
      <c r="Y2066"/>
      <c r="Z2066"/>
      <c r="AA2066"/>
      <c r="AC2066"/>
      <c r="AR2066"/>
    </row>
    <row r="2067" spans="24:44">
      <c r="X2067"/>
      <c r="Y2067"/>
      <c r="Z2067"/>
      <c r="AA2067"/>
      <c r="AC2067"/>
      <c r="AR2067"/>
    </row>
    <row r="2068" spans="24:44">
      <c r="X2068"/>
      <c r="Y2068"/>
      <c r="Z2068"/>
      <c r="AA2068"/>
      <c r="AC2068"/>
      <c r="AR2068"/>
    </row>
    <row r="2069" spans="24:44">
      <c r="X2069"/>
      <c r="Y2069"/>
      <c r="Z2069"/>
      <c r="AA2069"/>
      <c r="AC2069"/>
      <c r="AR2069"/>
    </row>
    <row r="2070" spans="24:44">
      <c r="X2070"/>
      <c r="Y2070"/>
      <c r="Z2070"/>
      <c r="AA2070"/>
      <c r="AC2070"/>
      <c r="AR2070"/>
    </row>
    <row r="2071" spans="24:44">
      <c r="X2071"/>
      <c r="Y2071"/>
      <c r="Z2071"/>
      <c r="AA2071"/>
      <c r="AC2071"/>
      <c r="AR2071"/>
    </row>
    <row r="2072" spans="24:44">
      <c r="X2072"/>
      <c r="Y2072"/>
      <c r="Z2072"/>
      <c r="AA2072"/>
      <c r="AC2072"/>
      <c r="AR2072"/>
    </row>
    <row r="2073" spans="24:44">
      <c r="X2073"/>
      <c r="Y2073"/>
      <c r="Z2073"/>
      <c r="AA2073"/>
      <c r="AC2073"/>
      <c r="AR2073"/>
    </row>
    <row r="2074" spans="24:44">
      <c r="X2074"/>
      <c r="Y2074"/>
      <c r="Z2074"/>
      <c r="AA2074"/>
      <c r="AC2074"/>
      <c r="AR2074"/>
    </row>
    <row r="2075" spans="24:44">
      <c r="X2075"/>
      <c r="Y2075"/>
      <c r="Z2075"/>
      <c r="AA2075"/>
      <c r="AC2075"/>
      <c r="AR2075"/>
    </row>
    <row r="2076" spans="24:44">
      <c r="X2076"/>
      <c r="Y2076"/>
      <c r="Z2076"/>
      <c r="AA2076"/>
      <c r="AC2076"/>
      <c r="AR2076"/>
    </row>
    <row r="2077" spans="24:44">
      <c r="X2077"/>
      <c r="Y2077"/>
      <c r="Z2077"/>
      <c r="AA2077"/>
      <c r="AC2077"/>
      <c r="AR2077"/>
    </row>
    <row r="2078" spans="24:44">
      <c r="X2078"/>
      <c r="Y2078"/>
      <c r="Z2078"/>
      <c r="AA2078"/>
      <c r="AC2078"/>
      <c r="AR2078"/>
    </row>
    <row r="2079" spans="24:44">
      <c r="X2079"/>
      <c r="Y2079"/>
      <c r="Z2079"/>
      <c r="AA2079"/>
      <c r="AC2079"/>
      <c r="AR2079"/>
    </row>
    <row r="2080" spans="24:44">
      <c r="X2080"/>
      <c r="Y2080"/>
      <c r="Z2080"/>
      <c r="AA2080"/>
      <c r="AC2080"/>
      <c r="AR2080"/>
    </row>
    <row r="2081" spans="24:44">
      <c r="X2081"/>
      <c r="Y2081"/>
      <c r="Z2081"/>
      <c r="AA2081"/>
      <c r="AC2081"/>
      <c r="AR2081"/>
    </row>
    <row r="2082" spans="24:44">
      <c r="X2082"/>
      <c r="Y2082"/>
      <c r="Z2082"/>
      <c r="AA2082"/>
      <c r="AC2082"/>
      <c r="AR2082"/>
    </row>
    <row r="2083" spans="24:44">
      <c r="X2083"/>
      <c r="Y2083"/>
      <c r="Z2083"/>
      <c r="AA2083"/>
      <c r="AC2083"/>
      <c r="AR2083"/>
    </row>
    <row r="2084" spans="24:44">
      <c r="X2084"/>
      <c r="Y2084"/>
      <c r="Z2084"/>
      <c r="AA2084"/>
      <c r="AC2084"/>
      <c r="AR2084"/>
    </row>
    <row r="2085" spans="24:44">
      <c r="X2085"/>
      <c r="Y2085"/>
      <c r="Z2085"/>
      <c r="AA2085"/>
      <c r="AC2085"/>
      <c r="AR2085"/>
    </row>
    <row r="2086" spans="24:44">
      <c r="X2086"/>
      <c r="Y2086"/>
      <c r="Z2086"/>
      <c r="AA2086"/>
      <c r="AC2086"/>
      <c r="AR2086"/>
    </row>
    <row r="2087" spans="24:44">
      <c r="X2087"/>
      <c r="Y2087"/>
      <c r="Z2087"/>
      <c r="AA2087"/>
      <c r="AC2087"/>
      <c r="AR2087"/>
    </row>
    <row r="2088" spans="24:44">
      <c r="X2088"/>
      <c r="Y2088"/>
      <c r="Z2088"/>
      <c r="AA2088"/>
      <c r="AC2088"/>
      <c r="AR2088"/>
    </row>
    <row r="2089" spans="24:44">
      <c r="X2089"/>
      <c r="Y2089"/>
      <c r="Z2089"/>
      <c r="AA2089"/>
      <c r="AC2089"/>
      <c r="AR2089"/>
    </row>
    <row r="2090" spans="24:44">
      <c r="X2090"/>
      <c r="Y2090"/>
      <c r="Z2090"/>
      <c r="AA2090"/>
      <c r="AC2090"/>
      <c r="AR2090"/>
    </row>
    <row r="2091" spans="24:44">
      <c r="X2091"/>
      <c r="Y2091"/>
      <c r="Z2091"/>
      <c r="AA2091"/>
      <c r="AC2091"/>
      <c r="AR2091"/>
    </row>
    <row r="2092" spans="24:44">
      <c r="X2092"/>
      <c r="Y2092"/>
      <c r="Z2092"/>
      <c r="AA2092"/>
      <c r="AC2092"/>
      <c r="AR2092"/>
    </row>
    <row r="2093" spans="24:44">
      <c r="X2093"/>
      <c r="Y2093"/>
      <c r="Z2093"/>
      <c r="AA2093"/>
      <c r="AC2093"/>
      <c r="AR2093"/>
    </row>
    <row r="2094" spans="24:44">
      <c r="X2094"/>
      <c r="Y2094"/>
      <c r="Z2094"/>
      <c r="AA2094"/>
      <c r="AC2094"/>
      <c r="AR2094"/>
    </row>
    <row r="2095" spans="24:44">
      <c r="X2095"/>
      <c r="Y2095"/>
      <c r="Z2095"/>
      <c r="AA2095"/>
      <c r="AC2095"/>
      <c r="AR2095"/>
    </row>
    <row r="2096" spans="24:44">
      <c r="X2096"/>
      <c r="Y2096"/>
      <c r="Z2096"/>
      <c r="AA2096"/>
      <c r="AC2096"/>
      <c r="AR2096"/>
    </row>
    <row r="2097" spans="24:44">
      <c r="X2097"/>
      <c r="Y2097"/>
      <c r="Z2097"/>
      <c r="AA2097"/>
      <c r="AC2097"/>
      <c r="AR2097"/>
    </row>
    <row r="2098" spans="24:44">
      <c r="X2098"/>
      <c r="Y2098"/>
      <c r="Z2098"/>
      <c r="AA2098"/>
      <c r="AC2098"/>
      <c r="AR2098"/>
    </row>
    <row r="2099" spans="24:44">
      <c r="X2099"/>
      <c r="Y2099"/>
      <c r="Z2099"/>
      <c r="AA2099"/>
      <c r="AC2099"/>
      <c r="AR2099"/>
    </row>
    <row r="2100" spans="24:44">
      <c r="X2100"/>
      <c r="Y2100"/>
      <c r="Z2100"/>
      <c r="AA2100"/>
      <c r="AC2100"/>
      <c r="AR2100"/>
    </row>
    <row r="2101" spans="24:44">
      <c r="X2101"/>
      <c r="Y2101"/>
      <c r="Z2101"/>
      <c r="AA2101"/>
      <c r="AC2101"/>
      <c r="AR2101"/>
    </row>
    <row r="2102" spans="24:44">
      <c r="X2102"/>
      <c r="Y2102"/>
      <c r="Z2102"/>
      <c r="AA2102"/>
      <c r="AC2102"/>
      <c r="AR2102"/>
    </row>
    <row r="2103" spans="24:44">
      <c r="X2103"/>
      <c r="Y2103"/>
      <c r="Z2103"/>
      <c r="AA2103"/>
      <c r="AC2103"/>
      <c r="AR2103"/>
    </row>
    <row r="2104" spans="24:44">
      <c r="X2104"/>
      <c r="Y2104"/>
      <c r="Z2104"/>
      <c r="AA2104"/>
      <c r="AC2104"/>
      <c r="AR2104"/>
    </row>
    <row r="2105" spans="24:44">
      <c r="X2105"/>
      <c r="Y2105"/>
      <c r="Z2105"/>
      <c r="AA2105"/>
      <c r="AC2105"/>
      <c r="AR2105"/>
    </row>
    <row r="2106" spans="24:44">
      <c r="X2106"/>
      <c r="Y2106"/>
      <c r="Z2106"/>
      <c r="AA2106"/>
      <c r="AC2106"/>
      <c r="AR2106"/>
    </row>
    <row r="2107" spans="24:44">
      <c r="X2107"/>
      <c r="Y2107"/>
      <c r="Z2107"/>
      <c r="AA2107"/>
      <c r="AC2107"/>
      <c r="AR2107"/>
    </row>
    <row r="2108" spans="24:44">
      <c r="X2108"/>
      <c r="Y2108"/>
      <c r="Z2108"/>
      <c r="AA2108"/>
      <c r="AC2108"/>
      <c r="AR2108"/>
    </row>
    <row r="2109" spans="24:44">
      <c r="X2109"/>
      <c r="Y2109"/>
      <c r="Z2109"/>
      <c r="AA2109"/>
      <c r="AC2109"/>
      <c r="AR2109"/>
    </row>
    <row r="2110" spans="24:44">
      <c r="X2110"/>
      <c r="Y2110"/>
      <c r="Z2110"/>
      <c r="AA2110"/>
      <c r="AC2110"/>
      <c r="AR2110"/>
    </row>
    <row r="2111" spans="24:44">
      <c r="X2111"/>
      <c r="Y2111"/>
      <c r="Z2111"/>
      <c r="AA2111"/>
      <c r="AC2111"/>
      <c r="AR2111"/>
    </row>
    <row r="2112" spans="24:44">
      <c r="X2112"/>
      <c r="Y2112"/>
      <c r="Z2112"/>
      <c r="AA2112"/>
      <c r="AC2112"/>
      <c r="AR2112"/>
    </row>
    <row r="2113" spans="24:44">
      <c r="X2113"/>
      <c r="Y2113"/>
      <c r="Z2113"/>
      <c r="AA2113"/>
      <c r="AC2113"/>
      <c r="AR2113"/>
    </row>
    <row r="2114" spans="24:44">
      <c r="X2114"/>
      <c r="Y2114"/>
      <c r="Z2114"/>
      <c r="AA2114"/>
      <c r="AC2114"/>
      <c r="AR2114"/>
    </row>
    <row r="2115" spans="24:44">
      <c r="X2115"/>
      <c r="Y2115"/>
      <c r="Z2115"/>
      <c r="AA2115"/>
      <c r="AC2115"/>
      <c r="AR2115"/>
    </row>
    <row r="2116" spans="24:44">
      <c r="X2116"/>
      <c r="Y2116"/>
      <c r="Z2116"/>
      <c r="AA2116"/>
      <c r="AC2116"/>
      <c r="AR2116"/>
    </row>
    <row r="2117" spans="24:44">
      <c r="X2117"/>
      <c r="Y2117"/>
      <c r="Z2117"/>
      <c r="AA2117"/>
      <c r="AC2117"/>
      <c r="AR2117"/>
    </row>
    <row r="2118" spans="24:44">
      <c r="X2118"/>
      <c r="Y2118"/>
      <c r="Z2118"/>
      <c r="AA2118"/>
      <c r="AC2118"/>
      <c r="AR2118"/>
    </row>
    <row r="2119" spans="24:44">
      <c r="X2119"/>
      <c r="Y2119"/>
      <c r="Z2119"/>
      <c r="AA2119"/>
      <c r="AC2119"/>
      <c r="AR2119"/>
    </row>
    <row r="2120" spans="24:44">
      <c r="X2120"/>
      <c r="Y2120"/>
      <c r="Z2120"/>
      <c r="AA2120"/>
      <c r="AC2120"/>
      <c r="AR2120"/>
    </row>
    <row r="2121" spans="24:44">
      <c r="X2121"/>
      <c r="Y2121"/>
      <c r="Z2121"/>
      <c r="AA2121"/>
      <c r="AC2121"/>
      <c r="AR2121"/>
    </row>
    <row r="2122" spans="24:44">
      <c r="X2122"/>
      <c r="Y2122"/>
      <c r="Z2122"/>
      <c r="AA2122"/>
      <c r="AC2122"/>
      <c r="AR2122"/>
    </row>
    <row r="2123" spans="24:44">
      <c r="X2123"/>
      <c r="Y2123"/>
      <c r="Z2123"/>
      <c r="AA2123"/>
      <c r="AC2123"/>
      <c r="AR2123"/>
    </row>
    <row r="2124" spans="24:44">
      <c r="X2124"/>
      <c r="Y2124"/>
      <c r="Z2124"/>
      <c r="AA2124"/>
      <c r="AC2124"/>
      <c r="AR2124"/>
    </row>
    <row r="2125" spans="24:44">
      <c r="X2125"/>
      <c r="Y2125"/>
      <c r="Z2125"/>
      <c r="AA2125"/>
      <c r="AC2125"/>
      <c r="AR2125"/>
    </row>
    <row r="2126" spans="24:44">
      <c r="X2126"/>
      <c r="Y2126"/>
      <c r="Z2126"/>
      <c r="AA2126"/>
      <c r="AC2126"/>
      <c r="AR2126"/>
    </row>
    <row r="2127" spans="24:44">
      <c r="X2127"/>
      <c r="Y2127"/>
      <c r="Z2127"/>
      <c r="AA2127"/>
      <c r="AC2127"/>
      <c r="AR2127"/>
    </row>
    <row r="2128" spans="24:44">
      <c r="X2128"/>
      <c r="Y2128"/>
      <c r="Z2128"/>
      <c r="AA2128"/>
      <c r="AC2128"/>
      <c r="AR2128"/>
    </row>
    <row r="2129" spans="24:44">
      <c r="X2129"/>
      <c r="Y2129"/>
      <c r="Z2129"/>
      <c r="AA2129"/>
      <c r="AC2129"/>
      <c r="AR2129"/>
    </row>
    <row r="2130" spans="24:44">
      <c r="X2130"/>
      <c r="Y2130"/>
      <c r="Z2130"/>
      <c r="AA2130"/>
      <c r="AC2130"/>
      <c r="AR2130"/>
    </row>
    <row r="2131" spans="24:44">
      <c r="X2131"/>
      <c r="Y2131"/>
      <c r="Z2131"/>
      <c r="AA2131"/>
      <c r="AC2131"/>
      <c r="AR2131"/>
    </row>
    <row r="2132" spans="24:44">
      <c r="X2132"/>
      <c r="Y2132"/>
      <c r="Z2132"/>
      <c r="AA2132"/>
      <c r="AC2132"/>
      <c r="AR2132"/>
    </row>
    <row r="2133" spans="24:44">
      <c r="X2133"/>
      <c r="Y2133"/>
      <c r="Z2133"/>
      <c r="AA2133"/>
      <c r="AC2133"/>
      <c r="AR2133"/>
    </row>
    <row r="2134" spans="24:44">
      <c r="X2134"/>
      <c r="Y2134"/>
      <c r="Z2134"/>
      <c r="AA2134"/>
      <c r="AC2134"/>
      <c r="AR2134"/>
    </row>
    <row r="2135" spans="24:44">
      <c r="X2135"/>
      <c r="Y2135"/>
      <c r="Z2135"/>
      <c r="AA2135"/>
      <c r="AC2135"/>
      <c r="AR2135"/>
    </row>
    <row r="2136" spans="24:44">
      <c r="X2136"/>
      <c r="Y2136"/>
      <c r="Z2136"/>
      <c r="AA2136"/>
      <c r="AC2136"/>
      <c r="AR2136"/>
    </row>
    <row r="2137" spans="24:44">
      <c r="X2137"/>
      <c r="Y2137"/>
      <c r="Z2137"/>
      <c r="AA2137"/>
      <c r="AC2137"/>
      <c r="AR2137"/>
    </row>
    <row r="2138" spans="24:44">
      <c r="X2138"/>
      <c r="Y2138"/>
      <c r="Z2138"/>
      <c r="AA2138"/>
      <c r="AC2138"/>
      <c r="AR2138"/>
    </row>
    <row r="2139" spans="24:44">
      <c r="X2139"/>
      <c r="Y2139"/>
      <c r="Z2139"/>
      <c r="AA2139"/>
      <c r="AC2139"/>
      <c r="AR2139"/>
    </row>
    <row r="2140" spans="24:44">
      <c r="X2140"/>
      <c r="Y2140"/>
      <c r="Z2140"/>
      <c r="AA2140"/>
      <c r="AC2140"/>
      <c r="AR2140"/>
    </row>
    <row r="2141" spans="24:44">
      <c r="X2141"/>
      <c r="Y2141"/>
      <c r="Z2141"/>
      <c r="AA2141"/>
      <c r="AC2141"/>
      <c r="AR2141"/>
    </row>
    <row r="2142" spans="24:44">
      <c r="X2142"/>
      <c r="Y2142"/>
      <c r="Z2142"/>
      <c r="AA2142"/>
      <c r="AC2142"/>
      <c r="AR2142"/>
    </row>
    <row r="2143" spans="24:44">
      <c r="X2143"/>
      <c r="Y2143"/>
      <c r="Z2143"/>
      <c r="AA2143"/>
      <c r="AC2143"/>
      <c r="AR2143"/>
    </row>
    <row r="2144" spans="24:44">
      <c r="X2144"/>
      <c r="Y2144"/>
      <c r="Z2144"/>
      <c r="AA2144"/>
      <c r="AC2144"/>
      <c r="AR2144"/>
    </row>
    <row r="2145" spans="24:44">
      <c r="X2145"/>
      <c r="Y2145"/>
      <c r="Z2145"/>
      <c r="AA2145"/>
      <c r="AC2145"/>
      <c r="AR2145"/>
    </row>
    <row r="2146" spans="24:44">
      <c r="X2146"/>
      <c r="Y2146"/>
      <c r="Z2146"/>
      <c r="AA2146"/>
      <c r="AC2146"/>
      <c r="AR2146"/>
    </row>
    <row r="2147" spans="24:44">
      <c r="X2147"/>
      <c r="Y2147"/>
      <c r="Z2147"/>
      <c r="AA2147"/>
      <c r="AC2147"/>
      <c r="AR2147"/>
    </row>
    <row r="2148" spans="24:44">
      <c r="X2148"/>
      <c r="Y2148"/>
      <c r="Z2148"/>
      <c r="AA2148"/>
      <c r="AC2148"/>
      <c r="AR2148"/>
    </row>
    <row r="2149" spans="24:44">
      <c r="X2149"/>
      <c r="Y2149"/>
      <c r="Z2149"/>
      <c r="AA2149"/>
      <c r="AC2149"/>
      <c r="AR2149"/>
    </row>
    <row r="2150" spans="24:44">
      <c r="X2150"/>
      <c r="Y2150"/>
      <c r="Z2150"/>
      <c r="AA2150"/>
      <c r="AC2150"/>
      <c r="AR2150"/>
    </row>
    <row r="2151" spans="24:44">
      <c r="X2151"/>
      <c r="Y2151"/>
      <c r="Z2151"/>
      <c r="AA2151"/>
      <c r="AC2151"/>
      <c r="AR2151"/>
    </row>
    <row r="2152" spans="24:44">
      <c r="X2152"/>
      <c r="Y2152"/>
      <c r="Z2152"/>
      <c r="AA2152"/>
      <c r="AC2152"/>
      <c r="AR2152"/>
    </row>
    <row r="2153" spans="24:44">
      <c r="X2153"/>
      <c r="Y2153"/>
      <c r="Z2153"/>
      <c r="AA2153"/>
      <c r="AC2153"/>
      <c r="AR2153"/>
    </row>
    <row r="2154" spans="24:44">
      <c r="X2154"/>
      <c r="Y2154"/>
      <c r="Z2154"/>
      <c r="AA2154"/>
      <c r="AC2154"/>
      <c r="AR2154"/>
    </row>
    <row r="2155" spans="24:44">
      <c r="X2155"/>
      <c r="Y2155"/>
      <c r="Z2155"/>
      <c r="AA2155"/>
      <c r="AC2155"/>
      <c r="AR2155"/>
    </row>
    <row r="2156" spans="24:44">
      <c r="X2156"/>
      <c r="Y2156"/>
      <c r="Z2156"/>
      <c r="AA2156"/>
      <c r="AC2156"/>
      <c r="AR2156"/>
    </row>
    <row r="2157" spans="24:44">
      <c r="X2157"/>
      <c r="Y2157"/>
      <c r="Z2157"/>
      <c r="AA2157"/>
      <c r="AC2157"/>
      <c r="AR2157"/>
    </row>
    <row r="2158" spans="24:44">
      <c r="X2158"/>
      <c r="Y2158"/>
      <c r="Z2158"/>
      <c r="AA2158"/>
      <c r="AC2158"/>
      <c r="AR2158"/>
    </row>
    <row r="2159" spans="24:44">
      <c r="X2159"/>
      <c r="Y2159"/>
      <c r="Z2159"/>
      <c r="AA2159"/>
      <c r="AC2159"/>
      <c r="AR2159"/>
    </row>
    <row r="2160" spans="24:44">
      <c r="X2160"/>
      <c r="Y2160"/>
      <c r="Z2160"/>
      <c r="AA2160"/>
      <c r="AC2160"/>
      <c r="AR2160"/>
    </row>
    <row r="2161" spans="24:44">
      <c r="X2161"/>
      <c r="Y2161"/>
      <c r="Z2161"/>
      <c r="AA2161"/>
      <c r="AC2161"/>
      <c r="AR2161"/>
    </row>
    <row r="2162" spans="24:44">
      <c r="X2162"/>
      <c r="Y2162"/>
      <c r="Z2162"/>
      <c r="AA2162"/>
      <c r="AC2162"/>
      <c r="AR2162"/>
    </row>
    <row r="2163" spans="24:44">
      <c r="X2163"/>
      <c r="Y2163"/>
      <c r="Z2163"/>
      <c r="AA2163"/>
      <c r="AC2163"/>
      <c r="AR2163"/>
    </row>
    <row r="2164" spans="24:44">
      <c r="X2164"/>
      <c r="Y2164"/>
      <c r="Z2164"/>
      <c r="AA2164"/>
      <c r="AC2164"/>
      <c r="AR2164"/>
    </row>
    <row r="2165" spans="24:44">
      <c r="X2165"/>
      <c r="Y2165"/>
      <c r="Z2165"/>
      <c r="AA2165"/>
      <c r="AC2165"/>
      <c r="AR2165"/>
    </row>
    <row r="2166" spans="24:44">
      <c r="X2166"/>
      <c r="Y2166"/>
      <c r="Z2166"/>
      <c r="AA2166"/>
      <c r="AC2166"/>
      <c r="AR2166"/>
    </row>
    <row r="2167" spans="24:44">
      <c r="X2167"/>
      <c r="Y2167"/>
      <c r="Z2167"/>
      <c r="AA2167"/>
      <c r="AC2167"/>
      <c r="AR2167"/>
    </row>
    <row r="2168" spans="24:44">
      <c r="X2168"/>
      <c r="Y2168"/>
      <c r="Z2168"/>
      <c r="AA2168"/>
      <c r="AC2168"/>
      <c r="AR2168"/>
    </row>
    <row r="2169" spans="24:44">
      <c r="X2169"/>
      <c r="Y2169"/>
      <c r="Z2169"/>
      <c r="AA2169"/>
      <c r="AC2169"/>
      <c r="AR2169"/>
    </row>
    <row r="2170" spans="24:44">
      <c r="X2170"/>
      <c r="Y2170"/>
      <c r="Z2170"/>
      <c r="AA2170"/>
      <c r="AC2170"/>
      <c r="AR2170"/>
    </row>
    <row r="2171" spans="24:44">
      <c r="X2171"/>
      <c r="Y2171"/>
      <c r="Z2171"/>
      <c r="AA2171"/>
      <c r="AC2171"/>
      <c r="AR2171"/>
    </row>
    <row r="2172" spans="24:44">
      <c r="X2172"/>
      <c r="Y2172"/>
      <c r="Z2172"/>
      <c r="AA2172"/>
      <c r="AC2172"/>
      <c r="AR2172"/>
    </row>
    <row r="2173" spans="24:44">
      <c r="X2173"/>
      <c r="Y2173"/>
      <c r="Z2173"/>
      <c r="AA2173"/>
      <c r="AC2173"/>
      <c r="AR2173"/>
    </row>
    <row r="2174" spans="24:44">
      <c r="X2174"/>
      <c r="Y2174"/>
      <c r="Z2174"/>
      <c r="AA2174"/>
      <c r="AC2174"/>
      <c r="AR2174"/>
    </row>
    <row r="2175" spans="24:44">
      <c r="X2175"/>
      <c r="Y2175"/>
      <c r="Z2175"/>
      <c r="AA2175"/>
      <c r="AC2175"/>
      <c r="AR2175"/>
    </row>
    <row r="2176" spans="24:44">
      <c r="X2176"/>
      <c r="Y2176"/>
      <c r="Z2176"/>
      <c r="AA2176"/>
      <c r="AC2176"/>
      <c r="AR2176"/>
    </row>
    <row r="2177" spans="24:44">
      <c r="X2177"/>
      <c r="Y2177"/>
      <c r="Z2177"/>
      <c r="AA2177"/>
      <c r="AC2177"/>
      <c r="AR2177"/>
    </row>
    <row r="2178" spans="24:44">
      <c r="X2178"/>
      <c r="Y2178"/>
      <c r="Z2178"/>
      <c r="AA2178"/>
      <c r="AC2178"/>
      <c r="AR2178"/>
    </row>
    <row r="2179" spans="24:44">
      <c r="X2179"/>
      <c r="Y2179"/>
      <c r="Z2179"/>
      <c r="AA2179"/>
      <c r="AC2179"/>
      <c r="AR2179"/>
    </row>
    <row r="2180" spans="24:44">
      <c r="X2180"/>
      <c r="Y2180"/>
      <c r="Z2180"/>
      <c r="AA2180"/>
      <c r="AC2180"/>
      <c r="AR2180"/>
    </row>
    <row r="2181" spans="24:44">
      <c r="X2181"/>
      <c r="Y2181"/>
      <c r="Z2181"/>
      <c r="AA2181"/>
      <c r="AC2181"/>
      <c r="AR2181"/>
    </row>
    <row r="2182" spans="24:44">
      <c r="X2182"/>
      <c r="Y2182"/>
      <c r="Z2182"/>
      <c r="AA2182"/>
      <c r="AC2182"/>
      <c r="AR2182"/>
    </row>
    <row r="2183" spans="24:44">
      <c r="X2183"/>
      <c r="Y2183"/>
      <c r="Z2183"/>
      <c r="AA2183"/>
      <c r="AC2183"/>
      <c r="AR2183"/>
    </row>
    <row r="2184" spans="24:44">
      <c r="X2184"/>
      <c r="Y2184"/>
      <c r="Z2184"/>
      <c r="AA2184"/>
      <c r="AC2184"/>
      <c r="AR2184"/>
    </row>
    <row r="2185" spans="24:44">
      <c r="X2185"/>
      <c r="Y2185"/>
      <c r="Z2185"/>
      <c r="AA2185"/>
      <c r="AC2185"/>
      <c r="AR2185"/>
    </row>
    <row r="2186" spans="24:44">
      <c r="X2186"/>
      <c r="Y2186"/>
      <c r="Z2186"/>
      <c r="AA2186"/>
      <c r="AC2186"/>
      <c r="AR2186"/>
    </row>
    <row r="2187" spans="24:44">
      <c r="X2187"/>
      <c r="Y2187"/>
      <c r="Z2187"/>
      <c r="AA2187"/>
      <c r="AC2187"/>
      <c r="AR2187"/>
    </row>
    <row r="2188" spans="24:44">
      <c r="X2188"/>
      <c r="Y2188"/>
      <c r="Z2188"/>
      <c r="AA2188"/>
      <c r="AC2188"/>
      <c r="AR2188"/>
    </row>
    <row r="2189" spans="24:44">
      <c r="X2189"/>
      <c r="Y2189"/>
      <c r="Z2189"/>
      <c r="AA2189"/>
      <c r="AC2189"/>
      <c r="AR2189"/>
    </row>
    <row r="2190" spans="24:44">
      <c r="X2190"/>
      <c r="Y2190"/>
      <c r="Z2190"/>
      <c r="AA2190"/>
      <c r="AC2190"/>
      <c r="AR2190"/>
    </row>
    <row r="2191" spans="24:44">
      <c r="X2191"/>
      <c r="Y2191"/>
      <c r="Z2191"/>
      <c r="AA2191"/>
      <c r="AC2191"/>
      <c r="AR2191"/>
    </row>
    <row r="2192" spans="24:44">
      <c r="X2192"/>
      <c r="Y2192"/>
      <c r="Z2192"/>
      <c r="AA2192"/>
      <c r="AC2192"/>
      <c r="AR2192"/>
    </row>
    <row r="2193" spans="24:44">
      <c r="X2193"/>
      <c r="Y2193"/>
      <c r="Z2193"/>
      <c r="AA2193"/>
      <c r="AC2193"/>
      <c r="AR2193"/>
    </row>
    <row r="2194" spans="24:44">
      <c r="X2194"/>
      <c r="Y2194"/>
      <c r="Z2194"/>
      <c r="AA2194"/>
      <c r="AC2194"/>
      <c r="AR2194"/>
    </row>
    <row r="2195" spans="24:44">
      <c r="X2195"/>
      <c r="Y2195"/>
      <c r="Z2195"/>
      <c r="AA2195"/>
      <c r="AC2195"/>
      <c r="AR2195"/>
    </row>
    <row r="2196" spans="24:44">
      <c r="X2196"/>
      <c r="Y2196"/>
      <c r="Z2196"/>
      <c r="AA2196"/>
      <c r="AC2196"/>
      <c r="AR2196"/>
    </row>
    <row r="2197" spans="24:44">
      <c r="X2197"/>
      <c r="Y2197"/>
      <c r="Z2197"/>
      <c r="AA2197"/>
      <c r="AC2197"/>
      <c r="AR2197"/>
    </row>
    <row r="2198" spans="24:44">
      <c r="X2198"/>
      <c r="Y2198"/>
      <c r="Z2198"/>
      <c r="AA2198"/>
      <c r="AC2198"/>
      <c r="AR2198"/>
    </row>
    <row r="2199" spans="24:44">
      <c r="X2199"/>
      <c r="Y2199"/>
      <c r="Z2199"/>
      <c r="AA2199"/>
      <c r="AC2199"/>
      <c r="AR2199"/>
    </row>
    <row r="2200" spans="24:44">
      <c r="X2200"/>
      <c r="Y2200"/>
      <c r="Z2200"/>
      <c r="AA2200"/>
      <c r="AC2200"/>
      <c r="AR2200"/>
    </row>
    <row r="2201" spans="24:44">
      <c r="X2201"/>
      <c r="Y2201"/>
      <c r="Z2201"/>
      <c r="AA2201"/>
      <c r="AC2201"/>
      <c r="AR2201"/>
    </row>
    <row r="2202" spans="24:44">
      <c r="X2202"/>
      <c r="Y2202"/>
      <c r="Z2202"/>
      <c r="AA2202"/>
      <c r="AC2202"/>
      <c r="AR2202"/>
    </row>
    <row r="2203" spans="24:44">
      <c r="X2203"/>
      <c r="Y2203"/>
      <c r="Z2203"/>
      <c r="AA2203"/>
      <c r="AC2203"/>
      <c r="AR2203"/>
    </row>
    <row r="2204" spans="24:44">
      <c r="X2204"/>
      <c r="Y2204"/>
      <c r="Z2204"/>
      <c r="AA2204"/>
      <c r="AC2204"/>
      <c r="AR2204"/>
    </row>
    <row r="2205" spans="24:44">
      <c r="X2205"/>
      <c r="Y2205"/>
      <c r="Z2205"/>
      <c r="AA2205"/>
      <c r="AC2205"/>
      <c r="AR2205"/>
    </row>
    <row r="2206" spans="24:44">
      <c r="X2206"/>
      <c r="Y2206"/>
      <c r="Z2206"/>
      <c r="AA2206"/>
      <c r="AC2206"/>
      <c r="AR2206"/>
    </row>
    <row r="2207" spans="24:44">
      <c r="X2207"/>
      <c r="Y2207"/>
      <c r="Z2207"/>
      <c r="AA2207"/>
      <c r="AC2207"/>
      <c r="AR2207"/>
    </row>
    <row r="2208" spans="24:44">
      <c r="X2208"/>
      <c r="Y2208"/>
      <c r="Z2208"/>
      <c r="AA2208"/>
      <c r="AC2208"/>
      <c r="AR2208"/>
    </row>
    <row r="2209" spans="24:44">
      <c r="X2209"/>
      <c r="Y2209"/>
      <c r="Z2209"/>
      <c r="AA2209"/>
      <c r="AC2209"/>
      <c r="AR2209"/>
    </row>
    <row r="2210" spans="24:44">
      <c r="X2210"/>
      <c r="Y2210"/>
      <c r="Z2210"/>
      <c r="AA2210"/>
      <c r="AC2210"/>
      <c r="AR2210"/>
    </row>
    <row r="2211" spans="24:44">
      <c r="X2211"/>
      <c r="Y2211"/>
      <c r="Z2211"/>
      <c r="AA2211"/>
      <c r="AC2211"/>
      <c r="AR2211"/>
    </row>
    <row r="2212" spans="24:44">
      <c r="X2212"/>
      <c r="Y2212"/>
      <c r="Z2212"/>
      <c r="AA2212"/>
      <c r="AC2212"/>
      <c r="AR2212"/>
    </row>
    <row r="2213" spans="24:44">
      <c r="X2213"/>
      <c r="Y2213"/>
      <c r="Z2213"/>
      <c r="AA2213"/>
      <c r="AC2213"/>
      <c r="AR2213"/>
    </row>
    <row r="2214" spans="24:44">
      <c r="X2214"/>
      <c r="Y2214"/>
      <c r="Z2214"/>
      <c r="AA2214"/>
      <c r="AC2214"/>
      <c r="AR2214"/>
    </row>
    <row r="2215" spans="24:44">
      <c r="X2215"/>
      <c r="Y2215"/>
      <c r="Z2215"/>
      <c r="AA2215"/>
      <c r="AC2215"/>
      <c r="AR2215"/>
    </row>
    <row r="2216" spans="24:44">
      <c r="X2216"/>
      <c r="Y2216"/>
      <c r="Z2216"/>
      <c r="AA2216"/>
      <c r="AC2216"/>
      <c r="AR2216"/>
    </row>
    <row r="2217" spans="24:44">
      <c r="X2217"/>
      <c r="Y2217"/>
      <c r="Z2217"/>
      <c r="AA2217"/>
      <c r="AC2217"/>
      <c r="AR2217"/>
    </row>
    <row r="2218" spans="24:44">
      <c r="X2218"/>
      <c r="Y2218"/>
      <c r="Z2218"/>
      <c r="AA2218"/>
      <c r="AC2218"/>
      <c r="AR2218"/>
    </row>
    <row r="2219" spans="24:44">
      <c r="X2219"/>
      <c r="Y2219"/>
      <c r="Z2219"/>
      <c r="AA2219"/>
      <c r="AC2219"/>
      <c r="AR2219"/>
    </row>
    <row r="2220" spans="24:44">
      <c r="X2220"/>
      <c r="Y2220"/>
      <c r="Z2220"/>
      <c r="AA2220"/>
      <c r="AC2220"/>
      <c r="AR2220"/>
    </row>
    <row r="2221" spans="24:44">
      <c r="X2221"/>
      <c r="Y2221"/>
      <c r="Z2221"/>
      <c r="AA2221"/>
      <c r="AC2221"/>
      <c r="AR2221"/>
    </row>
    <row r="2222" spans="24:44">
      <c r="X2222"/>
      <c r="Y2222"/>
      <c r="Z2222"/>
      <c r="AA2222"/>
      <c r="AC2222"/>
      <c r="AR2222"/>
    </row>
    <row r="2223" spans="24:44">
      <c r="X2223"/>
      <c r="Y2223"/>
      <c r="Z2223"/>
      <c r="AA2223"/>
      <c r="AC2223"/>
      <c r="AR2223"/>
    </row>
    <row r="2224" spans="24:44">
      <c r="X2224"/>
      <c r="Y2224"/>
      <c r="Z2224"/>
      <c r="AA2224"/>
      <c r="AC2224"/>
      <c r="AR2224"/>
    </row>
    <row r="2225" spans="24:44">
      <c r="X2225"/>
      <c r="Y2225"/>
      <c r="Z2225"/>
      <c r="AA2225"/>
      <c r="AC2225"/>
      <c r="AR2225"/>
    </row>
    <row r="2226" spans="24:44">
      <c r="X2226"/>
      <c r="Y2226"/>
      <c r="Z2226"/>
      <c r="AA2226"/>
      <c r="AC2226"/>
      <c r="AR2226"/>
    </row>
    <row r="2227" spans="24:44">
      <c r="X2227"/>
      <c r="Y2227"/>
      <c r="Z2227"/>
      <c r="AA2227"/>
      <c r="AC2227"/>
      <c r="AR2227"/>
    </row>
    <row r="2228" spans="24:44">
      <c r="X2228"/>
      <c r="Y2228"/>
      <c r="Z2228"/>
      <c r="AA2228"/>
      <c r="AC2228"/>
      <c r="AR2228"/>
    </row>
    <row r="2229" spans="24:44">
      <c r="X2229"/>
      <c r="Y2229"/>
      <c r="Z2229"/>
      <c r="AA2229"/>
      <c r="AC2229"/>
      <c r="AR2229"/>
    </row>
    <row r="2230" spans="24:44">
      <c r="X2230"/>
      <c r="Y2230"/>
      <c r="Z2230"/>
      <c r="AA2230"/>
      <c r="AC2230"/>
      <c r="AR2230"/>
    </row>
    <row r="2231" spans="24:44">
      <c r="X2231"/>
      <c r="Y2231"/>
      <c r="Z2231"/>
      <c r="AA2231"/>
      <c r="AC2231"/>
      <c r="AR2231"/>
    </row>
    <row r="2232" spans="24:44">
      <c r="X2232"/>
      <c r="Y2232"/>
      <c r="Z2232"/>
      <c r="AA2232"/>
      <c r="AC2232"/>
      <c r="AR2232"/>
    </row>
    <row r="2233" spans="24:44">
      <c r="X2233"/>
      <c r="Y2233"/>
      <c r="Z2233"/>
      <c r="AA2233"/>
      <c r="AC2233"/>
      <c r="AR2233"/>
    </row>
    <row r="2234" spans="24:44">
      <c r="X2234"/>
      <c r="Y2234"/>
      <c r="Z2234"/>
      <c r="AA2234"/>
      <c r="AC2234"/>
      <c r="AR2234"/>
    </row>
    <row r="2235" spans="24:44">
      <c r="X2235"/>
      <c r="Y2235"/>
      <c r="Z2235"/>
      <c r="AA2235"/>
      <c r="AC2235"/>
      <c r="AR2235"/>
    </row>
    <row r="2236" spans="24:44">
      <c r="X2236"/>
      <c r="Y2236"/>
      <c r="Z2236"/>
      <c r="AA2236"/>
      <c r="AC2236"/>
      <c r="AR2236"/>
    </row>
    <row r="2237" spans="24:44">
      <c r="X2237"/>
      <c r="Y2237"/>
      <c r="Z2237"/>
      <c r="AA2237"/>
      <c r="AC2237"/>
      <c r="AR2237"/>
    </row>
    <row r="2238" spans="24:44">
      <c r="X2238"/>
      <c r="Y2238"/>
      <c r="Z2238"/>
      <c r="AA2238"/>
      <c r="AC2238"/>
      <c r="AR2238"/>
    </row>
    <row r="2239" spans="24:44">
      <c r="X2239"/>
      <c r="Y2239"/>
      <c r="Z2239"/>
      <c r="AA2239"/>
      <c r="AC2239"/>
      <c r="AR2239"/>
    </row>
    <row r="2240" spans="24:44">
      <c r="X2240"/>
      <c r="Y2240"/>
      <c r="Z2240"/>
      <c r="AA2240"/>
      <c r="AC2240"/>
      <c r="AR2240"/>
    </row>
    <row r="2241" spans="24:44">
      <c r="X2241"/>
      <c r="Y2241"/>
      <c r="Z2241"/>
      <c r="AA2241"/>
      <c r="AC2241"/>
      <c r="AR2241"/>
    </row>
    <row r="2242" spans="24:44">
      <c r="X2242"/>
      <c r="Y2242"/>
      <c r="Z2242"/>
      <c r="AA2242"/>
      <c r="AC2242"/>
      <c r="AR2242"/>
    </row>
    <row r="2243" spans="24:44">
      <c r="X2243"/>
      <c r="Y2243"/>
      <c r="Z2243"/>
      <c r="AA2243"/>
      <c r="AC2243"/>
      <c r="AR2243"/>
    </row>
    <row r="2244" spans="24:44">
      <c r="X2244"/>
      <c r="Y2244"/>
      <c r="Z2244"/>
      <c r="AA2244"/>
      <c r="AC2244"/>
      <c r="AR2244"/>
    </row>
    <row r="2245" spans="24:44">
      <c r="X2245"/>
      <c r="Y2245"/>
      <c r="Z2245"/>
      <c r="AA2245"/>
      <c r="AC2245"/>
      <c r="AR2245"/>
    </row>
    <row r="2246" spans="24:44">
      <c r="X2246"/>
      <c r="Y2246"/>
      <c r="Z2246"/>
      <c r="AA2246"/>
      <c r="AC2246"/>
      <c r="AR2246"/>
    </row>
    <row r="2247" spans="24:44">
      <c r="X2247"/>
      <c r="Y2247"/>
      <c r="Z2247"/>
      <c r="AA2247"/>
      <c r="AC2247"/>
      <c r="AR2247"/>
    </row>
    <row r="2248" spans="24:44">
      <c r="X2248"/>
      <c r="Y2248"/>
      <c r="Z2248"/>
      <c r="AA2248"/>
      <c r="AC2248"/>
      <c r="AR2248"/>
    </row>
    <row r="2249" spans="24:44">
      <c r="X2249"/>
      <c r="Y2249"/>
      <c r="Z2249"/>
      <c r="AA2249"/>
      <c r="AC2249"/>
      <c r="AR2249"/>
    </row>
    <row r="2250" spans="24:44">
      <c r="X2250"/>
      <c r="Y2250"/>
      <c r="Z2250"/>
      <c r="AA2250"/>
      <c r="AC2250"/>
      <c r="AR2250"/>
    </row>
    <row r="2251" spans="24:44">
      <c r="X2251"/>
      <c r="Y2251"/>
      <c r="Z2251"/>
      <c r="AA2251"/>
      <c r="AC2251"/>
      <c r="AR2251"/>
    </row>
    <row r="2252" spans="24:44">
      <c r="X2252"/>
      <c r="Y2252"/>
      <c r="Z2252"/>
      <c r="AA2252"/>
      <c r="AC2252"/>
      <c r="AR2252"/>
    </row>
    <row r="2253" spans="24:44">
      <c r="X2253"/>
      <c r="Y2253"/>
      <c r="Z2253"/>
      <c r="AA2253"/>
      <c r="AC2253"/>
      <c r="AR2253"/>
    </row>
    <row r="2254" spans="24:44">
      <c r="X2254"/>
      <c r="Y2254"/>
      <c r="Z2254"/>
      <c r="AA2254"/>
      <c r="AC2254"/>
      <c r="AR2254"/>
    </row>
    <row r="2255" spans="24:44">
      <c r="X2255"/>
      <c r="Y2255"/>
      <c r="Z2255"/>
      <c r="AA2255"/>
      <c r="AC2255"/>
      <c r="AR2255"/>
    </row>
    <row r="2256" spans="24:44">
      <c r="X2256"/>
      <c r="Y2256"/>
      <c r="Z2256"/>
      <c r="AA2256"/>
      <c r="AC2256"/>
      <c r="AR2256"/>
    </row>
    <row r="2257" spans="24:44">
      <c r="X2257"/>
      <c r="Y2257"/>
      <c r="Z2257"/>
      <c r="AA2257"/>
      <c r="AC2257"/>
      <c r="AR2257"/>
    </row>
    <row r="2258" spans="24:44">
      <c r="X2258"/>
      <c r="Y2258"/>
      <c r="Z2258"/>
      <c r="AA2258"/>
      <c r="AC2258"/>
      <c r="AR2258"/>
    </row>
    <row r="2259" spans="24:44">
      <c r="X2259"/>
      <c r="Y2259"/>
      <c r="Z2259"/>
      <c r="AA2259"/>
      <c r="AC2259"/>
      <c r="AR2259"/>
    </row>
    <row r="2260" spans="24:44">
      <c r="X2260"/>
      <c r="Y2260"/>
      <c r="Z2260"/>
      <c r="AA2260"/>
      <c r="AC2260"/>
      <c r="AR2260"/>
    </row>
    <row r="2261" spans="24:44">
      <c r="X2261"/>
      <c r="Y2261"/>
      <c r="Z2261"/>
      <c r="AA2261"/>
      <c r="AC2261"/>
      <c r="AR2261"/>
    </row>
    <row r="2262" spans="24:44">
      <c r="X2262"/>
      <c r="Y2262"/>
      <c r="Z2262"/>
      <c r="AA2262"/>
      <c r="AC2262"/>
      <c r="AR2262"/>
    </row>
    <row r="2263" spans="24:44">
      <c r="X2263"/>
      <c r="Y2263"/>
      <c r="Z2263"/>
      <c r="AA2263"/>
      <c r="AC2263"/>
      <c r="AR2263"/>
    </row>
    <row r="2264" spans="24:44">
      <c r="X2264"/>
      <c r="Y2264"/>
      <c r="Z2264"/>
      <c r="AA2264"/>
      <c r="AC2264"/>
      <c r="AR2264"/>
    </row>
    <row r="2265" spans="24:44">
      <c r="X2265"/>
      <c r="Y2265"/>
      <c r="Z2265"/>
      <c r="AA2265"/>
      <c r="AC2265"/>
      <c r="AR2265"/>
    </row>
    <row r="2266" spans="24:44">
      <c r="X2266"/>
      <c r="Y2266"/>
      <c r="Z2266"/>
      <c r="AA2266"/>
      <c r="AC2266"/>
      <c r="AR2266"/>
    </row>
    <row r="2267" spans="24:44">
      <c r="X2267"/>
      <c r="Y2267"/>
      <c r="Z2267"/>
      <c r="AA2267"/>
      <c r="AC2267"/>
      <c r="AR2267"/>
    </row>
    <row r="2268" spans="24:44">
      <c r="X2268"/>
      <c r="Y2268"/>
      <c r="Z2268"/>
      <c r="AA2268"/>
      <c r="AC2268"/>
      <c r="AR2268"/>
    </row>
    <row r="2269" spans="24:44">
      <c r="X2269"/>
      <c r="Y2269"/>
      <c r="Z2269"/>
      <c r="AA2269"/>
      <c r="AC2269"/>
      <c r="AR2269"/>
    </row>
    <row r="2270" spans="24:44">
      <c r="X2270"/>
      <c r="Y2270"/>
      <c r="Z2270"/>
      <c r="AA2270"/>
      <c r="AC2270"/>
      <c r="AR2270"/>
    </row>
    <row r="2271" spans="24:44">
      <c r="X2271"/>
      <c r="Y2271"/>
      <c r="Z2271"/>
      <c r="AA2271"/>
      <c r="AC2271"/>
      <c r="AR2271"/>
    </row>
    <row r="2272" spans="24:44">
      <c r="X2272"/>
      <c r="Y2272"/>
      <c r="Z2272"/>
      <c r="AA2272"/>
      <c r="AC2272"/>
      <c r="AR2272"/>
    </row>
    <row r="2273" spans="24:44">
      <c r="X2273"/>
      <c r="Y2273"/>
      <c r="Z2273"/>
      <c r="AA2273"/>
      <c r="AC2273"/>
      <c r="AR2273"/>
    </row>
    <row r="2274" spans="24:44">
      <c r="X2274"/>
      <c r="Y2274"/>
      <c r="Z2274"/>
      <c r="AA2274"/>
      <c r="AC2274"/>
      <c r="AR2274"/>
    </row>
    <row r="2275" spans="24:44">
      <c r="X2275"/>
      <c r="Y2275"/>
      <c r="Z2275"/>
      <c r="AA2275"/>
      <c r="AC2275"/>
      <c r="AR2275"/>
    </row>
    <row r="2276" spans="24:44">
      <c r="X2276"/>
      <c r="Y2276"/>
      <c r="Z2276"/>
      <c r="AA2276"/>
      <c r="AC2276"/>
      <c r="AR2276"/>
    </row>
    <row r="2277" spans="24:44">
      <c r="X2277"/>
      <c r="Y2277"/>
      <c r="Z2277"/>
      <c r="AA2277"/>
      <c r="AC2277"/>
      <c r="AR2277"/>
    </row>
    <row r="2278" spans="24:44">
      <c r="X2278"/>
      <c r="Y2278"/>
      <c r="Z2278"/>
      <c r="AA2278"/>
      <c r="AC2278"/>
      <c r="AR2278"/>
    </row>
    <row r="2279" spans="24:44">
      <c r="X2279"/>
      <c r="Y2279"/>
      <c r="Z2279"/>
      <c r="AA2279"/>
      <c r="AC2279"/>
      <c r="AR2279"/>
    </row>
    <row r="2280" spans="24:44">
      <c r="X2280"/>
      <c r="Y2280"/>
      <c r="Z2280"/>
      <c r="AA2280"/>
      <c r="AC2280"/>
      <c r="AR2280"/>
    </row>
    <row r="2281" spans="24:44">
      <c r="X2281"/>
      <c r="Y2281"/>
      <c r="Z2281"/>
      <c r="AA2281"/>
      <c r="AC2281"/>
      <c r="AR2281"/>
    </row>
    <row r="2282" spans="24:44">
      <c r="X2282"/>
      <c r="Y2282"/>
      <c r="Z2282"/>
      <c r="AA2282"/>
      <c r="AC2282"/>
      <c r="AR2282"/>
    </row>
    <row r="2283" spans="24:44">
      <c r="X2283"/>
      <c r="Y2283"/>
      <c r="Z2283"/>
      <c r="AA2283"/>
      <c r="AC2283"/>
      <c r="AR2283"/>
    </row>
    <row r="2284" spans="24:44">
      <c r="X2284"/>
      <c r="Y2284"/>
      <c r="Z2284"/>
      <c r="AA2284"/>
      <c r="AC2284"/>
      <c r="AR2284"/>
    </row>
    <row r="2285" spans="24:44">
      <c r="X2285"/>
      <c r="Y2285"/>
      <c r="Z2285"/>
      <c r="AA2285"/>
      <c r="AC2285"/>
      <c r="AR2285"/>
    </row>
    <row r="2286" spans="24:44">
      <c r="X2286"/>
      <c r="Y2286"/>
      <c r="Z2286"/>
      <c r="AA2286"/>
      <c r="AC2286"/>
      <c r="AR2286"/>
    </row>
    <row r="2287" spans="24:44">
      <c r="X2287"/>
      <c r="Y2287"/>
      <c r="Z2287"/>
      <c r="AA2287"/>
      <c r="AC2287"/>
      <c r="AR2287"/>
    </row>
    <row r="2288" spans="24:44">
      <c r="X2288"/>
      <c r="Y2288"/>
      <c r="Z2288"/>
      <c r="AA2288"/>
      <c r="AC2288"/>
      <c r="AR2288"/>
    </row>
    <row r="2289" spans="24:44">
      <c r="X2289"/>
      <c r="Y2289"/>
      <c r="Z2289"/>
      <c r="AA2289"/>
      <c r="AC2289"/>
      <c r="AR2289"/>
    </row>
    <row r="2290" spans="24:44">
      <c r="X2290"/>
      <c r="Y2290"/>
      <c r="Z2290"/>
      <c r="AA2290"/>
      <c r="AC2290"/>
      <c r="AR2290"/>
    </row>
    <row r="2291" spans="24:44">
      <c r="X2291"/>
      <c r="Y2291"/>
      <c r="Z2291"/>
      <c r="AA2291"/>
      <c r="AC2291"/>
      <c r="AR2291"/>
    </row>
    <row r="2292" spans="24:44">
      <c r="X2292"/>
      <c r="Y2292"/>
      <c r="Z2292"/>
      <c r="AA2292"/>
      <c r="AC2292"/>
      <c r="AR2292"/>
    </row>
    <row r="2293" spans="24:44">
      <c r="X2293"/>
      <c r="Y2293"/>
      <c r="Z2293"/>
      <c r="AA2293"/>
      <c r="AC2293"/>
      <c r="AR2293"/>
    </row>
    <row r="2294" spans="24:44">
      <c r="X2294"/>
      <c r="Y2294"/>
      <c r="Z2294"/>
      <c r="AA2294"/>
      <c r="AC2294"/>
      <c r="AR2294"/>
    </row>
    <row r="2295" spans="24:44">
      <c r="X2295"/>
      <c r="Y2295"/>
      <c r="Z2295"/>
      <c r="AA2295"/>
      <c r="AC2295"/>
      <c r="AR2295"/>
    </row>
    <row r="2296" spans="24:44">
      <c r="X2296"/>
      <c r="Y2296"/>
      <c r="Z2296"/>
      <c r="AA2296"/>
      <c r="AC2296"/>
      <c r="AR2296"/>
    </row>
    <row r="2297" spans="24:44">
      <c r="X2297"/>
      <c r="Y2297"/>
      <c r="Z2297"/>
      <c r="AA2297"/>
      <c r="AC2297"/>
      <c r="AR2297"/>
    </row>
    <row r="2298" spans="24:44">
      <c r="X2298"/>
      <c r="Y2298"/>
      <c r="Z2298"/>
      <c r="AA2298"/>
      <c r="AC2298"/>
      <c r="AR2298"/>
    </row>
    <row r="2299" spans="24:44">
      <c r="X2299"/>
      <c r="Y2299"/>
      <c r="Z2299"/>
      <c r="AA2299"/>
      <c r="AC2299"/>
      <c r="AR2299"/>
    </row>
    <row r="2300" spans="24:44">
      <c r="X2300"/>
      <c r="Y2300"/>
      <c r="Z2300"/>
      <c r="AA2300"/>
      <c r="AC2300"/>
      <c r="AR2300"/>
    </row>
    <row r="2301" spans="24:44">
      <c r="X2301"/>
      <c r="Y2301"/>
      <c r="Z2301"/>
      <c r="AA2301"/>
      <c r="AC2301"/>
      <c r="AR2301"/>
    </row>
    <row r="2302" spans="24:44">
      <c r="X2302"/>
      <c r="Y2302"/>
      <c r="Z2302"/>
      <c r="AA2302"/>
      <c r="AC2302"/>
      <c r="AR2302"/>
    </row>
    <row r="2303" spans="24:44">
      <c r="X2303"/>
      <c r="Y2303"/>
      <c r="Z2303"/>
      <c r="AA2303"/>
      <c r="AC2303"/>
      <c r="AR2303"/>
    </row>
    <row r="2304" spans="24:44">
      <c r="X2304"/>
      <c r="Y2304"/>
      <c r="Z2304"/>
      <c r="AA2304"/>
      <c r="AC2304"/>
      <c r="AR2304"/>
    </row>
    <row r="2305" spans="24:44">
      <c r="X2305"/>
      <c r="Y2305"/>
      <c r="Z2305"/>
      <c r="AA2305"/>
      <c r="AC2305"/>
      <c r="AR2305"/>
    </row>
    <row r="2306" spans="24:44">
      <c r="X2306"/>
      <c r="Y2306"/>
      <c r="Z2306"/>
      <c r="AA2306"/>
      <c r="AC2306"/>
      <c r="AR2306"/>
    </row>
    <row r="2307" spans="24:44">
      <c r="X2307"/>
      <c r="Y2307"/>
      <c r="Z2307"/>
      <c r="AA2307"/>
      <c r="AC2307"/>
      <c r="AR2307"/>
    </row>
    <row r="2308" spans="24:44">
      <c r="X2308"/>
      <c r="Y2308"/>
      <c r="Z2308"/>
      <c r="AA2308"/>
      <c r="AC2308"/>
      <c r="AR2308"/>
    </row>
    <row r="2309" spans="24:44">
      <c r="X2309"/>
      <c r="Y2309"/>
      <c r="Z2309"/>
      <c r="AA2309"/>
      <c r="AC2309"/>
      <c r="AR2309"/>
    </row>
    <row r="2310" spans="24:44">
      <c r="X2310"/>
      <c r="Y2310"/>
      <c r="Z2310"/>
      <c r="AA2310"/>
      <c r="AC2310"/>
      <c r="AR2310"/>
    </row>
    <row r="2311" spans="24:44">
      <c r="X2311"/>
      <c r="Y2311"/>
      <c r="Z2311"/>
      <c r="AA2311"/>
      <c r="AC2311"/>
      <c r="AR2311"/>
    </row>
    <row r="2312" spans="24:44">
      <c r="X2312"/>
      <c r="Y2312"/>
      <c r="Z2312"/>
      <c r="AA2312"/>
      <c r="AC2312"/>
      <c r="AR2312"/>
    </row>
    <row r="2313" spans="24:44">
      <c r="X2313"/>
      <c r="Y2313"/>
      <c r="Z2313"/>
      <c r="AA2313"/>
      <c r="AC2313"/>
      <c r="AR2313"/>
    </row>
    <row r="2314" spans="24:44">
      <c r="X2314"/>
      <c r="Y2314"/>
      <c r="Z2314"/>
      <c r="AA2314"/>
      <c r="AC2314"/>
      <c r="AR2314"/>
    </row>
    <row r="2315" spans="24:44">
      <c r="X2315"/>
      <c r="Y2315"/>
      <c r="Z2315"/>
      <c r="AA2315"/>
      <c r="AC2315"/>
      <c r="AR2315"/>
    </row>
    <row r="2316" spans="24:44">
      <c r="X2316"/>
      <c r="Y2316"/>
      <c r="Z2316"/>
      <c r="AA2316"/>
      <c r="AC2316"/>
      <c r="AR2316"/>
    </row>
    <row r="2317" spans="24:44">
      <c r="X2317"/>
      <c r="Y2317"/>
      <c r="Z2317"/>
      <c r="AA2317"/>
      <c r="AC2317"/>
      <c r="AR2317"/>
    </row>
    <row r="2318" spans="24:44">
      <c r="X2318"/>
      <c r="Y2318"/>
      <c r="Z2318"/>
      <c r="AA2318"/>
      <c r="AC2318"/>
      <c r="AR2318"/>
    </row>
    <row r="2319" spans="24:44">
      <c r="X2319"/>
      <c r="Y2319"/>
      <c r="Z2319"/>
      <c r="AA2319"/>
      <c r="AC2319"/>
      <c r="AR2319"/>
    </row>
    <row r="2320" spans="24:44">
      <c r="X2320"/>
      <c r="Y2320"/>
      <c r="Z2320"/>
      <c r="AA2320"/>
      <c r="AC2320"/>
      <c r="AR2320"/>
    </row>
    <row r="2321" spans="24:44">
      <c r="X2321"/>
      <c r="Y2321"/>
      <c r="Z2321"/>
      <c r="AA2321"/>
      <c r="AC2321"/>
      <c r="AR2321"/>
    </row>
    <row r="2322" spans="24:44">
      <c r="X2322"/>
      <c r="Y2322"/>
      <c r="Z2322"/>
      <c r="AA2322"/>
      <c r="AC2322"/>
      <c r="AR2322"/>
    </row>
    <row r="2323" spans="24:44">
      <c r="X2323"/>
      <c r="Y2323"/>
      <c r="Z2323"/>
      <c r="AA2323"/>
      <c r="AC2323"/>
      <c r="AR2323"/>
    </row>
    <row r="2324" spans="24:44">
      <c r="X2324"/>
      <c r="Y2324"/>
      <c r="Z2324"/>
      <c r="AA2324"/>
      <c r="AC2324"/>
      <c r="AR2324"/>
    </row>
    <row r="2325" spans="24:44">
      <c r="X2325"/>
      <c r="Y2325"/>
      <c r="Z2325"/>
      <c r="AA2325"/>
      <c r="AC2325"/>
      <c r="AR2325"/>
    </row>
    <row r="2326" spans="24:44">
      <c r="X2326"/>
      <c r="Y2326"/>
      <c r="Z2326"/>
      <c r="AA2326"/>
      <c r="AC2326"/>
      <c r="AR2326"/>
    </row>
    <row r="2327" spans="24:44">
      <c r="X2327"/>
      <c r="Y2327"/>
      <c r="Z2327"/>
      <c r="AA2327"/>
      <c r="AC2327"/>
      <c r="AR2327"/>
    </row>
    <row r="2328" spans="24:44">
      <c r="X2328"/>
      <c r="Y2328"/>
      <c r="Z2328"/>
      <c r="AA2328"/>
      <c r="AC2328"/>
      <c r="AR2328"/>
    </row>
    <row r="2329" spans="24:44">
      <c r="X2329"/>
      <c r="Y2329"/>
      <c r="Z2329"/>
      <c r="AA2329"/>
      <c r="AC2329"/>
      <c r="AR2329"/>
    </row>
    <row r="2330" spans="24:44">
      <c r="X2330"/>
      <c r="Y2330"/>
      <c r="Z2330"/>
      <c r="AA2330"/>
      <c r="AC2330"/>
      <c r="AR2330"/>
    </row>
    <row r="2331" spans="24:44">
      <c r="X2331"/>
      <c r="Y2331"/>
      <c r="Z2331"/>
      <c r="AA2331"/>
      <c r="AC2331"/>
      <c r="AR2331"/>
    </row>
    <row r="2332" spans="24:44">
      <c r="X2332"/>
      <c r="Y2332"/>
      <c r="Z2332"/>
      <c r="AA2332"/>
      <c r="AC2332"/>
      <c r="AR2332"/>
    </row>
    <row r="2333" spans="24:44">
      <c r="X2333"/>
      <c r="Y2333"/>
      <c r="Z2333"/>
      <c r="AA2333"/>
      <c r="AC2333"/>
      <c r="AR2333"/>
    </row>
    <row r="2334" spans="24:44">
      <c r="X2334"/>
      <c r="Y2334"/>
      <c r="Z2334"/>
      <c r="AA2334"/>
      <c r="AC2334"/>
      <c r="AR2334"/>
    </row>
    <row r="2335" spans="24:44">
      <c r="X2335"/>
      <c r="Y2335"/>
      <c r="Z2335"/>
      <c r="AA2335"/>
      <c r="AC2335"/>
      <c r="AR2335"/>
    </row>
    <row r="2336" spans="24:44">
      <c r="X2336"/>
      <c r="Y2336"/>
      <c r="Z2336"/>
      <c r="AA2336"/>
      <c r="AC2336"/>
      <c r="AR2336"/>
    </row>
    <row r="2337" spans="24:44">
      <c r="X2337"/>
      <c r="Y2337"/>
      <c r="Z2337"/>
      <c r="AA2337"/>
      <c r="AC2337"/>
      <c r="AR2337"/>
    </row>
    <row r="2338" spans="24:44">
      <c r="X2338"/>
      <c r="Y2338"/>
      <c r="Z2338"/>
      <c r="AA2338"/>
      <c r="AC2338"/>
      <c r="AR2338"/>
    </row>
    <row r="2339" spans="24:44">
      <c r="X2339"/>
      <c r="Y2339"/>
      <c r="Z2339"/>
      <c r="AA2339"/>
      <c r="AC2339"/>
      <c r="AR2339"/>
    </row>
    <row r="2340" spans="24:44">
      <c r="X2340"/>
      <c r="Y2340"/>
      <c r="Z2340"/>
      <c r="AA2340"/>
      <c r="AC2340"/>
      <c r="AR2340"/>
    </row>
    <row r="2341" spans="24:44">
      <c r="X2341"/>
      <c r="Y2341"/>
      <c r="Z2341"/>
      <c r="AA2341"/>
      <c r="AC2341"/>
      <c r="AR2341"/>
    </row>
    <row r="2342" spans="24:44">
      <c r="X2342"/>
      <c r="Y2342"/>
      <c r="Z2342"/>
      <c r="AA2342"/>
      <c r="AC2342"/>
      <c r="AR2342"/>
    </row>
    <row r="2343" spans="24:44">
      <c r="X2343"/>
      <c r="Y2343"/>
      <c r="Z2343"/>
      <c r="AA2343"/>
      <c r="AC2343"/>
      <c r="AR2343"/>
    </row>
    <row r="2344" spans="24:44">
      <c r="X2344"/>
      <c r="Y2344"/>
      <c r="Z2344"/>
      <c r="AA2344"/>
      <c r="AC2344"/>
      <c r="AR2344"/>
    </row>
    <row r="2345" spans="24:44">
      <c r="X2345"/>
      <c r="Y2345"/>
      <c r="Z2345"/>
      <c r="AA2345"/>
      <c r="AC2345"/>
      <c r="AR2345"/>
    </row>
    <row r="2346" spans="24:44">
      <c r="X2346"/>
      <c r="Y2346"/>
      <c r="Z2346"/>
      <c r="AA2346"/>
      <c r="AC2346"/>
      <c r="AR2346"/>
    </row>
    <row r="2347" spans="24:44">
      <c r="X2347"/>
      <c r="Y2347"/>
      <c r="Z2347"/>
      <c r="AA2347"/>
      <c r="AC2347"/>
      <c r="AR2347"/>
    </row>
    <row r="2348" spans="24:44">
      <c r="X2348"/>
      <c r="Y2348"/>
      <c r="Z2348"/>
      <c r="AA2348"/>
      <c r="AC2348"/>
      <c r="AR2348"/>
    </row>
    <row r="2349" spans="24:44">
      <c r="X2349"/>
      <c r="Y2349"/>
      <c r="Z2349"/>
      <c r="AA2349"/>
      <c r="AC2349"/>
      <c r="AR2349"/>
    </row>
    <row r="2350" spans="24:44">
      <c r="X2350"/>
      <c r="Y2350"/>
      <c r="Z2350"/>
      <c r="AA2350"/>
      <c r="AC2350"/>
      <c r="AR2350"/>
    </row>
    <row r="2351" spans="24:44">
      <c r="X2351"/>
      <c r="Y2351"/>
      <c r="Z2351"/>
      <c r="AA2351"/>
      <c r="AC2351"/>
      <c r="AR2351"/>
    </row>
    <row r="2352" spans="24:44">
      <c r="X2352"/>
      <c r="Y2352"/>
      <c r="Z2352"/>
      <c r="AA2352"/>
      <c r="AC2352"/>
      <c r="AR2352"/>
    </row>
    <row r="2353" spans="24:44">
      <c r="X2353"/>
      <c r="Y2353"/>
      <c r="Z2353"/>
      <c r="AA2353"/>
      <c r="AC2353"/>
      <c r="AR2353"/>
    </row>
    <row r="2354" spans="24:44">
      <c r="X2354"/>
      <c r="Y2354"/>
      <c r="Z2354"/>
      <c r="AA2354"/>
      <c r="AC2354"/>
      <c r="AR2354"/>
    </row>
    <row r="2355" spans="24:44">
      <c r="X2355"/>
      <c r="Y2355"/>
      <c r="Z2355"/>
      <c r="AA2355"/>
      <c r="AC2355"/>
      <c r="AR2355"/>
    </row>
    <row r="2356" spans="24:44">
      <c r="X2356"/>
      <c r="Y2356"/>
      <c r="Z2356"/>
      <c r="AA2356"/>
      <c r="AC2356"/>
      <c r="AR2356"/>
    </row>
    <row r="2357" spans="24:44">
      <c r="X2357"/>
      <c r="Y2357"/>
      <c r="Z2357"/>
      <c r="AA2357"/>
      <c r="AC2357"/>
      <c r="AR2357"/>
    </row>
    <row r="2358" spans="24:44">
      <c r="X2358"/>
      <c r="Y2358"/>
      <c r="Z2358"/>
      <c r="AA2358"/>
      <c r="AC2358"/>
      <c r="AR2358"/>
    </row>
    <row r="2359" spans="24:44">
      <c r="X2359"/>
      <c r="Y2359"/>
      <c r="Z2359"/>
      <c r="AA2359"/>
      <c r="AC2359"/>
      <c r="AR2359"/>
    </row>
    <row r="2360" spans="24:44">
      <c r="X2360"/>
      <c r="Y2360"/>
      <c r="Z2360"/>
      <c r="AA2360"/>
      <c r="AC2360"/>
      <c r="AR2360"/>
    </row>
    <row r="2361" spans="24:44">
      <c r="X2361"/>
      <c r="Y2361"/>
      <c r="Z2361"/>
      <c r="AA2361"/>
      <c r="AC2361"/>
      <c r="AR2361"/>
    </row>
    <row r="2362" spans="24:44">
      <c r="X2362"/>
      <c r="Y2362"/>
      <c r="Z2362"/>
      <c r="AA2362"/>
      <c r="AC2362"/>
      <c r="AR2362"/>
    </row>
    <row r="2363" spans="24:44">
      <c r="X2363"/>
      <c r="Y2363"/>
      <c r="Z2363"/>
      <c r="AA2363"/>
      <c r="AC2363"/>
      <c r="AR2363"/>
    </row>
    <row r="2364" spans="24:44">
      <c r="X2364"/>
      <c r="Y2364"/>
      <c r="Z2364"/>
      <c r="AA2364"/>
      <c r="AC2364"/>
      <c r="AR2364"/>
    </row>
    <row r="2365" spans="24:44">
      <c r="X2365"/>
      <c r="Y2365"/>
      <c r="Z2365"/>
      <c r="AA2365"/>
      <c r="AC2365"/>
      <c r="AR2365"/>
    </row>
    <row r="2366" spans="24:44">
      <c r="X2366"/>
      <c r="Y2366"/>
      <c r="Z2366"/>
      <c r="AA2366"/>
      <c r="AC2366"/>
      <c r="AR2366"/>
    </row>
    <row r="2367" spans="24:44">
      <c r="X2367"/>
      <c r="Y2367"/>
      <c r="Z2367"/>
      <c r="AA2367"/>
      <c r="AC2367"/>
      <c r="AR2367"/>
    </row>
    <row r="2368" spans="24:44">
      <c r="X2368"/>
      <c r="Y2368"/>
      <c r="Z2368"/>
      <c r="AA2368"/>
      <c r="AC2368"/>
      <c r="AR2368"/>
    </row>
    <row r="2369" spans="24:44">
      <c r="X2369"/>
      <c r="Y2369"/>
      <c r="Z2369"/>
      <c r="AA2369"/>
      <c r="AC2369"/>
      <c r="AR2369"/>
    </row>
    <row r="2370" spans="24:44">
      <c r="X2370"/>
      <c r="Y2370"/>
      <c r="Z2370"/>
      <c r="AA2370"/>
      <c r="AC2370"/>
      <c r="AR2370"/>
    </row>
    <row r="2371" spans="24:44">
      <c r="X2371"/>
      <c r="Y2371"/>
      <c r="Z2371"/>
      <c r="AA2371"/>
      <c r="AC2371"/>
      <c r="AR2371"/>
    </row>
    <row r="2372" spans="24:44">
      <c r="X2372"/>
      <c r="Y2372"/>
      <c r="Z2372"/>
      <c r="AA2372"/>
      <c r="AC2372"/>
      <c r="AR2372"/>
    </row>
    <row r="2373" spans="24:44">
      <c r="X2373"/>
      <c r="Y2373"/>
      <c r="Z2373"/>
      <c r="AA2373"/>
      <c r="AC2373"/>
      <c r="AR2373"/>
    </row>
    <row r="2374" spans="24:44">
      <c r="X2374"/>
      <c r="Y2374"/>
      <c r="Z2374"/>
      <c r="AA2374"/>
      <c r="AC2374"/>
      <c r="AR2374"/>
    </row>
    <row r="2375" spans="24:44">
      <c r="X2375"/>
      <c r="Y2375"/>
      <c r="Z2375"/>
      <c r="AA2375"/>
      <c r="AC2375"/>
      <c r="AR2375"/>
    </row>
    <row r="2376" spans="24:44">
      <c r="X2376"/>
      <c r="Y2376"/>
      <c r="Z2376"/>
      <c r="AA2376"/>
      <c r="AC2376"/>
      <c r="AR2376"/>
    </row>
    <row r="2377" spans="24:44">
      <c r="X2377"/>
      <c r="Y2377"/>
      <c r="Z2377"/>
      <c r="AA2377"/>
      <c r="AC2377"/>
      <c r="AR2377"/>
    </row>
    <row r="2378" spans="24:44">
      <c r="X2378"/>
      <c r="Y2378"/>
      <c r="Z2378"/>
      <c r="AA2378"/>
      <c r="AC2378"/>
      <c r="AR2378"/>
    </row>
    <row r="2379" spans="24:44">
      <c r="X2379"/>
      <c r="Y2379"/>
      <c r="Z2379"/>
      <c r="AA2379"/>
      <c r="AC2379"/>
      <c r="AR2379"/>
    </row>
    <row r="2380" spans="24:44">
      <c r="X2380"/>
      <c r="Y2380"/>
      <c r="Z2380"/>
      <c r="AA2380"/>
      <c r="AC2380"/>
      <c r="AR2380"/>
    </row>
    <row r="2381" spans="24:44">
      <c r="X2381"/>
      <c r="Y2381"/>
      <c r="Z2381"/>
      <c r="AA2381"/>
      <c r="AC2381"/>
      <c r="AR2381"/>
    </row>
    <row r="2382" spans="24:44">
      <c r="X2382"/>
      <c r="Y2382"/>
      <c r="Z2382"/>
      <c r="AA2382"/>
      <c r="AC2382"/>
      <c r="AR2382"/>
    </row>
    <row r="2383" spans="24:44">
      <c r="X2383"/>
      <c r="Y2383"/>
      <c r="Z2383"/>
      <c r="AA2383"/>
      <c r="AC2383"/>
      <c r="AR2383"/>
    </row>
    <row r="2384" spans="24:44">
      <c r="X2384"/>
      <c r="Y2384"/>
      <c r="Z2384"/>
      <c r="AA2384"/>
      <c r="AC2384"/>
      <c r="AR2384"/>
    </row>
    <row r="2385" spans="24:44">
      <c r="X2385"/>
      <c r="Y2385"/>
      <c r="Z2385"/>
      <c r="AA2385"/>
      <c r="AC2385"/>
      <c r="AR2385"/>
    </row>
    <row r="2386" spans="24:44">
      <c r="X2386"/>
      <c r="Y2386"/>
      <c r="Z2386"/>
      <c r="AA2386"/>
      <c r="AC2386"/>
      <c r="AR2386"/>
    </row>
    <row r="2387" spans="24:44">
      <c r="X2387"/>
      <c r="Y2387"/>
      <c r="Z2387"/>
      <c r="AA2387"/>
      <c r="AC2387"/>
      <c r="AR2387"/>
    </row>
    <row r="2388" spans="24:44">
      <c r="X2388"/>
      <c r="Y2388"/>
      <c r="Z2388"/>
      <c r="AA2388"/>
      <c r="AC2388"/>
      <c r="AR2388"/>
    </row>
    <row r="2389" spans="24:44">
      <c r="X2389"/>
      <c r="Y2389"/>
      <c r="Z2389"/>
      <c r="AA2389"/>
      <c r="AC2389"/>
      <c r="AR2389"/>
    </row>
    <row r="2390" spans="24:44">
      <c r="X2390"/>
      <c r="Y2390"/>
      <c r="Z2390"/>
      <c r="AA2390"/>
      <c r="AC2390"/>
      <c r="AR2390"/>
    </row>
    <row r="2391" spans="24:44">
      <c r="X2391"/>
      <c r="Y2391"/>
      <c r="Z2391"/>
      <c r="AA2391"/>
      <c r="AC2391"/>
      <c r="AR2391"/>
    </row>
    <row r="2392" spans="24:44">
      <c r="X2392"/>
      <c r="Y2392"/>
      <c r="Z2392"/>
      <c r="AA2392"/>
      <c r="AC2392"/>
      <c r="AR2392"/>
    </row>
    <row r="2393" spans="24:44">
      <c r="X2393"/>
      <c r="Y2393"/>
      <c r="Z2393"/>
      <c r="AA2393"/>
      <c r="AC2393"/>
      <c r="AR2393"/>
    </row>
    <row r="2394" spans="24:44">
      <c r="X2394"/>
      <c r="Y2394"/>
      <c r="Z2394"/>
      <c r="AA2394"/>
      <c r="AC2394"/>
      <c r="AR2394"/>
    </row>
    <row r="2395" spans="24:44">
      <c r="X2395"/>
      <c r="Y2395"/>
      <c r="Z2395"/>
      <c r="AA2395"/>
      <c r="AC2395"/>
      <c r="AR2395"/>
    </row>
    <row r="2396" spans="24:44">
      <c r="X2396"/>
      <c r="Y2396"/>
      <c r="Z2396"/>
      <c r="AA2396"/>
      <c r="AC2396"/>
      <c r="AR2396"/>
    </row>
    <row r="2397" spans="24:44">
      <c r="X2397"/>
      <c r="Y2397"/>
      <c r="Z2397"/>
      <c r="AA2397"/>
      <c r="AC2397"/>
      <c r="AR2397"/>
    </row>
    <row r="2398" spans="24:44">
      <c r="X2398"/>
      <c r="Y2398"/>
      <c r="Z2398"/>
      <c r="AA2398"/>
      <c r="AC2398"/>
      <c r="AR2398"/>
    </row>
    <row r="2399" spans="24:44">
      <c r="X2399"/>
      <c r="Y2399"/>
      <c r="Z2399"/>
      <c r="AA2399"/>
      <c r="AC2399"/>
      <c r="AR2399"/>
    </row>
    <row r="2400" spans="24:44">
      <c r="X2400"/>
      <c r="Y2400"/>
      <c r="Z2400"/>
      <c r="AA2400"/>
      <c r="AC2400"/>
      <c r="AR2400"/>
    </row>
    <row r="2401" spans="24:44">
      <c r="X2401"/>
      <c r="Y2401"/>
      <c r="Z2401"/>
      <c r="AA2401"/>
      <c r="AC2401"/>
      <c r="AR2401"/>
    </row>
    <row r="2402" spans="24:44">
      <c r="X2402"/>
      <c r="Y2402"/>
      <c r="Z2402"/>
      <c r="AA2402"/>
      <c r="AC2402"/>
      <c r="AR2402"/>
    </row>
    <row r="2403" spans="24:44">
      <c r="X2403"/>
      <c r="Y2403"/>
      <c r="Z2403"/>
      <c r="AA2403"/>
      <c r="AC2403"/>
      <c r="AR2403"/>
    </row>
    <row r="2404" spans="24:44">
      <c r="X2404"/>
      <c r="Y2404"/>
      <c r="Z2404"/>
      <c r="AA2404"/>
      <c r="AC2404"/>
      <c r="AR2404"/>
    </row>
    <row r="2405" spans="24:44">
      <c r="X2405"/>
      <c r="Y2405"/>
      <c r="Z2405"/>
      <c r="AA2405"/>
      <c r="AC2405"/>
      <c r="AR2405"/>
    </row>
    <row r="2406" spans="24:44">
      <c r="X2406"/>
      <c r="Y2406"/>
      <c r="Z2406"/>
      <c r="AA2406"/>
      <c r="AC2406"/>
      <c r="AR2406"/>
    </row>
    <row r="2407" spans="24:44">
      <c r="X2407"/>
      <c r="Y2407"/>
      <c r="Z2407"/>
      <c r="AA2407"/>
      <c r="AC2407"/>
      <c r="AR2407"/>
    </row>
    <row r="2408" spans="24:44">
      <c r="X2408"/>
      <c r="Y2408"/>
      <c r="Z2408"/>
      <c r="AA2408"/>
      <c r="AC2408"/>
      <c r="AR2408"/>
    </row>
    <row r="2409" spans="24:44">
      <c r="X2409"/>
      <c r="Y2409"/>
      <c r="Z2409"/>
      <c r="AA2409"/>
      <c r="AC2409"/>
      <c r="AR2409"/>
    </row>
    <row r="2410" spans="24:44">
      <c r="X2410"/>
      <c r="Y2410"/>
      <c r="Z2410"/>
      <c r="AA2410"/>
      <c r="AC2410"/>
      <c r="AR2410"/>
    </row>
    <row r="2411" spans="24:44">
      <c r="X2411"/>
      <c r="Y2411"/>
      <c r="Z2411"/>
      <c r="AA2411"/>
      <c r="AC2411"/>
      <c r="AR2411"/>
    </row>
    <row r="2412" spans="24:44">
      <c r="X2412"/>
      <c r="Y2412"/>
      <c r="Z2412"/>
      <c r="AA2412"/>
      <c r="AC2412"/>
      <c r="AR2412"/>
    </row>
    <row r="2413" spans="24:44">
      <c r="X2413"/>
      <c r="Y2413"/>
      <c r="Z2413"/>
      <c r="AA2413"/>
      <c r="AC2413"/>
      <c r="AR2413"/>
    </row>
    <row r="2414" spans="24:44">
      <c r="X2414"/>
      <c r="Y2414"/>
      <c r="Z2414"/>
      <c r="AA2414"/>
      <c r="AC2414"/>
      <c r="AR2414"/>
    </row>
    <row r="2415" spans="24:44">
      <c r="X2415"/>
      <c r="Y2415"/>
      <c r="Z2415"/>
      <c r="AA2415"/>
      <c r="AC2415"/>
      <c r="AR2415"/>
    </row>
    <row r="2416" spans="24:44">
      <c r="X2416"/>
      <c r="Y2416"/>
      <c r="Z2416"/>
      <c r="AA2416"/>
      <c r="AC2416"/>
      <c r="AR2416"/>
    </row>
    <row r="2417" spans="24:44">
      <c r="X2417"/>
      <c r="Y2417"/>
      <c r="Z2417"/>
      <c r="AA2417"/>
      <c r="AC2417"/>
      <c r="AR2417"/>
    </row>
    <row r="2418" spans="24:44">
      <c r="X2418"/>
      <c r="Y2418"/>
      <c r="Z2418"/>
      <c r="AA2418"/>
      <c r="AC2418"/>
      <c r="AR2418"/>
    </row>
    <row r="2419" spans="24:44">
      <c r="X2419"/>
      <c r="Y2419"/>
      <c r="Z2419"/>
      <c r="AA2419"/>
      <c r="AC2419"/>
      <c r="AR2419"/>
    </row>
    <row r="2420" spans="24:44">
      <c r="X2420"/>
      <c r="Y2420"/>
      <c r="Z2420"/>
      <c r="AA2420"/>
      <c r="AC2420"/>
      <c r="AR2420"/>
    </row>
    <row r="2421" spans="24:44">
      <c r="X2421"/>
      <c r="Y2421"/>
      <c r="Z2421"/>
      <c r="AA2421"/>
      <c r="AC2421"/>
      <c r="AR2421"/>
    </row>
    <row r="2422" spans="24:44">
      <c r="X2422"/>
      <c r="Y2422"/>
      <c r="Z2422"/>
      <c r="AA2422"/>
      <c r="AC2422"/>
      <c r="AR2422"/>
    </row>
    <row r="2423" spans="24:44">
      <c r="X2423"/>
      <c r="Y2423"/>
      <c r="Z2423"/>
      <c r="AA2423"/>
      <c r="AC2423"/>
      <c r="AR2423"/>
    </row>
    <row r="2424" spans="24:44">
      <c r="X2424"/>
      <c r="Y2424"/>
      <c r="Z2424"/>
      <c r="AA2424"/>
      <c r="AC2424"/>
      <c r="AR2424"/>
    </row>
    <row r="2425" spans="24:44">
      <c r="X2425"/>
      <c r="Y2425"/>
      <c r="Z2425"/>
      <c r="AA2425"/>
      <c r="AC2425"/>
      <c r="AR2425"/>
    </row>
    <row r="2426" spans="24:44">
      <c r="X2426"/>
      <c r="Y2426"/>
      <c r="Z2426"/>
      <c r="AA2426"/>
      <c r="AC2426"/>
      <c r="AR2426"/>
    </row>
    <row r="2427" spans="24:44">
      <c r="X2427"/>
      <c r="Y2427"/>
      <c r="Z2427"/>
      <c r="AA2427"/>
      <c r="AC2427"/>
      <c r="AR2427"/>
    </row>
    <row r="2428" spans="24:44">
      <c r="X2428"/>
      <c r="Y2428"/>
      <c r="Z2428"/>
      <c r="AA2428"/>
      <c r="AC2428"/>
      <c r="AR2428"/>
    </row>
    <row r="2429" spans="24:44">
      <c r="X2429"/>
      <c r="Y2429"/>
      <c r="Z2429"/>
      <c r="AA2429"/>
      <c r="AC2429"/>
      <c r="AR2429"/>
    </row>
    <row r="2430" spans="24:44">
      <c r="X2430"/>
      <c r="Y2430"/>
      <c r="Z2430"/>
      <c r="AA2430"/>
      <c r="AC2430"/>
      <c r="AR2430"/>
    </row>
    <row r="2431" spans="24:44">
      <c r="X2431"/>
      <c r="Y2431"/>
      <c r="Z2431"/>
      <c r="AA2431"/>
      <c r="AC2431"/>
      <c r="AR2431"/>
    </row>
    <row r="2432" spans="24:44">
      <c r="X2432"/>
      <c r="Y2432"/>
      <c r="Z2432"/>
      <c r="AA2432"/>
      <c r="AC2432"/>
      <c r="AR2432"/>
    </row>
    <row r="2433" spans="24:44">
      <c r="X2433"/>
      <c r="Y2433"/>
      <c r="Z2433"/>
      <c r="AA2433"/>
      <c r="AC2433"/>
      <c r="AR2433"/>
    </row>
    <row r="2434" spans="24:44">
      <c r="X2434"/>
      <c r="Y2434"/>
      <c r="Z2434"/>
      <c r="AA2434"/>
      <c r="AC2434"/>
      <c r="AR2434"/>
    </row>
    <row r="2435" spans="24:44">
      <c r="X2435"/>
      <c r="Y2435"/>
      <c r="Z2435"/>
      <c r="AA2435"/>
      <c r="AC2435"/>
      <c r="AR2435"/>
    </row>
    <row r="2436" spans="24:44">
      <c r="X2436"/>
      <c r="Y2436"/>
      <c r="Z2436"/>
      <c r="AA2436"/>
      <c r="AC2436"/>
      <c r="AR2436"/>
    </row>
    <row r="2437" spans="24:44">
      <c r="X2437"/>
      <c r="Y2437"/>
      <c r="Z2437"/>
      <c r="AA2437"/>
      <c r="AC2437"/>
      <c r="AR2437"/>
    </row>
    <row r="2438" spans="24:44">
      <c r="X2438"/>
      <c r="Y2438"/>
      <c r="Z2438"/>
      <c r="AA2438"/>
      <c r="AC2438"/>
      <c r="AR2438"/>
    </row>
    <row r="2439" spans="24:44">
      <c r="X2439"/>
      <c r="Y2439"/>
      <c r="Z2439"/>
      <c r="AA2439"/>
      <c r="AC2439"/>
      <c r="AR2439"/>
    </row>
    <row r="2440" spans="24:44">
      <c r="X2440"/>
      <c r="Y2440"/>
      <c r="Z2440"/>
      <c r="AA2440"/>
      <c r="AC2440"/>
      <c r="AR2440"/>
    </row>
    <row r="2441" spans="24:44">
      <c r="X2441"/>
      <c r="Y2441"/>
      <c r="Z2441"/>
      <c r="AA2441"/>
      <c r="AC2441"/>
      <c r="AR2441"/>
    </row>
    <row r="2442" spans="24:44">
      <c r="X2442"/>
      <c r="Y2442"/>
      <c r="Z2442"/>
      <c r="AA2442"/>
      <c r="AC2442"/>
      <c r="AR2442"/>
    </row>
    <row r="2443" spans="24:44">
      <c r="X2443"/>
      <c r="Y2443"/>
      <c r="Z2443"/>
      <c r="AA2443"/>
      <c r="AC2443"/>
      <c r="AR2443"/>
    </row>
    <row r="2444" spans="24:44">
      <c r="X2444"/>
      <c r="Y2444"/>
      <c r="Z2444"/>
      <c r="AA2444"/>
      <c r="AC2444"/>
      <c r="AR2444"/>
    </row>
    <row r="2445" spans="24:44">
      <c r="X2445"/>
      <c r="Y2445"/>
      <c r="Z2445"/>
      <c r="AA2445"/>
      <c r="AC2445"/>
      <c r="AR2445"/>
    </row>
    <row r="2446" spans="24:44">
      <c r="X2446"/>
      <c r="Y2446"/>
      <c r="Z2446"/>
      <c r="AA2446"/>
      <c r="AC2446"/>
      <c r="AR2446"/>
    </row>
    <row r="2447" spans="24:44">
      <c r="X2447"/>
      <c r="Y2447"/>
      <c r="Z2447"/>
      <c r="AA2447"/>
      <c r="AC2447"/>
      <c r="AR2447"/>
    </row>
    <row r="2448" spans="24:44">
      <c r="X2448"/>
      <c r="Y2448"/>
      <c r="Z2448"/>
      <c r="AA2448"/>
      <c r="AC2448"/>
      <c r="AR2448"/>
    </row>
    <row r="2449" spans="24:44">
      <c r="X2449"/>
      <c r="Y2449"/>
      <c r="Z2449"/>
      <c r="AA2449"/>
      <c r="AC2449"/>
      <c r="AR2449"/>
    </row>
    <row r="2450" spans="24:44">
      <c r="X2450"/>
      <c r="Y2450"/>
      <c r="Z2450"/>
      <c r="AA2450"/>
      <c r="AC2450"/>
      <c r="AR2450"/>
    </row>
    <row r="2451" spans="24:44">
      <c r="X2451"/>
      <c r="Y2451"/>
      <c r="Z2451"/>
      <c r="AA2451"/>
      <c r="AC2451"/>
      <c r="AR2451"/>
    </row>
    <row r="2452" spans="24:44">
      <c r="X2452"/>
      <c r="Y2452"/>
      <c r="Z2452"/>
      <c r="AA2452"/>
      <c r="AC2452"/>
      <c r="AR2452"/>
    </row>
    <row r="2453" spans="24:44">
      <c r="X2453"/>
      <c r="Y2453"/>
      <c r="Z2453"/>
      <c r="AA2453"/>
      <c r="AC2453"/>
      <c r="AR2453"/>
    </row>
    <row r="2454" spans="24:44">
      <c r="X2454"/>
      <c r="Y2454"/>
      <c r="Z2454"/>
      <c r="AA2454"/>
      <c r="AC2454"/>
      <c r="AR2454"/>
    </row>
    <row r="2455" spans="24:44">
      <c r="X2455"/>
      <c r="Y2455"/>
      <c r="Z2455"/>
      <c r="AA2455"/>
      <c r="AC2455"/>
      <c r="AR2455"/>
    </row>
    <row r="2456" spans="24:44">
      <c r="X2456"/>
      <c r="Y2456"/>
      <c r="Z2456"/>
      <c r="AA2456"/>
      <c r="AC2456"/>
      <c r="AR2456"/>
    </row>
    <row r="2457" spans="24:44">
      <c r="X2457"/>
      <c r="Y2457"/>
      <c r="Z2457"/>
      <c r="AA2457"/>
      <c r="AC2457"/>
      <c r="AR2457"/>
    </row>
    <row r="2458" spans="24:44">
      <c r="X2458"/>
      <c r="Y2458"/>
      <c r="Z2458"/>
      <c r="AA2458"/>
      <c r="AC2458"/>
      <c r="AR2458"/>
    </row>
    <row r="2459" spans="24:44">
      <c r="X2459"/>
      <c r="Y2459"/>
      <c r="Z2459"/>
      <c r="AA2459"/>
      <c r="AC2459"/>
      <c r="AR2459"/>
    </row>
    <row r="2460" spans="24:44">
      <c r="X2460"/>
      <c r="Y2460"/>
      <c r="Z2460"/>
      <c r="AA2460"/>
      <c r="AC2460"/>
      <c r="AR2460"/>
    </row>
    <row r="2461" spans="24:44">
      <c r="X2461"/>
      <c r="Y2461"/>
      <c r="Z2461"/>
      <c r="AA2461"/>
      <c r="AC2461"/>
      <c r="AR2461"/>
    </row>
    <row r="2462" spans="24:44">
      <c r="X2462"/>
      <c r="Y2462"/>
      <c r="Z2462"/>
      <c r="AA2462"/>
      <c r="AC2462"/>
      <c r="AR2462"/>
    </row>
    <row r="2463" spans="24:44">
      <c r="X2463"/>
      <c r="Y2463"/>
      <c r="Z2463"/>
      <c r="AA2463"/>
      <c r="AC2463"/>
      <c r="AR2463"/>
    </row>
    <row r="2464" spans="24:44">
      <c r="X2464"/>
      <c r="Y2464"/>
      <c r="Z2464"/>
      <c r="AA2464"/>
      <c r="AC2464"/>
      <c r="AR2464"/>
    </row>
    <row r="2465" spans="24:44">
      <c r="X2465"/>
      <c r="Y2465"/>
      <c r="Z2465"/>
      <c r="AA2465"/>
      <c r="AC2465"/>
      <c r="AR2465"/>
    </row>
    <row r="2466" spans="24:44">
      <c r="X2466"/>
      <c r="Y2466"/>
      <c r="Z2466"/>
      <c r="AA2466"/>
      <c r="AC2466"/>
      <c r="AR2466"/>
    </row>
    <row r="2467" spans="24:44">
      <c r="X2467"/>
      <c r="Y2467"/>
      <c r="Z2467"/>
      <c r="AA2467"/>
      <c r="AC2467"/>
      <c r="AR2467"/>
    </row>
    <row r="2468" spans="24:44">
      <c r="X2468"/>
      <c r="Y2468"/>
      <c r="Z2468"/>
      <c r="AA2468"/>
      <c r="AC2468"/>
      <c r="AR2468"/>
    </row>
    <row r="2469" spans="24:44">
      <c r="X2469"/>
      <c r="Y2469"/>
      <c r="Z2469"/>
      <c r="AA2469"/>
      <c r="AC2469"/>
      <c r="AR2469"/>
    </row>
    <row r="2470" spans="24:44">
      <c r="X2470"/>
      <c r="Y2470"/>
      <c r="Z2470"/>
      <c r="AA2470"/>
      <c r="AC2470"/>
      <c r="AR2470"/>
    </row>
    <row r="2471" spans="24:44">
      <c r="X2471"/>
      <c r="Y2471"/>
      <c r="Z2471"/>
      <c r="AA2471"/>
      <c r="AC2471"/>
      <c r="AR2471"/>
    </row>
    <row r="2472" spans="24:44">
      <c r="X2472"/>
      <c r="Y2472"/>
      <c r="Z2472"/>
      <c r="AA2472"/>
      <c r="AC2472"/>
      <c r="AR2472"/>
    </row>
    <row r="2473" spans="24:44">
      <c r="X2473"/>
      <c r="Y2473"/>
      <c r="Z2473"/>
      <c r="AA2473"/>
      <c r="AC2473"/>
      <c r="AR2473"/>
    </row>
    <row r="2474" spans="24:44">
      <c r="X2474"/>
      <c r="Y2474"/>
      <c r="Z2474"/>
      <c r="AA2474"/>
      <c r="AC2474"/>
      <c r="AR2474"/>
    </row>
    <row r="2475" spans="24:44">
      <c r="X2475"/>
      <c r="Y2475"/>
      <c r="Z2475"/>
      <c r="AA2475"/>
      <c r="AC2475"/>
      <c r="AR2475"/>
    </row>
    <row r="2476" spans="24:44">
      <c r="X2476"/>
      <c r="Y2476"/>
      <c r="Z2476"/>
      <c r="AA2476"/>
      <c r="AC2476"/>
      <c r="AR2476"/>
    </row>
    <row r="2477" spans="24:44">
      <c r="X2477"/>
      <c r="Y2477"/>
      <c r="Z2477"/>
      <c r="AA2477"/>
      <c r="AC2477"/>
      <c r="AR2477"/>
    </row>
    <row r="2478" spans="24:44">
      <c r="X2478"/>
      <c r="Y2478"/>
      <c r="Z2478"/>
      <c r="AA2478"/>
      <c r="AC2478"/>
      <c r="AR2478"/>
    </row>
    <row r="2479" spans="24:44">
      <c r="X2479"/>
      <c r="Y2479"/>
      <c r="Z2479"/>
      <c r="AA2479"/>
      <c r="AC2479"/>
      <c r="AR2479"/>
    </row>
    <row r="2480" spans="24:44">
      <c r="X2480"/>
      <c r="Y2480"/>
      <c r="Z2480"/>
      <c r="AA2480"/>
      <c r="AC2480"/>
      <c r="AR2480"/>
    </row>
    <row r="2481" spans="24:44">
      <c r="X2481"/>
      <c r="Y2481"/>
      <c r="Z2481"/>
      <c r="AA2481"/>
      <c r="AC2481"/>
      <c r="AR2481"/>
    </row>
    <row r="2482" spans="24:44">
      <c r="X2482"/>
      <c r="Y2482"/>
      <c r="Z2482"/>
      <c r="AA2482"/>
      <c r="AC2482"/>
      <c r="AR2482"/>
    </row>
    <row r="2483" spans="24:44">
      <c r="X2483"/>
      <c r="Y2483"/>
      <c r="Z2483"/>
      <c r="AA2483"/>
      <c r="AC2483"/>
      <c r="AR2483"/>
    </row>
    <row r="2484" spans="24:44">
      <c r="X2484"/>
      <c r="Y2484"/>
      <c r="Z2484"/>
      <c r="AA2484"/>
      <c r="AC2484"/>
      <c r="AR2484"/>
    </row>
    <row r="2485" spans="24:44">
      <c r="X2485"/>
      <c r="Y2485"/>
      <c r="Z2485"/>
      <c r="AA2485"/>
      <c r="AC2485"/>
      <c r="AR2485"/>
    </row>
    <row r="2486" spans="24:44">
      <c r="X2486"/>
      <c r="Y2486"/>
      <c r="Z2486"/>
      <c r="AA2486"/>
      <c r="AC2486"/>
      <c r="AR2486"/>
    </row>
    <row r="2487" spans="24:44">
      <c r="X2487"/>
      <c r="Y2487"/>
      <c r="Z2487"/>
      <c r="AA2487"/>
      <c r="AC2487"/>
      <c r="AR2487"/>
    </row>
    <row r="2488" spans="24:44">
      <c r="X2488"/>
      <c r="Y2488"/>
      <c r="Z2488"/>
      <c r="AA2488"/>
      <c r="AC2488"/>
      <c r="AR2488"/>
    </row>
    <row r="2489" spans="24:44">
      <c r="X2489"/>
      <c r="Y2489"/>
      <c r="Z2489"/>
      <c r="AA2489"/>
      <c r="AC2489"/>
      <c r="AR2489"/>
    </row>
    <row r="2490" spans="24:44">
      <c r="X2490"/>
      <c r="Y2490"/>
      <c r="Z2490"/>
      <c r="AA2490"/>
      <c r="AC2490"/>
      <c r="AR2490"/>
    </row>
    <row r="2491" spans="24:44">
      <c r="X2491"/>
      <c r="Y2491"/>
      <c r="Z2491"/>
      <c r="AA2491"/>
      <c r="AC2491"/>
      <c r="AR2491"/>
    </row>
    <row r="2492" spans="24:44">
      <c r="X2492"/>
      <c r="Y2492"/>
      <c r="Z2492"/>
      <c r="AA2492"/>
      <c r="AC2492"/>
      <c r="AR2492"/>
    </row>
    <row r="2493" spans="24:44">
      <c r="X2493"/>
      <c r="Y2493"/>
      <c r="Z2493"/>
      <c r="AA2493"/>
      <c r="AC2493"/>
      <c r="AR2493"/>
    </row>
    <row r="2494" spans="24:44">
      <c r="X2494"/>
      <c r="Y2494"/>
      <c r="Z2494"/>
      <c r="AA2494"/>
      <c r="AC2494"/>
      <c r="AR2494"/>
    </row>
    <row r="2495" spans="24:44">
      <c r="X2495"/>
      <c r="Y2495"/>
      <c r="Z2495"/>
      <c r="AA2495"/>
      <c r="AC2495"/>
      <c r="AR2495"/>
    </row>
    <row r="2496" spans="24:44">
      <c r="X2496"/>
      <c r="Y2496"/>
      <c r="Z2496"/>
      <c r="AA2496"/>
      <c r="AC2496"/>
      <c r="AR2496"/>
    </row>
    <row r="2497" spans="24:44">
      <c r="X2497"/>
      <c r="Y2497"/>
      <c r="Z2497"/>
      <c r="AA2497"/>
      <c r="AC2497"/>
      <c r="AR2497"/>
    </row>
    <row r="2498" spans="24:44">
      <c r="X2498"/>
      <c r="Y2498"/>
      <c r="Z2498"/>
      <c r="AA2498"/>
      <c r="AC2498"/>
      <c r="AR2498"/>
    </row>
    <row r="2499" spans="24:44">
      <c r="X2499"/>
      <c r="Y2499"/>
      <c r="Z2499"/>
      <c r="AA2499"/>
      <c r="AC2499"/>
      <c r="AR2499"/>
    </row>
    <row r="2500" spans="24:44">
      <c r="X2500"/>
      <c r="Y2500"/>
      <c r="Z2500"/>
      <c r="AA2500"/>
      <c r="AC2500"/>
      <c r="AR2500"/>
    </row>
    <row r="2501" spans="24:44">
      <c r="X2501"/>
      <c r="Y2501"/>
      <c r="Z2501"/>
      <c r="AA2501"/>
      <c r="AC2501"/>
      <c r="AR2501"/>
    </row>
    <row r="2502" spans="24:44">
      <c r="X2502"/>
      <c r="Y2502"/>
      <c r="Z2502"/>
      <c r="AA2502"/>
      <c r="AC2502"/>
      <c r="AR2502"/>
    </row>
    <row r="2503" spans="24:44">
      <c r="X2503"/>
      <c r="Y2503"/>
      <c r="Z2503"/>
      <c r="AA2503"/>
      <c r="AC2503"/>
      <c r="AR2503"/>
    </row>
    <row r="2504" spans="24:44">
      <c r="X2504"/>
      <c r="Y2504"/>
      <c r="Z2504"/>
      <c r="AA2504"/>
      <c r="AC2504"/>
      <c r="AR2504"/>
    </row>
    <row r="2505" spans="24:44">
      <c r="X2505"/>
      <c r="Y2505"/>
      <c r="Z2505"/>
      <c r="AA2505"/>
      <c r="AC2505"/>
      <c r="AR2505"/>
    </row>
    <row r="2506" spans="24:44">
      <c r="X2506"/>
      <c r="Y2506"/>
      <c r="Z2506"/>
      <c r="AA2506"/>
      <c r="AC2506"/>
      <c r="AR2506"/>
    </row>
    <row r="2507" spans="24:44">
      <c r="X2507"/>
      <c r="Y2507"/>
      <c r="Z2507"/>
      <c r="AA2507"/>
      <c r="AC2507"/>
      <c r="AR2507"/>
    </row>
    <row r="2508" spans="24:44">
      <c r="X2508"/>
      <c r="Y2508"/>
      <c r="Z2508"/>
      <c r="AA2508"/>
      <c r="AC2508"/>
      <c r="AR2508"/>
    </row>
    <row r="2509" spans="24:44">
      <c r="X2509"/>
      <c r="Y2509"/>
      <c r="Z2509"/>
      <c r="AA2509"/>
      <c r="AC2509"/>
      <c r="AR2509"/>
    </row>
    <row r="2510" spans="24:44">
      <c r="X2510"/>
      <c r="Y2510"/>
      <c r="Z2510"/>
      <c r="AA2510"/>
      <c r="AC2510"/>
      <c r="AR2510"/>
    </row>
    <row r="2511" spans="24:44">
      <c r="X2511"/>
      <c r="Y2511"/>
      <c r="Z2511"/>
      <c r="AA2511"/>
      <c r="AC2511"/>
      <c r="AR2511"/>
    </row>
    <row r="2512" spans="24:44">
      <c r="X2512"/>
      <c r="Y2512"/>
      <c r="Z2512"/>
      <c r="AA2512"/>
      <c r="AC2512"/>
      <c r="AR2512"/>
    </row>
    <row r="2513" spans="24:44">
      <c r="X2513"/>
      <c r="Y2513"/>
      <c r="Z2513"/>
      <c r="AA2513"/>
      <c r="AC2513"/>
      <c r="AR2513"/>
    </row>
    <row r="2514" spans="24:44">
      <c r="X2514"/>
      <c r="Y2514"/>
      <c r="Z2514"/>
      <c r="AA2514"/>
      <c r="AC2514"/>
      <c r="AR2514"/>
    </row>
    <row r="2515" spans="24:44">
      <c r="X2515"/>
      <c r="Y2515"/>
      <c r="Z2515"/>
      <c r="AA2515"/>
      <c r="AC2515"/>
      <c r="AR2515"/>
    </row>
    <row r="2516" spans="24:44">
      <c r="X2516"/>
      <c r="Y2516"/>
      <c r="Z2516"/>
      <c r="AA2516"/>
      <c r="AC2516"/>
      <c r="AR2516"/>
    </row>
    <row r="2517" spans="24:44">
      <c r="X2517"/>
      <c r="Y2517"/>
      <c r="Z2517"/>
      <c r="AA2517"/>
      <c r="AC2517"/>
      <c r="AR2517"/>
    </row>
    <row r="2518" spans="24:44">
      <c r="X2518"/>
      <c r="Y2518"/>
      <c r="Z2518"/>
      <c r="AA2518"/>
      <c r="AC2518"/>
      <c r="AR2518"/>
    </row>
    <row r="2519" spans="24:44">
      <c r="X2519"/>
      <c r="Y2519"/>
      <c r="Z2519"/>
      <c r="AA2519"/>
      <c r="AC2519"/>
      <c r="AR2519"/>
    </row>
    <row r="2520" spans="24:44">
      <c r="X2520"/>
      <c r="Y2520"/>
      <c r="Z2520"/>
      <c r="AA2520"/>
      <c r="AC2520"/>
      <c r="AR2520"/>
    </row>
    <row r="2521" spans="24:44">
      <c r="X2521"/>
      <c r="Y2521"/>
      <c r="Z2521"/>
      <c r="AA2521"/>
      <c r="AC2521"/>
      <c r="AR2521"/>
    </row>
    <row r="2522" spans="24:44">
      <c r="X2522"/>
      <c r="Y2522"/>
      <c r="Z2522"/>
      <c r="AA2522"/>
      <c r="AC2522"/>
      <c r="AR2522"/>
    </row>
    <row r="2523" spans="24:44">
      <c r="X2523"/>
      <c r="Y2523"/>
      <c r="Z2523"/>
      <c r="AA2523"/>
      <c r="AC2523"/>
      <c r="AR2523"/>
    </row>
    <row r="2524" spans="24:44">
      <c r="X2524"/>
      <c r="Y2524"/>
      <c r="Z2524"/>
      <c r="AA2524"/>
      <c r="AC2524"/>
      <c r="AR2524"/>
    </row>
    <row r="2525" spans="24:44">
      <c r="X2525"/>
      <c r="Y2525"/>
      <c r="Z2525"/>
      <c r="AA2525"/>
      <c r="AC2525"/>
      <c r="AR2525"/>
    </row>
    <row r="2526" spans="24:44">
      <c r="X2526"/>
      <c r="Y2526"/>
      <c r="Z2526"/>
      <c r="AA2526"/>
      <c r="AC2526"/>
      <c r="AR2526"/>
    </row>
    <row r="2527" spans="24:44">
      <c r="X2527"/>
      <c r="Y2527"/>
      <c r="Z2527"/>
      <c r="AA2527"/>
      <c r="AC2527"/>
      <c r="AR2527"/>
    </row>
    <row r="2528" spans="24:44">
      <c r="X2528"/>
      <c r="Y2528"/>
      <c r="Z2528"/>
      <c r="AA2528"/>
      <c r="AC2528"/>
      <c r="AR2528"/>
    </row>
    <row r="2529" spans="24:44">
      <c r="X2529"/>
      <c r="Y2529"/>
      <c r="Z2529"/>
      <c r="AA2529"/>
      <c r="AC2529"/>
      <c r="AR2529"/>
    </row>
    <row r="2530" spans="24:44">
      <c r="X2530"/>
      <c r="Y2530"/>
      <c r="Z2530"/>
      <c r="AA2530"/>
      <c r="AC2530"/>
      <c r="AR2530"/>
    </row>
    <row r="2531" spans="24:44">
      <c r="X2531"/>
      <c r="Y2531"/>
      <c r="Z2531"/>
      <c r="AA2531"/>
      <c r="AC2531"/>
      <c r="AR2531"/>
    </row>
    <row r="2532" spans="24:44">
      <c r="X2532"/>
      <c r="Y2532"/>
      <c r="Z2532"/>
      <c r="AA2532"/>
      <c r="AC2532"/>
      <c r="AR2532"/>
    </row>
    <row r="2533" spans="24:44">
      <c r="X2533"/>
      <c r="Y2533"/>
      <c r="Z2533"/>
      <c r="AA2533"/>
      <c r="AC2533"/>
      <c r="AR2533"/>
    </row>
    <row r="2534" spans="24:44">
      <c r="X2534"/>
      <c r="Y2534"/>
      <c r="Z2534"/>
      <c r="AA2534"/>
      <c r="AC2534"/>
      <c r="AR2534"/>
    </row>
    <row r="2535" spans="24:44">
      <c r="X2535"/>
      <c r="Y2535"/>
      <c r="Z2535"/>
      <c r="AA2535"/>
      <c r="AC2535"/>
      <c r="AR2535"/>
    </row>
    <row r="2536" spans="24:44">
      <c r="X2536"/>
      <c r="Y2536"/>
      <c r="Z2536"/>
      <c r="AA2536"/>
      <c r="AC2536"/>
      <c r="AR2536"/>
    </row>
    <row r="2537" spans="24:44">
      <c r="X2537"/>
      <c r="Y2537"/>
      <c r="Z2537"/>
      <c r="AA2537"/>
      <c r="AC2537"/>
      <c r="AR2537"/>
    </row>
    <row r="2538" spans="24:44">
      <c r="X2538"/>
      <c r="Y2538"/>
      <c r="Z2538"/>
      <c r="AA2538"/>
      <c r="AC2538"/>
      <c r="AR2538"/>
    </row>
    <row r="2539" spans="24:44">
      <c r="X2539"/>
      <c r="Y2539"/>
      <c r="Z2539"/>
      <c r="AA2539"/>
      <c r="AC2539"/>
      <c r="AR2539"/>
    </row>
    <row r="2540" spans="24:44">
      <c r="X2540"/>
      <c r="Y2540"/>
      <c r="Z2540"/>
      <c r="AA2540"/>
      <c r="AC2540"/>
      <c r="AR2540"/>
    </row>
    <row r="2541" spans="24:44">
      <c r="X2541"/>
      <c r="Y2541"/>
      <c r="Z2541"/>
      <c r="AA2541"/>
      <c r="AC2541"/>
      <c r="AR2541"/>
    </row>
    <row r="2542" spans="24:44">
      <c r="X2542"/>
      <c r="Y2542"/>
      <c r="Z2542"/>
      <c r="AA2542"/>
      <c r="AC2542"/>
      <c r="AR2542"/>
    </row>
    <row r="2543" spans="24:44">
      <c r="X2543"/>
      <c r="Y2543"/>
      <c r="Z2543"/>
      <c r="AA2543"/>
      <c r="AC2543"/>
      <c r="AR2543"/>
    </row>
    <row r="2544" spans="24:44">
      <c r="X2544"/>
      <c r="Y2544"/>
      <c r="Z2544"/>
      <c r="AA2544"/>
      <c r="AC2544"/>
      <c r="AR2544"/>
    </row>
    <row r="2545" spans="24:44">
      <c r="X2545"/>
      <c r="Y2545"/>
      <c r="Z2545"/>
      <c r="AA2545"/>
      <c r="AC2545"/>
      <c r="AR2545"/>
    </row>
    <row r="2546" spans="24:44">
      <c r="X2546"/>
      <c r="Y2546"/>
      <c r="Z2546"/>
      <c r="AA2546"/>
      <c r="AC2546"/>
      <c r="AR2546"/>
    </row>
    <row r="2547" spans="24:44">
      <c r="X2547"/>
      <c r="Y2547"/>
      <c r="Z2547"/>
      <c r="AA2547"/>
      <c r="AC2547"/>
      <c r="AR2547"/>
    </row>
    <row r="2548" spans="24:44">
      <c r="X2548"/>
      <c r="Y2548"/>
      <c r="Z2548"/>
      <c r="AA2548"/>
      <c r="AC2548"/>
      <c r="AR2548"/>
    </row>
    <row r="2549" spans="24:44">
      <c r="X2549"/>
      <c r="Y2549"/>
      <c r="Z2549"/>
      <c r="AA2549"/>
      <c r="AC2549"/>
      <c r="AR2549"/>
    </row>
    <row r="2550" spans="24:44">
      <c r="X2550"/>
      <c r="Y2550"/>
      <c r="Z2550"/>
      <c r="AA2550"/>
      <c r="AC2550"/>
      <c r="AR2550"/>
    </row>
    <row r="2551" spans="24:44">
      <c r="X2551"/>
      <c r="Y2551"/>
      <c r="Z2551"/>
      <c r="AA2551"/>
      <c r="AC2551"/>
      <c r="AR2551"/>
    </row>
    <row r="2552" spans="24:44">
      <c r="X2552"/>
      <c r="Y2552"/>
      <c r="Z2552"/>
      <c r="AA2552"/>
      <c r="AC2552"/>
      <c r="AR2552"/>
    </row>
    <row r="2553" spans="24:44">
      <c r="X2553"/>
      <c r="Y2553"/>
      <c r="Z2553"/>
      <c r="AA2553"/>
      <c r="AC2553"/>
      <c r="AR2553"/>
    </row>
    <row r="2554" spans="24:44">
      <c r="X2554"/>
      <c r="Y2554"/>
      <c r="Z2554"/>
      <c r="AA2554"/>
      <c r="AC2554"/>
      <c r="AR2554"/>
    </row>
    <row r="2555" spans="24:44">
      <c r="X2555"/>
      <c r="Y2555"/>
      <c r="Z2555"/>
      <c r="AA2555"/>
      <c r="AC2555"/>
      <c r="AR2555"/>
    </row>
    <row r="2556" spans="24:44">
      <c r="X2556"/>
      <c r="Y2556"/>
      <c r="Z2556"/>
      <c r="AA2556"/>
      <c r="AC2556"/>
      <c r="AR2556"/>
    </row>
    <row r="2557" spans="24:44">
      <c r="X2557"/>
      <c r="Y2557"/>
      <c r="Z2557"/>
      <c r="AA2557"/>
      <c r="AC2557"/>
      <c r="AR2557"/>
    </row>
    <row r="2558" spans="24:44">
      <c r="X2558"/>
      <c r="Y2558"/>
      <c r="Z2558"/>
      <c r="AA2558"/>
      <c r="AC2558"/>
      <c r="AR2558"/>
    </row>
    <row r="2559" spans="24:44">
      <c r="X2559"/>
      <c r="Y2559"/>
      <c r="Z2559"/>
      <c r="AA2559"/>
      <c r="AC2559"/>
      <c r="AR2559"/>
    </row>
    <row r="2560" spans="24:44">
      <c r="X2560"/>
      <c r="Y2560"/>
      <c r="Z2560"/>
      <c r="AA2560"/>
      <c r="AC2560"/>
      <c r="AR2560"/>
    </row>
    <row r="2561" spans="24:44">
      <c r="X2561"/>
      <c r="Y2561"/>
      <c r="Z2561"/>
      <c r="AA2561"/>
      <c r="AC2561"/>
      <c r="AR2561"/>
    </row>
    <row r="2562" spans="24:44">
      <c r="X2562"/>
      <c r="Y2562"/>
      <c r="Z2562"/>
      <c r="AA2562"/>
      <c r="AC2562"/>
      <c r="AR2562"/>
    </row>
    <row r="2563" spans="24:44">
      <c r="X2563"/>
      <c r="Y2563"/>
      <c r="Z2563"/>
      <c r="AA2563"/>
      <c r="AC2563"/>
      <c r="AR2563"/>
    </row>
    <row r="2564" spans="24:44">
      <c r="X2564"/>
      <c r="Y2564"/>
      <c r="Z2564"/>
      <c r="AA2564"/>
      <c r="AC2564"/>
      <c r="AR2564"/>
    </row>
    <row r="2565" spans="24:44">
      <c r="X2565"/>
      <c r="Y2565"/>
      <c r="Z2565"/>
      <c r="AA2565"/>
      <c r="AC2565"/>
      <c r="AR2565"/>
    </row>
    <row r="2566" spans="24:44">
      <c r="X2566"/>
      <c r="Y2566"/>
      <c r="Z2566"/>
      <c r="AA2566"/>
      <c r="AC2566"/>
      <c r="AR2566"/>
    </row>
    <row r="2567" spans="24:44">
      <c r="X2567"/>
      <c r="Y2567"/>
      <c r="Z2567"/>
      <c r="AA2567"/>
      <c r="AC2567"/>
      <c r="AR2567"/>
    </row>
    <row r="2568" spans="24:44">
      <c r="X2568"/>
      <c r="Y2568"/>
      <c r="Z2568"/>
      <c r="AA2568"/>
      <c r="AC2568"/>
      <c r="AR2568"/>
    </row>
    <row r="2569" spans="24:44">
      <c r="X2569"/>
      <c r="Y2569"/>
      <c r="Z2569"/>
      <c r="AA2569"/>
      <c r="AC2569"/>
      <c r="AR2569"/>
    </row>
    <row r="2570" spans="24:44">
      <c r="X2570"/>
      <c r="Y2570"/>
      <c r="Z2570"/>
      <c r="AA2570"/>
      <c r="AC2570"/>
      <c r="AR2570"/>
    </row>
    <row r="2571" spans="24:44">
      <c r="X2571"/>
      <c r="Y2571"/>
      <c r="Z2571"/>
      <c r="AA2571"/>
      <c r="AC2571"/>
      <c r="AR2571"/>
    </row>
    <row r="2572" spans="24:44">
      <c r="X2572"/>
      <c r="Y2572"/>
      <c r="Z2572"/>
      <c r="AA2572"/>
      <c r="AC2572"/>
      <c r="AR2572"/>
    </row>
    <row r="2573" spans="24:44">
      <c r="X2573"/>
      <c r="Y2573"/>
      <c r="Z2573"/>
      <c r="AA2573"/>
      <c r="AC2573"/>
      <c r="AR2573"/>
    </row>
    <row r="2574" spans="24:44">
      <c r="X2574"/>
      <c r="Y2574"/>
      <c r="Z2574"/>
      <c r="AA2574"/>
      <c r="AC2574"/>
      <c r="AR2574"/>
    </row>
    <row r="2575" spans="24:44">
      <c r="X2575"/>
      <c r="Y2575"/>
      <c r="Z2575"/>
      <c r="AA2575"/>
      <c r="AC2575"/>
      <c r="AR2575"/>
    </row>
    <row r="2576" spans="24:44">
      <c r="X2576"/>
      <c r="Y2576"/>
      <c r="Z2576"/>
      <c r="AA2576"/>
      <c r="AC2576"/>
      <c r="AR2576"/>
    </row>
    <row r="2577" spans="24:44">
      <c r="X2577"/>
      <c r="Y2577"/>
      <c r="Z2577"/>
      <c r="AA2577"/>
      <c r="AC2577"/>
      <c r="AR2577"/>
    </row>
    <row r="2578" spans="24:44">
      <c r="X2578"/>
      <c r="Y2578"/>
      <c r="Z2578"/>
      <c r="AA2578"/>
      <c r="AC2578"/>
      <c r="AR2578"/>
    </row>
    <row r="2579" spans="24:44">
      <c r="X2579"/>
      <c r="Y2579"/>
      <c r="Z2579"/>
      <c r="AA2579"/>
      <c r="AC2579"/>
      <c r="AR2579"/>
    </row>
    <row r="2580" spans="24:44">
      <c r="X2580"/>
      <c r="Y2580"/>
      <c r="Z2580"/>
      <c r="AA2580"/>
      <c r="AC2580"/>
      <c r="AR2580"/>
    </row>
    <row r="2581" spans="24:44">
      <c r="X2581"/>
      <c r="Y2581"/>
      <c r="Z2581"/>
      <c r="AA2581"/>
      <c r="AC2581"/>
      <c r="AR2581"/>
    </row>
    <row r="2582" spans="24:44">
      <c r="X2582"/>
      <c r="Y2582"/>
      <c r="Z2582"/>
      <c r="AA2582"/>
      <c r="AC2582"/>
      <c r="AR2582"/>
    </row>
    <row r="2583" spans="24:44">
      <c r="X2583"/>
      <c r="Y2583"/>
      <c r="Z2583"/>
      <c r="AA2583"/>
      <c r="AC2583"/>
      <c r="AR2583"/>
    </row>
    <row r="2584" spans="24:44">
      <c r="X2584"/>
      <c r="Y2584"/>
      <c r="Z2584"/>
      <c r="AA2584"/>
      <c r="AC2584"/>
      <c r="AR2584"/>
    </row>
    <row r="2585" spans="24:44">
      <c r="X2585"/>
      <c r="Y2585"/>
      <c r="Z2585"/>
      <c r="AA2585"/>
      <c r="AC2585"/>
      <c r="AR2585"/>
    </row>
    <row r="2586" spans="24:44">
      <c r="X2586"/>
      <c r="Y2586"/>
      <c r="Z2586"/>
      <c r="AA2586"/>
      <c r="AC2586"/>
      <c r="AR2586"/>
    </row>
    <row r="2587" spans="24:44">
      <c r="X2587"/>
      <c r="Y2587"/>
      <c r="Z2587"/>
      <c r="AA2587"/>
      <c r="AC2587"/>
      <c r="AR2587"/>
    </row>
    <row r="2588" spans="24:44">
      <c r="X2588"/>
      <c r="Y2588"/>
      <c r="Z2588"/>
      <c r="AA2588"/>
      <c r="AC2588"/>
      <c r="AR2588"/>
    </row>
    <row r="2589" spans="24:44">
      <c r="X2589"/>
      <c r="Y2589"/>
      <c r="Z2589"/>
      <c r="AA2589"/>
      <c r="AC2589"/>
      <c r="AR2589"/>
    </row>
    <row r="2590" spans="24:44">
      <c r="X2590"/>
      <c r="Y2590"/>
      <c r="Z2590"/>
      <c r="AA2590"/>
      <c r="AC2590"/>
      <c r="AR2590"/>
    </row>
    <row r="2591" spans="24:44">
      <c r="X2591"/>
      <c r="Y2591"/>
      <c r="Z2591"/>
      <c r="AA2591"/>
      <c r="AC2591"/>
      <c r="AR2591"/>
    </row>
    <row r="2592" spans="24:44">
      <c r="X2592"/>
      <c r="Y2592"/>
      <c r="Z2592"/>
      <c r="AA2592"/>
      <c r="AC2592"/>
      <c r="AR2592"/>
    </row>
    <row r="2593" spans="24:44">
      <c r="X2593"/>
      <c r="Y2593"/>
      <c r="Z2593"/>
      <c r="AA2593"/>
      <c r="AC2593"/>
      <c r="AR2593"/>
    </row>
    <row r="2594" spans="24:44">
      <c r="X2594"/>
      <c r="Y2594"/>
      <c r="Z2594"/>
      <c r="AA2594"/>
      <c r="AC2594"/>
      <c r="AR2594"/>
    </row>
    <row r="2595" spans="24:44">
      <c r="X2595"/>
      <c r="Y2595"/>
      <c r="Z2595"/>
      <c r="AA2595"/>
      <c r="AC2595"/>
      <c r="AR2595"/>
    </row>
    <row r="2596" spans="24:44">
      <c r="X2596"/>
      <c r="Y2596"/>
      <c r="Z2596"/>
      <c r="AA2596"/>
      <c r="AC2596"/>
      <c r="AR2596"/>
    </row>
    <row r="2597" spans="24:44">
      <c r="X2597"/>
      <c r="Y2597"/>
      <c r="Z2597"/>
      <c r="AA2597"/>
      <c r="AC2597"/>
      <c r="AR2597"/>
    </row>
    <row r="2598" spans="24:44">
      <c r="X2598"/>
      <c r="Y2598"/>
      <c r="Z2598"/>
      <c r="AA2598"/>
      <c r="AC2598"/>
      <c r="AR2598"/>
    </row>
    <row r="2599" spans="24:44">
      <c r="X2599"/>
      <c r="Y2599"/>
      <c r="Z2599"/>
      <c r="AA2599"/>
      <c r="AC2599"/>
      <c r="AR2599"/>
    </row>
    <row r="2600" spans="24:44">
      <c r="X2600"/>
      <c r="Y2600"/>
      <c r="Z2600"/>
      <c r="AA2600"/>
      <c r="AC2600"/>
      <c r="AR2600"/>
    </row>
    <row r="2601" spans="24:44">
      <c r="X2601"/>
      <c r="Y2601"/>
      <c r="Z2601"/>
      <c r="AA2601"/>
      <c r="AC2601"/>
      <c r="AR2601"/>
    </row>
    <row r="2602" spans="24:44">
      <c r="X2602"/>
      <c r="Y2602"/>
      <c r="Z2602"/>
      <c r="AA2602"/>
      <c r="AC2602"/>
      <c r="AR2602"/>
    </row>
    <row r="2603" spans="24:44">
      <c r="X2603"/>
      <c r="Y2603"/>
      <c r="Z2603"/>
      <c r="AA2603"/>
      <c r="AC2603"/>
      <c r="AR2603"/>
    </row>
    <row r="2604" spans="24:44">
      <c r="X2604"/>
      <c r="Y2604"/>
      <c r="Z2604"/>
      <c r="AA2604"/>
      <c r="AC2604"/>
      <c r="AR2604"/>
    </row>
    <row r="2605" spans="24:44">
      <c r="X2605"/>
      <c r="Y2605"/>
      <c r="Z2605"/>
      <c r="AA2605"/>
      <c r="AC2605"/>
      <c r="AR2605"/>
    </row>
    <row r="2606" spans="24:44">
      <c r="X2606"/>
      <c r="Y2606"/>
      <c r="Z2606"/>
      <c r="AA2606"/>
      <c r="AC2606"/>
      <c r="AR2606"/>
    </row>
    <row r="2607" spans="24:44">
      <c r="X2607"/>
      <c r="Y2607"/>
      <c r="Z2607"/>
      <c r="AA2607"/>
      <c r="AC2607"/>
      <c r="AR2607"/>
    </row>
    <row r="2608" spans="24:44">
      <c r="X2608"/>
      <c r="Y2608"/>
      <c r="Z2608"/>
      <c r="AA2608"/>
      <c r="AC2608"/>
      <c r="AR2608"/>
    </row>
    <row r="2609" spans="24:44">
      <c r="X2609"/>
      <c r="Y2609"/>
      <c r="Z2609"/>
      <c r="AA2609"/>
      <c r="AC2609"/>
      <c r="AR2609"/>
    </row>
    <row r="2610" spans="24:44">
      <c r="X2610"/>
      <c r="Y2610"/>
      <c r="Z2610"/>
      <c r="AA2610"/>
      <c r="AC2610"/>
      <c r="AR2610"/>
    </row>
    <row r="2611" spans="24:44">
      <c r="X2611"/>
      <c r="Y2611"/>
      <c r="Z2611"/>
      <c r="AA2611"/>
      <c r="AC2611"/>
      <c r="AR2611"/>
    </row>
    <row r="2612" spans="24:44">
      <c r="X2612"/>
      <c r="Y2612"/>
      <c r="Z2612"/>
      <c r="AA2612"/>
      <c r="AC2612"/>
      <c r="AR2612"/>
    </row>
    <row r="2613" spans="24:44">
      <c r="X2613"/>
      <c r="Y2613"/>
      <c r="Z2613"/>
      <c r="AA2613"/>
      <c r="AC2613"/>
      <c r="AR2613"/>
    </row>
    <row r="2614" spans="24:44">
      <c r="X2614"/>
      <c r="Y2614"/>
      <c r="Z2614"/>
      <c r="AA2614"/>
      <c r="AC2614"/>
      <c r="AR2614"/>
    </row>
    <row r="2615" spans="24:44">
      <c r="X2615"/>
      <c r="Y2615"/>
      <c r="Z2615"/>
      <c r="AA2615"/>
      <c r="AC2615"/>
      <c r="AR2615"/>
    </row>
    <row r="2616" spans="24:44">
      <c r="X2616"/>
      <c r="Y2616"/>
      <c r="Z2616"/>
      <c r="AA2616"/>
      <c r="AC2616"/>
      <c r="AR2616"/>
    </row>
    <row r="2617" spans="24:44">
      <c r="X2617"/>
      <c r="Y2617"/>
      <c r="Z2617"/>
      <c r="AA2617"/>
      <c r="AC2617"/>
      <c r="AR2617"/>
    </row>
    <row r="2618" spans="24:44">
      <c r="X2618"/>
      <c r="Y2618"/>
      <c r="Z2618"/>
      <c r="AA2618"/>
      <c r="AC2618"/>
      <c r="AR2618"/>
    </row>
    <row r="2619" spans="24:44">
      <c r="X2619"/>
      <c r="Y2619"/>
      <c r="Z2619"/>
      <c r="AA2619"/>
      <c r="AC2619"/>
      <c r="AR2619"/>
    </row>
    <row r="2620" spans="24:44">
      <c r="X2620"/>
      <c r="Y2620"/>
      <c r="Z2620"/>
      <c r="AA2620"/>
      <c r="AC2620"/>
      <c r="AR2620"/>
    </row>
    <row r="2621" spans="24:44">
      <c r="X2621"/>
      <c r="Y2621"/>
      <c r="Z2621"/>
      <c r="AA2621"/>
      <c r="AC2621"/>
      <c r="AR2621"/>
    </row>
    <row r="2622" spans="24:44">
      <c r="X2622"/>
      <c r="Y2622"/>
      <c r="Z2622"/>
      <c r="AA2622"/>
      <c r="AC2622"/>
      <c r="AR2622"/>
    </row>
    <row r="2623" spans="24:44">
      <c r="X2623"/>
      <c r="Y2623"/>
      <c r="Z2623"/>
      <c r="AA2623"/>
      <c r="AC2623"/>
      <c r="AR2623"/>
    </row>
    <row r="2624" spans="24:44">
      <c r="X2624"/>
      <c r="Y2624"/>
      <c r="Z2624"/>
      <c r="AA2624"/>
      <c r="AC2624"/>
      <c r="AR2624"/>
    </row>
    <row r="2625" spans="24:44">
      <c r="X2625"/>
      <c r="Y2625"/>
      <c r="Z2625"/>
      <c r="AA2625"/>
      <c r="AC2625"/>
      <c r="AR2625"/>
    </row>
    <row r="2626" spans="24:44">
      <c r="X2626"/>
      <c r="Y2626"/>
      <c r="Z2626"/>
      <c r="AA2626"/>
      <c r="AC2626"/>
      <c r="AR2626"/>
    </row>
    <row r="2627" spans="24:44">
      <c r="X2627"/>
      <c r="Y2627"/>
      <c r="Z2627"/>
      <c r="AA2627"/>
      <c r="AC2627"/>
      <c r="AR2627"/>
    </row>
    <row r="2628" spans="24:44">
      <c r="X2628"/>
      <c r="Y2628"/>
      <c r="Z2628"/>
      <c r="AA2628"/>
      <c r="AC2628"/>
      <c r="AR2628"/>
    </row>
    <row r="2629" spans="24:44">
      <c r="X2629"/>
      <c r="Y2629"/>
      <c r="Z2629"/>
      <c r="AA2629"/>
      <c r="AC2629"/>
      <c r="AR2629"/>
    </row>
    <row r="2630" spans="24:44">
      <c r="X2630"/>
      <c r="Y2630"/>
      <c r="Z2630"/>
      <c r="AA2630"/>
      <c r="AC2630"/>
      <c r="AR2630"/>
    </row>
    <row r="2631" spans="24:44">
      <c r="X2631"/>
      <c r="Y2631"/>
      <c r="Z2631"/>
      <c r="AA2631"/>
      <c r="AC2631"/>
      <c r="AR2631"/>
    </row>
    <row r="2632" spans="24:44">
      <c r="X2632"/>
      <c r="Y2632"/>
      <c r="Z2632"/>
      <c r="AA2632"/>
      <c r="AC2632"/>
      <c r="AR2632"/>
    </row>
    <row r="2633" spans="24:44">
      <c r="X2633"/>
      <c r="Y2633"/>
      <c r="Z2633"/>
      <c r="AA2633"/>
      <c r="AC2633"/>
      <c r="AR2633"/>
    </row>
    <row r="2634" spans="24:44">
      <c r="X2634"/>
      <c r="Y2634"/>
      <c r="Z2634"/>
      <c r="AA2634"/>
      <c r="AC2634"/>
      <c r="AR2634"/>
    </row>
    <row r="2635" spans="24:44">
      <c r="X2635"/>
      <c r="Y2635"/>
      <c r="Z2635"/>
      <c r="AA2635"/>
      <c r="AC2635"/>
      <c r="AR2635"/>
    </row>
    <row r="2636" spans="24:44">
      <c r="X2636"/>
      <c r="Y2636"/>
      <c r="Z2636"/>
      <c r="AA2636"/>
      <c r="AC2636"/>
      <c r="AR2636"/>
    </row>
    <row r="2637" spans="24:44">
      <c r="X2637"/>
      <c r="Y2637"/>
      <c r="Z2637"/>
      <c r="AA2637"/>
      <c r="AC2637"/>
      <c r="AR2637"/>
    </row>
    <row r="2638" spans="24:44">
      <c r="X2638"/>
      <c r="Y2638"/>
      <c r="Z2638"/>
      <c r="AA2638"/>
      <c r="AC2638"/>
      <c r="AR2638"/>
    </row>
    <row r="2639" spans="24:44">
      <c r="X2639"/>
      <c r="Y2639"/>
      <c r="Z2639"/>
      <c r="AA2639"/>
      <c r="AC2639"/>
      <c r="AR2639"/>
    </row>
    <row r="2640" spans="24:44">
      <c r="X2640"/>
      <c r="Y2640"/>
      <c r="Z2640"/>
      <c r="AA2640"/>
      <c r="AC2640"/>
      <c r="AR2640"/>
    </row>
    <row r="2641" spans="24:44">
      <c r="X2641"/>
      <c r="Y2641"/>
      <c r="Z2641"/>
      <c r="AA2641"/>
      <c r="AC2641"/>
      <c r="AR2641"/>
    </row>
    <row r="2642" spans="24:44">
      <c r="X2642"/>
      <c r="Y2642"/>
      <c r="Z2642"/>
      <c r="AA2642"/>
      <c r="AC2642"/>
      <c r="AR2642"/>
    </row>
    <row r="2643" spans="24:44">
      <c r="X2643"/>
      <c r="Y2643"/>
      <c r="Z2643"/>
      <c r="AA2643"/>
      <c r="AC2643"/>
      <c r="AR2643"/>
    </row>
    <row r="2644" spans="24:44">
      <c r="X2644"/>
      <c r="Y2644"/>
      <c r="Z2644"/>
      <c r="AA2644"/>
      <c r="AC2644"/>
      <c r="AR2644"/>
    </row>
    <row r="2645" spans="24:44">
      <c r="X2645"/>
      <c r="Y2645"/>
      <c r="Z2645"/>
      <c r="AA2645"/>
      <c r="AC2645"/>
      <c r="AR2645"/>
    </row>
    <row r="2646" spans="24:44">
      <c r="X2646"/>
      <c r="Y2646"/>
      <c r="Z2646"/>
      <c r="AA2646"/>
      <c r="AC2646"/>
      <c r="AR2646"/>
    </row>
    <row r="2647" spans="24:44">
      <c r="X2647"/>
      <c r="Y2647"/>
      <c r="Z2647"/>
      <c r="AA2647"/>
      <c r="AC2647"/>
      <c r="AR2647"/>
    </row>
    <row r="2648" spans="24:44">
      <c r="X2648"/>
      <c r="Y2648"/>
      <c r="Z2648"/>
      <c r="AA2648"/>
      <c r="AC2648"/>
      <c r="AR2648"/>
    </row>
    <row r="2649" spans="24:44">
      <c r="X2649"/>
      <c r="Y2649"/>
      <c r="Z2649"/>
      <c r="AA2649"/>
      <c r="AC2649"/>
      <c r="AR2649"/>
    </row>
    <row r="2650" spans="24:44">
      <c r="X2650"/>
      <c r="Y2650"/>
      <c r="Z2650"/>
      <c r="AA2650"/>
      <c r="AC2650"/>
      <c r="AR2650"/>
    </row>
    <row r="2651" spans="24:44">
      <c r="X2651"/>
      <c r="Y2651"/>
      <c r="Z2651"/>
      <c r="AA2651"/>
      <c r="AC2651"/>
      <c r="AR2651"/>
    </row>
    <row r="2652" spans="24:44">
      <c r="X2652"/>
      <c r="Y2652"/>
      <c r="Z2652"/>
      <c r="AA2652"/>
      <c r="AC2652"/>
      <c r="AR2652"/>
    </row>
    <row r="2653" spans="24:44">
      <c r="X2653"/>
      <c r="Y2653"/>
      <c r="Z2653"/>
      <c r="AA2653"/>
      <c r="AC2653"/>
      <c r="AR2653"/>
    </row>
    <row r="2654" spans="24:44">
      <c r="X2654"/>
      <c r="Y2654"/>
      <c r="Z2654"/>
      <c r="AA2654"/>
      <c r="AC2654"/>
      <c r="AR2654"/>
    </row>
    <row r="2655" spans="24:44">
      <c r="X2655"/>
      <c r="Y2655"/>
      <c r="Z2655"/>
      <c r="AA2655"/>
      <c r="AC2655"/>
      <c r="AR2655"/>
    </row>
    <row r="2656" spans="24:44">
      <c r="X2656"/>
      <c r="Y2656"/>
      <c r="Z2656"/>
      <c r="AA2656"/>
      <c r="AC2656"/>
      <c r="AR2656"/>
    </row>
    <row r="2657" spans="24:44">
      <c r="X2657"/>
      <c r="Y2657"/>
      <c r="Z2657"/>
      <c r="AA2657"/>
      <c r="AC2657"/>
      <c r="AR2657"/>
    </row>
    <row r="2658" spans="24:44">
      <c r="X2658"/>
      <c r="Y2658"/>
      <c r="Z2658"/>
      <c r="AA2658"/>
      <c r="AC2658"/>
      <c r="AR2658"/>
    </row>
    <row r="2659" spans="24:44">
      <c r="X2659"/>
      <c r="Y2659"/>
      <c r="Z2659"/>
      <c r="AA2659"/>
      <c r="AC2659"/>
      <c r="AR2659"/>
    </row>
    <row r="2660" spans="24:44">
      <c r="X2660"/>
      <c r="Y2660"/>
      <c r="Z2660"/>
      <c r="AA2660"/>
      <c r="AC2660"/>
      <c r="AR2660"/>
    </row>
    <row r="2661" spans="24:44">
      <c r="X2661"/>
      <c r="Y2661"/>
      <c r="Z2661"/>
      <c r="AA2661"/>
      <c r="AC2661"/>
      <c r="AR2661"/>
    </row>
    <row r="2662" spans="24:44">
      <c r="X2662"/>
      <c r="Y2662"/>
      <c r="Z2662"/>
      <c r="AA2662"/>
      <c r="AC2662"/>
      <c r="AR2662"/>
    </row>
    <row r="2663" spans="24:44">
      <c r="X2663"/>
      <c r="Y2663"/>
      <c r="Z2663"/>
      <c r="AA2663"/>
      <c r="AC2663"/>
      <c r="AR2663"/>
    </row>
    <row r="2664" spans="24:44">
      <c r="X2664"/>
      <c r="Y2664"/>
      <c r="Z2664"/>
      <c r="AA2664"/>
      <c r="AC2664"/>
      <c r="AR2664"/>
    </row>
    <row r="2665" spans="24:44">
      <c r="X2665"/>
      <c r="Y2665"/>
      <c r="Z2665"/>
      <c r="AA2665"/>
      <c r="AC2665"/>
      <c r="AR2665"/>
    </row>
    <row r="2666" spans="24:44">
      <c r="X2666"/>
      <c r="Y2666"/>
      <c r="Z2666"/>
      <c r="AA2666"/>
      <c r="AC2666"/>
      <c r="AR2666"/>
    </row>
    <row r="2667" spans="24:44">
      <c r="X2667"/>
      <c r="Y2667"/>
      <c r="Z2667"/>
      <c r="AA2667"/>
      <c r="AC2667"/>
      <c r="AR2667"/>
    </row>
    <row r="2668" spans="24:44">
      <c r="X2668"/>
      <c r="Y2668"/>
      <c r="Z2668"/>
      <c r="AA2668"/>
      <c r="AC2668"/>
      <c r="AR2668"/>
    </row>
    <row r="2669" spans="24:44">
      <c r="X2669"/>
      <c r="Y2669"/>
      <c r="Z2669"/>
      <c r="AA2669"/>
      <c r="AC2669"/>
      <c r="AR2669"/>
    </row>
    <row r="2670" spans="24:44">
      <c r="X2670"/>
      <c r="Y2670"/>
      <c r="Z2670"/>
      <c r="AA2670"/>
      <c r="AC2670"/>
      <c r="AR2670"/>
    </row>
    <row r="2671" spans="24:44">
      <c r="X2671"/>
      <c r="Y2671"/>
      <c r="Z2671"/>
      <c r="AA2671"/>
      <c r="AC2671"/>
      <c r="AR2671"/>
    </row>
    <row r="2672" spans="24:44">
      <c r="X2672"/>
      <c r="Y2672"/>
      <c r="Z2672"/>
      <c r="AA2672"/>
      <c r="AC2672"/>
      <c r="AR2672"/>
    </row>
    <row r="2673" spans="24:44">
      <c r="X2673"/>
      <c r="Y2673"/>
      <c r="Z2673"/>
      <c r="AA2673"/>
      <c r="AC2673"/>
      <c r="AR2673"/>
    </row>
    <row r="2674" spans="24:44">
      <c r="X2674"/>
      <c r="Y2674"/>
      <c r="Z2674"/>
      <c r="AA2674"/>
      <c r="AC2674"/>
      <c r="AR2674"/>
    </row>
    <row r="2675" spans="24:44">
      <c r="X2675"/>
      <c r="Y2675"/>
      <c r="Z2675"/>
      <c r="AA2675"/>
      <c r="AC2675"/>
      <c r="AR2675"/>
    </row>
    <row r="2676" spans="24:44">
      <c r="X2676"/>
      <c r="Y2676"/>
      <c r="Z2676"/>
      <c r="AA2676"/>
      <c r="AC2676"/>
      <c r="AR2676"/>
    </row>
    <row r="2677" spans="24:44">
      <c r="X2677"/>
      <c r="Y2677"/>
      <c r="Z2677"/>
      <c r="AA2677"/>
      <c r="AC2677"/>
      <c r="AR2677"/>
    </row>
    <row r="2678" spans="24:44">
      <c r="X2678"/>
      <c r="Y2678"/>
      <c r="Z2678"/>
      <c r="AA2678"/>
      <c r="AC2678"/>
      <c r="AR2678"/>
    </row>
    <row r="2679" spans="24:44">
      <c r="X2679"/>
      <c r="Y2679"/>
      <c r="Z2679"/>
      <c r="AA2679"/>
      <c r="AC2679"/>
      <c r="AR2679"/>
    </row>
    <row r="2680" spans="24:44">
      <c r="X2680"/>
      <c r="Y2680"/>
      <c r="Z2680"/>
      <c r="AA2680"/>
      <c r="AC2680"/>
      <c r="AR2680"/>
    </row>
    <row r="2681" spans="24:44">
      <c r="X2681"/>
      <c r="Y2681"/>
      <c r="Z2681"/>
      <c r="AA2681"/>
      <c r="AC2681"/>
      <c r="AR2681"/>
    </row>
    <row r="2682" spans="24:44">
      <c r="X2682"/>
      <c r="Y2682"/>
      <c r="Z2682"/>
      <c r="AA2682"/>
      <c r="AC2682"/>
      <c r="AR2682"/>
    </row>
    <row r="2683" spans="24:44">
      <c r="X2683"/>
      <c r="Y2683"/>
      <c r="Z2683"/>
      <c r="AA2683"/>
      <c r="AC2683"/>
      <c r="AR2683"/>
    </row>
    <row r="2684" spans="24:44">
      <c r="X2684"/>
      <c r="Y2684"/>
      <c r="Z2684"/>
      <c r="AA2684"/>
      <c r="AC2684"/>
      <c r="AR2684"/>
    </row>
    <row r="2685" spans="24:44">
      <c r="X2685"/>
      <c r="Y2685"/>
      <c r="Z2685"/>
      <c r="AA2685"/>
      <c r="AC2685"/>
      <c r="AR2685"/>
    </row>
    <row r="2686" spans="24:44">
      <c r="X2686"/>
      <c r="Y2686"/>
      <c r="Z2686"/>
      <c r="AA2686"/>
      <c r="AC2686"/>
      <c r="AR2686"/>
    </row>
    <row r="2687" spans="24:44">
      <c r="X2687"/>
      <c r="Y2687"/>
      <c r="Z2687"/>
      <c r="AA2687"/>
      <c r="AC2687"/>
      <c r="AR2687"/>
    </row>
    <row r="2688" spans="24:44">
      <c r="X2688"/>
      <c r="Y2688"/>
      <c r="Z2688"/>
      <c r="AA2688"/>
      <c r="AC2688"/>
      <c r="AR2688"/>
    </row>
    <row r="2689" spans="24:44">
      <c r="X2689"/>
      <c r="Y2689"/>
      <c r="Z2689"/>
      <c r="AA2689"/>
      <c r="AC2689"/>
      <c r="AR2689"/>
    </row>
    <row r="2690" spans="24:44">
      <c r="X2690"/>
      <c r="Y2690"/>
      <c r="Z2690"/>
      <c r="AA2690"/>
      <c r="AC2690"/>
      <c r="AR2690"/>
    </row>
    <row r="2691" spans="24:44">
      <c r="X2691"/>
      <c r="Y2691"/>
      <c r="Z2691"/>
      <c r="AA2691"/>
      <c r="AC2691"/>
      <c r="AR2691"/>
    </row>
    <row r="2692" spans="24:44">
      <c r="X2692"/>
      <c r="Y2692"/>
      <c r="Z2692"/>
      <c r="AA2692"/>
      <c r="AC2692"/>
      <c r="AR2692"/>
    </row>
    <row r="2693" spans="24:44">
      <c r="X2693"/>
      <c r="Y2693"/>
      <c r="Z2693"/>
      <c r="AA2693"/>
      <c r="AC2693"/>
      <c r="AR2693"/>
    </row>
    <row r="2694" spans="24:44">
      <c r="X2694"/>
      <c r="Y2694"/>
      <c r="Z2694"/>
      <c r="AA2694"/>
      <c r="AC2694"/>
      <c r="AR2694"/>
    </row>
    <row r="2695" spans="24:44">
      <c r="X2695"/>
      <c r="Y2695"/>
      <c r="Z2695"/>
      <c r="AA2695"/>
      <c r="AC2695"/>
      <c r="AR2695"/>
    </row>
    <row r="2696" spans="24:44">
      <c r="X2696"/>
      <c r="Y2696"/>
      <c r="Z2696"/>
      <c r="AA2696"/>
      <c r="AC2696"/>
      <c r="AR2696"/>
    </row>
    <row r="2697" spans="24:44">
      <c r="X2697"/>
      <c r="Y2697"/>
      <c r="Z2697"/>
      <c r="AA2697"/>
      <c r="AC2697"/>
      <c r="AR2697"/>
    </row>
    <row r="2698" spans="24:44">
      <c r="X2698"/>
      <c r="Y2698"/>
      <c r="Z2698"/>
      <c r="AA2698"/>
      <c r="AC2698"/>
      <c r="AR2698"/>
    </row>
    <row r="2699" spans="24:44">
      <c r="X2699"/>
      <c r="Y2699"/>
      <c r="Z2699"/>
      <c r="AA2699"/>
      <c r="AC2699"/>
      <c r="AR2699"/>
    </row>
    <row r="2700" spans="24:44">
      <c r="X2700"/>
      <c r="Y2700"/>
      <c r="Z2700"/>
      <c r="AA2700"/>
      <c r="AC2700"/>
      <c r="AR2700"/>
    </row>
    <row r="2701" spans="24:44">
      <c r="X2701"/>
      <c r="Y2701"/>
      <c r="Z2701"/>
      <c r="AA2701"/>
      <c r="AC2701"/>
      <c r="AR2701"/>
    </row>
    <row r="2702" spans="24:44">
      <c r="X2702"/>
      <c r="Y2702"/>
      <c r="Z2702"/>
      <c r="AA2702"/>
      <c r="AC2702"/>
      <c r="AR2702"/>
    </row>
    <row r="2703" spans="24:44">
      <c r="X2703"/>
      <c r="Y2703"/>
      <c r="Z2703"/>
      <c r="AA2703"/>
      <c r="AC2703"/>
      <c r="AR2703"/>
    </row>
    <row r="2704" spans="24:44">
      <c r="X2704"/>
      <c r="Y2704"/>
      <c r="Z2704"/>
      <c r="AA2704"/>
      <c r="AC2704"/>
      <c r="AR2704"/>
    </row>
    <row r="2705" spans="24:44">
      <c r="X2705"/>
      <c r="Y2705"/>
      <c r="Z2705"/>
      <c r="AA2705"/>
      <c r="AC2705"/>
      <c r="AR2705"/>
    </row>
    <row r="2706" spans="24:44">
      <c r="X2706"/>
      <c r="Y2706"/>
      <c r="Z2706"/>
      <c r="AA2706"/>
      <c r="AC2706"/>
      <c r="AR2706"/>
    </row>
    <row r="2707" spans="24:44">
      <c r="X2707"/>
      <c r="Y2707"/>
      <c r="Z2707"/>
      <c r="AA2707"/>
      <c r="AC2707"/>
      <c r="AR2707"/>
    </row>
    <row r="2708" spans="24:44">
      <c r="X2708"/>
      <c r="Y2708"/>
      <c r="Z2708"/>
      <c r="AA2708"/>
      <c r="AC2708"/>
      <c r="AR2708"/>
    </row>
    <row r="2709" spans="24:44">
      <c r="X2709"/>
      <c r="Y2709"/>
      <c r="Z2709"/>
      <c r="AA2709"/>
      <c r="AC2709"/>
      <c r="AR2709"/>
    </row>
    <row r="2710" spans="24:44">
      <c r="X2710"/>
      <c r="Y2710"/>
      <c r="Z2710"/>
      <c r="AA2710"/>
      <c r="AC2710"/>
      <c r="AR2710"/>
    </row>
    <row r="2711" spans="24:44">
      <c r="X2711"/>
      <c r="Y2711"/>
      <c r="Z2711"/>
      <c r="AA2711"/>
      <c r="AC2711"/>
      <c r="AR2711"/>
    </row>
    <row r="2712" spans="24:44">
      <c r="X2712"/>
      <c r="Y2712"/>
      <c r="Z2712"/>
      <c r="AA2712"/>
      <c r="AC2712"/>
      <c r="AR2712"/>
    </row>
    <row r="2713" spans="24:44">
      <c r="X2713"/>
      <c r="Y2713"/>
      <c r="Z2713"/>
      <c r="AA2713"/>
      <c r="AC2713"/>
      <c r="AR2713"/>
    </row>
    <row r="2714" spans="24:44">
      <c r="X2714"/>
      <c r="Y2714"/>
      <c r="Z2714"/>
      <c r="AA2714"/>
      <c r="AC2714"/>
      <c r="AR2714"/>
    </row>
    <row r="2715" spans="24:44">
      <c r="X2715"/>
      <c r="Y2715"/>
      <c r="Z2715"/>
      <c r="AA2715"/>
      <c r="AC2715"/>
      <c r="AR2715"/>
    </row>
    <row r="2716" spans="24:44">
      <c r="X2716"/>
      <c r="Y2716"/>
      <c r="Z2716"/>
      <c r="AA2716"/>
      <c r="AC2716"/>
      <c r="AR2716"/>
    </row>
    <row r="2717" spans="24:44">
      <c r="X2717"/>
      <c r="Y2717"/>
      <c r="Z2717"/>
      <c r="AA2717"/>
      <c r="AC2717"/>
      <c r="AR2717"/>
    </row>
    <row r="2718" spans="24:44">
      <c r="X2718"/>
      <c r="Y2718"/>
      <c r="Z2718"/>
      <c r="AA2718"/>
      <c r="AC2718"/>
      <c r="AR2718"/>
    </row>
    <row r="2719" spans="24:44">
      <c r="X2719"/>
      <c r="Y2719"/>
      <c r="Z2719"/>
      <c r="AA2719"/>
      <c r="AC2719"/>
      <c r="AR2719"/>
    </row>
    <row r="2720" spans="24:44">
      <c r="X2720"/>
      <c r="Y2720"/>
      <c r="Z2720"/>
      <c r="AA2720"/>
      <c r="AC2720"/>
      <c r="AR2720"/>
    </row>
    <row r="2721" spans="24:44">
      <c r="X2721"/>
      <c r="Y2721"/>
      <c r="Z2721"/>
      <c r="AA2721"/>
      <c r="AC2721"/>
      <c r="AR2721"/>
    </row>
    <row r="2722" spans="24:44">
      <c r="X2722"/>
      <c r="Y2722"/>
      <c r="Z2722"/>
      <c r="AA2722"/>
      <c r="AC2722"/>
      <c r="AR2722"/>
    </row>
    <row r="2723" spans="24:44">
      <c r="X2723"/>
      <c r="Y2723"/>
      <c r="Z2723"/>
      <c r="AA2723"/>
      <c r="AC2723"/>
      <c r="AR2723"/>
    </row>
    <row r="2724" spans="24:44">
      <c r="X2724"/>
      <c r="Y2724"/>
      <c r="Z2724"/>
      <c r="AA2724"/>
      <c r="AC2724"/>
      <c r="AR2724"/>
    </row>
    <row r="2725" spans="24:44">
      <c r="X2725"/>
      <c r="Y2725"/>
      <c r="Z2725"/>
      <c r="AA2725"/>
      <c r="AC2725"/>
      <c r="AR2725"/>
    </row>
    <row r="2726" spans="24:44">
      <c r="X2726"/>
      <c r="Y2726"/>
      <c r="Z2726"/>
      <c r="AA2726"/>
      <c r="AC2726"/>
      <c r="AR2726"/>
    </row>
    <row r="2727" spans="24:44">
      <c r="X2727"/>
      <c r="Y2727"/>
      <c r="Z2727"/>
      <c r="AA2727"/>
      <c r="AC2727"/>
      <c r="AR2727"/>
    </row>
    <row r="2728" spans="24:44">
      <c r="X2728"/>
      <c r="Y2728"/>
      <c r="Z2728"/>
      <c r="AA2728"/>
      <c r="AC2728"/>
      <c r="AR2728"/>
    </row>
    <row r="2729" spans="24:44">
      <c r="X2729"/>
      <c r="Y2729"/>
      <c r="Z2729"/>
      <c r="AA2729"/>
      <c r="AC2729"/>
      <c r="AR2729"/>
    </row>
    <row r="2730" spans="24:44">
      <c r="X2730"/>
      <c r="Y2730"/>
      <c r="Z2730"/>
      <c r="AA2730"/>
      <c r="AC2730"/>
      <c r="AR2730"/>
    </row>
    <row r="2731" spans="24:44">
      <c r="X2731"/>
      <c r="Y2731"/>
      <c r="Z2731"/>
      <c r="AA2731"/>
      <c r="AC2731"/>
      <c r="AR2731"/>
    </row>
    <row r="2732" spans="24:44">
      <c r="X2732"/>
      <c r="Y2732"/>
      <c r="Z2732"/>
      <c r="AA2732"/>
      <c r="AC2732"/>
      <c r="AR2732"/>
    </row>
    <row r="2733" spans="24:44">
      <c r="X2733"/>
      <c r="Y2733"/>
      <c r="Z2733"/>
      <c r="AA2733"/>
      <c r="AC2733"/>
      <c r="AR2733"/>
    </row>
    <row r="2734" spans="24:44">
      <c r="X2734"/>
      <c r="Y2734"/>
      <c r="Z2734"/>
      <c r="AA2734"/>
      <c r="AC2734"/>
      <c r="AR2734"/>
    </row>
    <row r="2735" spans="24:44">
      <c r="X2735"/>
      <c r="Y2735"/>
      <c r="Z2735"/>
      <c r="AA2735"/>
      <c r="AC2735"/>
      <c r="AR2735"/>
    </row>
    <row r="2736" spans="24:44">
      <c r="X2736"/>
      <c r="Y2736"/>
      <c r="Z2736"/>
      <c r="AA2736"/>
      <c r="AC2736"/>
      <c r="AR2736"/>
    </row>
    <row r="2737" spans="24:44">
      <c r="X2737"/>
      <c r="Y2737"/>
      <c r="Z2737"/>
      <c r="AA2737"/>
      <c r="AC2737"/>
      <c r="AR2737"/>
    </row>
    <row r="2738" spans="24:44">
      <c r="X2738"/>
      <c r="Y2738"/>
      <c r="Z2738"/>
      <c r="AA2738"/>
      <c r="AC2738"/>
      <c r="AR2738"/>
    </row>
    <row r="2739" spans="24:44">
      <c r="X2739"/>
      <c r="Y2739"/>
      <c r="Z2739"/>
      <c r="AA2739"/>
      <c r="AC2739"/>
      <c r="AR2739"/>
    </row>
    <row r="2740" spans="24:44">
      <c r="X2740"/>
      <c r="Y2740"/>
      <c r="Z2740"/>
      <c r="AA2740"/>
      <c r="AC2740"/>
      <c r="AR2740"/>
    </row>
    <row r="2741" spans="24:44">
      <c r="X2741"/>
      <c r="Y2741"/>
      <c r="Z2741"/>
      <c r="AA2741"/>
      <c r="AC2741"/>
      <c r="AR2741"/>
    </row>
    <row r="2742" spans="24:44">
      <c r="X2742"/>
      <c r="Y2742"/>
      <c r="Z2742"/>
      <c r="AA2742"/>
      <c r="AC2742"/>
      <c r="AR2742"/>
    </row>
    <row r="2743" spans="24:44">
      <c r="X2743"/>
      <c r="Y2743"/>
      <c r="Z2743"/>
      <c r="AA2743"/>
      <c r="AC2743"/>
      <c r="AR2743"/>
    </row>
    <row r="2744" spans="24:44">
      <c r="X2744"/>
      <c r="Y2744"/>
      <c r="Z2744"/>
      <c r="AA2744"/>
      <c r="AC2744"/>
      <c r="AR2744"/>
    </row>
    <row r="2745" spans="24:44">
      <c r="X2745"/>
      <c r="Y2745"/>
      <c r="Z2745"/>
      <c r="AA2745"/>
      <c r="AC2745"/>
      <c r="AR2745"/>
    </row>
    <row r="2746" spans="24:44">
      <c r="X2746"/>
      <c r="Y2746"/>
      <c r="Z2746"/>
      <c r="AA2746"/>
      <c r="AC2746"/>
      <c r="AR2746"/>
    </row>
    <row r="2747" spans="24:44">
      <c r="X2747"/>
      <c r="Y2747"/>
      <c r="Z2747"/>
      <c r="AA2747"/>
      <c r="AC2747"/>
      <c r="AR2747"/>
    </row>
    <row r="2748" spans="24:44">
      <c r="X2748"/>
      <c r="Y2748"/>
      <c r="Z2748"/>
      <c r="AA2748"/>
      <c r="AC2748"/>
      <c r="AR2748"/>
    </row>
    <row r="2749" spans="24:44">
      <c r="X2749"/>
      <c r="Y2749"/>
      <c r="Z2749"/>
      <c r="AA2749"/>
      <c r="AC2749"/>
      <c r="AR2749"/>
    </row>
    <row r="2750" spans="24:44">
      <c r="X2750"/>
      <c r="Y2750"/>
      <c r="Z2750"/>
      <c r="AA2750"/>
      <c r="AC2750"/>
      <c r="AR2750"/>
    </row>
    <row r="2751" spans="24:44">
      <c r="X2751"/>
      <c r="Y2751"/>
      <c r="Z2751"/>
      <c r="AA2751"/>
      <c r="AC2751"/>
      <c r="AR2751"/>
    </row>
    <row r="2752" spans="24:44">
      <c r="X2752"/>
      <c r="Y2752"/>
      <c r="Z2752"/>
      <c r="AA2752"/>
      <c r="AC2752"/>
      <c r="AR2752"/>
    </row>
    <row r="2753" spans="24:44">
      <c r="X2753"/>
      <c r="Y2753"/>
      <c r="Z2753"/>
      <c r="AA2753"/>
      <c r="AC2753"/>
      <c r="AR2753"/>
    </row>
    <row r="2754" spans="24:44">
      <c r="X2754"/>
      <c r="Y2754"/>
      <c r="Z2754"/>
      <c r="AA2754"/>
      <c r="AC2754"/>
      <c r="AR2754"/>
    </row>
    <row r="2755" spans="24:44">
      <c r="X2755"/>
      <c r="Y2755"/>
      <c r="Z2755"/>
      <c r="AA2755"/>
      <c r="AC2755"/>
      <c r="AR2755"/>
    </row>
    <row r="2756" spans="24:44">
      <c r="X2756"/>
      <c r="Y2756"/>
      <c r="Z2756"/>
      <c r="AA2756"/>
      <c r="AC2756"/>
      <c r="AR2756"/>
    </row>
    <row r="2757" spans="24:44">
      <c r="X2757"/>
      <c r="Y2757"/>
      <c r="Z2757"/>
      <c r="AA2757"/>
      <c r="AC2757"/>
      <c r="AR2757"/>
    </row>
    <row r="2758" spans="24:44">
      <c r="X2758"/>
      <c r="Y2758"/>
      <c r="Z2758"/>
      <c r="AA2758"/>
      <c r="AC2758"/>
      <c r="AR2758"/>
    </row>
    <row r="2759" spans="24:44">
      <c r="X2759"/>
      <c r="Y2759"/>
      <c r="Z2759"/>
      <c r="AA2759"/>
      <c r="AC2759"/>
      <c r="AR2759"/>
    </row>
    <row r="2760" spans="24:44">
      <c r="X2760"/>
      <c r="Y2760"/>
      <c r="Z2760"/>
      <c r="AA2760"/>
      <c r="AC2760"/>
      <c r="AR2760"/>
    </row>
    <row r="2761" spans="24:44">
      <c r="X2761"/>
      <c r="Y2761"/>
      <c r="Z2761"/>
      <c r="AA2761"/>
      <c r="AC2761"/>
      <c r="AR2761"/>
    </row>
    <row r="2762" spans="24:44">
      <c r="X2762"/>
      <c r="Y2762"/>
      <c r="Z2762"/>
      <c r="AA2762"/>
      <c r="AC2762"/>
      <c r="AR2762"/>
    </row>
    <row r="2763" spans="24:44">
      <c r="X2763"/>
      <c r="Y2763"/>
      <c r="Z2763"/>
      <c r="AA2763"/>
      <c r="AC2763"/>
      <c r="AR2763"/>
    </row>
    <row r="2764" spans="24:44">
      <c r="X2764"/>
      <c r="Y2764"/>
      <c r="Z2764"/>
      <c r="AA2764"/>
      <c r="AC2764"/>
      <c r="AR2764"/>
    </row>
    <row r="2765" spans="24:44">
      <c r="X2765"/>
      <c r="Y2765"/>
      <c r="Z2765"/>
      <c r="AA2765"/>
      <c r="AC2765"/>
      <c r="AR2765"/>
    </row>
    <row r="2766" spans="24:44">
      <c r="X2766"/>
      <c r="Y2766"/>
      <c r="Z2766"/>
      <c r="AA2766"/>
      <c r="AC2766"/>
      <c r="AR2766"/>
    </row>
    <row r="2767" spans="24:44">
      <c r="X2767"/>
      <c r="Y2767"/>
      <c r="Z2767"/>
      <c r="AA2767"/>
      <c r="AC2767"/>
      <c r="AR2767"/>
    </row>
    <row r="2768" spans="24:44">
      <c r="X2768"/>
      <c r="Y2768"/>
      <c r="Z2768"/>
      <c r="AA2768"/>
      <c r="AC2768"/>
      <c r="AR2768"/>
    </row>
    <row r="2769" spans="24:44">
      <c r="X2769"/>
      <c r="Y2769"/>
      <c r="Z2769"/>
      <c r="AA2769"/>
      <c r="AC2769"/>
      <c r="AR2769"/>
    </row>
    <row r="2770" spans="24:44">
      <c r="X2770"/>
      <c r="Y2770"/>
      <c r="Z2770"/>
      <c r="AA2770"/>
      <c r="AC2770"/>
      <c r="AR2770"/>
    </row>
    <row r="2771" spans="24:44">
      <c r="X2771"/>
      <c r="Y2771"/>
      <c r="Z2771"/>
      <c r="AA2771"/>
      <c r="AC2771"/>
      <c r="AR2771"/>
    </row>
    <row r="2772" spans="24:44">
      <c r="X2772"/>
      <c r="Y2772"/>
      <c r="Z2772"/>
      <c r="AA2772"/>
      <c r="AC2772"/>
      <c r="AR2772"/>
    </row>
    <row r="2773" spans="24:44">
      <c r="X2773"/>
      <c r="Y2773"/>
      <c r="Z2773"/>
      <c r="AA2773"/>
      <c r="AC2773"/>
      <c r="AR2773"/>
    </row>
    <row r="2774" spans="24:44">
      <c r="X2774"/>
      <c r="Y2774"/>
      <c r="Z2774"/>
      <c r="AA2774"/>
      <c r="AC2774"/>
      <c r="AR2774"/>
    </row>
    <row r="2775" spans="24:44">
      <c r="X2775"/>
      <c r="Y2775"/>
      <c r="Z2775"/>
      <c r="AA2775"/>
      <c r="AC2775"/>
      <c r="AR2775"/>
    </row>
    <row r="2776" spans="24:44">
      <c r="X2776"/>
      <c r="Y2776"/>
      <c r="Z2776"/>
      <c r="AA2776"/>
      <c r="AC2776"/>
      <c r="AR2776"/>
    </row>
    <row r="2777" spans="24:44">
      <c r="X2777"/>
      <c r="Y2777"/>
      <c r="Z2777"/>
      <c r="AA2777"/>
      <c r="AC2777"/>
      <c r="AR2777"/>
    </row>
    <row r="2778" spans="24:44">
      <c r="X2778"/>
      <c r="Y2778"/>
      <c r="Z2778"/>
      <c r="AA2778"/>
      <c r="AC2778"/>
      <c r="AR2778"/>
    </row>
    <row r="2779" spans="24:44">
      <c r="X2779"/>
      <c r="Y2779"/>
      <c r="Z2779"/>
      <c r="AA2779"/>
      <c r="AC2779"/>
      <c r="AR2779"/>
    </row>
    <row r="2780" spans="24:44">
      <c r="X2780"/>
      <c r="Y2780"/>
      <c r="Z2780"/>
      <c r="AA2780"/>
      <c r="AC2780"/>
      <c r="AR2780"/>
    </row>
    <row r="2781" spans="24:44">
      <c r="X2781"/>
      <c r="Y2781"/>
      <c r="Z2781"/>
      <c r="AA2781"/>
      <c r="AC2781"/>
      <c r="AR2781"/>
    </row>
    <row r="2782" spans="24:44">
      <c r="X2782"/>
      <c r="Y2782"/>
      <c r="Z2782"/>
      <c r="AA2782"/>
      <c r="AC2782"/>
      <c r="AR2782"/>
    </row>
    <row r="2783" spans="24:44">
      <c r="X2783"/>
      <c r="Y2783"/>
      <c r="Z2783"/>
      <c r="AA2783"/>
      <c r="AC2783"/>
      <c r="AR2783"/>
    </row>
    <row r="2784" spans="24:44">
      <c r="X2784"/>
      <c r="Y2784"/>
      <c r="Z2784"/>
      <c r="AA2784"/>
      <c r="AC2784"/>
      <c r="AR2784"/>
    </row>
    <row r="2785" spans="24:44">
      <c r="X2785"/>
      <c r="Y2785"/>
      <c r="Z2785"/>
      <c r="AA2785"/>
      <c r="AC2785"/>
      <c r="AR2785"/>
    </row>
    <row r="2786" spans="24:44">
      <c r="X2786"/>
      <c r="Y2786"/>
      <c r="Z2786"/>
      <c r="AA2786"/>
      <c r="AC2786"/>
      <c r="AR2786"/>
    </row>
    <row r="2787" spans="24:44">
      <c r="X2787"/>
      <c r="Y2787"/>
      <c r="Z2787"/>
      <c r="AA2787"/>
      <c r="AC2787"/>
      <c r="AR2787"/>
    </row>
    <row r="2788" spans="24:44">
      <c r="X2788"/>
      <c r="Y2788"/>
      <c r="Z2788"/>
      <c r="AA2788"/>
      <c r="AC2788"/>
      <c r="AR2788"/>
    </row>
    <row r="2789" spans="24:44">
      <c r="X2789"/>
      <c r="Y2789"/>
      <c r="Z2789"/>
      <c r="AA2789"/>
      <c r="AC2789"/>
      <c r="AR2789"/>
    </row>
    <row r="2790" spans="24:44">
      <c r="X2790"/>
      <c r="Y2790"/>
      <c r="Z2790"/>
      <c r="AA2790"/>
      <c r="AC2790"/>
      <c r="AR2790"/>
    </row>
    <row r="2791" spans="24:44">
      <c r="X2791"/>
      <c r="Y2791"/>
      <c r="Z2791"/>
      <c r="AA2791"/>
      <c r="AC2791"/>
      <c r="AR2791"/>
    </row>
    <row r="2792" spans="24:44">
      <c r="X2792"/>
      <c r="Y2792"/>
      <c r="Z2792"/>
      <c r="AA2792"/>
      <c r="AC2792"/>
      <c r="AR2792"/>
    </row>
    <row r="2793" spans="24:44">
      <c r="X2793"/>
      <c r="Y2793"/>
      <c r="Z2793"/>
      <c r="AA2793"/>
      <c r="AC2793"/>
      <c r="AR2793"/>
    </row>
    <row r="2794" spans="24:44">
      <c r="X2794"/>
      <c r="Y2794"/>
      <c r="Z2794"/>
      <c r="AA2794"/>
      <c r="AC2794"/>
      <c r="AR2794"/>
    </row>
    <row r="2795" spans="24:44">
      <c r="X2795"/>
      <c r="Y2795"/>
      <c r="Z2795"/>
      <c r="AA2795"/>
      <c r="AC2795"/>
      <c r="AR2795"/>
    </row>
    <row r="2796" spans="24:44">
      <c r="X2796"/>
      <c r="Y2796"/>
      <c r="Z2796"/>
      <c r="AA2796"/>
      <c r="AC2796"/>
      <c r="AR2796"/>
    </row>
    <row r="2797" spans="24:44">
      <c r="X2797"/>
      <c r="Y2797"/>
      <c r="Z2797"/>
      <c r="AA2797"/>
      <c r="AC2797"/>
      <c r="AR2797"/>
    </row>
    <row r="2798" spans="24:44">
      <c r="X2798"/>
      <c r="Y2798"/>
      <c r="Z2798"/>
      <c r="AA2798"/>
      <c r="AC2798"/>
      <c r="AR2798"/>
    </row>
    <row r="2799" spans="24:44">
      <c r="X2799"/>
      <c r="Y2799"/>
      <c r="Z2799"/>
      <c r="AA2799"/>
      <c r="AC2799"/>
      <c r="AR2799"/>
    </row>
    <row r="2800" spans="24:44">
      <c r="X2800"/>
      <c r="Y2800"/>
      <c r="Z2800"/>
      <c r="AA2800"/>
      <c r="AC2800"/>
      <c r="AR2800"/>
    </row>
    <row r="2801" spans="24:44">
      <c r="X2801"/>
      <c r="Y2801"/>
      <c r="Z2801"/>
      <c r="AA2801"/>
      <c r="AC2801"/>
      <c r="AR2801"/>
    </row>
    <row r="2802" spans="24:44">
      <c r="X2802"/>
      <c r="Y2802"/>
      <c r="Z2802"/>
      <c r="AA2802"/>
      <c r="AC2802"/>
      <c r="AR2802"/>
    </row>
    <row r="2803" spans="24:44">
      <c r="X2803"/>
      <c r="Y2803"/>
      <c r="Z2803"/>
      <c r="AA2803"/>
      <c r="AC2803"/>
      <c r="AR2803"/>
    </row>
    <row r="2804" spans="24:44">
      <c r="X2804"/>
      <c r="Y2804"/>
      <c r="Z2804"/>
      <c r="AA2804"/>
      <c r="AC2804"/>
      <c r="AR2804"/>
    </row>
    <row r="2805" spans="24:44">
      <c r="X2805"/>
      <c r="Y2805"/>
      <c r="Z2805"/>
      <c r="AA2805"/>
      <c r="AC2805"/>
      <c r="AR2805"/>
    </row>
    <row r="2806" spans="24:44">
      <c r="X2806"/>
      <c r="Y2806"/>
      <c r="Z2806"/>
      <c r="AA2806"/>
      <c r="AC2806"/>
      <c r="AR2806"/>
    </row>
    <row r="2807" spans="24:44">
      <c r="X2807"/>
      <c r="Y2807"/>
      <c r="Z2807"/>
      <c r="AA2807"/>
      <c r="AC2807"/>
      <c r="AR2807"/>
    </row>
    <row r="2808" spans="24:44">
      <c r="X2808"/>
      <c r="Y2808"/>
      <c r="Z2808"/>
      <c r="AA2808"/>
      <c r="AC2808"/>
      <c r="AR2808"/>
    </row>
    <row r="2809" spans="24:44">
      <c r="X2809"/>
      <c r="Y2809"/>
      <c r="Z2809"/>
      <c r="AA2809"/>
      <c r="AC2809"/>
      <c r="AR2809"/>
    </row>
    <row r="2810" spans="24:44">
      <c r="X2810"/>
      <c r="Y2810"/>
      <c r="Z2810"/>
      <c r="AA2810"/>
      <c r="AC2810"/>
      <c r="AR2810"/>
    </row>
    <row r="2811" spans="24:44">
      <c r="X2811"/>
      <c r="Y2811"/>
      <c r="Z2811"/>
      <c r="AA2811"/>
      <c r="AC2811"/>
      <c r="AR2811"/>
    </row>
    <row r="2812" spans="24:44">
      <c r="X2812"/>
      <c r="Y2812"/>
      <c r="Z2812"/>
      <c r="AA2812"/>
      <c r="AC2812"/>
      <c r="AR2812"/>
    </row>
    <row r="2813" spans="24:44">
      <c r="X2813"/>
      <c r="Y2813"/>
      <c r="Z2813"/>
      <c r="AA2813"/>
      <c r="AC2813"/>
      <c r="AR2813"/>
    </row>
    <row r="2814" spans="24:44">
      <c r="X2814"/>
      <c r="Y2814"/>
      <c r="Z2814"/>
      <c r="AA2814"/>
      <c r="AC2814"/>
      <c r="AR2814"/>
    </row>
    <row r="2815" spans="24:44">
      <c r="X2815"/>
      <c r="Y2815"/>
      <c r="Z2815"/>
      <c r="AA2815"/>
      <c r="AC2815"/>
      <c r="AR2815"/>
    </row>
    <row r="2816" spans="24:44">
      <c r="X2816"/>
      <c r="Y2816"/>
      <c r="Z2816"/>
      <c r="AA2816"/>
      <c r="AC2816"/>
      <c r="AR2816"/>
    </row>
    <row r="2817" spans="24:44">
      <c r="X2817"/>
      <c r="Y2817"/>
      <c r="Z2817"/>
      <c r="AA2817"/>
      <c r="AC2817"/>
      <c r="AR2817"/>
    </row>
    <row r="2818" spans="24:44">
      <c r="X2818"/>
      <c r="Y2818"/>
      <c r="Z2818"/>
      <c r="AA2818"/>
      <c r="AC2818"/>
      <c r="AR2818"/>
    </row>
    <row r="2819" spans="24:44">
      <c r="X2819"/>
      <c r="Y2819"/>
      <c r="Z2819"/>
      <c r="AA2819"/>
      <c r="AC2819"/>
      <c r="AR2819"/>
    </row>
    <row r="2820" spans="24:44">
      <c r="X2820"/>
      <c r="Y2820"/>
      <c r="Z2820"/>
      <c r="AA2820"/>
      <c r="AC2820"/>
      <c r="AR2820"/>
    </row>
    <row r="2821" spans="24:44">
      <c r="X2821"/>
      <c r="Y2821"/>
      <c r="Z2821"/>
      <c r="AA2821"/>
      <c r="AC2821"/>
      <c r="AR2821"/>
    </row>
    <row r="2822" spans="24:44">
      <c r="X2822"/>
      <c r="Y2822"/>
      <c r="Z2822"/>
      <c r="AA2822"/>
      <c r="AC2822"/>
      <c r="AR2822"/>
    </row>
    <row r="2823" spans="24:44">
      <c r="X2823"/>
      <c r="Y2823"/>
      <c r="Z2823"/>
      <c r="AA2823"/>
      <c r="AC2823"/>
      <c r="AR2823"/>
    </row>
    <row r="2824" spans="24:44">
      <c r="X2824"/>
      <c r="Y2824"/>
      <c r="Z2824"/>
      <c r="AA2824"/>
      <c r="AC2824"/>
      <c r="AR2824"/>
    </row>
    <row r="2825" spans="24:44">
      <c r="X2825"/>
      <c r="Y2825"/>
      <c r="Z2825"/>
      <c r="AA2825"/>
      <c r="AC2825"/>
      <c r="AR2825"/>
    </row>
    <row r="2826" spans="24:44">
      <c r="X2826"/>
      <c r="Y2826"/>
      <c r="Z2826"/>
      <c r="AA2826"/>
      <c r="AC2826"/>
      <c r="AR2826"/>
    </row>
    <row r="2827" spans="24:44">
      <c r="X2827"/>
      <c r="Y2827"/>
      <c r="Z2827"/>
      <c r="AA2827"/>
      <c r="AC2827"/>
      <c r="AR2827"/>
    </row>
    <row r="2828" spans="24:44">
      <c r="X2828"/>
      <c r="Y2828"/>
      <c r="Z2828"/>
      <c r="AA2828"/>
      <c r="AC2828"/>
      <c r="AR2828"/>
    </row>
    <row r="2829" spans="24:44">
      <c r="X2829"/>
      <c r="Y2829"/>
      <c r="Z2829"/>
      <c r="AA2829"/>
      <c r="AC2829"/>
      <c r="AR2829"/>
    </row>
    <row r="2830" spans="24:44">
      <c r="X2830"/>
      <c r="Y2830"/>
      <c r="Z2830"/>
      <c r="AA2830"/>
      <c r="AC2830"/>
      <c r="AR2830"/>
    </row>
    <row r="2831" spans="24:44">
      <c r="X2831"/>
      <c r="Y2831"/>
      <c r="Z2831"/>
      <c r="AA2831"/>
      <c r="AC2831"/>
      <c r="AR2831"/>
    </row>
    <row r="2832" spans="24:44">
      <c r="X2832"/>
      <c r="Y2832"/>
      <c r="Z2832"/>
      <c r="AA2832"/>
      <c r="AC2832"/>
      <c r="AR2832"/>
    </row>
    <row r="2833" spans="24:44">
      <c r="X2833"/>
      <c r="Y2833"/>
      <c r="Z2833"/>
      <c r="AA2833"/>
      <c r="AC2833"/>
      <c r="AR2833"/>
    </row>
    <row r="2834" spans="24:44">
      <c r="X2834"/>
      <c r="Y2834"/>
      <c r="Z2834"/>
      <c r="AA2834"/>
      <c r="AC2834"/>
      <c r="AR2834"/>
    </row>
    <row r="2835" spans="24:44">
      <c r="X2835"/>
      <c r="Y2835"/>
      <c r="Z2835"/>
      <c r="AA2835"/>
      <c r="AC2835"/>
      <c r="AR2835"/>
    </row>
    <row r="2836" spans="24:44">
      <c r="X2836"/>
      <c r="Y2836"/>
      <c r="Z2836"/>
      <c r="AA2836"/>
      <c r="AC2836"/>
      <c r="AR2836"/>
    </row>
    <row r="2837" spans="24:44">
      <c r="X2837"/>
      <c r="Y2837"/>
      <c r="Z2837"/>
      <c r="AA2837"/>
      <c r="AC2837"/>
      <c r="AR2837"/>
    </row>
    <row r="2838" spans="24:44">
      <c r="X2838"/>
      <c r="Y2838"/>
      <c r="Z2838"/>
      <c r="AA2838"/>
      <c r="AC2838"/>
      <c r="AR2838"/>
    </row>
    <row r="2839" spans="24:44">
      <c r="X2839"/>
      <c r="Y2839"/>
      <c r="Z2839"/>
      <c r="AA2839"/>
      <c r="AC2839"/>
      <c r="AR2839"/>
    </row>
    <row r="2840" spans="24:44">
      <c r="X2840"/>
      <c r="Y2840"/>
      <c r="Z2840"/>
      <c r="AA2840"/>
      <c r="AC2840"/>
      <c r="AR2840"/>
    </row>
    <row r="2841" spans="24:44">
      <c r="X2841"/>
      <c r="Y2841"/>
      <c r="Z2841"/>
      <c r="AA2841"/>
      <c r="AC2841"/>
      <c r="AR2841"/>
    </row>
    <row r="2842" spans="24:44">
      <c r="X2842"/>
      <c r="Y2842"/>
      <c r="Z2842"/>
      <c r="AA2842"/>
      <c r="AC2842"/>
      <c r="AR2842"/>
    </row>
    <row r="2843" spans="24:44">
      <c r="X2843"/>
      <c r="Y2843"/>
      <c r="Z2843"/>
      <c r="AA2843"/>
      <c r="AC2843"/>
      <c r="AR2843"/>
    </row>
    <row r="2844" spans="24:44">
      <c r="X2844"/>
      <c r="Y2844"/>
      <c r="Z2844"/>
      <c r="AA2844"/>
      <c r="AC2844"/>
      <c r="AR2844"/>
    </row>
    <row r="2845" spans="24:44">
      <c r="X2845"/>
      <c r="Y2845"/>
      <c r="Z2845"/>
      <c r="AA2845"/>
      <c r="AC2845"/>
      <c r="AR2845"/>
    </row>
    <row r="2846" spans="24:44">
      <c r="X2846"/>
      <c r="Y2846"/>
      <c r="Z2846"/>
      <c r="AA2846"/>
      <c r="AC2846"/>
      <c r="AR2846"/>
    </row>
    <row r="2847" spans="24:44">
      <c r="X2847"/>
      <c r="Y2847"/>
      <c r="Z2847"/>
      <c r="AA2847"/>
      <c r="AC2847"/>
      <c r="AR2847"/>
    </row>
    <row r="2848" spans="24:44">
      <c r="X2848"/>
      <c r="Y2848"/>
      <c r="Z2848"/>
      <c r="AA2848"/>
      <c r="AC2848"/>
      <c r="AR2848"/>
    </row>
    <row r="2849" spans="24:44">
      <c r="X2849"/>
      <c r="Y2849"/>
      <c r="Z2849"/>
      <c r="AA2849"/>
      <c r="AC2849"/>
      <c r="AR2849"/>
    </row>
    <row r="2850" spans="24:44">
      <c r="X2850"/>
      <c r="Y2850"/>
      <c r="Z2850"/>
      <c r="AA2850"/>
      <c r="AC2850"/>
      <c r="AR2850"/>
    </row>
    <row r="2851" spans="24:44">
      <c r="X2851"/>
      <c r="Y2851"/>
      <c r="Z2851"/>
      <c r="AA2851"/>
      <c r="AC2851"/>
      <c r="AR2851"/>
    </row>
    <row r="2852" spans="24:44">
      <c r="X2852"/>
      <c r="Y2852"/>
      <c r="Z2852"/>
      <c r="AA2852"/>
      <c r="AC2852"/>
      <c r="AR2852"/>
    </row>
    <row r="2853" spans="24:44">
      <c r="X2853"/>
      <c r="Y2853"/>
      <c r="Z2853"/>
      <c r="AA2853"/>
      <c r="AC2853"/>
      <c r="AR2853"/>
    </row>
    <row r="2854" spans="24:44">
      <c r="X2854"/>
      <c r="Y2854"/>
      <c r="Z2854"/>
      <c r="AA2854"/>
      <c r="AC2854"/>
      <c r="AR2854"/>
    </row>
    <row r="2855" spans="24:44">
      <c r="X2855"/>
      <c r="Y2855"/>
      <c r="Z2855"/>
      <c r="AA2855"/>
      <c r="AC2855"/>
      <c r="AR2855"/>
    </row>
    <row r="2856" spans="24:44">
      <c r="X2856"/>
      <c r="Y2856"/>
      <c r="Z2856"/>
      <c r="AA2856"/>
      <c r="AC2856"/>
      <c r="AR2856"/>
    </row>
    <row r="2857" spans="24:44">
      <c r="X2857"/>
      <c r="Y2857"/>
      <c r="Z2857"/>
      <c r="AA2857"/>
      <c r="AC2857"/>
      <c r="AR2857"/>
    </row>
    <row r="2858" spans="24:44">
      <c r="X2858"/>
      <c r="Y2858"/>
      <c r="Z2858"/>
      <c r="AA2858"/>
      <c r="AC2858"/>
      <c r="AR2858"/>
    </row>
    <row r="2859" spans="24:44">
      <c r="X2859"/>
      <c r="Y2859"/>
      <c r="Z2859"/>
      <c r="AA2859"/>
      <c r="AC2859"/>
      <c r="AR2859"/>
    </row>
    <row r="2860" spans="24:44">
      <c r="X2860"/>
      <c r="Y2860"/>
      <c r="Z2860"/>
      <c r="AA2860"/>
      <c r="AC2860"/>
      <c r="AR2860"/>
    </row>
    <row r="2861" spans="24:44">
      <c r="X2861"/>
      <c r="Y2861"/>
      <c r="Z2861"/>
      <c r="AA2861"/>
      <c r="AC2861"/>
      <c r="AR2861"/>
    </row>
    <row r="2862" spans="24:44">
      <c r="X2862"/>
      <c r="Y2862"/>
      <c r="Z2862"/>
      <c r="AA2862"/>
      <c r="AC2862"/>
      <c r="AR2862"/>
    </row>
    <row r="2863" spans="24:44">
      <c r="X2863"/>
      <c r="Y2863"/>
      <c r="Z2863"/>
      <c r="AA2863"/>
      <c r="AC2863"/>
      <c r="AR2863"/>
    </row>
    <row r="2864" spans="24:44">
      <c r="X2864"/>
      <c r="Y2864"/>
      <c r="Z2864"/>
      <c r="AA2864"/>
      <c r="AC2864"/>
      <c r="AR2864"/>
    </row>
    <row r="2865" spans="24:44">
      <c r="X2865"/>
      <c r="Y2865"/>
      <c r="Z2865"/>
      <c r="AA2865"/>
      <c r="AC2865"/>
      <c r="AR2865"/>
    </row>
    <row r="2866" spans="24:44">
      <c r="X2866"/>
      <c r="Y2866"/>
      <c r="Z2866"/>
      <c r="AA2866"/>
      <c r="AC2866"/>
      <c r="AR2866"/>
    </row>
    <row r="2867" spans="24:44">
      <c r="X2867"/>
      <c r="Y2867"/>
      <c r="Z2867"/>
      <c r="AA2867"/>
      <c r="AC2867"/>
      <c r="AR2867"/>
    </row>
    <row r="2868" spans="24:44">
      <c r="X2868"/>
      <c r="Y2868"/>
      <c r="Z2868"/>
      <c r="AA2868"/>
      <c r="AC2868"/>
      <c r="AR2868"/>
    </row>
    <row r="2869" spans="24:44">
      <c r="X2869"/>
      <c r="Y2869"/>
      <c r="Z2869"/>
      <c r="AA2869"/>
      <c r="AC2869"/>
      <c r="AR2869"/>
    </row>
    <row r="2870" spans="24:44">
      <c r="X2870"/>
      <c r="Y2870"/>
      <c r="Z2870"/>
      <c r="AA2870"/>
      <c r="AC2870"/>
      <c r="AR2870"/>
    </row>
    <row r="2871" spans="24:44">
      <c r="X2871"/>
      <c r="Y2871"/>
      <c r="Z2871"/>
      <c r="AA2871"/>
      <c r="AC2871"/>
      <c r="AR2871"/>
    </row>
    <row r="2872" spans="24:44">
      <c r="X2872"/>
      <c r="Y2872"/>
      <c r="Z2872"/>
      <c r="AA2872"/>
      <c r="AC2872"/>
      <c r="AR2872"/>
    </row>
    <row r="2873" spans="24:44">
      <c r="X2873"/>
      <c r="Y2873"/>
      <c r="Z2873"/>
      <c r="AA2873"/>
      <c r="AC2873"/>
      <c r="AR2873"/>
    </row>
    <row r="2874" spans="24:44">
      <c r="X2874"/>
      <c r="Y2874"/>
      <c r="Z2874"/>
      <c r="AA2874"/>
      <c r="AC2874"/>
      <c r="AR2874"/>
    </row>
    <row r="2875" spans="24:44">
      <c r="X2875"/>
      <c r="Y2875"/>
      <c r="Z2875"/>
      <c r="AA2875"/>
      <c r="AC2875"/>
      <c r="AR2875"/>
    </row>
    <row r="2876" spans="24:44">
      <c r="X2876"/>
      <c r="Y2876"/>
      <c r="Z2876"/>
      <c r="AA2876"/>
      <c r="AC2876"/>
      <c r="AR2876"/>
    </row>
    <row r="2877" spans="24:44">
      <c r="X2877"/>
      <c r="Y2877"/>
      <c r="Z2877"/>
      <c r="AA2877"/>
      <c r="AC2877"/>
      <c r="AR2877"/>
    </row>
    <row r="2878" spans="24:44">
      <c r="X2878"/>
      <c r="Y2878"/>
      <c r="Z2878"/>
      <c r="AA2878"/>
      <c r="AC2878"/>
      <c r="AR2878"/>
    </row>
    <row r="2879" spans="24:44">
      <c r="X2879"/>
      <c r="Y2879"/>
      <c r="Z2879"/>
      <c r="AA2879"/>
      <c r="AC2879"/>
      <c r="AR2879"/>
    </row>
    <row r="2880" spans="24:44">
      <c r="X2880"/>
      <c r="Y2880"/>
      <c r="Z2880"/>
      <c r="AA2880"/>
      <c r="AC2880"/>
      <c r="AR2880"/>
    </row>
    <row r="2881" spans="24:44">
      <c r="X2881"/>
      <c r="Y2881"/>
      <c r="Z2881"/>
      <c r="AA2881"/>
      <c r="AC2881"/>
      <c r="AR2881"/>
    </row>
    <row r="2882" spans="24:44">
      <c r="X2882"/>
      <c r="Y2882"/>
      <c r="Z2882"/>
      <c r="AA2882"/>
      <c r="AC2882"/>
      <c r="AR2882"/>
    </row>
    <row r="2883" spans="24:44">
      <c r="X2883"/>
      <c r="Y2883"/>
      <c r="Z2883"/>
      <c r="AA2883"/>
      <c r="AC2883"/>
      <c r="AR2883"/>
    </row>
    <row r="2884" spans="24:44">
      <c r="X2884"/>
      <c r="Y2884"/>
      <c r="Z2884"/>
      <c r="AA2884"/>
      <c r="AC2884"/>
      <c r="AR2884"/>
    </row>
    <row r="2885" spans="24:44">
      <c r="X2885"/>
      <c r="Y2885"/>
      <c r="Z2885"/>
      <c r="AA2885"/>
      <c r="AC2885"/>
      <c r="AR2885"/>
    </row>
    <row r="2886" spans="24:44">
      <c r="X2886"/>
      <c r="Y2886"/>
      <c r="Z2886"/>
      <c r="AA2886"/>
      <c r="AC2886"/>
      <c r="AR2886"/>
    </row>
    <row r="2887" spans="24:44">
      <c r="X2887"/>
      <c r="Y2887"/>
      <c r="Z2887"/>
      <c r="AA2887"/>
      <c r="AC2887"/>
      <c r="AR2887"/>
    </row>
    <row r="2888" spans="24:44">
      <c r="X2888"/>
      <c r="Y2888"/>
      <c r="Z2888"/>
      <c r="AA2888"/>
      <c r="AC2888"/>
      <c r="AR2888"/>
    </row>
    <row r="2889" spans="24:44">
      <c r="X2889"/>
      <c r="Y2889"/>
      <c r="Z2889"/>
      <c r="AA2889"/>
      <c r="AC2889"/>
      <c r="AR2889"/>
    </row>
    <row r="2890" spans="24:44">
      <c r="X2890"/>
      <c r="Y2890"/>
      <c r="Z2890"/>
      <c r="AA2890"/>
      <c r="AC2890"/>
      <c r="AR2890"/>
    </row>
    <row r="2891" spans="24:44">
      <c r="X2891"/>
      <c r="Y2891"/>
      <c r="Z2891"/>
      <c r="AA2891"/>
      <c r="AC2891"/>
      <c r="AR2891"/>
    </row>
    <row r="2892" spans="24:44">
      <c r="X2892"/>
      <c r="Y2892"/>
      <c r="Z2892"/>
      <c r="AA2892"/>
      <c r="AC2892"/>
      <c r="AR2892"/>
    </row>
    <row r="2893" spans="24:44">
      <c r="X2893"/>
      <c r="Y2893"/>
      <c r="Z2893"/>
      <c r="AA2893"/>
      <c r="AC2893"/>
      <c r="AR2893"/>
    </row>
    <row r="2894" spans="24:44">
      <c r="X2894"/>
      <c r="Y2894"/>
      <c r="Z2894"/>
      <c r="AA2894"/>
      <c r="AC2894"/>
      <c r="AR2894"/>
    </row>
    <row r="2895" spans="24:44">
      <c r="X2895"/>
      <c r="Y2895"/>
      <c r="Z2895"/>
      <c r="AA2895"/>
      <c r="AC2895"/>
      <c r="AR2895"/>
    </row>
    <row r="2896" spans="24:44">
      <c r="X2896"/>
      <c r="Y2896"/>
      <c r="Z2896"/>
      <c r="AA2896"/>
      <c r="AC2896"/>
      <c r="AR2896"/>
    </row>
    <row r="2897" spans="24:44">
      <c r="X2897"/>
      <c r="Y2897"/>
      <c r="Z2897"/>
      <c r="AA2897"/>
      <c r="AC2897"/>
      <c r="AR2897"/>
    </row>
    <row r="2898" spans="24:44">
      <c r="X2898"/>
      <c r="Y2898"/>
      <c r="Z2898"/>
      <c r="AA2898"/>
      <c r="AC2898"/>
      <c r="AR2898"/>
    </row>
    <row r="2899" spans="24:44">
      <c r="X2899"/>
      <c r="Y2899"/>
      <c r="Z2899"/>
      <c r="AA2899"/>
      <c r="AC2899"/>
      <c r="AR2899"/>
    </row>
    <row r="2900" spans="24:44">
      <c r="X2900"/>
      <c r="Y2900"/>
      <c r="Z2900"/>
      <c r="AA2900"/>
      <c r="AC2900"/>
      <c r="AR2900"/>
    </row>
    <row r="2901" spans="24:44">
      <c r="X2901"/>
      <c r="Y2901"/>
      <c r="Z2901"/>
      <c r="AA2901"/>
      <c r="AC2901"/>
      <c r="AR2901"/>
    </row>
    <row r="2902" spans="24:44">
      <c r="X2902"/>
      <c r="Y2902"/>
      <c r="Z2902"/>
      <c r="AA2902"/>
      <c r="AC2902"/>
      <c r="AR2902"/>
    </row>
    <row r="2903" spans="24:44">
      <c r="X2903"/>
      <c r="Y2903"/>
      <c r="Z2903"/>
      <c r="AA2903"/>
      <c r="AC2903"/>
      <c r="AR2903"/>
    </row>
    <row r="2904" spans="24:44">
      <c r="X2904"/>
      <c r="Y2904"/>
      <c r="Z2904"/>
      <c r="AA2904"/>
      <c r="AC2904"/>
      <c r="AR2904"/>
    </row>
    <row r="2905" spans="24:44">
      <c r="X2905"/>
      <c r="Y2905"/>
      <c r="Z2905"/>
      <c r="AA2905"/>
      <c r="AC2905"/>
      <c r="AR2905"/>
    </row>
    <row r="2906" spans="24:44">
      <c r="X2906"/>
      <c r="Y2906"/>
      <c r="Z2906"/>
      <c r="AA2906"/>
      <c r="AC2906"/>
      <c r="AR2906"/>
    </row>
    <row r="2907" spans="24:44">
      <c r="X2907"/>
      <c r="Y2907"/>
      <c r="Z2907"/>
      <c r="AA2907"/>
      <c r="AC2907"/>
      <c r="AR2907"/>
    </row>
    <row r="2908" spans="24:44">
      <c r="X2908"/>
      <c r="Y2908"/>
      <c r="Z2908"/>
      <c r="AA2908"/>
      <c r="AC2908"/>
      <c r="AR2908"/>
    </row>
    <row r="2909" spans="24:44">
      <c r="X2909"/>
      <c r="Y2909"/>
      <c r="Z2909"/>
      <c r="AA2909"/>
      <c r="AC2909"/>
      <c r="AR2909"/>
    </row>
    <row r="2910" spans="24:44">
      <c r="X2910"/>
      <c r="Y2910"/>
      <c r="Z2910"/>
      <c r="AA2910"/>
      <c r="AC2910"/>
      <c r="AR2910"/>
    </row>
    <row r="2911" spans="24:44">
      <c r="X2911"/>
      <c r="Y2911"/>
      <c r="Z2911"/>
      <c r="AA2911"/>
      <c r="AC2911"/>
      <c r="AR2911"/>
    </row>
    <row r="2912" spans="24:44">
      <c r="X2912"/>
      <c r="Y2912"/>
      <c r="Z2912"/>
      <c r="AA2912"/>
      <c r="AC2912"/>
      <c r="AR2912"/>
    </row>
    <row r="2913" spans="24:44">
      <c r="X2913"/>
      <c r="Y2913"/>
      <c r="Z2913"/>
      <c r="AA2913"/>
      <c r="AC2913"/>
      <c r="AR2913"/>
    </row>
    <row r="2914" spans="24:44">
      <c r="X2914"/>
      <c r="Y2914"/>
      <c r="Z2914"/>
      <c r="AA2914"/>
      <c r="AC2914"/>
      <c r="AR2914"/>
    </row>
    <row r="2915" spans="24:44">
      <c r="X2915"/>
      <c r="Y2915"/>
      <c r="Z2915"/>
      <c r="AA2915"/>
      <c r="AC2915"/>
      <c r="AR2915"/>
    </row>
    <row r="2916" spans="24:44">
      <c r="X2916"/>
      <c r="Y2916"/>
      <c r="Z2916"/>
      <c r="AA2916"/>
      <c r="AC2916"/>
      <c r="AR2916"/>
    </row>
    <row r="2917" spans="24:44">
      <c r="X2917"/>
      <c r="Y2917"/>
      <c r="Z2917"/>
      <c r="AA2917"/>
      <c r="AC2917"/>
      <c r="AR2917"/>
    </row>
    <row r="2918" spans="24:44">
      <c r="X2918"/>
      <c r="Y2918"/>
      <c r="Z2918"/>
      <c r="AA2918"/>
      <c r="AC2918"/>
      <c r="AR2918"/>
    </row>
    <row r="2919" spans="24:44">
      <c r="X2919"/>
      <c r="Y2919"/>
      <c r="Z2919"/>
      <c r="AA2919"/>
      <c r="AC2919"/>
      <c r="AR2919"/>
    </row>
    <row r="2920" spans="24:44">
      <c r="X2920"/>
      <c r="Y2920"/>
      <c r="Z2920"/>
      <c r="AA2920"/>
      <c r="AC2920"/>
      <c r="AR2920"/>
    </row>
    <row r="2921" spans="24:44">
      <c r="X2921"/>
      <c r="Y2921"/>
      <c r="Z2921"/>
      <c r="AA2921"/>
      <c r="AC2921"/>
      <c r="AR2921"/>
    </row>
    <row r="2922" spans="24:44">
      <c r="X2922"/>
      <c r="Y2922"/>
      <c r="Z2922"/>
      <c r="AA2922"/>
      <c r="AC2922"/>
      <c r="AR2922"/>
    </row>
    <row r="2923" spans="24:44">
      <c r="X2923"/>
      <c r="Y2923"/>
      <c r="Z2923"/>
      <c r="AA2923"/>
      <c r="AC2923"/>
      <c r="AR2923"/>
    </row>
    <row r="2924" spans="24:44">
      <c r="X2924"/>
      <c r="Y2924"/>
      <c r="Z2924"/>
      <c r="AA2924"/>
      <c r="AC2924"/>
      <c r="AR2924"/>
    </row>
    <row r="2925" spans="24:44">
      <c r="X2925"/>
      <c r="Y2925"/>
      <c r="Z2925"/>
      <c r="AA2925"/>
      <c r="AC2925"/>
      <c r="AR2925"/>
    </row>
    <row r="2926" spans="24:44">
      <c r="X2926"/>
      <c r="Y2926"/>
      <c r="Z2926"/>
      <c r="AA2926"/>
      <c r="AC2926"/>
      <c r="AR2926"/>
    </row>
    <row r="2927" spans="24:44">
      <c r="X2927"/>
      <c r="Y2927"/>
      <c r="Z2927"/>
      <c r="AA2927"/>
      <c r="AC2927"/>
      <c r="AR2927"/>
    </row>
    <row r="2928" spans="24:44">
      <c r="X2928"/>
      <c r="Y2928"/>
      <c r="Z2928"/>
      <c r="AA2928"/>
      <c r="AC2928"/>
      <c r="AR2928"/>
    </row>
    <row r="2929" spans="24:44">
      <c r="X2929"/>
      <c r="Y2929"/>
      <c r="Z2929"/>
      <c r="AA2929"/>
      <c r="AC2929"/>
      <c r="AR2929"/>
    </row>
    <row r="2930" spans="24:44">
      <c r="X2930"/>
      <c r="Y2930"/>
      <c r="Z2930"/>
      <c r="AA2930"/>
      <c r="AC2930"/>
      <c r="AR2930"/>
    </row>
    <row r="2931" spans="24:44">
      <c r="X2931"/>
      <c r="Y2931"/>
      <c r="Z2931"/>
      <c r="AA2931"/>
      <c r="AC2931"/>
      <c r="AR2931"/>
    </row>
    <row r="2932" spans="24:44">
      <c r="X2932"/>
      <c r="Y2932"/>
      <c r="Z2932"/>
      <c r="AA2932"/>
      <c r="AC2932"/>
      <c r="AR2932"/>
    </row>
    <row r="2933" spans="24:44">
      <c r="X2933"/>
      <c r="Y2933"/>
      <c r="Z2933"/>
      <c r="AA2933"/>
      <c r="AC2933"/>
      <c r="AR2933"/>
    </row>
    <row r="2934" spans="24:44">
      <c r="X2934"/>
      <c r="Y2934"/>
      <c r="Z2934"/>
      <c r="AA2934"/>
      <c r="AC2934"/>
      <c r="AR2934"/>
    </row>
    <row r="2935" spans="24:44">
      <c r="X2935"/>
      <c r="Y2935"/>
      <c r="Z2935"/>
      <c r="AA2935"/>
      <c r="AC2935"/>
      <c r="AR2935"/>
    </row>
    <row r="2936" spans="24:44">
      <c r="X2936"/>
      <c r="Y2936"/>
      <c r="Z2936"/>
      <c r="AA2936"/>
      <c r="AC2936"/>
      <c r="AR2936"/>
    </row>
    <row r="2937" spans="24:44">
      <c r="X2937"/>
      <c r="Y2937"/>
      <c r="Z2937"/>
      <c r="AA2937"/>
      <c r="AC2937"/>
      <c r="AR2937"/>
    </row>
    <row r="2938" spans="24:44">
      <c r="X2938"/>
      <c r="Y2938"/>
      <c r="Z2938"/>
      <c r="AA2938"/>
      <c r="AC2938"/>
      <c r="AR2938"/>
    </row>
    <row r="2939" spans="24:44">
      <c r="X2939"/>
      <c r="Y2939"/>
      <c r="Z2939"/>
      <c r="AA2939"/>
      <c r="AC2939"/>
      <c r="AR2939"/>
    </row>
    <row r="2940" spans="24:44">
      <c r="X2940"/>
      <c r="Y2940"/>
      <c r="Z2940"/>
      <c r="AA2940"/>
      <c r="AC2940"/>
      <c r="AR2940"/>
    </row>
    <row r="2941" spans="24:44">
      <c r="X2941"/>
      <c r="Y2941"/>
      <c r="Z2941"/>
      <c r="AA2941"/>
      <c r="AC2941"/>
      <c r="AR2941"/>
    </row>
    <row r="2942" spans="24:44">
      <c r="X2942"/>
      <c r="Y2942"/>
      <c r="Z2942"/>
      <c r="AA2942"/>
      <c r="AC2942"/>
      <c r="AR2942"/>
    </row>
    <row r="2943" spans="24:44">
      <c r="X2943"/>
      <c r="Y2943"/>
      <c r="Z2943"/>
      <c r="AA2943"/>
      <c r="AC2943"/>
      <c r="AR2943"/>
    </row>
    <row r="2944" spans="24:44">
      <c r="X2944"/>
      <c r="Y2944"/>
      <c r="Z2944"/>
      <c r="AA2944"/>
      <c r="AC2944"/>
      <c r="AR2944"/>
    </row>
    <row r="2945" spans="24:44">
      <c r="X2945"/>
      <c r="Y2945"/>
      <c r="Z2945"/>
      <c r="AA2945"/>
      <c r="AC2945"/>
      <c r="AR2945"/>
    </row>
    <row r="2946" spans="24:44">
      <c r="X2946"/>
      <c r="Y2946"/>
      <c r="Z2946"/>
      <c r="AA2946"/>
      <c r="AC2946"/>
      <c r="AR2946"/>
    </row>
    <row r="2947" spans="24:44">
      <c r="X2947"/>
      <c r="Y2947"/>
      <c r="Z2947"/>
      <c r="AA2947"/>
      <c r="AC2947"/>
      <c r="AR2947"/>
    </row>
    <row r="2948" spans="24:44">
      <c r="X2948"/>
      <c r="Y2948"/>
      <c r="Z2948"/>
      <c r="AA2948"/>
      <c r="AC2948"/>
      <c r="AR2948"/>
    </row>
    <row r="2949" spans="24:44">
      <c r="X2949"/>
      <c r="Y2949"/>
      <c r="Z2949"/>
      <c r="AA2949"/>
      <c r="AC2949"/>
      <c r="AR2949"/>
    </row>
    <row r="2950" spans="24:44">
      <c r="X2950"/>
      <c r="Y2950"/>
      <c r="Z2950"/>
      <c r="AA2950"/>
      <c r="AC2950"/>
      <c r="AR2950"/>
    </row>
    <row r="2951" spans="24:44">
      <c r="X2951"/>
      <c r="Y2951"/>
      <c r="Z2951"/>
      <c r="AA2951"/>
      <c r="AC2951"/>
      <c r="AR2951"/>
    </row>
    <row r="2952" spans="24:44">
      <c r="X2952"/>
      <c r="Y2952"/>
      <c r="Z2952"/>
      <c r="AA2952"/>
      <c r="AC2952"/>
      <c r="AR2952"/>
    </row>
    <row r="2953" spans="24:44">
      <c r="X2953"/>
      <c r="Y2953"/>
      <c r="Z2953"/>
      <c r="AA2953"/>
      <c r="AC2953"/>
      <c r="AR2953"/>
    </row>
    <row r="2954" spans="24:44">
      <c r="X2954"/>
      <c r="Y2954"/>
      <c r="Z2954"/>
      <c r="AA2954"/>
      <c r="AC2954"/>
      <c r="AR2954"/>
    </row>
    <row r="2955" spans="24:44">
      <c r="X2955"/>
      <c r="Y2955"/>
      <c r="Z2955"/>
      <c r="AA2955"/>
      <c r="AC2955"/>
      <c r="AR2955"/>
    </row>
    <row r="2956" spans="24:44">
      <c r="X2956"/>
      <c r="Y2956"/>
      <c r="Z2956"/>
      <c r="AA2956"/>
      <c r="AC2956"/>
      <c r="AR2956"/>
    </row>
    <row r="2957" spans="24:44">
      <c r="X2957"/>
      <c r="Y2957"/>
      <c r="Z2957"/>
      <c r="AA2957"/>
      <c r="AC2957"/>
      <c r="AR2957"/>
    </row>
    <row r="2958" spans="24:44">
      <c r="X2958"/>
      <c r="Y2958"/>
      <c r="Z2958"/>
      <c r="AA2958"/>
      <c r="AC2958"/>
      <c r="AR2958"/>
    </row>
    <row r="2959" spans="24:44">
      <c r="X2959"/>
      <c r="Y2959"/>
      <c r="Z2959"/>
      <c r="AA2959"/>
      <c r="AC2959"/>
      <c r="AR2959"/>
    </row>
    <row r="2960" spans="24:44">
      <c r="X2960"/>
      <c r="Y2960"/>
      <c r="Z2960"/>
      <c r="AA2960"/>
      <c r="AC2960"/>
      <c r="AR2960"/>
    </row>
    <row r="2961" spans="24:44">
      <c r="X2961"/>
      <c r="Y2961"/>
      <c r="Z2961"/>
      <c r="AA2961"/>
      <c r="AC2961"/>
      <c r="AR2961"/>
    </row>
    <row r="2962" spans="24:44">
      <c r="X2962"/>
      <c r="Y2962"/>
      <c r="Z2962"/>
      <c r="AA2962"/>
      <c r="AC2962"/>
      <c r="AR2962"/>
    </row>
    <row r="2963" spans="24:44">
      <c r="X2963"/>
      <c r="Y2963"/>
      <c r="Z2963"/>
      <c r="AA2963"/>
      <c r="AC2963"/>
      <c r="AR2963"/>
    </row>
    <row r="2964" spans="24:44">
      <c r="X2964"/>
      <c r="Y2964"/>
      <c r="Z2964"/>
      <c r="AA2964"/>
      <c r="AC2964"/>
      <c r="AR2964"/>
    </row>
    <row r="2965" spans="24:44">
      <c r="X2965"/>
      <c r="Y2965"/>
      <c r="Z2965"/>
      <c r="AA2965"/>
      <c r="AC2965"/>
      <c r="AR2965"/>
    </row>
    <row r="2966" spans="24:44">
      <c r="X2966"/>
      <c r="Y2966"/>
      <c r="Z2966"/>
      <c r="AA2966"/>
      <c r="AC2966"/>
      <c r="AR2966"/>
    </row>
    <row r="2967" spans="24:44">
      <c r="X2967"/>
      <c r="Y2967"/>
      <c r="Z2967"/>
      <c r="AA2967"/>
      <c r="AC2967"/>
      <c r="AR2967"/>
    </row>
    <row r="2968" spans="24:44">
      <c r="X2968"/>
      <c r="Y2968"/>
      <c r="Z2968"/>
      <c r="AA2968"/>
      <c r="AC2968"/>
      <c r="AR2968"/>
    </row>
    <row r="2969" spans="24:44">
      <c r="X2969"/>
      <c r="Y2969"/>
      <c r="Z2969"/>
      <c r="AA2969"/>
      <c r="AC2969"/>
      <c r="AR2969"/>
    </row>
    <row r="2970" spans="24:44">
      <c r="X2970"/>
      <c r="Y2970"/>
      <c r="Z2970"/>
      <c r="AA2970"/>
      <c r="AC2970"/>
      <c r="AR2970"/>
    </row>
    <row r="2971" spans="24:44">
      <c r="X2971"/>
      <c r="Y2971"/>
      <c r="Z2971"/>
      <c r="AA2971"/>
      <c r="AC2971"/>
      <c r="AR2971"/>
    </row>
    <row r="2972" spans="24:44">
      <c r="X2972"/>
      <c r="Y2972"/>
      <c r="Z2972"/>
      <c r="AA2972"/>
      <c r="AC2972"/>
      <c r="AR2972"/>
    </row>
    <row r="2973" spans="24:44">
      <c r="X2973"/>
      <c r="Y2973"/>
      <c r="Z2973"/>
      <c r="AA2973"/>
      <c r="AC2973"/>
      <c r="AR2973"/>
    </row>
    <row r="2974" spans="24:44">
      <c r="X2974"/>
      <c r="Y2974"/>
      <c r="Z2974"/>
      <c r="AA2974"/>
      <c r="AC2974"/>
      <c r="AR2974"/>
    </row>
    <row r="2975" spans="24:44">
      <c r="X2975"/>
      <c r="Y2975"/>
      <c r="Z2975"/>
      <c r="AA2975"/>
      <c r="AC2975"/>
      <c r="AR2975"/>
    </row>
    <row r="2976" spans="24:44">
      <c r="X2976"/>
      <c r="Y2976"/>
      <c r="Z2976"/>
      <c r="AA2976"/>
      <c r="AC2976"/>
      <c r="AR2976"/>
    </row>
    <row r="2977" spans="24:44">
      <c r="X2977"/>
      <c r="Y2977"/>
      <c r="Z2977"/>
      <c r="AA2977"/>
      <c r="AC2977"/>
      <c r="AR2977"/>
    </row>
    <row r="2978" spans="24:44">
      <c r="X2978"/>
      <c r="Y2978"/>
      <c r="Z2978"/>
      <c r="AA2978"/>
      <c r="AC2978"/>
      <c r="AR2978"/>
    </row>
    <row r="2979" spans="24:44">
      <c r="X2979"/>
      <c r="Y2979"/>
      <c r="Z2979"/>
      <c r="AA2979"/>
      <c r="AC2979"/>
      <c r="AR2979"/>
    </row>
    <row r="2980" spans="24:44">
      <c r="X2980"/>
      <c r="Y2980"/>
      <c r="Z2980"/>
      <c r="AA2980"/>
      <c r="AC2980"/>
      <c r="AR2980"/>
    </row>
    <row r="2981" spans="24:44">
      <c r="X2981"/>
      <c r="Y2981"/>
      <c r="Z2981"/>
      <c r="AA2981"/>
      <c r="AC2981"/>
      <c r="AR2981"/>
    </row>
    <row r="2982" spans="24:44">
      <c r="X2982"/>
      <c r="Y2982"/>
      <c r="Z2982"/>
      <c r="AA2982"/>
      <c r="AC2982"/>
      <c r="AR2982"/>
    </row>
    <row r="2983" spans="24:44">
      <c r="X2983"/>
      <c r="Y2983"/>
      <c r="Z2983"/>
      <c r="AA2983"/>
      <c r="AC2983"/>
      <c r="AR2983"/>
    </row>
    <row r="2984" spans="24:44">
      <c r="X2984"/>
      <c r="Y2984"/>
      <c r="Z2984"/>
      <c r="AA2984"/>
      <c r="AC2984"/>
      <c r="AR2984"/>
    </row>
    <row r="2985" spans="24:44">
      <c r="X2985"/>
      <c r="Y2985"/>
      <c r="Z2985"/>
      <c r="AA2985"/>
      <c r="AC2985"/>
      <c r="AR2985"/>
    </row>
    <row r="2986" spans="24:44">
      <c r="X2986"/>
      <c r="Y2986"/>
      <c r="Z2986"/>
      <c r="AA2986"/>
      <c r="AC2986"/>
      <c r="AR2986"/>
    </row>
    <row r="2987" spans="24:44">
      <c r="X2987"/>
      <c r="Y2987"/>
      <c r="Z2987"/>
      <c r="AA2987"/>
      <c r="AC2987"/>
      <c r="AR2987"/>
    </row>
    <row r="2988" spans="24:44">
      <c r="X2988"/>
      <c r="Y2988"/>
      <c r="Z2988"/>
      <c r="AA2988"/>
      <c r="AC2988"/>
      <c r="AR2988"/>
    </row>
    <row r="2989" spans="24:44">
      <c r="X2989"/>
      <c r="Y2989"/>
      <c r="Z2989"/>
      <c r="AA2989"/>
      <c r="AC2989"/>
      <c r="AR2989"/>
    </row>
    <row r="2990" spans="24:44">
      <c r="X2990"/>
      <c r="Y2990"/>
      <c r="Z2990"/>
      <c r="AA2990"/>
      <c r="AC2990"/>
      <c r="AR2990"/>
    </row>
    <row r="2991" spans="24:44">
      <c r="X2991"/>
      <c r="Y2991"/>
      <c r="Z2991"/>
      <c r="AA2991"/>
      <c r="AC2991"/>
      <c r="AR2991"/>
    </row>
    <row r="2992" spans="24:44">
      <c r="X2992"/>
      <c r="Y2992"/>
      <c r="Z2992"/>
      <c r="AA2992"/>
      <c r="AC2992"/>
      <c r="AR2992"/>
    </row>
    <row r="2993" spans="24:44">
      <c r="X2993"/>
      <c r="Y2993"/>
      <c r="Z2993"/>
      <c r="AA2993"/>
      <c r="AC2993"/>
      <c r="AR2993"/>
    </row>
    <row r="2994" spans="24:44">
      <c r="X2994"/>
      <c r="Y2994"/>
      <c r="Z2994"/>
      <c r="AA2994"/>
      <c r="AC2994"/>
      <c r="AR2994"/>
    </row>
    <row r="2995" spans="24:44">
      <c r="X2995"/>
      <c r="Y2995"/>
      <c r="Z2995"/>
      <c r="AA2995"/>
      <c r="AC2995"/>
      <c r="AR2995"/>
    </row>
    <row r="2996" spans="24:44">
      <c r="X2996"/>
      <c r="Y2996"/>
      <c r="Z2996"/>
      <c r="AA2996"/>
      <c r="AC2996"/>
      <c r="AR2996"/>
    </row>
    <row r="2997" spans="24:44">
      <c r="X2997"/>
      <c r="Y2997"/>
      <c r="Z2997"/>
      <c r="AA2997"/>
      <c r="AC2997"/>
      <c r="AR2997"/>
    </row>
    <row r="2998" spans="24:44">
      <c r="X2998"/>
      <c r="Y2998"/>
      <c r="Z2998"/>
      <c r="AA2998"/>
      <c r="AC2998"/>
      <c r="AR2998"/>
    </row>
    <row r="2999" spans="24:44">
      <c r="X2999"/>
      <c r="Y2999"/>
      <c r="Z2999"/>
      <c r="AA2999"/>
      <c r="AC2999"/>
      <c r="AR2999"/>
    </row>
    <row r="3000" spans="24:44">
      <c r="X3000"/>
      <c r="Y3000"/>
      <c r="Z3000"/>
      <c r="AA3000"/>
      <c r="AC3000"/>
      <c r="AR3000"/>
    </row>
    <row r="3001" spans="24:44">
      <c r="X3001"/>
      <c r="Y3001"/>
      <c r="Z3001"/>
      <c r="AA3001"/>
      <c r="AC3001"/>
      <c r="AR3001"/>
    </row>
    <row r="3002" spans="24:44">
      <c r="X3002"/>
      <c r="Y3002"/>
      <c r="Z3002"/>
      <c r="AA3002"/>
      <c r="AC3002"/>
      <c r="AR3002"/>
    </row>
    <row r="3003" spans="24:44">
      <c r="X3003"/>
      <c r="Y3003"/>
      <c r="Z3003"/>
      <c r="AA3003"/>
      <c r="AC3003"/>
      <c r="AR3003"/>
    </row>
    <row r="3004" spans="24:44">
      <c r="X3004"/>
      <c r="Y3004"/>
      <c r="Z3004"/>
      <c r="AA3004"/>
      <c r="AC3004"/>
      <c r="AR3004"/>
    </row>
    <row r="3005" spans="24:44">
      <c r="X3005"/>
      <c r="Y3005"/>
      <c r="Z3005"/>
      <c r="AA3005"/>
      <c r="AC3005"/>
      <c r="AR3005"/>
    </row>
    <row r="3006" spans="24:44">
      <c r="X3006"/>
      <c r="Y3006"/>
      <c r="Z3006"/>
      <c r="AA3006"/>
      <c r="AC3006"/>
      <c r="AR3006"/>
    </row>
    <row r="3007" spans="24:44">
      <c r="X3007"/>
      <c r="Y3007"/>
      <c r="Z3007"/>
      <c r="AA3007"/>
      <c r="AC3007"/>
      <c r="AR3007"/>
    </row>
    <row r="3008" spans="24:44">
      <c r="X3008"/>
      <c r="Y3008"/>
      <c r="Z3008"/>
      <c r="AA3008"/>
      <c r="AC3008"/>
      <c r="AR3008"/>
    </row>
    <row r="3009" spans="24:44">
      <c r="X3009"/>
      <c r="Y3009"/>
      <c r="Z3009"/>
      <c r="AA3009"/>
      <c r="AC3009"/>
      <c r="AR3009"/>
    </row>
    <row r="3010" spans="24:44">
      <c r="X3010"/>
      <c r="Y3010"/>
      <c r="Z3010"/>
      <c r="AA3010"/>
      <c r="AC3010"/>
      <c r="AR3010"/>
    </row>
    <row r="3011" spans="24:44">
      <c r="X3011"/>
      <c r="Y3011"/>
      <c r="Z3011"/>
      <c r="AA3011"/>
      <c r="AC3011"/>
      <c r="AR3011"/>
    </row>
    <row r="3012" spans="24:44">
      <c r="X3012"/>
      <c r="Y3012"/>
      <c r="Z3012"/>
      <c r="AA3012"/>
      <c r="AC3012"/>
      <c r="AR3012"/>
    </row>
    <row r="3013" spans="24:44">
      <c r="X3013"/>
      <c r="Y3013"/>
      <c r="Z3013"/>
      <c r="AA3013"/>
      <c r="AC3013"/>
      <c r="AR3013"/>
    </row>
    <row r="3014" spans="24:44">
      <c r="X3014"/>
      <c r="Y3014"/>
      <c r="Z3014"/>
      <c r="AA3014"/>
      <c r="AC3014"/>
      <c r="AR3014"/>
    </row>
    <row r="3015" spans="24:44">
      <c r="X3015"/>
      <c r="Y3015"/>
      <c r="Z3015"/>
      <c r="AA3015"/>
      <c r="AC3015"/>
      <c r="AR3015"/>
    </row>
    <row r="3016" spans="24:44">
      <c r="X3016"/>
      <c r="Y3016"/>
      <c r="Z3016"/>
      <c r="AA3016"/>
      <c r="AC3016"/>
      <c r="AR3016"/>
    </row>
    <row r="3017" spans="24:44">
      <c r="X3017"/>
      <c r="Y3017"/>
      <c r="Z3017"/>
      <c r="AA3017"/>
      <c r="AC3017"/>
      <c r="AR3017"/>
    </row>
    <row r="3018" spans="24:44">
      <c r="X3018"/>
      <c r="Y3018"/>
      <c r="Z3018"/>
      <c r="AA3018"/>
      <c r="AC3018"/>
      <c r="AR3018"/>
    </row>
    <row r="3019" spans="24:44">
      <c r="X3019"/>
      <c r="Y3019"/>
      <c r="Z3019"/>
      <c r="AA3019"/>
      <c r="AC3019"/>
      <c r="AR3019"/>
    </row>
    <row r="3020" spans="24:44">
      <c r="X3020"/>
      <c r="Y3020"/>
      <c r="Z3020"/>
      <c r="AA3020"/>
      <c r="AC3020"/>
      <c r="AR3020"/>
    </row>
    <row r="3021" spans="24:44">
      <c r="X3021"/>
      <c r="Y3021"/>
      <c r="Z3021"/>
      <c r="AA3021"/>
      <c r="AC3021"/>
      <c r="AR3021"/>
    </row>
    <row r="3022" spans="24:44">
      <c r="X3022"/>
      <c r="Y3022"/>
      <c r="Z3022"/>
      <c r="AA3022"/>
      <c r="AC3022"/>
      <c r="AR3022"/>
    </row>
    <row r="3023" spans="24:44">
      <c r="X3023"/>
      <c r="Y3023"/>
      <c r="Z3023"/>
      <c r="AA3023"/>
      <c r="AC3023"/>
      <c r="AR3023"/>
    </row>
    <row r="3024" spans="24:44">
      <c r="X3024"/>
      <c r="Y3024"/>
      <c r="Z3024"/>
      <c r="AA3024"/>
      <c r="AC3024"/>
      <c r="AR3024"/>
    </row>
    <row r="3025" spans="24:44">
      <c r="X3025"/>
      <c r="Y3025"/>
      <c r="Z3025"/>
      <c r="AA3025"/>
      <c r="AC3025"/>
      <c r="AR3025"/>
    </row>
    <row r="3026" spans="24:44">
      <c r="X3026"/>
      <c r="Y3026"/>
      <c r="Z3026"/>
      <c r="AA3026"/>
      <c r="AC3026"/>
      <c r="AR3026"/>
    </row>
    <row r="3027" spans="24:44">
      <c r="X3027"/>
      <c r="Y3027"/>
      <c r="Z3027"/>
      <c r="AA3027"/>
      <c r="AC3027"/>
      <c r="AR3027"/>
    </row>
    <row r="3028" spans="24:44">
      <c r="X3028"/>
      <c r="Y3028"/>
      <c r="Z3028"/>
      <c r="AA3028"/>
      <c r="AC3028"/>
      <c r="AR3028"/>
    </row>
    <row r="3029" spans="24:44">
      <c r="X3029"/>
      <c r="Y3029"/>
      <c r="Z3029"/>
      <c r="AA3029"/>
      <c r="AC3029"/>
      <c r="AR3029"/>
    </row>
    <row r="3030" spans="24:44">
      <c r="X3030"/>
      <c r="Y3030"/>
      <c r="Z3030"/>
      <c r="AA3030"/>
      <c r="AC3030"/>
      <c r="AR3030"/>
    </row>
    <row r="3031" spans="24:44">
      <c r="X3031"/>
      <c r="Y3031"/>
      <c r="Z3031"/>
      <c r="AA3031"/>
      <c r="AC3031"/>
      <c r="AR3031"/>
    </row>
    <row r="3032" spans="24:44">
      <c r="X3032"/>
      <c r="Y3032"/>
      <c r="Z3032"/>
      <c r="AA3032"/>
      <c r="AC3032"/>
      <c r="AR3032"/>
    </row>
    <row r="3033" spans="24:44">
      <c r="X3033"/>
      <c r="Y3033"/>
      <c r="Z3033"/>
      <c r="AA3033"/>
      <c r="AC3033"/>
      <c r="AR3033"/>
    </row>
    <row r="3034" spans="24:44">
      <c r="X3034"/>
      <c r="Y3034"/>
      <c r="Z3034"/>
      <c r="AA3034"/>
      <c r="AC3034"/>
      <c r="AR3034"/>
    </row>
    <row r="3035" spans="24:44">
      <c r="X3035"/>
      <c r="Y3035"/>
      <c r="Z3035"/>
      <c r="AA3035"/>
      <c r="AC3035"/>
      <c r="AR3035"/>
    </row>
    <row r="3036" spans="24:44">
      <c r="X3036"/>
      <c r="Y3036"/>
      <c r="Z3036"/>
      <c r="AA3036"/>
      <c r="AC3036"/>
      <c r="AR3036"/>
    </row>
    <row r="3037" spans="24:44">
      <c r="X3037"/>
      <c r="Y3037"/>
      <c r="Z3037"/>
      <c r="AA3037"/>
      <c r="AC3037"/>
      <c r="AR3037"/>
    </row>
    <row r="3038" spans="24:44">
      <c r="X3038"/>
      <c r="Y3038"/>
      <c r="Z3038"/>
      <c r="AA3038"/>
      <c r="AC3038"/>
      <c r="AR3038"/>
    </row>
    <row r="3039" spans="24:44">
      <c r="X3039"/>
      <c r="Y3039"/>
      <c r="Z3039"/>
      <c r="AA3039"/>
      <c r="AC3039"/>
      <c r="AR3039"/>
    </row>
    <row r="3040" spans="24:44">
      <c r="X3040"/>
      <c r="Y3040"/>
      <c r="Z3040"/>
      <c r="AA3040"/>
      <c r="AC3040"/>
      <c r="AR3040"/>
    </row>
    <row r="3041" spans="24:44">
      <c r="X3041"/>
      <c r="Y3041"/>
      <c r="Z3041"/>
      <c r="AA3041"/>
      <c r="AC3041"/>
      <c r="AR3041"/>
    </row>
    <row r="3042" spans="24:44">
      <c r="X3042"/>
      <c r="Y3042"/>
      <c r="Z3042"/>
      <c r="AA3042"/>
      <c r="AC3042"/>
      <c r="AR3042"/>
    </row>
    <row r="3043" spans="24:44">
      <c r="X3043"/>
      <c r="Y3043"/>
      <c r="Z3043"/>
      <c r="AA3043"/>
      <c r="AC3043"/>
      <c r="AR3043"/>
    </row>
    <row r="3044" spans="24:44">
      <c r="X3044"/>
      <c r="Y3044"/>
      <c r="Z3044"/>
      <c r="AA3044"/>
      <c r="AC3044"/>
      <c r="AR3044"/>
    </row>
    <row r="3045" spans="24:44">
      <c r="X3045"/>
      <c r="Y3045"/>
      <c r="Z3045"/>
      <c r="AA3045"/>
      <c r="AC3045"/>
      <c r="AR3045"/>
    </row>
    <row r="3046" spans="24:44">
      <c r="X3046"/>
      <c r="Y3046"/>
      <c r="Z3046"/>
      <c r="AA3046"/>
      <c r="AC3046"/>
      <c r="AR3046"/>
    </row>
    <row r="3047" spans="24:44">
      <c r="X3047"/>
      <c r="Y3047"/>
      <c r="Z3047"/>
      <c r="AA3047"/>
      <c r="AC3047"/>
      <c r="AR3047"/>
    </row>
    <row r="3048" spans="24:44">
      <c r="X3048"/>
      <c r="Y3048"/>
      <c r="Z3048"/>
      <c r="AA3048"/>
      <c r="AC3048"/>
      <c r="AR3048"/>
    </row>
    <row r="3049" spans="24:44">
      <c r="X3049"/>
      <c r="Y3049"/>
      <c r="Z3049"/>
      <c r="AA3049"/>
      <c r="AC3049"/>
      <c r="AR3049"/>
    </row>
    <row r="3050" spans="24:44">
      <c r="X3050"/>
      <c r="Y3050"/>
      <c r="Z3050"/>
      <c r="AA3050"/>
      <c r="AC3050"/>
      <c r="AR3050"/>
    </row>
    <row r="3051" spans="24:44">
      <c r="X3051"/>
      <c r="Y3051"/>
      <c r="Z3051"/>
      <c r="AA3051"/>
      <c r="AC3051"/>
      <c r="AR3051"/>
    </row>
    <row r="3052" spans="24:44">
      <c r="X3052"/>
      <c r="Y3052"/>
      <c r="Z3052"/>
      <c r="AA3052"/>
      <c r="AC3052"/>
      <c r="AR3052"/>
    </row>
    <row r="3053" spans="24:44">
      <c r="X3053"/>
      <c r="Y3053"/>
      <c r="Z3053"/>
      <c r="AA3053"/>
      <c r="AC3053"/>
      <c r="AR3053"/>
    </row>
    <row r="3054" spans="24:44">
      <c r="X3054"/>
      <c r="Y3054"/>
      <c r="Z3054"/>
      <c r="AA3054"/>
      <c r="AC3054"/>
      <c r="AR3054"/>
    </row>
    <row r="3055" spans="24:44">
      <c r="X3055"/>
      <c r="Y3055"/>
      <c r="Z3055"/>
      <c r="AA3055"/>
      <c r="AC3055"/>
      <c r="AR3055"/>
    </row>
    <row r="3056" spans="24:44">
      <c r="X3056"/>
      <c r="Y3056"/>
      <c r="Z3056"/>
      <c r="AA3056"/>
      <c r="AC3056"/>
      <c r="AR3056"/>
    </row>
    <row r="3057" spans="24:44">
      <c r="X3057"/>
      <c r="Y3057"/>
      <c r="Z3057"/>
      <c r="AA3057"/>
      <c r="AC3057"/>
      <c r="AR3057"/>
    </row>
    <row r="3058" spans="24:44">
      <c r="X3058"/>
      <c r="Y3058"/>
      <c r="Z3058"/>
      <c r="AA3058"/>
      <c r="AC3058"/>
      <c r="AR3058"/>
    </row>
    <row r="3059" spans="24:44">
      <c r="X3059"/>
      <c r="Y3059"/>
      <c r="Z3059"/>
      <c r="AA3059"/>
      <c r="AC3059"/>
      <c r="AR3059"/>
    </row>
    <row r="3060" spans="24:44">
      <c r="X3060"/>
      <c r="Y3060"/>
      <c r="Z3060"/>
      <c r="AA3060"/>
      <c r="AC3060"/>
      <c r="AR3060"/>
    </row>
    <row r="3061" spans="24:44">
      <c r="X3061"/>
      <c r="Y3061"/>
      <c r="Z3061"/>
      <c r="AA3061"/>
      <c r="AC3061"/>
      <c r="AR3061"/>
    </row>
    <row r="3062" spans="24:44">
      <c r="X3062"/>
      <c r="Y3062"/>
      <c r="Z3062"/>
      <c r="AA3062"/>
      <c r="AC3062"/>
      <c r="AR3062"/>
    </row>
    <row r="3063" spans="24:44">
      <c r="X3063"/>
      <c r="Y3063"/>
      <c r="Z3063"/>
      <c r="AA3063"/>
      <c r="AC3063"/>
      <c r="AR3063"/>
    </row>
    <row r="3064" spans="24:44">
      <c r="X3064"/>
      <c r="Y3064"/>
      <c r="Z3064"/>
      <c r="AA3064"/>
      <c r="AC3064"/>
      <c r="AR3064"/>
    </row>
    <row r="3065" spans="24:44">
      <c r="X3065"/>
      <c r="Y3065"/>
      <c r="Z3065"/>
      <c r="AA3065"/>
      <c r="AC3065"/>
      <c r="AR3065"/>
    </row>
    <row r="3066" spans="24:44">
      <c r="X3066"/>
      <c r="Y3066"/>
      <c r="Z3066"/>
      <c r="AA3066"/>
      <c r="AC3066"/>
      <c r="AR3066"/>
    </row>
    <row r="3067" spans="24:44">
      <c r="X3067"/>
      <c r="Y3067"/>
      <c r="Z3067"/>
      <c r="AA3067"/>
      <c r="AC3067"/>
      <c r="AR3067"/>
    </row>
    <row r="3068" spans="24:44">
      <c r="X3068"/>
      <c r="Y3068"/>
      <c r="Z3068"/>
      <c r="AA3068"/>
      <c r="AC3068"/>
      <c r="AR3068"/>
    </row>
    <row r="3069" spans="24:44">
      <c r="X3069"/>
      <c r="Y3069"/>
      <c r="Z3069"/>
      <c r="AA3069"/>
      <c r="AC3069"/>
      <c r="AR3069"/>
    </row>
    <row r="3070" spans="24:44">
      <c r="X3070"/>
      <c r="Y3070"/>
      <c r="Z3070"/>
      <c r="AA3070"/>
      <c r="AC3070"/>
      <c r="AR3070"/>
    </row>
    <row r="3071" spans="24:44">
      <c r="X3071"/>
      <c r="Y3071"/>
      <c r="Z3071"/>
      <c r="AA3071"/>
      <c r="AC3071"/>
      <c r="AR3071"/>
    </row>
    <row r="3072" spans="24:44">
      <c r="X3072"/>
      <c r="Y3072"/>
      <c r="Z3072"/>
      <c r="AA3072"/>
      <c r="AC3072"/>
      <c r="AR3072"/>
    </row>
    <row r="3073" spans="24:44">
      <c r="X3073"/>
      <c r="Y3073"/>
      <c r="Z3073"/>
      <c r="AA3073"/>
      <c r="AC3073"/>
      <c r="AR3073"/>
    </row>
    <row r="3074" spans="24:44">
      <c r="X3074"/>
      <c r="Y3074"/>
      <c r="Z3074"/>
      <c r="AA3074"/>
      <c r="AC3074"/>
      <c r="AR3074"/>
    </row>
    <row r="3075" spans="24:44">
      <c r="X3075"/>
      <c r="Y3075"/>
      <c r="Z3075"/>
      <c r="AA3075"/>
      <c r="AC3075"/>
      <c r="AR3075"/>
    </row>
    <row r="3076" spans="24:44">
      <c r="X3076"/>
      <c r="Y3076"/>
      <c r="Z3076"/>
      <c r="AA3076"/>
      <c r="AC3076"/>
      <c r="AR3076"/>
    </row>
    <row r="3077" spans="24:44">
      <c r="X3077"/>
      <c r="Y3077"/>
      <c r="Z3077"/>
      <c r="AA3077"/>
      <c r="AC3077"/>
      <c r="AR3077"/>
    </row>
    <row r="3078" spans="24:44">
      <c r="X3078"/>
      <c r="Y3078"/>
      <c r="Z3078"/>
      <c r="AA3078"/>
      <c r="AC3078"/>
      <c r="AR3078"/>
    </row>
    <row r="3079" spans="24:44">
      <c r="X3079"/>
      <c r="Y3079"/>
      <c r="Z3079"/>
      <c r="AA3079"/>
      <c r="AC3079"/>
      <c r="AR3079"/>
    </row>
    <row r="3080" spans="24:44">
      <c r="X3080"/>
      <c r="Y3080"/>
      <c r="Z3080"/>
      <c r="AA3080"/>
      <c r="AC3080"/>
      <c r="AR3080"/>
    </row>
    <row r="3081" spans="24:44">
      <c r="X3081"/>
      <c r="Y3081"/>
      <c r="Z3081"/>
      <c r="AA3081"/>
      <c r="AC3081"/>
      <c r="AR3081"/>
    </row>
    <row r="3082" spans="24:44">
      <c r="X3082"/>
      <c r="Y3082"/>
      <c r="Z3082"/>
      <c r="AA3082"/>
      <c r="AC3082"/>
      <c r="AR3082"/>
    </row>
    <row r="3083" spans="24:44">
      <c r="X3083"/>
      <c r="Y3083"/>
      <c r="Z3083"/>
      <c r="AA3083"/>
      <c r="AC3083"/>
      <c r="AR3083"/>
    </row>
    <row r="3084" spans="24:44">
      <c r="X3084"/>
      <c r="Y3084"/>
      <c r="Z3084"/>
      <c r="AA3084"/>
      <c r="AC3084"/>
      <c r="AR3084"/>
    </row>
    <row r="3085" spans="24:44">
      <c r="X3085"/>
      <c r="Y3085"/>
      <c r="Z3085"/>
      <c r="AA3085"/>
      <c r="AC3085"/>
      <c r="AR3085"/>
    </row>
    <row r="3086" spans="24:44">
      <c r="X3086"/>
      <c r="Y3086"/>
      <c r="Z3086"/>
      <c r="AA3086"/>
      <c r="AC3086"/>
      <c r="AR3086"/>
    </row>
    <row r="3087" spans="24:44">
      <c r="X3087"/>
      <c r="Y3087"/>
      <c r="Z3087"/>
      <c r="AA3087"/>
      <c r="AC3087"/>
      <c r="AR3087"/>
    </row>
    <row r="3088" spans="24:44">
      <c r="X3088"/>
      <c r="Y3088"/>
      <c r="Z3088"/>
      <c r="AA3088"/>
      <c r="AC3088"/>
      <c r="AR3088"/>
    </row>
    <row r="3089" spans="24:44">
      <c r="X3089"/>
      <c r="Y3089"/>
      <c r="Z3089"/>
      <c r="AA3089"/>
      <c r="AC3089"/>
      <c r="AR3089"/>
    </row>
    <row r="3090" spans="24:44">
      <c r="X3090"/>
      <c r="Y3090"/>
      <c r="Z3090"/>
      <c r="AA3090"/>
      <c r="AC3090"/>
      <c r="AR3090"/>
    </row>
    <row r="3091" spans="24:44">
      <c r="X3091"/>
      <c r="Y3091"/>
      <c r="Z3091"/>
      <c r="AA3091"/>
      <c r="AC3091"/>
      <c r="AR3091"/>
    </row>
    <row r="3092" spans="24:44">
      <c r="X3092"/>
      <c r="Y3092"/>
      <c r="Z3092"/>
      <c r="AA3092"/>
      <c r="AC3092"/>
      <c r="AR3092"/>
    </row>
    <row r="3093" spans="24:44">
      <c r="X3093"/>
      <c r="Y3093"/>
      <c r="Z3093"/>
      <c r="AA3093"/>
      <c r="AC3093"/>
      <c r="AR3093"/>
    </row>
    <row r="3094" spans="24:44">
      <c r="X3094"/>
      <c r="Y3094"/>
      <c r="Z3094"/>
      <c r="AA3094"/>
      <c r="AC3094"/>
      <c r="AR3094"/>
    </row>
    <row r="3095" spans="24:44">
      <c r="X3095"/>
      <c r="Y3095"/>
      <c r="Z3095"/>
      <c r="AA3095"/>
      <c r="AC3095"/>
      <c r="AR3095"/>
    </row>
    <row r="3096" spans="24:44">
      <c r="X3096"/>
      <c r="Y3096"/>
      <c r="Z3096"/>
      <c r="AA3096"/>
      <c r="AC3096"/>
      <c r="AR3096"/>
    </row>
    <row r="3097" spans="24:44">
      <c r="X3097"/>
      <c r="Y3097"/>
      <c r="Z3097"/>
      <c r="AA3097"/>
      <c r="AC3097"/>
      <c r="AR3097"/>
    </row>
    <row r="3098" spans="24:44">
      <c r="X3098"/>
      <c r="Y3098"/>
      <c r="Z3098"/>
      <c r="AA3098"/>
      <c r="AC3098"/>
      <c r="AR3098"/>
    </row>
    <row r="3099" spans="24:44">
      <c r="X3099"/>
      <c r="Y3099"/>
      <c r="Z3099"/>
      <c r="AA3099"/>
      <c r="AC3099"/>
      <c r="AR3099"/>
    </row>
    <row r="3100" spans="24:44">
      <c r="X3100"/>
      <c r="Y3100"/>
      <c r="Z3100"/>
      <c r="AA3100"/>
      <c r="AC3100"/>
      <c r="AR3100"/>
    </row>
    <row r="3101" spans="24:44">
      <c r="X3101"/>
      <c r="Y3101"/>
      <c r="Z3101"/>
      <c r="AA3101"/>
      <c r="AC3101"/>
      <c r="AR3101"/>
    </row>
    <row r="3102" spans="24:44">
      <c r="X3102"/>
      <c r="Y3102"/>
      <c r="Z3102"/>
      <c r="AA3102"/>
      <c r="AC3102"/>
      <c r="AR3102"/>
    </row>
    <row r="3103" spans="24:44">
      <c r="X3103"/>
      <c r="Y3103"/>
      <c r="Z3103"/>
      <c r="AA3103"/>
      <c r="AC3103"/>
      <c r="AR3103"/>
    </row>
    <row r="3104" spans="24:44">
      <c r="X3104"/>
      <c r="Y3104"/>
      <c r="Z3104"/>
      <c r="AA3104"/>
      <c r="AC3104"/>
      <c r="AR3104"/>
    </row>
    <row r="3105" spans="24:44">
      <c r="X3105"/>
      <c r="Y3105"/>
      <c r="Z3105"/>
      <c r="AA3105"/>
      <c r="AC3105"/>
      <c r="AR3105"/>
    </row>
    <row r="3106" spans="24:44">
      <c r="X3106"/>
      <c r="Y3106"/>
      <c r="Z3106"/>
      <c r="AA3106"/>
      <c r="AC3106"/>
      <c r="AR3106"/>
    </row>
    <row r="3107" spans="24:44">
      <c r="X3107"/>
      <c r="Y3107"/>
      <c r="Z3107"/>
      <c r="AA3107"/>
      <c r="AC3107"/>
      <c r="AR3107"/>
    </row>
    <row r="3108" spans="24:44">
      <c r="X3108"/>
      <c r="Y3108"/>
      <c r="Z3108"/>
      <c r="AA3108"/>
      <c r="AC3108"/>
      <c r="AR3108"/>
    </row>
    <row r="3109" spans="24:44">
      <c r="X3109"/>
      <c r="Y3109"/>
      <c r="Z3109"/>
      <c r="AA3109"/>
      <c r="AC3109"/>
      <c r="AR3109"/>
    </row>
    <row r="3110" spans="24:44">
      <c r="X3110"/>
      <c r="Y3110"/>
      <c r="Z3110"/>
      <c r="AA3110"/>
      <c r="AC3110"/>
      <c r="AR3110"/>
    </row>
    <row r="3111" spans="24:44">
      <c r="X3111"/>
      <c r="Y3111"/>
      <c r="Z3111"/>
      <c r="AA3111"/>
      <c r="AC3111"/>
      <c r="AR3111"/>
    </row>
    <row r="3112" spans="24:44">
      <c r="X3112"/>
      <c r="Y3112"/>
      <c r="Z3112"/>
      <c r="AA3112"/>
      <c r="AC3112"/>
      <c r="AR3112"/>
    </row>
    <row r="3113" spans="24:44">
      <c r="X3113"/>
      <c r="Y3113"/>
      <c r="Z3113"/>
      <c r="AA3113"/>
      <c r="AC3113"/>
      <c r="AR3113"/>
    </row>
    <row r="3114" spans="24:44">
      <c r="X3114"/>
      <c r="Y3114"/>
      <c r="Z3114"/>
      <c r="AA3114"/>
      <c r="AC3114"/>
      <c r="AR3114"/>
    </row>
    <row r="3115" spans="24:44">
      <c r="X3115"/>
      <c r="Y3115"/>
      <c r="Z3115"/>
      <c r="AA3115"/>
      <c r="AC3115"/>
      <c r="AR3115"/>
    </row>
    <row r="3116" spans="24:44">
      <c r="X3116"/>
      <c r="Y3116"/>
      <c r="Z3116"/>
      <c r="AA3116"/>
      <c r="AC3116"/>
      <c r="AR3116"/>
    </row>
    <row r="3117" spans="24:44">
      <c r="X3117"/>
      <c r="Y3117"/>
      <c r="Z3117"/>
      <c r="AA3117"/>
      <c r="AC3117"/>
      <c r="AR3117"/>
    </row>
    <row r="3118" spans="24:44">
      <c r="X3118"/>
      <c r="Y3118"/>
      <c r="Z3118"/>
      <c r="AA3118"/>
      <c r="AC3118"/>
      <c r="AR3118"/>
    </row>
    <row r="3119" spans="24:44">
      <c r="X3119"/>
      <c r="Y3119"/>
      <c r="Z3119"/>
      <c r="AA3119"/>
      <c r="AC3119"/>
      <c r="AR3119"/>
    </row>
    <row r="3120" spans="24:44">
      <c r="X3120"/>
      <c r="Y3120"/>
      <c r="Z3120"/>
      <c r="AA3120"/>
      <c r="AC3120"/>
      <c r="AR3120"/>
    </row>
    <row r="3121" spans="24:44">
      <c r="X3121"/>
      <c r="Y3121"/>
      <c r="Z3121"/>
      <c r="AA3121"/>
      <c r="AC3121"/>
      <c r="AR3121"/>
    </row>
    <row r="3122" spans="24:44">
      <c r="X3122"/>
      <c r="Y3122"/>
      <c r="Z3122"/>
      <c r="AA3122"/>
      <c r="AC3122"/>
      <c r="AR3122"/>
    </row>
    <row r="3123" spans="24:44">
      <c r="X3123"/>
      <c r="Y3123"/>
      <c r="Z3123"/>
      <c r="AA3123"/>
      <c r="AC3123"/>
      <c r="AR3123"/>
    </row>
    <row r="3124" spans="24:44">
      <c r="X3124"/>
      <c r="Y3124"/>
      <c r="Z3124"/>
      <c r="AA3124"/>
      <c r="AC3124"/>
      <c r="AR3124"/>
    </row>
    <row r="3125" spans="24:44">
      <c r="X3125"/>
      <c r="Y3125"/>
      <c r="Z3125"/>
      <c r="AA3125"/>
      <c r="AC3125"/>
      <c r="AR3125"/>
    </row>
    <row r="3126" spans="24:44">
      <c r="X3126"/>
      <c r="Y3126"/>
      <c r="Z3126"/>
      <c r="AA3126"/>
      <c r="AC3126"/>
      <c r="AR3126"/>
    </row>
    <row r="3127" spans="24:44">
      <c r="X3127"/>
      <c r="Y3127"/>
      <c r="Z3127"/>
      <c r="AA3127"/>
      <c r="AC3127"/>
      <c r="AR3127"/>
    </row>
    <row r="3128" spans="24:44">
      <c r="X3128"/>
      <c r="Y3128"/>
      <c r="Z3128"/>
      <c r="AA3128"/>
      <c r="AC3128"/>
      <c r="AR3128"/>
    </row>
    <row r="3129" spans="24:44">
      <c r="X3129"/>
      <c r="Y3129"/>
      <c r="Z3129"/>
      <c r="AA3129"/>
      <c r="AC3129"/>
      <c r="AR3129"/>
    </row>
    <row r="3130" spans="24:44">
      <c r="X3130"/>
      <c r="Y3130"/>
      <c r="Z3130"/>
      <c r="AA3130"/>
      <c r="AC3130"/>
      <c r="AR3130"/>
    </row>
    <row r="3131" spans="24:44">
      <c r="X3131"/>
      <c r="Y3131"/>
      <c r="Z3131"/>
      <c r="AA3131"/>
      <c r="AC3131"/>
      <c r="AR3131"/>
    </row>
    <row r="3132" spans="24:44">
      <c r="X3132"/>
      <c r="Y3132"/>
      <c r="Z3132"/>
      <c r="AA3132"/>
      <c r="AC3132"/>
      <c r="AR3132"/>
    </row>
    <row r="3133" spans="24:44">
      <c r="X3133"/>
      <c r="Y3133"/>
      <c r="Z3133"/>
      <c r="AA3133"/>
      <c r="AC3133"/>
      <c r="AR3133"/>
    </row>
    <row r="3134" spans="24:44">
      <c r="X3134"/>
      <c r="Y3134"/>
      <c r="Z3134"/>
      <c r="AA3134"/>
      <c r="AC3134"/>
      <c r="AR3134"/>
    </row>
    <row r="3135" spans="24:44">
      <c r="X3135"/>
      <c r="Y3135"/>
      <c r="Z3135"/>
      <c r="AA3135"/>
      <c r="AC3135"/>
      <c r="AR3135"/>
    </row>
    <row r="3136" spans="24:44">
      <c r="X3136"/>
      <c r="Y3136"/>
      <c r="Z3136"/>
      <c r="AA3136"/>
      <c r="AC3136"/>
      <c r="AR3136"/>
    </row>
    <row r="3137" spans="24:44">
      <c r="X3137"/>
      <c r="Y3137"/>
      <c r="Z3137"/>
      <c r="AA3137"/>
      <c r="AC3137"/>
      <c r="AR3137"/>
    </row>
    <row r="3138" spans="24:44">
      <c r="X3138"/>
      <c r="Y3138"/>
      <c r="Z3138"/>
      <c r="AA3138"/>
      <c r="AC3138"/>
      <c r="AR3138"/>
    </row>
    <row r="3139" spans="24:44">
      <c r="X3139"/>
      <c r="Y3139"/>
      <c r="Z3139"/>
      <c r="AA3139"/>
      <c r="AC3139"/>
      <c r="AR3139"/>
    </row>
    <row r="3140" spans="24:44">
      <c r="X3140"/>
      <c r="Y3140"/>
      <c r="Z3140"/>
      <c r="AA3140"/>
      <c r="AC3140"/>
      <c r="AR3140"/>
    </row>
    <row r="3141" spans="24:44">
      <c r="X3141"/>
      <c r="Y3141"/>
      <c r="Z3141"/>
      <c r="AA3141"/>
      <c r="AC3141"/>
      <c r="AR3141"/>
    </row>
    <row r="3142" spans="24:44">
      <c r="X3142"/>
      <c r="Y3142"/>
      <c r="Z3142"/>
      <c r="AA3142"/>
      <c r="AC3142"/>
      <c r="AR3142"/>
    </row>
    <row r="3143" spans="24:44">
      <c r="X3143"/>
      <c r="Y3143"/>
      <c r="Z3143"/>
      <c r="AA3143"/>
      <c r="AC3143"/>
      <c r="AR3143"/>
    </row>
    <row r="3144" spans="24:44">
      <c r="X3144"/>
      <c r="Y3144"/>
      <c r="Z3144"/>
      <c r="AA3144"/>
      <c r="AC3144"/>
      <c r="AR3144"/>
    </row>
    <row r="3145" spans="24:44">
      <c r="X3145"/>
      <c r="Y3145"/>
      <c r="Z3145"/>
      <c r="AA3145"/>
      <c r="AC3145"/>
      <c r="AR3145"/>
    </row>
    <row r="3146" spans="24:44">
      <c r="X3146"/>
      <c r="Y3146"/>
      <c r="Z3146"/>
      <c r="AA3146"/>
      <c r="AC3146"/>
      <c r="AR3146"/>
    </row>
    <row r="3147" spans="24:44">
      <c r="X3147"/>
      <c r="Y3147"/>
      <c r="Z3147"/>
      <c r="AA3147"/>
      <c r="AC3147"/>
      <c r="AR3147"/>
    </row>
    <row r="3148" spans="24:44">
      <c r="X3148"/>
      <c r="Y3148"/>
      <c r="Z3148"/>
      <c r="AA3148"/>
      <c r="AC3148"/>
      <c r="AR3148"/>
    </row>
    <row r="3149" spans="24:44">
      <c r="X3149"/>
      <c r="Y3149"/>
      <c r="Z3149"/>
      <c r="AA3149"/>
      <c r="AC3149"/>
      <c r="AR3149"/>
    </row>
    <row r="3150" spans="24:44">
      <c r="X3150"/>
      <c r="Y3150"/>
      <c r="Z3150"/>
      <c r="AA3150"/>
      <c r="AC3150"/>
      <c r="AR3150"/>
    </row>
    <row r="3151" spans="24:44">
      <c r="X3151"/>
      <c r="Y3151"/>
      <c r="Z3151"/>
      <c r="AA3151"/>
      <c r="AC3151"/>
      <c r="AR3151"/>
    </row>
    <row r="3152" spans="24:44">
      <c r="X3152"/>
      <c r="Y3152"/>
      <c r="Z3152"/>
      <c r="AA3152"/>
      <c r="AC3152"/>
      <c r="AR3152"/>
    </row>
    <row r="3153" spans="24:44">
      <c r="X3153"/>
      <c r="Y3153"/>
      <c r="Z3153"/>
      <c r="AA3153"/>
      <c r="AC3153"/>
      <c r="AR3153"/>
    </row>
    <row r="3154" spans="24:44">
      <c r="X3154"/>
      <c r="Y3154"/>
      <c r="Z3154"/>
      <c r="AA3154"/>
      <c r="AC3154"/>
      <c r="AR3154"/>
    </row>
    <row r="3155" spans="24:44">
      <c r="X3155"/>
      <c r="Y3155"/>
      <c r="Z3155"/>
      <c r="AA3155"/>
      <c r="AC3155"/>
      <c r="AR3155"/>
    </row>
    <row r="3156" spans="24:44">
      <c r="X3156"/>
      <c r="Y3156"/>
      <c r="Z3156"/>
      <c r="AA3156"/>
      <c r="AC3156"/>
      <c r="AR3156"/>
    </row>
    <row r="3157" spans="24:44">
      <c r="X3157"/>
      <c r="Y3157"/>
      <c r="Z3157"/>
      <c r="AA3157"/>
      <c r="AC3157"/>
      <c r="AR3157"/>
    </row>
    <row r="3158" spans="24:44">
      <c r="X3158"/>
      <c r="Y3158"/>
      <c r="Z3158"/>
      <c r="AA3158"/>
      <c r="AC3158"/>
      <c r="AR3158"/>
    </row>
    <row r="3159" spans="24:44">
      <c r="X3159"/>
      <c r="Y3159"/>
      <c r="Z3159"/>
      <c r="AA3159"/>
      <c r="AC3159"/>
      <c r="AR3159"/>
    </row>
    <row r="3160" spans="24:44">
      <c r="X3160"/>
      <c r="Y3160"/>
      <c r="Z3160"/>
      <c r="AA3160"/>
      <c r="AC3160"/>
      <c r="AR3160"/>
    </row>
    <row r="3161" spans="24:44">
      <c r="X3161"/>
      <c r="Y3161"/>
      <c r="Z3161"/>
      <c r="AA3161"/>
      <c r="AC3161"/>
      <c r="AR3161"/>
    </row>
    <row r="3162" spans="24:44">
      <c r="X3162"/>
      <c r="Y3162"/>
      <c r="Z3162"/>
      <c r="AA3162"/>
      <c r="AC3162"/>
      <c r="AR3162"/>
    </row>
    <row r="3163" spans="24:44">
      <c r="X3163"/>
      <c r="Y3163"/>
      <c r="Z3163"/>
      <c r="AA3163"/>
      <c r="AC3163"/>
      <c r="AR3163"/>
    </row>
    <row r="3164" spans="24:44">
      <c r="X3164"/>
      <c r="Y3164"/>
      <c r="Z3164"/>
      <c r="AA3164"/>
      <c r="AC3164"/>
      <c r="AR3164"/>
    </row>
    <row r="3165" spans="24:44">
      <c r="X3165"/>
      <c r="Y3165"/>
      <c r="Z3165"/>
      <c r="AA3165"/>
      <c r="AC3165"/>
      <c r="AR3165"/>
    </row>
    <row r="3166" spans="24:44">
      <c r="X3166"/>
      <c r="Y3166"/>
      <c r="Z3166"/>
      <c r="AA3166"/>
      <c r="AC3166"/>
      <c r="AR3166"/>
    </row>
    <row r="3167" spans="24:44">
      <c r="X3167"/>
      <c r="Y3167"/>
      <c r="Z3167"/>
      <c r="AA3167"/>
      <c r="AC3167"/>
      <c r="AR3167"/>
    </row>
    <row r="3168" spans="24:44">
      <c r="X3168"/>
      <c r="Y3168"/>
      <c r="Z3168"/>
      <c r="AA3168"/>
      <c r="AC3168"/>
      <c r="AR3168"/>
    </row>
    <row r="3169" spans="24:44">
      <c r="X3169"/>
      <c r="Y3169"/>
      <c r="Z3169"/>
      <c r="AA3169"/>
      <c r="AC3169"/>
      <c r="AR3169"/>
    </row>
    <row r="3170" spans="24:44">
      <c r="X3170"/>
      <c r="Y3170"/>
      <c r="Z3170"/>
      <c r="AA3170"/>
      <c r="AC3170"/>
      <c r="AR3170"/>
    </row>
    <row r="3171" spans="24:44">
      <c r="X3171"/>
      <c r="Y3171"/>
      <c r="Z3171"/>
      <c r="AA3171"/>
      <c r="AC3171"/>
      <c r="AR3171"/>
    </row>
    <row r="3172" spans="24:44">
      <c r="X3172"/>
      <c r="Y3172"/>
      <c r="Z3172"/>
      <c r="AA3172"/>
      <c r="AC3172"/>
      <c r="AR3172"/>
    </row>
    <row r="3173" spans="24:44">
      <c r="X3173"/>
      <c r="Y3173"/>
      <c r="Z3173"/>
      <c r="AA3173"/>
      <c r="AC3173"/>
      <c r="AR3173"/>
    </row>
    <row r="3174" spans="24:44">
      <c r="X3174"/>
      <c r="Y3174"/>
      <c r="Z3174"/>
      <c r="AA3174"/>
      <c r="AC3174"/>
      <c r="AR3174"/>
    </row>
    <row r="3175" spans="24:44">
      <c r="X3175"/>
      <c r="Y3175"/>
      <c r="Z3175"/>
      <c r="AA3175"/>
      <c r="AC3175"/>
      <c r="AR3175"/>
    </row>
    <row r="3176" spans="24:44">
      <c r="X3176"/>
      <c r="Y3176"/>
      <c r="Z3176"/>
      <c r="AA3176"/>
      <c r="AC3176"/>
      <c r="AR3176"/>
    </row>
    <row r="3177" spans="24:44">
      <c r="X3177"/>
      <c r="Y3177"/>
      <c r="Z3177"/>
      <c r="AA3177"/>
      <c r="AC3177"/>
      <c r="AR3177"/>
    </row>
    <row r="3178" spans="24:44">
      <c r="X3178"/>
      <c r="Y3178"/>
      <c r="Z3178"/>
      <c r="AA3178"/>
      <c r="AC3178"/>
      <c r="AR3178"/>
    </row>
    <row r="3179" spans="24:44">
      <c r="X3179"/>
      <c r="Y3179"/>
      <c r="Z3179"/>
      <c r="AA3179"/>
      <c r="AC3179"/>
      <c r="AR3179"/>
    </row>
    <row r="3180" spans="24:44">
      <c r="X3180"/>
      <c r="Y3180"/>
      <c r="Z3180"/>
      <c r="AA3180"/>
      <c r="AC3180"/>
      <c r="AR3180"/>
    </row>
    <row r="3181" spans="24:44">
      <c r="X3181"/>
      <c r="Y3181"/>
      <c r="Z3181"/>
      <c r="AA3181"/>
      <c r="AC3181"/>
      <c r="AR3181"/>
    </row>
    <row r="3182" spans="24:44">
      <c r="X3182"/>
      <c r="Y3182"/>
      <c r="Z3182"/>
      <c r="AA3182"/>
      <c r="AC3182"/>
      <c r="AR3182"/>
    </row>
    <row r="3183" spans="24:44">
      <c r="X3183"/>
      <c r="Y3183"/>
      <c r="Z3183"/>
      <c r="AA3183"/>
      <c r="AC3183"/>
      <c r="AR3183"/>
    </row>
    <row r="3184" spans="24:44">
      <c r="X3184"/>
      <c r="Y3184"/>
      <c r="Z3184"/>
      <c r="AA3184"/>
      <c r="AC3184"/>
      <c r="AR3184"/>
    </row>
    <row r="3185" spans="24:44">
      <c r="X3185"/>
      <c r="Y3185"/>
      <c r="Z3185"/>
      <c r="AA3185"/>
      <c r="AC3185"/>
      <c r="AR3185"/>
    </row>
    <row r="3186" spans="24:44">
      <c r="X3186"/>
      <c r="Y3186"/>
      <c r="Z3186"/>
      <c r="AA3186"/>
      <c r="AC3186"/>
      <c r="AR3186"/>
    </row>
    <row r="3187" spans="24:44">
      <c r="X3187"/>
      <c r="Y3187"/>
      <c r="Z3187"/>
      <c r="AA3187"/>
      <c r="AC3187"/>
      <c r="AR3187"/>
    </row>
    <row r="3188" spans="24:44">
      <c r="X3188"/>
      <c r="Y3188"/>
      <c r="Z3188"/>
      <c r="AA3188"/>
      <c r="AC3188"/>
      <c r="AR3188"/>
    </row>
    <row r="3189" spans="24:44">
      <c r="X3189"/>
      <c r="Y3189"/>
      <c r="Z3189"/>
      <c r="AA3189"/>
      <c r="AC3189"/>
      <c r="AR3189"/>
    </row>
    <row r="3190" spans="24:44">
      <c r="X3190"/>
      <c r="Y3190"/>
      <c r="Z3190"/>
      <c r="AA3190"/>
      <c r="AC3190"/>
      <c r="AR3190"/>
    </row>
    <row r="3191" spans="24:44">
      <c r="X3191"/>
      <c r="Y3191"/>
      <c r="Z3191"/>
      <c r="AA3191"/>
      <c r="AC3191"/>
      <c r="AR3191"/>
    </row>
    <row r="3192" spans="24:44">
      <c r="X3192"/>
      <c r="Y3192"/>
      <c r="Z3192"/>
      <c r="AA3192"/>
      <c r="AC3192"/>
      <c r="AR3192"/>
    </row>
    <row r="3193" spans="24:44">
      <c r="X3193"/>
      <c r="Y3193"/>
      <c r="Z3193"/>
      <c r="AA3193"/>
      <c r="AC3193"/>
      <c r="AR3193"/>
    </row>
    <row r="3194" spans="24:44">
      <c r="X3194"/>
      <c r="Y3194"/>
      <c r="Z3194"/>
      <c r="AA3194"/>
      <c r="AC3194"/>
      <c r="AR3194"/>
    </row>
    <row r="3195" spans="24:44">
      <c r="X3195"/>
      <c r="Y3195"/>
      <c r="Z3195"/>
      <c r="AA3195"/>
      <c r="AC3195"/>
      <c r="AR3195"/>
    </row>
    <row r="3196" spans="24:44">
      <c r="X3196"/>
      <c r="Y3196"/>
      <c r="Z3196"/>
      <c r="AA3196"/>
      <c r="AC3196"/>
      <c r="AR3196"/>
    </row>
    <row r="3197" spans="24:44">
      <c r="X3197"/>
      <c r="Y3197"/>
      <c r="Z3197"/>
      <c r="AA3197"/>
      <c r="AC3197"/>
      <c r="AR3197"/>
    </row>
    <row r="3198" spans="24:44">
      <c r="X3198"/>
      <c r="Y3198"/>
      <c r="Z3198"/>
      <c r="AA3198"/>
      <c r="AC3198"/>
      <c r="AR3198"/>
    </row>
    <row r="3199" spans="24:44">
      <c r="X3199"/>
      <c r="Y3199"/>
      <c r="Z3199"/>
      <c r="AA3199"/>
      <c r="AC3199"/>
      <c r="AR3199"/>
    </row>
    <row r="3200" spans="24:44">
      <c r="X3200"/>
      <c r="Y3200"/>
      <c r="Z3200"/>
      <c r="AA3200"/>
      <c r="AC3200"/>
      <c r="AR3200"/>
    </row>
    <row r="3201" spans="24:44">
      <c r="X3201"/>
      <c r="Y3201"/>
      <c r="Z3201"/>
      <c r="AA3201"/>
      <c r="AC3201"/>
      <c r="AR3201"/>
    </row>
    <row r="3202" spans="24:44">
      <c r="X3202"/>
      <c r="Y3202"/>
      <c r="Z3202"/>
      <c r="AA3202"/>
      <c r="AC3202"/>
      <c r="AR3202"/>
    </row>
    <row r="3203" spans="24:44">
      <c r="X3203"/>
      <c r="Y3203"/>
      <c r="Z3203"/>
      <c r="AA3203"/>
      <c r="AC3203"/>
      <c r="AR3203"/>
    </row>
    <row r="3204" spans="24:44">
      <c r="X3204"/>
      <c r="Y3204"/>
      <c r="Z3204"/>
      <c r="AA3204"/>
      <c r="AC3204"/>
      <c r="AR3204"/>
    </row>
    <row r="3205" spans="24:44">
      <c r="X3205"/>
      <c r="Y3205"/>
      <c r="Z3205"/>
      <c r="AA3205"/>
      <c r="AC3205"/>
      <c r="AR3205"/>
    </row>
    <row r="3206" spans="24:44">
      <c r="X3206"/>
      <c r="Y3206"/>
      <c r="Z3206"/>
      <c r="AA3206"/>
      <c r="AC3206"/>
      <c r="AR3206"/>
    </row>
    <row r="3207" spans="24:44">
      <c r="X3207"/>
      <c r="Y3207"/>
      <c r="Z3207"/>
      <c r="AA3207"/>
      <c r="AC3207"/>
      <c r="AR3207"/>
    </row>
    <row r="3208" spans="24:44">
      <c r="X3208"/>
      <c r="Y3208"/>
      <c r="Z3208"/>
      <c r="AA3208"/>
      <c r="AC3208"/>
      <c r="AR3208"/>
    </row>
    <row r="3209" spans="24:44">
      <c r="X3209"/>
      <c r="Y3209"/>
      <c r="Z3209"/>
      <c r="AA3209"/>
      <c r="AC3209"/>
      <c r="AR3209"/>
    </row>
    <row r="3210" spans="24:44">
      <c r="X3210"/>
      <c r="Y3210"/>
      <c r="Z3210"/>
      <c r="AA3210"/>
      <c r="AC3210"/>
      <c r="AR3210"/>
    </row>
    <row r="3211" spans="24:44">
      <c r="X3211"/>
      <c r="Y3211"/>
      <c r="Z3211"/>
      <c r="AA3211"/>
      <c r="AC3211"/>
      <c r="AR3211"/>
    </row>
    <row r="3212" spans="24:44">
      <c r="X3212"/>
      <c r="Y3212"/>
      <c r="Z3212"/>
      <c r="AA3212"/>
      <c r="AC3212"/>
      <c r="AR3212"/>
    </row>
    <row r="3213" spans="24:44">
      <c r="X3213"/>
      <c r="Y3213"/>
      <c r="Z3213"/>
      <c r="AA3213"/>
      <c r="AC3213"/>
      <c r="AR3213"/>
    </row>
    <row r="3214" spans="24:44">
      <c r="X3214"/>
      <c r="Y3214"/>
      <c r="Z3214"/>
      <c r="AA3214"/>
      <c r="AC3214"/>
      <c r="AR3214"/>
    </row>
    <row r="3215" spans="24:44">
      <c r="X3215"/>
      <c r="Y3215"/>
      <c r="Z3215"/>
      <c r="AA3215"/>
      <c r="AC3215"/>
      <c r="AR3215"/>
    </row>
    <row r="3216" spans="24:44">
      <c r="X3216"/>
      <c r="Y3216"/>
      <c r="Z3216"/>
      <c r="AA3216"/>
      <c r="AC3216"/>
      <c r="AR3216"/>
    </row>
    <row r="3217" spans="24:44">
      <c r="X3217"/>
      <c r="Y3217"/>
      <c r="Z3217"/>
      <c r="AA3217"/>
      <c r="AC3217"/>
      <c r="AR3217"/>
    </row>
    <row r="3218" spans="24:44">
      <c r="X3218"/>
      <c r="Y3218"/>
      <c r="Z3218"/>
      <c r="AA3218"/>
      <c r="AC3218"/>
      <c r="AR3218"/>
    </row>
    <row r="3219" spans="24:44">
      <c r="X3219"/>
      <c r="Y3219"/>
      <c r="Z3219"/>
      <c r="AA3219"/>
      <c r="AC3219"/>
      <c r="AR3219"/>
    </row>
    <row r="3220" spans="24:44">
      <c r="X3220"/>
      <c r="Y3220"/>
      <c r="Z3220"/>
      <c r="AA3220"/>
      <c r="AC3220"/>
      <c r="AR3220"/>
    </row>
    <row r="3221" spans="24:44">
      <c r="X3221"/>
      <c r="Y3221"/>
      <c r="Z3221"/>
      <c r="AA3221"/>
      <c r="AC3221"/>
      <c r="AR3221"/>
    </row>
    <row r="3222" spans="24:44">
      <c r="X3222"/>
      <c r="Y3222"/>
      <c r="Z3222"/>
      <c r="AA3222"/>
      <c r="AC3222"/>
      <c r="AR3222"/>
    </row>
    <row r="3223" spans="24:44">
      <c r="X3223"/>
      <c r="Y3223"/>
      <c r="Z3223"/>
      <c r="AA3223"/>
      <c r="AC3223"/>
      <c r="AR3223"/>
    </row>
    <row r="3224" spans="24:44">
      <c r="X3224"/>
      <c r="Y3224"/>
      <c r="Z3224"/>
      <c r="AA3224"/>
      <c r="AC3224"/>
      <c r="AR3224"/>
    </row>
    <row r="3225" spans="24:44">
      <c r="X3225"/>
      <c r="Y3225"/>
      <c r="Z3225"/>
      <c r="AA3225"/>
      <c r="AC3225"/>
      <c r="AR3225"/>
    </row>
    <row r="3226" spans="24:44">
      <c r="X3226"/>
      <c r="Y3226"/>
      <c r="Z3226"/>
      <c r="AA3226"/>
      <c r="AC3226"/>
      <c r="AR3226"/>
    </row>
    <row r="3227" spans="24:44">
      <c r="X3227"/>
      <c r="Y3227"/>
      <c r="Z3227"/>
      <c r="AA3227"/>
      <c r="AC3227"/>
      <c r="AR3227"/>
    </row>
    <row r="3228" spans="24:44">
      <c r="X3228"/>
      <c r="Y3228"/>
      <c r="Z3228"/>
      <c r="AA3228"/>
      <c r="AC3228"/>
      <c r="AR3228"/>
    </row>
    <row r="3229" spans="24:44">
      <c r="X3229"/>
      <c r="Y3229"/>
      <c r="Z3229"/>
      <c r="AA3229"/>
      <c r="AC3229"/>
      <c r="AR3229"/>
    </row>
    <row r="3230" spans="24:44">
      <c r="X3230"/>
      <c r="Y3230"/>
      <c r="Z3230"/>
      <c r="AA3230"/>
      <c r="AC3230"/>
      <c r="AR3230"/>
    </row>
    <row r="3231" spans="24:44">
      <c r="X3231"/>
      <c r="Y3231"/>
      <c r="Z3231"/>
      <c r="AA3231"/>
      <c r="AC3231"/>
      <c r="AR3231"/>
    </row>
    <row r="3232" spans="24:44">
      <c r="X3232"/>
      <c r="Y3232"/>
      <c r="Z3232"/>
      <c r="AA3232"/>
      <c r="AC3232"/>
      <c r="AR3232"/>
    </row>
    <row r="3233" spans="24:44">
      <c r="X3233"/>
      <c r="Y3233"/>
      <c r="Z3233"/>
      <c r="AA3233"/>
      <c r="AC3233"/>
      <c r="AR3233"/>
    </row>
    <row r="3234" spans="24:44">
      <c r="X3234"/>
      <c r="Y3234"/>
      <c r="Z3234"/>
      <c r="AA3234"/>
      <c r="AC3234"/>
      <c r="AR3234"/>
    </row>
    <row r="3235" spans="24:44">
      <c r="X3235"/>
      <c r="Y3235"/>
      <c r="Z3235"/>
      <c r="AA3235"/>
      <c r="AC3235"/>
      <c r="AR3235"/>
    </row>
    <row r="3236" spans="24:44">
      <c r="X3236"/>
      <c r="Y3236"/>
      <c r="Z3236"/>
      <c r="AA3236"/>
      <c r="AC3236"/>
      <c r="AR3236"/>
    </row>
    <row r="3237" spans="24:44">
      <c r="X3237"/>
      <c r="Y3237"/>
      <c r="Z3237"/>
      <c r="AA3237"/>
      <c r="AC3237"/>
      <c r="AR3237"/>
    </row>
    <row r="3238" spans="24:44">
      <c r="X3238"/>
      <c r="Y3238"/>
      <c r="Z3238"/>
      <c r="AA3238"/>
      <c r="AC3238"/>
      <c r="AR3238"/>
    </row>
    <row r="3239" spans="24:44">
      <c r="X3239"/>
      <c r="Y3239"/>
      <c r="Z3239"/>
      <c r="AA3239"/>
      <c r="AC3239"/>
      <c r="AR3239"/>
    </row>
    <row r="3240" spans="24:44">
      <c r="X3240"/>
      <c r="Y3240"/>
      <c r="Z3240"/>
      <c r="AA3240"/>
      <c r="AC3240"/>
      <c r="AR3240"/>
    </row>
    <row r="3241" spans="24:44">
      <c r="X3241"/>
      <c r="Y3241"/>
      <c r="Z3241"/>
      <c r="AA3241"/>
      <c r="AC3241"/>
      <c r="AR3241"/>
    </row>
    <row r="3242" spans="24:44">
      <c r="X3242"/>
      <c r="Y3242"/>
      <c r="Z3242"/>
      <c r="AA3242"/>
      <c r="AC3242"/>
      <c r="AR3242"/>
    </row>
    <row r="3243" spans="24:44">
      <c r="X3243"/>
      <c r="Y3243"/>
      <c r="Z3243"/>
      <c r="AA3243"/>
      <c r="AC3243"/>
      <c r="AR3243"/>
    </row>
    <row r="3244" spans="24:44">
      <c r="X3244"/>
      <c r="Y3244"/>
      <c r="Z3244"/>
      <c r="AA3244"/>
      <c r="AC3244"/>
      <c r="AR3244"/>
    </row>
    <row r="3245" spans="24:44">
      <c r="X3245"/>
      <c r="Y3245"/>
      <c r="Z3245"/>
      <c r="AA3245"/>
      <c r="AC3245"/>
      <c r="AR3245"/>
    </row>
    <row r="3246" spans="24:44">
      <c r="X3246"/>
      <c r="Y3246"/>
      <c r="Z3246"/>
      <c r="AA3246"/>
      <c r="AC3246"/>
      <c r="AR3246"/>
    </row>
    <row r="3247" spans="24:44">
      <c r="X3247"/>
      <c r="Y3247"/>
      <c r="Z3247"/>
      <c r="AA3247"/>
      <c r="AC3247"/>
      <c r="AR3247"/>
    </row>
    <row r="3248" spans="24:44">
      <c r="X3248"/>
      <c r="Y3248"/>
      <c r="Z3248"/>
      <c r="AA3248"/>
      <c r="AC3248"/>
      <c r="AR3248"/>
    </row>
    <row r="3249" spans="24:44">
      <c r="X3249"/>
      <c r="Y3249"/>
      <c r="Z3249"/>
      <c r="AA3249"/>
      <c r="AC3249"/>
      <c r="AR3249"/>
    </row>
    <row r="3250" spans="24:44">
      <c r="X3250"/>
      <c r="Y3250"/>
      <c r="Z3250"/>
      <c r="AA3250"/>
      <c r="AC3250"/>
      <c r="AR3250"/>
    </row>
    <row r="3251" spans="24:44">
      <c r="X3251"/>
      <c r="Y3251"/>
      <c r="Z3251"/>
      <c r="AA3251"/>
      <c r="AC3251"/>
      <c r="AR3251"/>
    </row>
    <row r="3252" spans="24:44">
      <c r="X3252"/>
      <c r="Y3252"/>
      <c r="Z3252"/>
      <c r="AA3252"/>
      <c r="AC3252"/>
      <c r="AR3252"/>
    </row>
    <row r="3253" spans="24:44">
      <c r="X3253"/>
      <c r="Y3253"/>
      <c r="Z3253"/>
      <c r="AA3253"/>
      <c r="AC3253"/>
      <c r="AR3253"/>
    </row>
    <row r="3254" spans="24:44">
      <c r="X3254"/>
      <c r="Y3254"/>
      <c r="Z3254"/>
      <c r="AA3254"/>
      <c r="AC3254"/>
      <c r="AR3254"/>
    </row>
    <row r="3255" spans="24:44">
      <c r="X3255"/>
      <c r="Y3255"/>
      <c r="Z3255"/>
      <c r="AA3255"/>
      <c r="AC3255"/>
      <c r="AR3255"/>
    </row>
    <row r="3256" spans="24:44">
      <c r="X3256"/>
      <c r="Y3256"/>
      <c r="Z3256"/>
      <c r="AA3256"/>
      <c r="AC3256"/>
      <c r="AR3256"/>
    </row>
    <row r="3257" spans="24:44">
      <c r="X3257"/>
      <c r="Y3257"/>
      <c r="Z3257"/>
      <c r="AA3257"/>
      <c r="AC3257"/>
      <c r="AR3257"/>
    </row>
    <row r="3258" spans="24:44">
      <c r="X3258"/>
      <c r="Y3258"/>
      <c r="Z3258"/>
      <c r="AA3258"/>
      <c r="AC3258"/>
      <c r="AR3258"/>
    </row>
    <row r="3259" spans="24:44">
      <c r="X3259"/>
      <c r="Y3259"/>
      <c r="Z3259"/>
      <c r="AA3259"/>
      <c r="AC3259"/>
      <c r="AR3259"/>
    </row>
    <row r="3260" spans="24:44">
      <c r="X3260"/>
      <c r="Y3260"/>
      <c r="Z3260"/>
      <c r="AA3260"/>
      <c r="AC3260"/>
      <c r="AR3260"/>
    </row>
    <row r="3261" spans="24:44">
      <c r="X3261"/>
      <c r="Y3261"/>
      <c r="Z3261"/>
      <c r="AA3261"/>
      <c r="AC3261"/>
      <c r="AR3261"/>
    </row>
    <row r="3262" spans="24:44">
      <c r="X3262"/>
      <c r="Y3262"/>
      <c r="Z3262"/>
      <c r="AA3262"/>
      <c r="AC3262"/>
      <c r="AR3262"/>
    </row>
    <row r="3263" spans="24:44">
      <c r="X3263"/>
      <c r="Y3263"/>
      <c r="Z3263"/>
      <c r="AA3263"/>
      <c r="AC3263"/>
      <c r="AR3263"/>
    </row>
    <row r="3264" spans="24:44">
      <c r="X3264"/>
      <c r="Y3264"/>
      <c r="Z3264"/>
      <c r="AA3264"/>
      <c r="AC3264"/>
      <c r="AR3264"/>
    </row>
    <row r="3265" spans="24:44">
      <c r="X3265"/>
      <c r="Y3265"/>
      <c r="Z3265"/>
      <c r="AA3265"/>
      <c r="AC3265"/>
      <c r="AR3265"/>
    </row>
    <row r="3266" spans="24:44">
      <c r="X3266"/>
      <c r="Y3266"/>
      <c r="Z3266"/>
      <c r="AA3266"/>
      <c r="AC3266"/>
      <c r="AR3266"/>
    </row>
    <row r="3267" spans="24:44">
      <c r="X3267"/>
      <c r="Y3267"/>
      <c r="Z3267"/>
      <c r="AA3267"/>
      <c r="AC3267"/>
      <c r="AR3267"/>
    </row>
    <row r="3268" spans="24:44">
      <c r="X3268"/>
      <c r="Y3268"/>
      <c r="Z3268"/>
      <c r="AA3268"/>
      <c r="AC3268"/>
      <c r="AR3268"/>
    </row>
    <row r="3269" spans="24:44">
      <c r="X3269"/>
      <c r="Y3269"/>
      <c r="Z3269"/>
      <c r="AA3269"/>
      <c r="AC3269"/>
      <c r="AR3269"/>
    </row>
    <row r="3270" spans="24:44">
      <c r="X3270"/>
      <c r="Y3270"/>
      <c r="Z3270"/>
      <c r="AA3270"/>
      <c r="AC3270"/>
      <c r="AR3270"/>
    </row>
    <row r="3271" spans="24:44">
      <c r="X3271"/>
      <c r="Y3271"/>
      <c r="Z3271"/>
      <c r="AA3271"/>
      <c r="AC3271"/>
      <c r="AR3271"/>
    </row>
    <row r="3272" spans="24:44">
      <c r="X3272"/>
      <c r="Y3272"/>
      <c r="Z3272"/>
      <c r="AA3272"/>
      <c r="AC3272"/>
      <c r="AR3272"/>
    </row>
    <row r="3273" spans="24:44">
      <c r="X3273"/>
      <c r="Y3273"/>
      <c r="Z3273"/>
      <c r="AA3273"/>
      <c r="AC3273"/>
      <c r="AR3273"/>
    </row>
    <row r="3274" spans="24:44">
      <c r="X3274"/>
      <c r="Y3274"/>
      <c r="Z3274"/>
      <c r="AA3274"/>
      <c r="AC3274"/>
      <c r="AR3274"/>
    </row>
    <row r="3275" spans="24:44">
      <c r="X3275"/>
      <c r="Y3275"/>
      <c r="Z3275"/>
      <c r="AA3275"/>
      <c r="AC3275"/>
      <c r="AR3275"/>
    </row>
    <row r="3276" spans="24:44">
      <c r="X3276"/>
      <c r="Y3276"/>
      <c r="Z3276"/>
      <c r="AA3276"/>
      <c r="AC3276"/>
      <c r="AR3276"/>
    </row>
    <row r="3277" spans="24:44">
      <c r="X3277"/>
      <c r="Y3277"/>
      <c r="Z3277"/>
      <c r="AA3277"/>
      <c r="AC3277"/>
      <c r="AR3277"/>
    </row>
    <row r="3278" spans="24:44">
      <c r="X3278"/>
      <c r="Y3278"/>
      <c r="Z3278"/>
      <c r="AA3278"/>
      <c r="AC3278"/>
      <c r="AR3278"/>
    </row>
    <row r="3279" spans="24:44">
      <c r="X3279"/>
      <c r="Y3279"/>
      <c r="Z3279"/>
      <c r="AA3279"/>
      <c r="AC3279"/>
      <c r="AR3279"/>
    </row>
    <row r="3280" spans="24:44">
      <c r="X3280"/>
      <c r="Y3280"/>
      <c r="Z3280"/>
      <c r="AA3280"/>
      <c r="AC3280"/>
      <c r="AR3280"/>
    </row>
    <row r="3281" spans="24:44">
      <c r="X3281"/>
      <c r="Y3281"/>
      <c r="Z3281"/>
      <c r="AA3281"/>
      <c r="AC3281"/>
      <c r="AR3281"/>
    </row>
    <row r="3282" spans="24:44">
      <c r="X3282"/>
      <c r="Y3282"/>
      <c r="Z3282"/>
      <c r="AA3282"/>
      <c r="AC3282"/>
      <c r="AR3282"/>
    </row>
    <row r="3283" spans="24:44">
      <c r="X3283"/>
      <c r="Y3283"/>
      <c r="Z3283"/>
      <c r="AA3283"/>
      <c r="AC3283"/>
      <c r="AR3283"/>
    </row>
    <row r="3284" spans="24:44">
      <c r="X3284"/>
      <c r="Y3284"/>
      <c r="Z3284"/>
      <c r="AA3284"/>
      <c r="AC3284"/>
      <c r="AR3284"/>
    </row>
    <row r="3285" spans="24:44">
      <c r="X3285"/>
      <c r="Y3285"/>
      <c r="Z3285"/>
      <c r="AA3285"/>
      <c r="AC3285"/>
      <c r="AR3285"/>
    </row>
    <row r="3286" spans="24:44">
      <c r="X3286"/>
      <c r="Y3286"/>
      <c r="Z3286"/>
      <c r="AA3286"/>
      <c r="AC3286"/>
      <c r="AR3286"/>
    </row>
    <row r="3287" spans="24:44">
      <c r="X3287"/>
      <c r="Y3287"/>
      <c r="Z3287"/>
      <c r="AA3287"/>
      <c r="AC3287"/>
      <c r="AR3287"/>
    </row>
    <row r="3288" spans="24:44">
      <c r="X3288"/>
      <c r="Y3288"/>
      <c r="Z3288"/>
      <c r="AA3288"/>
      <c r="AC3288"/>
      <c r="AR3288"/>
    </row>
    <row r="3289" spans="24:44">
      <c r="X3289"/>
      <c r="Y3289"/>
      <c r="Z3289"/>
      <c r="AA3289"/>
      <c r="AC3289"/>
      <c r="AR3289"/>
    </row>
    <row r="3290" spans="24:44">
      <c r="X3290"/>
      <c r="Y3290"/>
      <c r="Z3290"/>
      <c r="AA3290"/>
      <c r="AC3290"/>
      <c r="AR3290"/>
    </row>
    <row r="3291" spans="24:44">
      <c r="X3291"/>
      <c r="Y3291"/>
      <c r="Z3291"/>
      <c r="AA3291"/>
      <c r="AC3291"/>
      <c r="AR3291"/>
    </row>
    <row r="3292" spans="24:44">
      <c r="X3292"/>
      <c r="Y3292"/>
      <c r="Z3292"/>
      <c r="AA3292"/>
      <c r="AC3292"/>
      <c r="AR3292"/>
    </row>
    <row r="3293" spans="24:44">
      <c r="X3293"/>
      <c r="Y3293"/>
      <c r="Z3293"/>
      <c r="AA3293"/>
      <c r="AC3293"/>
      <c r="AR3293"/>
    </row>
    <row r="3294" spans="24:44">
      <c r="X3294"/>
      <c r="Y3294"/>
      <c r="Z3294"/>
      <c r="AA3294"/>
      <c r="AC3294"/>
      <c r="AR3294"/>
    </row>
    <row r="3295" spans="24:44">
      <c r="X3295"/>
      <c r="Y3295"/>
      <c r="Z3295"/>
      <c r="AA3295"/>
      <c r="AC3295"/>
      <c r="AR3295"/>
    </row>
    <row r="3296" spans="24:44">
      <c r="X3296"/>
      <c r="Y3296"/>
      <c r="Z3296"/>
      <c r="AA3296"/>
      <c r="AC3296"/>
      <c r="AR3296"/>
    </row>
    <row r="3297" spans="24:44">
      <c r="X3297"/>
      <c r="Y3297"/>
      <c r="Z3297"/>
      <c r="AA3297"/>
      <c r="AC3297"/>
      <c r="AR3297"/>
    </row>
    <row r="3298" spans="24:44">
      <c r="X3298"/>
      <c r="Y3298"/>
      <c r="Z3298"/>
      <c r="AA3298"/>
      <c r="AC3298"/>
      <c r="AR3298"/>
    </row>
    <row r="3299" spans="24:44">
      <c r="X3299"/>
      <c r="Y3299"/>
      <c r="Z3299"/>
      <c r="AA3299"/>
      <c r="AC3299"/>
      <c r="AR3299"/>
    </row>
    <row r="3300" spans="24:44">
      <c r="X3300"/>
      <c r="Y3300"/>
      <c r="Z3300"/>
      <c r="AA3300"/>
      <c r="AC3300"/>
      <c r="AR3300"/>
    </row>
    <row r="3301" spans="24:44">
      <c r="X3301"/>
      <c r="Y3301"/>
      <c r="Z3301"/>
      <c r="AA3301"/>
      <c r="AC3301"/>
      <c r="AR3301"/>
    </row>
    <row r="3302" spans="24:44">
      <c r="X3302"/>
      <c r="Y3302"/>
      <c r="Z3302"/>
      <c r="AA3302"/>
      <c r="AC3302"/>
      <c r="AR3302"/>
    </row>
    <row r="3303" spans="24:44">
      <c r="X3303"/>
      <c r="Y3303"/>
      <c r="Z3303"/>
      <c r="AA3303"/>
      <c r="AC3303"/>
      <c r="AR3303"/>
    </row>
    <row r="3304" spans="24:44">
      <c r="X3304"/>
      <c r="Y3304"/>
      <c r="Z3304"/>
      <c r="AA3304"/>
      <c r="AC3304"/>
      <c r="AR3304"/>
    </row>
    <row r="3305" spans="24:44">
      <c r="X3305"/>
      <c r="Y3305"/>
      <c r="Z3305"/>
      <c r="AA3305"/>
      <c r="AC3305"/>
      <c r="AR3305"/>
    </row>
    <row r="3306" spans="24:44">
      <c r="X3306"/>
      <c r="Y3306"/>
      <c r="Z3306"/>
      <c r="AA3306"/>
      <c r="AC3306"/>
      <c r="AR3306"/>
    </row>
    <row r="3307" spans="24:44">
      <c r="X3307"/>
      <c r="Y3307"/>
      <c r="Z3307"/>
      <c r="AA3307"/>
      <c r="AC3307"/>
      <c r="AR3307"/>
    </row>
    <row r="3308" spans="24:44">
      <c r="X3308"/>
      <c r="Y3308"/>
      <c r="Z3308"/>
      <c r="AA3308"/>
      <c r="AC3308"/>
      <c r="AR3308"/>
    </row>
    <row r="3309" spans="24:44">
      <c r="X3309"/>
      <c r="Y3309"/>
      <c r="Z3309"/>
      <c r="AA3309"/>
      <c r="AC3309"/>
      <c r="AR3309"/>
    </row>
    <row r="3310" spans="24:44">
      <c r="X3310"/>
      <c r="Y3310"/>
      <c r="Z3310"/>
      <c r="AA3310"/>
      <c r="AC3310"/>
      <c r="AR3310"/>
    </row>
    <row r="3311" spans="24:44">
      <c r="X3311"/>
      <c r="Y3311"/>
      <c r="Z3311"/>
      <c r="AA3311"/>
      <c r="AC3311"/>
      <c r="AR3311"/>
    </row>
    <row r="3312" spans="24:44">
      <c r="X3312"/>
      <c r="Y3312"/>
      <c r="Z3312"/>
      <c r="AA3312"/>
      <c r="AC3312"/>
      <c r="AR3312"/>
    </row>
    <row r="3313" spans="24:44">
      <c r="X3313"/>
      <c r="Y3313"/>
      <c r="Z3313"/>
      <c r="AA3313"/>
      <c r="AC3313"/>
      <c r="AR3313"/>
    </row>
    <row r="3314" spans="24:44">
      <c r="X3314"/>
      <c r="Y3314"/>
      <c r="Z3314"/>
      <c r="AA3314"/>
      <c r="AC3314"/>
      <c r="AR3314"/>
    </row>
    <row r="3315" spans="24:44">
      <c r="X3315"/>
      <c r="Y3315"/>
      <c r="Z3315"/>
      <c r="AA3315"/>
      <c r="AC3315"/>
      <c r="AR3315"/>
    </row>
    <row r="3316" spans="24:44">
      <c r="X3316"/>
      <c r="Y3316"/>
      <c r="Z3316"/>
      <c r="AA3316"/>
      <c r="AC3316"/>
      <c r="AR3316"/>
    </row>
    <row r="3317" spans="24:44">
      <c r="X3317"/>
      <c r="Y3317"/>
      <c r="Z3317"/>
      <c r="AA3317"/>
      <c r="AC3317"/>
      <c r="AR3317"/>
    </row>
    <row r="3318" spans="24:44">
      <c r="X3318"/>
      <c r="Y3318"/>
      <c r="Z3318"/>
      <c r="AA3318"/>
      <c r="AC3318"/>
      <c r="AR3318"/>
    </row>
    <row r="3319" spans="24:44">
      <c r="X3319"/>
      <c r="Y3319"/>
      <c r="Z3319"/>
      <c r="AA3319"/>
      <c r="AC3319"/>
      <c r="AR3319"/>
    </row>
    <row r="3320" spans="24:44">
      <c r="X3320"/>
      <c r="Y3320"/>
      <c r="Z3320"/>
      <c r="AA3320"/>
      <c r="AC3320"/>
      <c r="AR3320"/>
    </row>
    <row r="3321" spans="24:44">
      <c r="X3321"/>
      <c r="Y3321"/>
      <c r="Z3321"/>
      <c r="AA3321"/>
      <c r="AC3321"/>
      <c r="AR3321"/>
    </row>
    <row r="3322" spans="24:44">
      <c r="X3322"/>
      <c r="Y3322"/>
      <c r="Z3322"/>
      <c r="AA3322"/>
      <c r="AC3322"/>
      <c r="AR3322"/>
    </row>
    <row r="3323" spans="24:44">
      <c r="X3323"/>
      <c r="Y3323"/>
      <c r="Z3323"/>
      <c r="AA3323"/>
      <c r="AC3323"/>
      <c r="AR3323"/>
    </row>
    <row r="3324" spans="24:44">
      <c r="X3324"/>
      <c r="Y3324"/>
      <c r="Z3324"/>
      <c r="AA3324"/>
      <c r="AC3324"/>
      <c r="AR3324"/>
    </row>
    <row r="3325" spans="24:44">
      <c r="X3325"/>
      <c r="Y3325"/>
      <c r="Z3325"/>
      <c r="AA3325"/>
      <c r="AC3325"/>
      <c r="AR3325"/>
    </row>
    <row r="3326" spans="24:44">
      <c r="X3326"/>
      <c r="Y3326"/>
      <c r="Z3326"/>
      <c r="AA3326"/>
      <c r="AC3326"/>
      <c r="AR3326"/>
    </row>
    <row r="3327" spans="24:44">
      <c r="X3327"/>
      <c r="Y3327"/>
      <c r="Z3327"/>
      <c r="AA3327"/>
      <c r="AC3327"/>
      <c r="AR3327"/>
    </row>
    <row r="3328" spans="24:44">
      <c r="X3328"/>
      <c r="Y3328"/>
      <c r="Z3328"/>
      <c r="AA3328"/>
      <c r="AC3328"/>
      <c r="AR3328"/>
    </row>
    <row r="3329" spans="24:44">
      <c r="X3329"/>
      <c r="Y3329"/>
      <c r="Z3329"/>
      <c r="AA3329"/>
      <c r="AC3329"/>
      <c r="AR3329"/>
    </row>
    <row r="3330" spans="24:44">
      <c r="X3330"/>
      <c r="Y3330"/>
      <c r="Z3330"/>
      <c r="AA3330"/>
      <c r="AC3330"/>
      <c r="AR3330"/>
    </row>
    <row r="3331" spans="24:44">
      <c r="X3331"/>
      <c r="Y3331"/>
      <c r="Z3331"/>
      <c r="AA3331"/>
      <c r="AC3331"/>
      <c r="AR3331"/>
    </row>
    <row r="3332" spans="24:44">
      <c r="X3332"/>
      <c r="Y3332"/>
      <c r="Z3332"/>
      <c r="AA3332"/>
      <c r="AC3332"/>
      <c r="AR3332"/>
    </row>
    <row r="3333" spans="24:44">
      <c r="X3333"/>
      <c r="Y3333"/>
      <c r="Z3333"/>
      <c r="AA3333"/>
      <c r="AC3333"/>
      <c r="AR3333"/>
    </row>
    <row r="3334" spans="24:44">
      <c r="X3334"/>
      <c r="Y3334"/>
      <c r="Z3334"/>
      <c r="AA3334"/>
      <c r="AC3334"/>
      <c r="AR3334"/>
    </row>
    <row r="3335" spans="24:44">
      <c r="X3335"/>
      <c r="Y3335"/>
      <c r="Z3335"/>
      <c r="AA3335"/>
      <c r="AC3335"/>
      <c r="AR3335"/>
    </row>
    <row r="3336" spans="24:44">
      <c r="X3336"/>
      <c r="Y3336"/>
      <c r="Z3336"/>
      <c r="AA3336"/>
      <c r="AC3336"/>
      <c r="AR3336"/>
    </row>
    <row r="3337" spans="24:44">
      <c r="X3337"/>
      <c r="Y3337"/>
      <c r="Z3337"/>
      <c r="AA3337"/>
      <c r="AC3337"/>
      <c r="AR3337"/>
    </row>
    <row r="3338" spans="24:44">
      <c r="X3338"/>
      <c r="Y3338"/>
      <c r="Z3338"/>
      <c r="AA3338"/>
      <c r="AC3338"/>
      <c r="AR3338"/>
    </row>
    <row r="3339" spans="24:44">
      <c r="X3339"/>
      <c r="Y3339"/>
      <c r="Z3339"/>
      <c r="AA3339"/>
      <c r="AC3339"/>
      <c r="AR3339"/>
    </row>
    <row r="3340" spans="24:44">
      <c r="X3340"/>
      <c r="Y3340"/>
      <c r="Z3340"/>
      <c r="AA3340"/>
      <c r="AC3340"/>
      <c r="AR3340"/>
    </row>
    <row r="3341" spans="24:44">
      <c r="X3341"/>
      <c r="Y3341"/>
      <c r="Z3341"/>
      <c r="AA3341"/>
      <c r="AC3341"/>
      <c r="AR3341"/>
    </row>
    <row r="3342" spans="24:44">
      <c r="X3342"/>
      <c r="Y3342"/>
      <c r="Z3342"/>
      <c r="AA3342"/>
      <c r="AC3342"/>
      <c r="AR3342"/>
    </row>
    <row r="3343" spans="24:44">
      <c r="X3343"/>
      <c r="Y3343"/>
      <c r="Z3343"/>
      <c r="AA3343"/>
      <c r="AC3343"/>
      <c r="AR3343"/>
    </row>
    <row r="3344" spans="24:44">
      <c r="X3344"/>
      <c r="Y3344"/>
      <c r="Z3344"/>
      <c r="AA3344"/>
      <c r="AC3344"/>
      <c r="AR3344"/>
    </row>
    <row r="3345" spans="24:44">
      <c r="X3345"/>
      <c r="Y3345"/>
      <c r="Z3345"/>
      <c r="AA3345"/>
      <c r="AC3345"/>
      <c r="AR3345"/>
    </row>
    <row r="3346" spans="24:44">
      <c r="X3346"/>
      <c r="Y3346"/>
      <c r="Z3346"/>
      <c r="AA3346"/>
      <c r="AC3346"/>
      <c r="AR3346"/>
    </row>
    <row r="3347" spans="24:44">
      <c r="X3347"/>
      <c r="Y3347"/>
      <c r="Z3347"/>
      <c r="AA3347"/>
      <c r="AC3347"/>
      <c r="AR3347"/>
    </row>
    <row r="3348" spans="24:44">
      <c r="X3348"/>
      <c r="Y3348"/>
      <c r="Z3348"/>
      <c r="AA3348"/>
      <c r="AC3348"/>
      <c r="AR3348"/>
    </row>
    <row r="3349" spans="24:44">
      <c r="X3349"/>
      <c r="Y3349"/>
      <c r="Z3349"/>
      <c r="AA3349"/>
      <c r="AC3349"/>
      <c r="AR3349"/>
    </row>
    <row r="3350" spans="24:44">
      <c r="X3350"/>
      <c r="Y3350"/>
      <c r="Z3350"/>
      <c r="AA3350"/>
      <c r="AC3350"/>
      <c r="AR3350"/>
    </row>
    <row r="3351" spans="24:44">
      <c r="X3351"/>
      <c r="Y3351"/>
      <c r="Z3351"/>
      <c r="AA3351"/>
      <c r="AC3351"/>
      <c r="AR3351"/>
    </row>
    <row r="3352" spans="24:44">
      <c r="X3352"/>
      <c r="Y3352"/>
      <c r="Z3352"/>
      <c r="AA3352"/>
      <c r="AC3352"/>
      <c r="AR3352"/>
    </row>
    <row r="3353" spans="24:44">
      <c r="X3353"/>
      <c r="Y3353"/>
      <c r="Z3353"/>
      <c r="AA3353"/>
      <c r="AC3353"/>
      <c r="AR3353"/>
    </row>
    <row r="3354" spans="24:44">
      <c r="X3354"/>
      <c r="Y3354"/>
      <c r="Z3354"/>
      <c r="AA3354"/>
      <c r="AC3354"/>
      <c r="AR3354"/>
    </row>
    <row r="3355" spans="24:44">
      <c r="X3355"/>
      <c r="Y3355"/>
      <c r="Z3355"/>
      <c r="AA3355"/>
      <c r="AC3355"/>
      <c r="AR3355"/>
    </row>
    <row r="3356" spans="24:44">
      <c r="X3356"/>
      <c r="Y3356"/>
      <c r="Z3356"/>
      <c r="AA3356"/>
      <c r="AC3356"/>
      <c r="AR3356"/>
    </row>
    <row r="3357" spans="24:44">
      <c r="X3357"/>
      <c r="Y3357"/>
      <c r="Z3357"/>
      <c r="AA3357"/>
      <c r="AC3357"/>
      <c r="AR3357"/>
    </row>
    <row r="3358" spans="24:44">
      <c r="X3358"/>
      <c r="Y3358"/>
      <c r="Z3358"/>
      <c r="AA3358"/>
      <c r="AC3358"/>
      <c r="AR3358"/>
    </row>
    <row r="3359" spans="24:44">
      <c r="X3359"/>
      <c r="Y3359"/>
      <c r="Z3359"/>
      <c r="AA3359"/>
      <c r="AC3359"/>
      <c r="AR3359"/>
    </row>
    <row r="3360" spans="24:44">
      <c r="X3360"/>
      <c r="Y3360"/>
      <c r="Z3360"/>
      <c r="AA3360"/>
      <c r="AC3360"/>
      <c r="AR3360"/>
    </row>
    <row r="3361" spans="24:44">
      <c r="X3361"/>
      <c r="Y3361"/>
      <c r="Z3361"/>
      <c r="AA3361"/>
      <c r="AC3361"/>
      <c r="AR3361"/>
    </row>
    <row r="3362" spans="24:44">
      <c r="X3362"/>
      <c r="Y3362"/>
      <c r="Z3362"/>
      <c r="AA3362"/>
      <c r="AC3362"/>
      <c r="AR3362"/>
    </row>
    <row r="3363" spans="24:44">
      <c r="X3363"/>
      <c r="Y3363"/>
      <c r="Z3363"/>
      <c r="AA3363"/>
      <c r="AC3363"/>
      <c r="AR3363"/>
    </row>
    <row r="3364" spans="24:44">
      <c r="X3364"/>
      <c r="Y3364"/>
      <c r="Z3364"/>
      <c r="AA3364"/>
      <c r="AC3364"/>
      <c r="AR3364"/>
    </row>
    <row r="3365" spans="24:44">
      <c r="X3365"/>
      <c r="Y3365"/>
      <c r="Z3365"/>
      <c r="AA3365"/>
      <c r="AC3365"/>
      <c r="AR3365"/>
    </row>
    <row r="3366" spans="24:44">
      <c r="X3366"/>
      <c r="Y3366"/>
      <c r="Z3366"/>
      <c r="AA3366"/>
      <c r="AC3366"/>
      <c r="AR3366"/>
    </row>
    <row r="3367" spans="24:44">
      <c r="X3367"/>
      <c r="Y3367"/>
      <c r="Z3367"/>
      <c r="AA3367"/>
      <c r="AC3367"/>
      <c r="AR3367"/>
    </row>
    <row r="3368" spans="24:44">
      <c r="X3368"/>
      <c r="Y3368"/>
      <c r="Z3368"/>
      <c r="AA3368"/>
      <c r="AC3368"/>
      <c r="AR3368"/>
    </row>
    <row r="3369" spans="24:44">
      <c r="X3369"/>
      <c r="Y3369"/>
      <c r="Z3369"/>
      <c r="AA3369"/>
      <c r="AC3369"/>
      <c r="AR3369"/>
    </row>
    <row r="3370" spans="24:44">
      <c r="X3370"/>
      <c r="Y3370"/>
      <c r="Z3370"/>
      <c r="AA3370"/>
      <c r="AC3370"/>
      <c r="AR3370"/>
    </row>
    <row r="3371" spans="24:44">
      <c r="X3371"/>
      <c r="Y3371"/>
      <c r="Z3371"/>
      <c r="AA3371"/>
      <c r="AC3371"/>
      <c r="AR3371"/>
    </row>
    <row r="3372" spans="24:44">
      <c r="X3372"/>
      <c r="Y3372"/>
      <c r="Z3372"/>
      <c r="AA3372"/>
      <c r="AC3372"/>
      <c r="AR3372"/>
    </row>
    <row r="3373" spans="24:44">
      <c r="X3373"/>
      <c r="Y3373"/>
      <c r="Z3373"/>
      <c r="AA3373"/>
      <c r="AC3373"/>
      <c r="AR3373"/>
    </row>
    <row r="3374" spans="24:44">
      <c r="X3374"/>
      <c r="Y3374"/>
      <c r="Z3374"/>
      <c r="AA3374"/>
      <c r="AC3374"/>
      <c r="AR3374"/>
    </row>
    <row r="3375" spans="24:44">
      <c r="X3375"/>
      <c r="Y3375"/>
      <c r="Z3375"/>
      <c r="AA3375"/>
      <c r="AC3375"/>
      <c r="AR3375"/>
    </row>
    <row r="3376" spans="24:44">
      <c r="X3376"/>
      <c r="Y3376"/>
      <c r="Z3376"/>
      <c r="AA3376"/>
      <c r="AC3376"/>
      <c r="AR3376"/>
    </row>
    <row r="3377" spans="24:44">
      <c r="X3377"/>
      <c r="Y3377"/>
      <c r="Z3377"/>
      <c r="AA3377"/>
      <c r="AC3377"/>
      <c r="AR3377"/>
    </row>
    <row r="3378" spans="24:44">
      <c r="X3378"/>
      <c r="Y3378"/>
      <c r="Z3378"/>
      <c r="AA3378"/>
      <c r="AC3378"/>
      <c r="AR3378"/>
    </row>
    <row r="3379" spans="24:44">
      <c r="X3379"/>
      <c r="Y3379"/>
      <c r="Z3379"/>
      <c r="AA3379"/>
      <c r="AC3379"/>
      <c r="AR3379"/>
    </row>
    <row r="3380" spans="24:44">
      <c r="X3380"/>
      <c r="Y3380"/>
      <c r="Z3380"/>
      <c r="AA3380"/>
      <c r="AC3380"/>
      <c r="AR3380"/>
    </row>
    <row r="3381" spans="24:44">
      <c r="X3381"/>
      <c r="Y3381"/>
      <c r="Z3381"/>
      <c r="AA3381"/>
      <c r="AC3381"/>
      <c r="AR3381"/>
    </row>
    <row r="3382" spans="24:44">
      <c r="X3382"/>
      <c r="Y3382"/>
      <c r="Z3382"/>
      <c r="AA3382"/>
      <c r="AC3382"/>
      <c r="AR3382"/>
    </row>
    <row r="3383" spans="24:44">
      <c r="X3383"/>
      <c r="Y3383"/>
      <c r="Z3383"/>
      <c r="AA3383"/>
      <c r="AC3383"/>
      <c r="AR3383"/>
    </row>
    <row r="3384" spans="24:44">
      <c r="X3384"/>
      <c r="Y3384"/>
      <c r="Z3384"/>
      <c r="AA3384"/>
      <c r="AC3384"/>
      <c r="AR3384"/>
    </row>
    <row r="3385" spans="24:44">
      <c r="X3385"/>
      <c r="Y3385"/>
      <c r="Z3385"/>
      <c r="AA3385"/>
      <c r="AC3385"/>
      <c r="AR3385"/>
    </row>
    <row r="3386" spans="24:44">
      <c r="X3386"/>
      <c r="Y3386"/>
      <c r="Z3386"/>
      <c r="AA3386"/>
      <c r="AC3386"/>
      <c r="AR3386"/>
    </row>
    <row r="3387" spans="24:44">
      <c r="X3387"/>
      <c r="Y3387"/>
      <c r="Z3387"/>
      <c r="AA3387"/>
      <c r="AC3387"/>
      <c r="AR3387"/>
    </row>
    <row r="3388" spans="24:44">
      <c r="X3388"/>
      <c r="Y3388"/>
      <c r="Z3388"/>
      <c r="AA3388"/>
      <c r="AC3388"/>
      <c r="AR3388"/>
    </row>
    <row r="3389" spans="24:44">
      <c r="X3389"/>
      <c r="Y3389"/>
      <c r="Z3389"/>
      <c r="AA3389"/>
      <c r="AC3389"/>
      <c r="AR3389"/>
    </row>
    <row r="3390" spans="24:44">
      <c r="X3390"/>
      <c r="Y3390"/>
      <c r="Z3390"/>
      <c r="AA3390"/>
      <c r="AC3390"/>
      <c r="AR3390"/>
    </row>
    <row r="3391" spans="24:44">
      <c r="X3391"/>
      <c r="Y3391"/>
      <c r="Z3391"/>
      <c r="AA3391"/>
      <c r="AC3391"/>
      <c r="AR3391"/>
    </row>
    <row r="3392" spans="24:44">
      <c r="X3392"/>
      <c r="Y3392"/>
      <c r="Z3392"/>
      <c r="AA3392"/>
      <c r="AC3392"/>
      <c r="AR3392"/>
    </row>
    <row r="3393" spans="24:44">
      <c r="X3393"/>
      <c r="Y3393"/>
      <c r="Z3393"/>
      <c r="AA3393"/>
      <c r="AC3393"/>
      <c r="AR3393"/>
    </row>
    <row r="3394" spans="24:44">
      <c r="X3394"/>
      <c r="Y3394"/>
      <c r="Z3394"/>
      <c r="AA3394"/>
      <c r="AC3394"/>
      <c r="AR3394"/>
    </row>
    <row r="3395" spans="24:44">
      <c r="X3395"/>
      <c r="Y3395"/>
      <c r="Z3395"/>
      <c r="AA3395"/>
      <c r="AC3395"/>
      <c r="AR3395"/>
    </row>
    <row r="3396" spans="24:44">
      <c r="X3396"/>
      <c r="Y3396"/>
      <c r="Z3396"/>
      <c r="AA3396"/>
      <c r="AC3396"/>
      <c r="AR3396"/>
    </row>
    <row r="3397" spans="24:44">
      <c r="X3397"/>
      <c r="Y3397"/>
      <c r="Z3397"/>
      <c r="AA3397"/>
      <c r="AC3397"/>
      <c r="AR3397"/>
    </row>
    <row r="3398" spans="24:44">
      <c r="X3398"/>
      <c r="Y3398"/>
      <c r="Z3398"/>
      <c r="AA3398"/>
      <c r="AC3398"/>
      <c r="AR3398"/>
    </row>
    <row r="3399" spans="24:44">
      <c r="X3399"/>
      <c r="Y3399"/>
      <c r="Z3399"/>
      <c r="AA3399"/>
      <c r="AC3399"/>
      <c r="AR3399"/>
    </row>
    <row r="3400" spans="24:44">
      <c r="X3400"/>
      <c r="Y3400"/>
      <c r="Z3400"/>
      <c r="AA3400"/>
      <c r="AC3400"/>
      <c r="AR3400"/>
    </row>
    <row r="3401" spans="24:44">
      <c r="X3401"/>
      <c r="Y3401"/>
      <c r="Z3401"/>
      <c r="AA3401"/>
      <c r="AC3401"/>
      <c r="AR3401"/>
    </row>
    <row r="3402" spans="24:44">
      <c r="X3402"/>
      <c r="Y3402"/>
      <c r="Z3402"/>
      <c r="AA3402"/>
      <c r="AC3402"/>
      <c r="AR3402"/>
    </row>
    <row r="3403" spans="24:44">
      <c r="X3403"/>
      <c r="Y3403"/>
      <c r="Z3403"/>
      <c r="AA3403"/>
      <c r="AC3403"/>
      <c r="AR3403"/>
    </row>
    <row r="3404" spans="24:44">
      <c r="X3404"/>
      <c r="Y3404"/>
      <c r="Z3404"/>
      <c r="AA3404"/>
      <c r="AC3404"/>
      <c r="AR3404"/>
    </row>
    <row r="3405" spans="24:44">
      <c r="X3405"/>
      <c r="Y3405"/>
      <c r="Z3405"/>
      <c r="AA3405"/>
      <c r="AC3405"/>
      <c r="AR3405"/>
    </row>
    <row r="3406" spans="24:44">
      <c r="X3406"/>
      <c r="Y3406"/>
      <c r="Z3406"/>
      <c r="AA3406"/>
      <c r="AC3406"/>
      <c r="AR3406"/>
    </row>
    <row r="3407" spans="24:44">
      <c r="X3407"/>
      <c r="Y3407"/>
      <c r="Z3407"/>
      <c r="AA3407"/>
      <c r="AC3407"/>
      <c r="AR3407"/>
    </row>
    <row r="3408" spans="24:44">
      <c r="X3408"/>
      <c r="Y3408"/>
      <c r="Z3408"/>
      <c r="AA3408"/>
      <c r="AC3408"/>
      <c r="AR3408"/>
    </row>
    <row r="3409" spans="24:44">
      <c r="X3409"/>
      <c r="Y3409"/>
      <c r="Z3409"/>
      <c r="AA3409"/>
      <c r="AC3409"/>
      <c r="AR3409"/>
    </row>
    <row r="3410" spans="24:44">
      <c r="X3410"/>
      <c r="Y3410"/>
      <c r="Z3410"/>
      <c r="AA3410"/>
      <c r="AC3410"/>
      <c r="AR3410"/>
    </row>
    <row r="3411" spans="24:44">
      <c r="X3411"/>
      <c r="Y3411"/>
      <c r="Z3411"/>
      <c r="AA3411"/>
      <c r="AC3411"/>
      <c r="AR3411"/>
    </row>
    <row r="3412" spans="24:44">
      <c r="X3412"/>
      <c r="Y3412"/>
      <c r="Z3412"/>
      <c r="AA3412"/>
      <c r="AC3412"/>
      <c r="AR3412"/>
    </row>
    <row r="3413" spans="24:44">
      <c r="X3413"/>
      <c r="Y3413"/>
      <c r="Z3413"/>
      <c r="AA3413"/>
      <c r="AC3413"/>
      <c r="AR3413"/>
    </row>
    <row r="3414" spans="24:44">
      <c r="X3414"/>
      <c r="Y3414"/>
      <c r="Z3414"/>
      <c r="AA3414"/>
      <c r="AC3414"/>
      <c r="AR3414"/>
    </row>
    <row r="3415" spans="24:44">
      <c r="X3415"/>
      <c r="Y3415"/>
      <c r="Z3415"/>
      <c r="AA3415"/>
      <c r="AC3415"/>
      <c r="AR3415"/>
    </row>
    <row r="3416" spans="24:44">
      <c r="X3416"/>
      <c r="Y3416"/>
      <c r="Z3416"/>
      <c r="AA3416"/>
      <c r="AC3416"/>
      <c r="AR3416"/>
    </row>
    <row r="3417" spans="24:44">
      <c r="X3417"/>
      <c r="Y3417"/>
      <c r="Z3417"/>
      <c r="AA3417"/>
      <c r="AC3417"/>
      <c r="AR3417"/>
    </row>
    <row r="3418" spans="24:44">
      <c r="X3418"/>
      <c r="Y3418"/>
      <c r="Z3418"/>
      <c r="AA3418"/>
      <c r="AC3418"/>
      <c r="AR3418"/>
    </row>
    <row r="3419" spans="24:44">
      <c r="X3419"/>
      <c r="Y3419"/>
      <c r="Z3419"/>
      <c r="AA3419"/>
      <c r="AC3419"/>
      <c r="AR3419"/>
    </row>
    <row r="3420" spans="24:44">
      <c r="X3420"/>
      <c r="Y3420"/>
      <c r="Z3420"/>
      <c r="AA3420"/>
      <c r="AC3420"/>
      <c r="AR3420"/>
    </row>
    <row r="3421" spans="24:44">
      <c r="X3421"/>
      <c r="Y3421"/>
      <c r="Z3421"/>
      <c r="AA3421"/>
      <c r="AC3421"/>
      <c r="AR3421"/>
    </row>
    <row r="3422" spans="24:44">
      <c r="X3422"/>
      <c r="Y3422"/>
      <c r="Z3422"/>
      <c r="AA3422"/>
      <c r="AC3422"/>
      <c r="AR3422"/>
    </row>
    <row r="3423" spans="24:44">
      <c r="X3423"/>
      <c r="Y3423"/>
      <c r="Z3423"/>
      <c r="AA3423"/>
      <c r="AC3423"/>
      <c r="AR3423"/>
    </row>
    <row r="3424" spans="24:44">
      <c r="X3424"/>
      <c r="Y3424"/>
      <c r="Z3424"/>
      <c r="AA3424"/>
      <c r="AC3424"/>
      <c r="AR3424"/>
    </row>
    <row r="3425" spans="24:44">
      <c r="X3425"/>
      <c r="Y3425"/>
      <c r="Z3425"/>
      <c r="AA3425"/>
      <c r="AC3425"/>
      <c r="AR3425"/>
    </row>
    <row r="3426" spans="24:44">
      <c r="X3426"/>
      <c r="Y3426"/>
      <c r="Z3426"/>
      <c r="AA3426"/>
      <c r="AC3426"/>
      <c r="AR3426"/>
    </row>
    <row r="3427" spans="24:44">
      <c r="X3427"/>
      <c r="Y3427"/>
      <c r="Z3427"/>
      <c r="AA3427"/>
      <c r="AC3427"/>
      <c r="AR3427"/>
    </row>
    <row r="3428" spans="24:44">
      <c r="X3428"/>
      <c r="Y3428"/>
      <c r="Z3428"/>
      <c r="AA3428"/>
      <c r="AC3428"/>
      <c r="AR3428"/>
    </row>
    <row r="3429" spans="24:44">
      <c r="X3429"/>
      <c r="Y3429"/>
      <c r="Z3429"/>
      <c r="AA3429"/>
      <c r="AC3429"/>
      <c r="AR3429"/>
    </row>
    <row r="3430" spans="24:44">
      <c r="X3430"/>
      <c r="Y3430"/>
      <c r="Z3430"/>
      <c r="AA3430"/>
      <c r="AC3430"/>
      <c r="AR3430"/>
    </row>
    <row r="3431" spans="24:44">
      <c r="X3431"/>
      <c r="Y3431"/>
      <c r="Z3431"/>
      <c r="AA3431"/>
      <c r="AC3431"/>
      <c r="AR3431"/>
    </row>
    <row r="3432" spans="24:44">
      <c r="X3432"/>
      <c r="Y3432"/>
      <c r="Z3432"/>
      <c r="AA3432"/>
      <c r="AC3432"/>
      <c r="AR3432"/>
    </row>
    <row r="3433" spans="24:44">
      <c r="X3433"/>
      <c r="Y3433"/>
      <c r="Z3433"/>
      <c r="AA3433"/>
      <c r="AC3433"/>
      <c r="AR3433"/>
    </row>
    <row r="3434" spans="24:44">
      <c r="X3434"/>
      <c r="Y3434"/>
      <c r="Z3434"/>
      <c r="AA3434"/>
      <c r="AC3434"/>
      <c r="AR3434"/>
    </row>
    <row r="3435" spans="24:44">
      <c r="X3435"/>
      <c r="Y3435"/>
      <c r="Z3435"/>
      <c r="AA3435"/>
      <c r="AC3435"/>
      <c r="AR3435"/>
    </row>
    <row r="3436" spans="24:44">
      <c r="X3436"/>
      <c r="Y3436"/>
      <c r="Z3436"/>
      <c r="AA3436"/>
      <c r="AC3436"/>
      <c r="AR3436"/>
    </row>
    <row r="3437" spans="24:44">
      <c r="X3437"/>
      <c r="Y3437"/>
      <c r="Z3437"/>
      <c r="AA3437"/>
      <c r="AC3437"/>
      <c r="AR3437"/>
    </row>
    <row r="3438" spans="24:44">
      <c r="X3438"/>
      <c r="Y3438"/>
      <c r="Z3438"/>
      <c r="AA3438"/>
      <c r="AC3438"/>
      <c r="AR3438"/>
    </row>
    <row r="3439" spans="24:44">
      <c r="X3439"/>
      <c r="Y3439"/>
      <c r="Z3439"/>
      <c r="AA3439"/>
      <c r="AC3439"/>
      <c r="AR3439"/>
    </row>
    <row r="3440" spans="24:44">
      <c r="X3440"/>
      <c r="Y3440"/>
      <c r="Z3440"/>
      <c r="AA3440"/>
      <c r="AC3440"/>
      <c r="AR3440"/>
    </row>
    <row r="3441" spans="24:44">
      <c r="X3441"/>
      <c r="Y3441"/>
      <c r="Z3441"/>
      <c r="AA3441"/>
      <c r="AC3441"/>
      <c r="AR3441"/>
    </row>
    <row r="3442" spans="24:44">
      <c r="X3442"/>
      <c r="Y3442"/>
      <c r="Z3442"/>
      <c r="AA3442"/>
      <c r="AC3442"/>
      <c r="AR3442"/>
    </row>
    <row r="3443" spans="24:44">
      <c r="X3443"/>
      <c r="Y3443"/>
      <c r="Z3443"/>
      <c r="AA3443"/>
      <c r="AC3443"/>
      <c r="AR3443"/>
    </row>
    <row r="3444" spans="24:44">
      <c r="X3444"/>
      <c r="Y3444"/>
      <c r="Z3444"/>
      <c r="AA3444"/>
      <c r="AC3444"/>
      <c r="AR3444"/>
    </row>
    <row r="3445" spans="24:44">
      <c r="X3445"/>
      <c r="Y3445"/>
      <c r="Z3445"/>
      <c r="AA3445"/>
      <c r="AC3445"/>
      <c r="AR3445"/>
    </row>
    <row r="3446" spans="24:44">
      <c r="X3446"/>
      <c r="Y3446"/>
      <c r="Z3446"/>
      <c r="AA3446"/>
      <c r="AC3446"/>
      <c r="AR3446"/>
    </row>
    <row r="3447" spans="24:44">
      <c r="X3447"/>
      <c r="Y3447"/>
      <c r="Z3447"/>
      <c r="AA3447"/>
      <c r="AC3447"/>
      <c r="AR3447"/>
    </row>
    <row r="3448" spans="24:44">
      <c r="X3448"/>
      <c r="Y3448"/>
      <c r="Z3448"/>
      <c r="AA3448"/>
      <c r="AC3448"/>
      <c r="AR3448"/>
    </row>
    <row r="3449" spans="24:44">
      <c r="X3449"/>
      <c r="Y3449"/>
      <c r="Z3449"/>
      <c r="AA3449"/>
      <c r="AC3449"/>
      <c r="AR3449"/>
    </row>
    <row r="3450" spans="24:44">
      <c r="X3450"/>
      <c r="Y3450"/>
      <c r="Z3450"/>
      <c r="AA3450"/>
      <c r="AC3450"/>
      <c r="AR3450"/>
    </row>
    <row r="3451" spans="24:44">
      <c r="X3451"/>
      <c r="Y3451"/>
      <c r="Z3451"/>
      <c r="AA3451"/>
      <c r="AC3451"/>
      <c r="AR3451"/>
    </row>
    <row r="3452" spans="24:44">
      <c r="X3452"/>
      <c r="Y3452"/>
      <c r="Z3452"/>
      <c r="AA3452"/>
      <c r="AC3452"/>
      <c r="AR3452"/>
    </row>
    <row r="3453" spans="24:44">
      <c r="X3453"/>
      <c r="Y3453"/>
      <c r="Z3453"/>
      <c r="AA3453"/>
      <c r="AC3453"/>
      <c r="AR3453"/>
    </row>
    <row r="3454" spans="24:44">
      <c r="X3454"/>
      <c r="Y3454"/>
      <c r="Z3454"/>
      <c r="AA3454"/>
      <c r="AC3454"/>
      <c r="AR3454"/>
    </row>
    <row r="3455" spans="24:44">
      <c r="X3455"/>
      <c r="Y3455"/>
      <c r="Z3455"/>
      <c r="AA3455"/>
      <c r="AC3455"/>
      <c r="AR3455"/>
    </row>
    <row r="3456" spans="24:44">
      <c r="X3456"/>
      <c r="Y3456"/>
      <c r="Z3456"/>
      <c r="AA3456"/>
      <c r="AC3456"/>
      <c r="AR3456"/>
    </row>
    <row r="3457" spans="24:44">
      <c r="X3457"/>
      <c r="Y3457"/>
      <c r="Z3457"/>
      <c r="AA3457"/>
      <c r="AC3457"/>
      <c r="AR3457"/>
    </row>
    <row r="3458" spans="24:44">
      <c r="X3458"/>
      <c r="Y3458"/>
      <c r="Z3458"/>
      <c r="AA3458"/>
      <c r="AC3458"/>
      <c r="AR3458"/>
    </row>
    <row r="3459" spans="24:44">
      <c r="X3459"/>
      <c r="Y3459"/>
      <c r="Z3459"/>
      <c r="AA3459"/>
      <c r="AC3459"/>
      <c r="AR3459"/>
    </row>
    <row r="3460" spans="24:44">
      <c r="X3460"/>
      <c r="Y3460"/>
      <c r="Z3460"/>
      <c r="AA3460"/>
      <c r="AC3460"/>
      <c r="AR3460"/>
    </row>
    <row r="3461" spans="24:44">
      <c r="X3461"/>
      <c r="Y3461"/>
      <c r="Z3461"/>
      <c r="AA3461"/>
      <c r="AC3461"/>
      <c r="AR3461"/>
    </row>
    <row r="3462" spans="24:44">
      <c r="X3462"/>
      <c r="Y3462"/>
      <c r="Z3462"/>
      <c r="AA3462"/>
      <c r="AC3462"/>
      <c r="AR3462"/>
    </row>
    <row r="3463" spans="24:44">
      <c r="X3463"/>
      <c r="Y3463"/>
      <c r="Z3463"/>
      <c r="AA3463"/>
      <c r="AC3463"/>
      <c r="AR3463"/>
    </row>
    <row r="3464" spans="24:44">
      <c r="X3464"/>
      <c r="Y3464"/>
      <c r="Z3464"/>
      <c r="AA3464"/>
      <c r="AC3464"/>
      <c r="AR3464"/>
    </row>
    <row r="3465" spans="24:44">
      <c r="X3465"/>
      <c r="Y3465"/>
      <c r="Z3465"/>
      <c r="AA3465"/>
      <c r="AC3465"/>
      <c r="AR3465"/>
    </row>
    <row r="3466" spans="24:44">
      <c r="X3466"/>
      <c r="Y3466"/>
      <c r="Z3466"/>
      <c r="AA3466"/>
      <c r="AC3466"/>
      <c r="AR3466"/>
    </row>
    <row r="3467" spans="24:44">
      <c r="X3467"/>
      <c r="Y3467"/>
      <c r="Z3467"/>
      <c r="AA3467"/>
      <c r="AC3467"/>
      <c r="AR3467"/>
    </row>
    <row r="3468" spans="24:44">
      <c r="X3468"/>
      <c r="Y3468"/>
      <c r="Z3468"/>
      <c r="AA3468"/>
      <c r="AC3468"/>
      <c r="AR3468"/>
    </row>
    <row r="3469" spans="24:44">
      <c r="X3469"/>
      <c r="Y3469"/>
      <c r="Z3469"/>
      <c r="AA3469"/>
      <c r="AC3469"/>
      <c r="AR3469"/>
    </row>
    <row r="3470" spans="24:44">
      <c r="X3470"/>
      <c r="Y3470"/>
      <c r="Z3470"/>
      <c r="AA3470"/>
      <c r="AC3470"/>
      <c r="AR3470"/>
    </row>
    <row r="3471" spans="24:44">
      <c r="X3471"/>
      <c r="Y3471"/>
      <c r="Z3471"/>
      <c r="AA3471"/>
      <c r="AC3471"/>
      <c r="AR3471"/>
    </row>
    <row r="3472" spans="24:44">
      <c r="X3472"/>
      <c r="Y3472"/>
      <c r="Z3472"/>
      <c r="AA3472"/>
      <c r="AC3472"/>
      <c r="AR3472"/>
    </row>
    <row r="3473" spans="24:44">
      <c r="X3473"/>
      <c r="Y3473"/>
      <c r="Z3473"/>
      <c r="AA3473"/>
      <c r="AC3473"/>
      <c r="AR3473"/>
    </row>
    <row r="3474" spans="24:44">
      <c r="X3474"/>
      <c r="Y3474"/>
      <c r="Z3474"/>
      <c r="AA3474"/>
      <c r="AC3474"/>
      <c r="AR3474"/>
    </row>
    <row r="3475" spans="24:44">
      <c r="X3475"/>
      <c r="Y3475"/>
      <c r="Z3475"/>
      <c r="AA3475"/>
      <c r="AC3475"/>
      <c r="AR3475"/>
    </row>
    <row r="3476" spans="24:44">
      <c r="X3476"/>
      <c r="Y3476"/>
      <c r="Z3476"/>
      <c r="AA3476"/>
      <c r="AC3476"/>
      <c r="AR3476"/>
    </row>
    <row r="3477" spans="24:44">
      <c r="X3477"/>
      <c r="Y3477"/>
      <c r="Z3477"/>
      <c r="AA3477"/>
      <c r="AC3477"/>
      <c r="AR3477"/>
    </row>
    <row r="3478" spans="24:44">
      <c r="X3478"/>
      <c r="Y3478"/>
      <c r="Z3478"/>
      <c r="AA3478"/>
      <c r="AC3478"/>
      <c r="AR3478"/>
    </row>
    <row r="3479" spans="24:44">
      <c r="X3479"/>
      <c r="Y3479"/>
      <c r="Z3479"/>
      <c r="AA3479"/>
      <c r="AC3479"/>
      <c r="AR3479"/>
    </row>
    <row r="3480" spans="24:44">
      <c r="X3480"/>
      <c r="Y3480"/>
      <c r="Z3480"/>
      <c r="AA3480"/>
      <c r="AC3480"/>
      <c r="AR3480"/>
    </row>
    <row r="3481" spans="24:44">
      <c r="X3481"/>
      <c r="Y3481"/>
      <c r="Z3481"/>
      <c r="AA3481"/>
      <c r="AC3481"/>
      <c r="AR3481"/>
    </row>
    <row r="3482" spans="24:44">
      <c r="X3482"/>
      <c r="Y3482"/>
      <c r="Z3482"/>
      <c r="AA3482"/>
      <c r="AC3482"/>
      <c r="AR3482"/>
    </row>
    <row r="3483" spans="24:44">
      <c r="X3483"/>
      <c r="Y3483"/>
      <c r="Z3483"/>
      <c r="AA3483"/>
      <c r="AC3483"/>
      <c r="AR3483"/>
    </row>
    <row r="3484" spans="24:44">
      <c r="X3484"/>
      <c r="Y3484"/>
      <c r="Z3484"/>
      <c r="AA3484"/>
      <c r="AC3484"/>
      <c r="AR3484"/>
    </row>
    <row r="3485" spans="24:44">
      <c r="X3485"/>
      <c r="Y3485"/>
      <c r="Z3485"/>
      <c r="AA3485"/>
      <c r="AC3485"/>
      <c r="AR3485"/>
    </row>
    <row r="3486" spans="24:44">
      <c r="X3486"/>
      <c r="Y3486"/>
      <c r="Z3486"/>
      <c r="AA3486"/>
      <c r="AC3486"/>
      <c r="AR3486"/>
    </row>
    <row r="3487" spans="24:44">
      <c r="X3487"/>
      <c r="Y3487"/>
      <c r="Z3487"/>
      <c r="AA3487"/>
      <c r="AC3487"/>
      <c r="AR3487"/>
    </row>
    <row r="3488" spans="24:44">
      <c r="X3488"/>
      <c r="Y3488"/>
      <c r="Z3488"/>
      <c r="AA3488"/>
      <c r="AC3488"/>
      <c r="AR3488"/>
    </row>
    <row r="3489" spans="24:44">
      <c r="X3489"/>
      <c r="Y3489"/>
      <c r="Z3489"/>
      <c r="AA3489"/>
      <c r="AC3489"/>
      <c r="AR3489"/>
    </row>
    <row r="3490" spans="24:44">
      <c r="X3490"/>
      <c r="Y3490"/>
      <c r="Z3490"/>
      <c r="AA3490"/>
      <c r="AC3490"/>
      <c r="AR3490"/>
    </row>
    <row r="3491" spans="24:44">
      <c r="X3491"/>
      <c r="Y3491"/>
      <c r="Z3491"/>
      <c r="AA3491"/>
      <c r="AC3491"/>
      <c r="AR3491"/>
    </row>
    <row r="3492" spans="24:44">
      <c r="X3492"/>
      <c r="Y3492"/>
      <c r="Z3492"/>
      <c r="AA3492"/>
      <c r="AC3492"/>
      <c r="AR3492"/>
    </row>
    <row r="3493" spans="24:44">
      <c r="X3493"/>
      <c r="Y3493"/>
      <c r="Z3493"/>
      <c r="AA3493"/>
      <c r="AC3493"/>
      <c r="AR3493"/>
    </row>
    <row r="3494" spans="24:44">
      <c r="X3494"/>
      <c r="Y3494"/>
      <c r="Z3494"/>
      <c r="AA3494"/>
      <c r="AC3494"/>
      <c r="AR3494"/>
    </row>
    <row r="3495" spans="24:44">
      <c r="X3495"/>
      <c r="Y3495"/>
      <c r="Z3495"/>
      <c r="AA3495"/>
      <c r="AC3495"/>
      <c r="AR3495"/>
    </row>
    <row r="3496" spans="24:44">
      <c r="X3496"/>
      <c r="Y3496"/>
      <c r="Z3496"/>
      <c r="AA3496"/>
      <c r="AC3496"/>
      <c r="AR3496"/>
    </row>
    <row r="3497" spans="24:44">
      <c r="X3497"/>
      <c r="Y3497"/>
      <c r="Z3497"/>
      <c r="AA3497"/>
      <c r="AC3497"/>
      <c r="AR3497"/>
    </row>
    <row r="3498" spans="24:44">
      <c r="X3498"/>
      <c r="Y3498"/>
      <c r="Z3498"/>
      <c r="AA3498"/>
      <c r="AC3498"/>
      <c r="AR3498"/>
    </row>
    <row r="3499" spans="24:44">
      <c r="X3499"/>
      <c r="Y3499"/>
      <c r="Z3499"/>
      <c r="AA3499"/>
      <c r="AC3499"/>
      <c r="AR3499"/>
    </row>
    <row r="3500" spans="24:44">
      <c r="X3500"/>
      <c r="Y3500"/>
      <c r="Z3500"/>
      <c r="AA3500"/>
      <c r="AC3500"/>
      <c r="AR3500"/>
    </row>
    <row r="3501" spans="24:44">
      <c r="X3501"/>
      <c r="Y3501"/>
      <c r="Z3501"/>
      <c r="AA3501"/>
      <c r="AC3501"/>
      <c r="AR3501"/>
    </row>
    <row r="3502" spans="24:44">
      <c r="X3502"/>
      <c r="Y3502"/>
      <c r="Z3502"/>
      <c r="AA3502"/>
      <c r="AC3502"/>
      <c r="AR3502"/>
    </row>
    <row r="3503" spans="24:44">
      <c r="X3503"/>
      <c r="Y3503"/>
      <c r="Z3503"/>
      <c r="AA3503"/>
      <c r="AC3503"/>
      <c r="AR3503"/>
    </row>
    <row r="3504" spans="24:44">
      <c r="X3504"/>
      <c r="Y3504"/>
      <c r="Z3504"/>
      <c r="AA3504"/>
      <c r="AC3504"/>
      <c r="AR3504"/>
    </row>
    <row r="3505" spans="24:44">
      <c r="X3505"/>
      <c r="Y3505"/>
      <c r="Z3505"/>
      <c r="AA3505"/>
      <c r="AC3505"/>
      <c r="AR3505"/>
    </row>
    <row r="3506" spans="24:44">
      <c r="X3506"/>
      <c r="Y3506"/>
      <c r="Z3506"/>
      <c r="AA3506"/>
      <c r="AC3506"/>
      <c r="AR3506"/>
    </row>
    <row r="3507" spans="24:44">
      <c r="X3507"/>
      <c r="Y3507"/>
      <c r="Z3507"/>
      <c r="AA3507"/>
      <c r="AC3507"/>
      <c r="AR3507"/>
    </row>
    <row r="3508" spans="24:44">
      <c r="X3508"/>
      <c r="Y3508"/>
      <c r="Z3508"/>
      <c r="AA3508"/>
      <c r="AC3508"/>
      <c r="AR3508"/>
    </row>
    <row r="3509" spans="24:44">
      <c r="X3509"/>
      <c r="Y3509"/>
      <c r="Z3509"/>
      <c r="AA3509"/>
      <c r="AC3509"/>
      <c r="AR3509"/>
    </row>
    <row r="3510" spans="24:44">
      <c r="X3510"/>
      <c r="Y3510"/>
      <c r="Z3510"/>
      <c r="AA3510"/>
      <c r="AC3510"/>
      <c r="AR3510"/>
    </row>
    <row r="3511" spans="24:44">
      <c r="X3511"/>
      <c r="Y3511"/>
      <c r="Z3511"/>
      <c r="AA3511"/>
      <c r="AC3511"/>
      <c r="AR3511"/>
    </row>
    <row r="3512" spans="24:44">
      <c r="X3512"/>
      <c r="Y3512"/>
      <c r="Z3512"/>
      <c r="AA3512"/>
      <c r="AC3512"/>
      <c r="AR3512"/>
    </row>
    <row r="3513" spans="24:44">
      <c r="X3513"/>
      <c r="Y3513"/>
      <c r="Z3513"/>
      <c r="AA3513"/>
      <c r="AC3513"/>
      <c r="AR3513"/>
    </row>
    <row r="3514" spans="24:44">
      <c r="X3514"/>
      <c r="Y3514"/>
      <c r="Z3514"/>
      <c r="AA3514"/>
      <c r="AC3514"/>
      <c r="AR3514"/>
    </row>
    <row r="3515" spans="24:44">
      <c r="X3515"/>
      <c r="Y3515"/>
      <c r="Z3515"/>
      <c r="AA3515"/>
      <c r="AC3515"/>
      <c r="AR3515"/>
    </row>
    <row r="3516" spans="24:44">
      <c r="X3516"/>
      <c r="Y3516"/>
      <c r="Z3516"/>
      <c r="AA3516"/>
      <c r="AC3516"/>
      <c r="AR3516"/>
    </row>
    <row r="3517" spans="24:44">
      <c r="X3517"/>
      <c r="Y3517"/>
      <c r="Z3517"/>
      <c r="AA3517"/>
      <c r="AC3517"/>
      <c r="AR3517"/>
    </row>
    <row r="3518" spans="24:44">
      <c r="X3518"/>
      <c r="Y3518"/>
      <c r="Z3518"/>
      <c r="AA3518"/>
      <c r="AC3518"/>
      <c r="AR3518"/>
    </row>
    <row r="3519" spans="24:44">
      <c r="X3519"/>
      <c r="Y3519"/>
      <c r="Z3519"/>
      <c r="AA3519"/>
      <c r="AC3519"/>
      <c r="AR3519"/>
    </row>
    <row r="3520" spans="24:44">
      <c r="X3520"/>
      <c r="Y3520"/>
      <c r="Z3520"/>
      <c r="AA3520"/>
      <c r="AC3520"/>
      <c r="AR3520"/>
    </row>
    <row r="3521" spans="24:44">
      <c r="X3521"/>
      <c r="Y3521"/>
      <c r="Z3521"/>
      <c r="AA3521"/>
      <c r="AC3521"/>
      <c r="AR3521"/>
    </row>
    <row r="3522" spans="24:44">
      <c r="X3522"/>
      <c r="Y3522"/>
      <c r="Z3522"/>
      <c r="AA3522"/>
      <c r="AC3522"/>
      <c r="AR3522"/>
    </row>
    <row r="3523" spans="24:44">
      <c r="X3523"/>
      <c r="Y3523"/>
      <c r="Z3523"/>
      <c r="AA3523"/>
      <c r="AC3523"/>
      <c r="AR3523"/>
    </row>
    <row r="3524" spans="24:44">
      <c r="X3524"/>
      <c r="Y3524"/>
      <c r="Z3524"/>
      <c r="AA3524"/>
      <c r="AC3524"/>
      <c r="AR3524"/>
    </row>
    <row r="3525" spans="24:44">
      <c r="X3525"/>
      <c r="Y3525"/>
      <c r="Z3525"/>
      <c r="AA3525"/>
      <c r="AC3525"/>
      <c r="AR3525"/>
    </row>
    <row r="3526" spans="24:44">
      <c r="X3526"/>
      <c r="Y3526"/>
      <c r="Z3526"/>
      <c r="AA3526"/>
      <c r="AC3526"/>
      <c r="AR3526"/>
    </row>
    <row r="3527" spans="24:44">
      <c r="X3527"/>
      <c r="Y3527"/>
      <c r="Z3527"/>
      <c r="AA3527"/>
      <c r="AC3527"/>
      <c r="AR3527"/>
    </row>
    <row r="3528" spans="24:44">
      <c r="X3528"/>
      <c r="Y3528"/>
      <c r="Z3528"/>
      <c r="AA3528"/>
      <c r="AC3528"/>
      <c r="AR3528"/>
    </row>
    <row r="3529" spans="24:44">
      <c r="X3529"/>
      <c r="Y3529"/>
      <c r="Z3529"/>
      <c r="AA3529"/>
      <c r="AC3529"/>
      <c r="AR3529"/>
    </row>
    <row r="3530" spans="24:44">
      <c r="X3530"/>
      <c r="Y3530"/>
      <c r="Z3530"/>
      <c r="AA3530"/>
      <c r="AC3530"/>
      <c r="AR3530"/>
    </row>
    <row r="3531" spans="24:44">
      <c r="X3531"/>
      <c r="Y3531"/>
      <c r="Z3531"/>
      <c r="AA3531"/>
      <c r="AC3531"/>
      <c r="AR3531"/>
    </row>
    <row r="3532" spans="24:44">
      <c r="X3532"/>
      <c r="Y3532"/>
      <c r="Z3532"/>
      <c r="AA3532"/>
      <c r="AC3532"/>
      <c r="AR3532"/>
    </row>
    <row r="3533" spans="24:44">
      <c r="X3533"/>
      <c r="Y3533"/>
      <c r="Z3533"/>
      <c r="AA3533"/>
      <c r="AC3533"/>
      <c r="AR3533"/>
    </row>
    <row r="3534" spans="24:44">
      <c r="X3534"/>
      <c r="Y3534"/>
      <c r="Z3534"/>
      <c r="AA3534"/>
      <c r="AC3534"/>
      <c r="AR3534"/>
    </row>
    <row r="3535" spans="24:44">
      <c r="X3535"/>
      <c r="Y3535"/>
      <c r="Z3535"/>
      <c r="AA3535"/>
      <c r="AC3535"/>
      <c r="AR3535"/>
    </row>
    <row r="3536" spans="24:44">
      <c r="X3536"/>
      <c r="Y3536"/>
      <c r="Z3536"/>
      <c r="AA3536"/>
      <c r="AC3536"/>
      <c r="AR3536"/>
    </row>
    <row r="3537" spans="24:44">
      <c r="X3537"/>
      <c r="Y3537"/>
      <c r="Z3537"/>
      <c r="AA3537"/>
      <c r="AC3537"/>
      <c r="AR3537"/>
    </row>
    <row r="3538" spans="24:44">
      <c r="X3538"/>
      <c r="Y3538"/>
      <c r="Z3538"/>
      <c r="AA3538"/>
      <c r="AC3538"/>
      <c r="AR3538"/>
    </row>
    <row r="3539" spans="24:44">
      <c r="X3539"/>
      <c r="Y3539"/>
      <c r="Z3539"/>
      <c r="AA3539"/>
      <c r="AC3539"/>
      <c r="AR3539"/>
    </row>
    <row r="3540" spans="24:44">
      <c r="X3540"/>
      <c r="Y3540"/>
      <c r="Z3540"/>
      <c r="AA3540"/>
      <c r="AC3540"/>
      <c r="AR3540"/>
    </row>
    <row r="3541" spans="24:44">
      <c r="X3541"/>
      <c r="Y3541"/>
      <c r="Z3541"/>
      <c r="AA3541"/>
      <c r="AC3541"/>
      <c r="AR3541"/>
    </row>
    <row r="3542" spans="24:44">
      <c r="X3542"/>
      <c r="Y3542"/>
      <c r="Z3542"/>
      <c r="AA3542"/>
      <c r="AC3542"/>
      <c r="AR3542"/>
    </row>
    <row r="3543" spans="24:44">
      <c r="X3543"/>
      <c r="Y3543"/>
      <c r="Z3543"/>
      <c r="AA3543"/>
      <c r="AC3543"/>
      <c r="AR3543"/>
    </row>
    <row r="3544" spans="24:44">
      <c r="X3544"/>
      <c r="Y3544"/>
      <c r="Z3544"/>
      <c r="AA3544"/>
      <c r="AC3544"/>
      <c r="AR3544"/>
    </row>
    <row r="3545" spans="24:44">
      <c r="X3545"/>
      <c r="Y3545"/>
      <c r="Z3545"/>
      <c r="AA3545"/>
      <c r="AC3545"/>
      <c r="AR3545"/>
    </row>
    <row r="3546" spans="24:44">
      <c r="X3546"/>
      <c r="Y3546"/>
      <c r="Z3546"/>
      <c r="AA3546"/>
      <c r="AC3546"/>
      <c r="AR3546"/>
    </row>
    <row r="3547" spans="24:44">
      <c r="X3547"/>
      <c r="Y3547"/>
      <c r="Z3547"/>
      <c r="AA3547"/>
      <c r="AC3547"/>
      <c r="AR3547"/>
    </row>
    <row r="3548" spans="24:44">
      <c r="X3548"/>
      <c r="Y3548"/>
      <c r="Z3548"/>
      <c r="AA3548"/>
      <c r="AC3548"/>
      <c r="AR3548"/>
    </row>
    <row r="3549" spans="24:44">
      <c r="X3549"/>
      <c r="Y3549"/>
      <c r="Z3549"/>
      <c r="AA3549"/>
      <c r="AC3549"/>
      <c r="AR3549"/>
    </row>
    <row r="3550" spans="24:44">
      <c r="X3550"/>
      <c r="Y3550"/>
      <c r="Z3550"/>
      <c r="AA3550"/>
      <c r="AC3550"/>
      <c r="AR3550"/>
    </row>
    <row r="3551" spans="24:44">
      <c r="X3551"/>
      <c r="Y3551"/>
      <c r="Z3551"/>
      <c r="AA3551"/>
      <c r="AC3551"/>
      <c r="AR3551"/>
    </row>
    <row r="3552" spans="24:44">
      <c r="X3552"/>
      <c r="Y3552"/>
      <c r="Z3552"/>
      <c r="AA3552"/>
      <c r="AC3552"/>
      <c r="AR3552"/>
    </row>
    <row r="3553" spans="24:44">
      <c r="X3553"/>
      <c r="Y3553"/>
      <c r="Z3553"/>
      <c r="AA3553"/>
      <c r="AC3553"/>
      <c r="AR3553"/>
    </row>
    <row r="3554" spans="24:44">
      <c r="X3554"/>
      <c r="Y3554"/>
      <c r="Z3554"/>
      <c r="AA3554"/>
      <c r="AC3554"/>
      <c r="AR3554"/>
    </row>
    <row r="3555" spans="24:44">
      <c r="X3555"/>
      <c r="Y3555"/>
      <c r="Z3555"/>
      <c r="AA3555"/>
      <c r="AC3555"/>
      <c r="AR3555"/>
    </row>
    <row r="3556" spans="24:44">
      <c r="X3556"/>
      <c r="Y3556"/>
      <c r="Z3556"/>
      <c r="AA3556"/>
      <c r="AC3556"/>
      <c r="AR3556"/>
    </row>
    <row r="3557" spans="24:44">
      <c r="X3557"/>
      <c r="Y3557"/>
      <c r="Z3557"/>
      <c r="AA3557"/>
      <c r="AC3557"/>
      <c r="AR3557"/>
    </row>
    <row r="3558" spans="24:44">
      <c r="X3558"/>
      <c r="Y3558"/>
      <c r="Z3558"/>
      <c r="AA3558"/>
      <c r="AC3558"/>
      <c r="AR3558"/>
    </row>
    <row r="3559" spans="24:44">
      <c r="X3559"/>
      <c r="Y3559"/>
      <c r="Z3559"/>
      <c r="AA3559"/>
      <c r="AC3559"/>
      <c r="AR3559"/>
    </row>
    <row r="3560" spans="24:44">
      <c r="X3560"/>
      <c r="Y3560"/>
      <c r="Z3560"/>
      <c r="AA3560"/>
      <c r="AC3560"/>
      <c r="AR3560"/>
    </row>
    <row r="3561" spans="24:44">
      <c r="X3561"/>
      <c r="Y3561"/>
      <c r="Z3561"/>
      <c r="AA3561"/>
      <c r="AC3561"/>
      <c r="AR3561"/>
    </row>
    <row r="3562" spans="24:44">
      <c r="X3562"/>
      <c r="Y3562"/>
      <c r="Z3562"/>
      <c r="AA3562"/>
      <c r="AC3562"/>
      <c r="AR3562"/>
    </row>
    <row r="3563" spans="24:44">
      <c r="X3563"/>
      <c r="Y3563"/>
      <c r="Z3563"/>
      <c r="AA3563"/>
      <c r="AC3563"/>
      <c r="AR3563"/>
    </row>
    <row r="3564" spans="24:44">
      <c r="X3564"/>
      <c r="Y3564"/>
      <c r="Z3564"/>
      <c r="AA3564"/>
      <c r="AC3564"/>
      <c r="AR3564"/>
    </row>
    <row r="3565" spans="24:44">
      <c r="X3565"/>
      <c r="Y3565"/>
      <c r="Z3565"/>
      <c r="AA3565"/>
      <c r="AC3565"/>
      <c r="AR3565"/>
    </row>
    <row r="3566" spans="24:44">
      <c r="X3566"/>
      <c r="Y3566"/>
      <c r="Z3566"/>
      <c r="AA3566"/>
      <c r="AC3566"/>
      <c r="AR3566"/>
    </row>
    <row r="3567" spans="24:44">
      <c r="X3567"/>
      <c r="Y3567"/>
      <c r="Z3567"/>
      <c r="AA3567"/>
      <c r="AC3567"/>
      <c r="AR3567"/>
    </row>
    <row r="3568" spans="24:44">
      <c r="X3568"/>
      <c r="Y3568"/>
      <c r="Z3568"/>
      <c r="AA3568"/>
      <c r="AC3568"/>
      <c r="AR3568"/>
    </row>
    <row r="3569" spans="24:44">
      <c r="X3569"/>
      <c r="Y3569"/>
      <c r="Z3569"/>
      <c r="AA3569"/>
      <c r="AC3569"/>
      <c r="AR3569"/>
    </row>
    <row r="3570" spans="24:44">
      <c r="X3570"/>
      <c r="Y3570"/>
      <c r="Z3570"/>
      <c r="AA3570"/>
      <c r="AC3570"/>
      <c r="AR3570"/>
    </row>
    <row r="3571" spans="24:44">
      <c r="X3571"/>
      <c r="Y3571"/>
      <c r="Z3571"/>
      <c r="AA3571"/>
      <c r="AC3571"/>
      <c r="AR3571"/>
    </row>
    <row r="3572" spans="24:44">
      <c r="X3572"/>
      <c r="Y3572"/>
      <c r="Z3572"/>
      <c r="AA3572"/>
      <c r="AC3572"/>
      <c r="AR3572"/>
    </row>
    <row r="3573" spans="24:44">
      <c r="X3573"/>
      <c r="Y3573"/>
      <c r="Z3573"/>
      <c r="AA3573"/>
      <c r="AC3573"/>
      <c r="AR3573"/>
    </row>
    <row r="3574" spans="24:44">
      <c r="X3574"/>
      <c r="Y3574"/>
      <c r="Z3574"/>
      <c r="AA3574"/>
      <c r="AC3574"/>
      <c r="AR3574"/>
    </row>
    <row r="3575" spans="24:44">
      <c r="X3575"/>
      <c r="Y3575"/>
      <c r="Z3575"/>
      <c r="AA3575"/>
      <c r="AC3575"/>
      <c r="AR3575"/>
    </row>
    <row r="3576" spans="24:44">
      <c r="X3576"/>
      <c r="Y3576"/>
      <c r="Z3576"/>
      <c r="AA3576"/>
      <c r="AC3576"/>
      <c r="AR3576"/>
    </row>
    <row r="3577" spans="24:44">
      <c r="X3577"/>
      <c r="Y3577"/>
      <c r="Z3577"/>
      <c r="AA3577"/>
      <c r="AC3577"/>
      <c r="AR3577"/>
    </row>
    <row r="3578" spans="24:44">
      <c r="X3578"/>
      <c r="Y3578"/>
      <c r="Z3578"/>
      <c r="AA3578"/>
      <c r="AC3578"/>
      <c r="AR3578"/>
    </row>
    <row r="3579" spans="24:44">
      <c r="X3579"/>
      <c r="Y3579"/>
      <c r="Z3579"/>
      <c r="AA3579"/>
      <c r="AC3579"/>
      <c r="AR3579"/>
    </row>
    <row r="3580" spans="24:44">
      <c r="X3580"/>
      <c r="Y3580"/>
      <c r="Z3580"/>
      <c r="AA3580"/>
      <c r="AC3580"/>
      <c r="AR3580"/>
    </row>
    <row r="3581" spans="24:44">
      <c r="X3581"/>
      <c r="Y3581"/>
      <c r="Z3581"/>
      <c r="AA3581"/>
      <c r="AC3581"/>
      <c r="AR3581"/>
    </row>
    <row r="3582" spans="24:44">
      <c r="X3582"/>
      <c r="Y3582"/>
      <c r="Z3582"/>
      <c r="AA3582"/>
      <c r="AC3582"/>
      <c r="AR3582"/>
    </row>
    <row r="3583" spans="24:44">
      <c r="X3583"/>
      <c r="Y3583"/>
      <c r="Z3583"/>
      <c r="AA3583"/>
      <c r="AC3583"/>
      <c r="AR3583"/>
    </row>
    <row r="3584" spans="24:44">
      <c r="X3584"/>
      <c r="Y3584"/>
      <c r="Z3584"/>
      <c r="AA3584"/>
      <c r="AC3584"/>
      <c r="AR3584"/>
    </row>
    <row r="3585" spans="24:44">
      <c r="X3585"/>
      <c r="Y3585"/>
      <c r="Z3585"/>
      <c r="AA3585"/>
      <c r="AC3585"/>
      <c r="AR3585"/>
    </row>
    <row r="3586" spans="24:44">
      <c r="X3586"/>
      <c r="Y3586"/>
      <c r="Z3586"/>
      <c r="AA3586"/>
      <c r="AC3586"/>
      <c r="AR3586"/>
    </row>
    <row r="3587" spans="24:44">
      <c r="X3587"/>
      <c r="Y3587"/>
      <c r="Z3587"/>
      <c r="AA3587"/>
      <c r="AC3587"/>
      <c r="AR3587"/>
    </row>
    <row r="3588" spans="24:44">
      <c r="X3588"/>
      <c r="Y3588"/>
      <c r="Z3588"/>
      <c r="AA3588"/>
      <c r="AC3588"/>
      <c r="AR3588"/>
    </row>
    <row r="3589" spans="24:44">
      <c r="X3589"/>
      <c r="Y3589"/>
      <c r="Z3589"/>
      <c r="AA3589"/>
      <c r="AC3589"/>
      <c r="AR3589"/>
    </row>
    <row r="3590" spans="24:44">
      <c r="X3590"/>
      <c r="Y3590"/>
      <c r="Z3590"/>
      <c r="AA3590"/>
      <c r="AC3590"/>
      <c r="AR3590"/>
    </row>
    <row r="3591" spans="24:44">
      <c r="X3591"/>
      <c r="Y3591"/>
      <c r="Z3591"/>
      <c r="AA3591"/>
      <c r="AC3591"/>
      <c r="AR3591"/>
    </row>
    <row r="3592" spans="24:44">
      <c r="X3592"/>
      <c r="Y3592"/>
      <c r="Z3592"/>
      <c r="AA3592"/>
      <c r="AC3592"/>
      <c r="AR3592"/>
    </row>
    <row r="3593" spans="24:44">
      <c r="X3593"/>
      <c r="Y3593"/>
      <c r="Z3593"/>
      <c r="AA3593"/>
      <c r="AC3593"/>
      <c r="AR3593"/>
    </row>
    <row r="3594" spans="24:44">
      <c r="X3594"/>
      <c r="Y3594"/>
      <c r="Z3594"/>
      <c r="AA3594"/>
      <c r="AC3594"/>
      <c r="AR3594"/>
    </row>
    <row r="3595" spans="24:44">
      <c r="X3595"/>
      <c r="Y3595"/>
      <c r="Z3595"/>
      <c r="AA3595"/>
      <c r="AC3595"/>
      <c r="AR3595"/>
    </row>
    <row r="3596" spans="24:44">
      <c r="X3596"/>
      <c r="Y3596"/>
      <c r="Z3596"/>
      <c r="AA3596"/>
      <c r="AC3596"/>
      <c r="AR3596"/>
    </row>
    <row r="3597" spans="24:44">
      <c r="X3597"/>
      <c r="Y3597"/>
      <c r="Z3597"/>
      <c r="AA3597"/>
      <c r="AC3597"/>
      <c r="AR3597"/>
    </row>
    <row r="3598" spans="24:44">
      <c r="X3598"/>
      <c r="Y3598"/>
      <c r="Z3598"/>
      <c r="AA3598"/>
      <c r="AC3598"/>
      <c r="AR3598"/>
    </row>
    <row r="3599" spans="24:44">
      <c r="X3599"/>
      <c r="Y3599"/>
      <c r="Z3599"/>
      <c r="AA3599"/>
      <c r="AC3599"/>
      <c r="AR3599"/>
    </row>
    <row r="3600" spans="24:44">
      <c r="X3600"/>
      <c r="Y3600"/>
      <c r="Z3600"/>
      <c r="AA3600"/>
      <c r="AC3600"/>
      <c r="AR3600"/>
    </row>
    <row r="3601" spans="24:44">
      <c r="X3601"/>
      <c r="Y3601"/>
      <c r="Z3601"/>
      <c r="AA3601"/>
      <c r="AC3601"/>
      <c r="AR3601"/>
    </row>
    <row r="3602" spans="24:44">
      <c r="X3602"/>
      <c r="Y3602"/>
      <c r="Z3602"/>
      <c r="AA3602"/>
      <c r="AC3602"/>
      <c r="AR3602"/>
    </row>
    <row r="3603" spans="24:44">
      <c r="X3603"/>
      <c r="Y3603"/>
      <c r="Z3603"/>
      <c r="AA3603"/>
      <c r="AC3603"/>
      <c r="AR3603"/>
    </row>
    <row r="3604" spans="24:44">
      <c r="X3604"/>
      <c r="Y3604"/>
      <c r="Z3604"/>
      <c r="AA3604"/>
      <c r="AC3604"/>
      <c r="AR3604"/>
    </row>
    <row r="3605" spans="24:44">
      <c r="X3605"/>
      <c r="Y3605"/>
      <c r="Z3605"/>
      <c r="AA3605"/>
      <c r="AC3605"/>
      <c r="AR3605"/>
    </row>
    <row r="3606" spans="24:44">
      <c r="X3606"/>
      <c r="Y3606"/>
      <c r="Z3606"/>
      <c r="AA3606"/>
      <c r="AC3606"/>
      <c r="AR3606"/>
    </row>
    <row r="3607" spans="24:44">
      <c r="X3607"/>
      <c r="Y3607"/>
      <c r="Z3607"/>
      <c r="AA3607"/>
      <c r="AC3607"/>
      <c r="AR3607"/>
    </row>
    <row r="3608" spans="24:44">
      <c r="X3608"/>
      <c r="Y3608"/>
      <c r="Z3608"/>
      <c r="AA3608"/>
      <c r="AC3608"/>
      <c r="AR3608"/>
    </row>
    <row r="3609" spans="24:44">
      <c r="X3609"/>
      <c r="Y3609"/>
      <c r="Z3609"/>
      <c r="AA3609"/>
      <c r="AC3609"/>
      <c r="AR3609"/>
    </row>
    <row r="3610" spans="24:44">
      <c r="X3610"/>
      <c r="Y3610"/>
      <c r="Z3610"/>
      <c r="AA3610"/>
      <c r="AC3610"/>
      <c r="AR3610"/>
    </row>
    <row r="3611" spans="24:44">
      <c r="X3611"/>
      <c r="Y3611"/>
      <c r="Z3611"/>
      <c r="AA3611"/>
      <c r="AC3611"/>
      <c r="AR3611"/>
    </row>
    <row r="3612" spans="24:44">
      <c r="X3612"/>
      <c r="Y3612"/>
      <c r="Z3612"/>
      <c r="AA3612"/>
      <c r="AC3612"/>
      <c r="AR3612"/>
    </row>
    <row r="3613" spans="24:44">
      <c r="X3613"/>
      <c r="Y3613"/>
      <c r="Z3613"/>
      <c r="AA3613"/>
      <c r="AC3613"/>
      <c r="AR3613"/>
    </row>
    <row r="3614" spans="24:44">
      <c r="X3614"/>
      <c r="Y3614"/>
      <c r="Z3614"/>
      <c r="AA3614"/>
      <c r="AC3614"/>
      <c r="AR3614"/>
    </row>
    <row r="3615" spans="24:44">
      <c r="X3615"/>
      <c r="Y3615"/>
      <c r="Z3615"/>
      <c r="AA3615"/>
      <c r="AC3615"/>
      <c r="AR3615"/>
    </row>
    <row r="3616" spans="24:44">
      <c r="X3616"/>
      <c r="Y3616"/>
      <c r="Z3616"/>
      <c r="AA3616"/>
      <c r="AC3616"/>
      <c r="AR3616"/>
    </row>
    <row r="3617" spans="24:44">
      <c r="X3617"/>
      <c r="Y3617"/>
      <c r="Z3617"/>
      <c r="AA3617"/>
      <c r="AC3617"/>
      <c r="AR3617"/>
    </row>
    <row r="3618" spans="24:44">
      <c r="X3618"/>
      <c r="Y3618"/>
      <c r="Z3618"/>
      <c r="AA3618"/>
      <c r="AC3618"/>
      <c r="AR3618"/>
    </row>
    <row r="3619" spans="24:44">
      <c r="X3619"/>
      <c r="Y3619"/>
      <c r="Z3619"/>
      <c r="AA3619"/>
      <c r="AC3619"/>
      <c r="AR3619"/>
    </row>
    <row r="3620" spans="24:44">
      <c r="X3620"/>
      <c r="Y3620"/>
      <c r="Z3620"/>
      <c r="AA3620"/>
      <c r="AC3620"/>
      <c r="AR3620"/>
    </row>
    <row r="3621" spans="24:44">
      <c r="X3621"/>
      <c r="Y3621"/>
      <c r="Z3621"/>
      <c r="AA3621"/>
      <c r="AC3621"/>
      <c r="AR3621"/>
    </row>
    <row r="3622" spans="24:44">
      <c r="X3622"/>
      <c r="Y3622"/>
      <c r="Z3622"/>
      <c r="AA3622"/>
      <c r="AC3622"/>
      <c r="AR3622"/>
    </row>
    <row r="3623" spans="24:44">
      <c r="X3623"/>
      <c r="Y3623"/>
      <c r="Z3623"/>
      <c r="AA3623"/>
      <c r="AC3623"/>
      <c r="AR3623"/>
    </row>
    <row r="3624" spans="24:44">
      <c r="X3624"/>
      <c r="Y3624"/>
      <c r="Z3624"/>
      <c r="AA3624"/>
      <c r="AC3624"/>
      <c r="AR3624"/>
    </row>
    <row r="3625" spans="24:44">
      <c r="X3625"/>
      <c r="Y3625"/>
      <c r="Z3625"/>
      <c r="AA3625"/>
      <c r="AC3625"/>
      <c r="AR3625"/>
    </row>
    <row r="3626" spans="24:44">
      <c r="X3626"/>
      <c r="Y3626"/>
      <c r="Z3626"/>
      <c r="AA3626"/>
      <c r="AC3626"/>
      <c r="AR3626"/>
    </row>
    <row r="3627" spans="24:44">
      <c r="X3627"/>
      <c r="Y3627"/>
      <c r="Z3627"/>
      <c r="AA3627"/>
      <c r="AC3627"/>
      <c r="AR3627"/>
    </row>
    <row r="3628" spans="24:44">
      <c r="X3628"/>
      <c r="Y3628"/>
      <c r="Z3628"/>
      <c r="AA3628"/>
      <c r="AC3628"/>
      <c r="AR3628"/>
    </row>
    <row r="3629" spans="24:44">
      <c r="X3629"/>
      <c r="Y3629"/>
      <c r="Z3629"/>
      <c r="AA3629"/>
      <c r="AC3629"/>
      <c r="AR3629"/>
    </row>
    <row r="3630" spans="24:44">
      <c r="X3630"/>
      <c r="Y3630"/>
      <c r="Z3630"/>
      <c r="AA3630"/>
      <c r="AC3630"/>
      <c r="AR3630"/>
    </row>
    <row r="3631" spans="24:44">
      <c r="X3631"/>
      <c r="Y3631"/>
      <c r="Z3631"/>
      <c r="AA3631"/>
      <c r="AC3631"/>
      <c r="AR3631"/>
    </row>
    <row r="3632" spans="24:44">
      <c r="X3632"/>
      <c r="Y3632"/>
      <c r="Z3632"/>
      <c r="AA3632"/>
      <c r="AC3632"/>
      <c r="AR3632"/>
    </row>
    <row r="3633" spans="24:44">
      <c r="X3633"/>
      <c r="Y3633"/>
      <c r="Z3633"/>
      <c r="AA3633"/>
      <c r="AC3633"/>
      <c r="AR3633"/>
    </row>
    <row r="3634" spans="24:44">
      <c r="X3634"/>
      <c r="Y3634"/>
      <c r="Z3634"/>
      <c r="AA3634"/>
      <c r="AC3634"/>
      <c r="AR3634"/>
    </row>
    <row r="3635" spans="24:44">
      <c r="X3635"/>
      <c r="Y3635"/>
      <c r="Z3635"/>
      <c r="AA3635"/>
      <c r="AC3635"/>
      <c r="AR3635"/>
    </row>
    <row r="3636" spans="24:44">
      <c r="X3636"/>
      <c r="Y3636"/>
      <c r="Z3636"/>
      <c r="AA3636"/>
      <c r="AC3636"/>
      <c r="AR3636"/>
    </row>
    <row r="3637" spans="24:44">
      <c r="X3637"/>
      <c r="Y3637"/>
      <c r="Z3637"/>
      <c r="AA3637"/>
      <c r="AC3637"/>
      <c r="AR3637"/>
    </row>
    <row r="3638" spans="24:44">
      <c r="X3638"/>
      <c r="Y3638"/>
      <c r="Z3638"/>
      <c r="AA3638"/>
      <c r="AC3638"/>
      <c r="AR3638"/>
    </row>
    <row r="3639" spans="24:44">
      <c r="X3639"/>
      <c r="Y3639"/>
      <c r="Z3639"/>
      <c r="AA3639"/>
      <c r="AC3639"/>
      <c r="AR3639"/>
    </row>
    <row r="3640" spans="24:44">
      <c r="X3640"/>
      <c r="Y3640"/>
      <c r="Z3640"/>
      <c r="AA3640"/>
      <c r="AC3640"/>
      <c r="AR3640"/>
    </row>
    <row r="3641" spans="24:44">
      <c r="X3641"/>
      <c r="Y3641"/>
      <c r="Z3641"/>
      <c r="AA3641"/>
      <c r="AC3641"/>
      <c r="AR3641"/>
    </row>
    <row r="3642" spans="24:44">
      <c r="X3642"/>
      <c r="Y3642"/>
      <c r="Z3642"/>
      <c r="AA3642"/>
      <c r="AC3642"/>
      <c r="AR3642"/>
    </row>
    <row r="3643" spans="24:44">
      <c r="X3643"/>
      <c r="Y3643"/>
      <c r="Z3643"/>
      <c r="AA3643"/>
      <c r="AC3643"/>
      <c r="AR3643"/>
    </row>
    <row r="3644" spans="24:44">
      <c r="X3644"/>
      <c r="Y3644"/>
      <c r="Z3644"/>
      <c r="AA3644"/>
      <c r="AC3644"/>
      <c r="AR3644"/>
    </row>
    <row r="3645" spans="24:44">
      <c r="X3645"/>
      <c r="Y3645"/>
      <c r="Z3645"/>
      <c r="AA3645"/>
      <c r="AC3645"/>
      <c r="AR3645"/>
    </row>
    <row r="3646" spans="24:44">
      <c r="X3646"/>
      <c r="Y3646"/>
      <c r="Z3646"/>
      <c r="AA3646"/>
      <c r="AC3646"/>
      <c r="AR3646"/>
    </row>
    <row r="3647" spans="24:44">
      <c r="X3647"/>
      <c r="Y3647"/>
      <c r="Z3647"/>
      <c r="AA3647"/>
      <c r="AC3647"/>
      <c r="AR3647"/>
    </row>
    <row r="3648" spans="24:44">
      <c r="X3648"/>
      <c r="Y3648"/>
      <c r="Z3648"/>
      <c r="AA3648"/>
      <c r="AC3648"/>
      <c r="AR3648"/>
    </row>
    <row r="3649" spans="24:44">
      <c r="X3649"/>
      <c r="Y3649"/>
      <c r="Z3649"/>
      <c r="AA3649"/>
      <c r="AC3649"/>
      <c r="AR3649"/>
    </row>
    <row r="3650" spans="24:44">
      <c r="X3650"/>
      <c r="Y3650"/>
      <c r="Z3650"/>
      <c r="AA3650"/>
      <c r="AC3650"/>
      <c r="AR3650"/>
    </row>
    <row r="3651" spans="24:44">
      <c r="X3651"/>
      <c r="Y3651"/>
      <c r="Z3651"/>
      <c r="AA3651"/>
      <c r="AC3651"/>
      <c r="AR3651"/>
    </row>
    <row r="3652" spans="24:44">
      <c r="X3652"/>
      <c r="Y3652"/>
      <c r="Z3652"/>
      <c r="AA3652"/>
      <c r="AC3652"/>
      <c r="AR3652"/>
    </row>
    <row r="3653" spans="24:44">
      <c r="X3653"/>
      <c r="Y3653"/>
      <c r="Z3653"/>
      <c r="AA3653"/>
      <c r="AC3653"/>
      <c r="AR3653"/>
    </row>
    <row r="3654" spans="24:44">
      <c r="X3654"/>
      <c r="Y3654"/>
      <c r="Z3654"/>
      <c r="AA3654"/>
      <c r="AC3654"/>
      <c r="AR3654"/>
    </row>
    <row r="3655" spans="24:44">
      <c r="X3655"/>
      <c r="Y3655"/>
      <c r="Z3655"/>
      <c r="AA3655"/>
      <c r="AC3655"/>
      <c r="AR3655"/>
    </row>
    <row r="3656" spans="24:44">
      <c r="X3656"/>
      <c r="Y3656"/>
      <c r="Z3656"/>
      <c r="AA3656"/>
      <c r="AC3656"/>
      <c r="AR3656"/>
    </row>
    <row r="3657" spans="24:44">
      <c r="X3657"/>
      <c r="Y3657"/>
      <c r="Z3657"/>
      <c r="AA3657"/>
      <c r="AC3657"/>
      <c r="AR3657"/>
    </row>
    <row r="3658" spans="24:44">
      <c r="X3658"/>
      <c r="Y3658"/>
      <c r="Z3658"/>
      <c r="AA3658"/>
      <c r="AC3658"/>
      <c r="AR3658"/>
    </row>
    <row r="3659" spans="24:44">
      <c r="X3659"/>
      <c r="Y3659"/>
      <c r="Z3659"/>
      <c r="AA3659"/>
      <c r="AC3659"/>
      <c r="AR3659"/>
    </row>
    <row r="3660" spans="24:44">
      <c r="X3660"/>
      <c r="Y3660"/>
      <c r="Z3660"/>
      <c r="AA3660"/>
      <c r="AC3660"/>
      <c r="AR3660"/>
    </row>
    <row r="3661" spans="24:44">
      <c r="X3661"/>
      <c r="Y3661"/>
      <c r="Z3661"/>
      <c r="AA3661"/>
      <c r="AC3661"/>
      <c r="AR3661"/>
    </row>
    <row r="3662" spans="24:44">
      <c r="X3662"/>
      <c r="Y3662"/>
      <c r="Z3662"/>
      <c r="AA3662"/>
      <c r="AC3662"/>
      <c r="AR3662"/>
    </row>
    <row r="3663" spans="24:44">
      <c r="X3663"/>
      <c r="Y3663"/>
      <c r="Z3663"/>
      <c r="AA3663"/>
      <c r="AC3663"/>
      <c r="AR3663"/>
    </row>
    <row r="3664" spans="24:44">
      <c r="X3664"/>
      <c r="Y3664"/>
      <c r="Z3664"/>
      <c r="AA3664"/>
      <c r="AC3664"/>
      <c r="AR3664"/>
    </row>
    <row r="3665" spans="24:44">
      <c r="X3665"/>
      <c r="Y3665"/>
      <c r="Z3665"/>
      <c r="AA3665"/>
      <c r="AC3665"/>
      <c r="AR3665"/>
    </row>
    <row r="3666" spans="24:44">
      <c r="X3666"/>
      <c r="Y3666"/>
      <c r="Z3666"/>
      <c r="AA3666"/>
      <c r="AC3666"/>
      <c r="AR3666"/>
    </row>
    <row r="3667" spans="24:44">
      <c r="X3667"/>
      <c r="Y3667"/>
      <c r="Z3667"/>
      <c r="AA3667"/>
      <c r="AC3667"/>
      <c r="AR3667"/>
    </row>
    <row r="3668" spans="24:44">
      <c r="X3668"/>
      <c r="Y3668"/>
      <c r="Z3668"/>
      <c r="AA3668"/>
      <c r="AC3668"/>
      <c r="AR3668"/>
    </row>
    <row r="3669" spans="24:44">
      <c r="X3669"/>
      <c r="Y3669"/>
      <c r="Z3669"/>
      <c r="AA3669"/>
      <c r="AC3669"/>
      <c r="AR3669"/>
    </row>
    <row r="3670" spans="24:44">
      <c r="X3670"/>
      <c r="Y3670"/>
      <c r="Z3670"/>
      <c r="AA3670"/>
      <c r="AC3670"/>
      <c r="AR3670"/>
    </row>
    <row r="3671" spans="24:44">
      <c r="X3671"/>
      <c r="Y3671"/>
      <c r="Z3671"/>
      <c r="AA3671"/>
      <c r="AC3671"/>
      <c r="AR3671"/>
    </row>
    <row r="3672" spans="24:44">
      <c r="X3672"/>
      <c r="Y3672"/>
      <c r="Z3672"/>
      <c r="AA3672"/>
      <c r="AC3672"/>
      <c r="AR3672"/>
    </row>
    <row r="3673" spans="24:44">
      <c r="X3673"/>
      <c r="Y3673"/>
      <c r="Z3673"/>
      <c r="AA3673"/>
      <c r="AC3673"/>
      <c r="AR3673"/>
    </row>
    <row r="3674" spans="24:44">
      <c r="X3674"/>
      <c r="Y3674"/>
      <c r="Z3674"/>
      <c r="AA3674"/>
      <c r="AC3674"/>
      <c r="AR3674"/>
    </row>
    <row r="3675" spans="24:44">
      <c r="X3675"/>
      <c r="Y3675"/>
      <c r="Z3675"/>
      <c r="AA3675"/>
      <c r="AC3675"/>
      <c r="AR3675"/>
    </row>
    <row r="3676" spans="24:44">
      <c r="X3676"/>
      <c r="Y3676"/>
      <c r="Z3676"/>
      <c r="AA3676"/>
      <c r="AC3676"/>
      <c r="AR3676"/>
    </row>
    <row r="3677" spans="24:44">
      <c r="X3677"/>
      <c r="Y3677"/>
      <c r="Z3677"/>
      <c r="AA3677"/>
      <c r="AC3677"/>
      <c r="AR3677"/>
    </row>
    <row r="3678" spans="24:44">
      <c r="X3678"/>
      <c r="Y3678"/>
      <c r="Z3678"/>
      <c r="AA3678"/>
      <c r="AC3678"/>
      <c r="AR3678"/>
    </row>
    <row r="3679" spans="24:44">
      <c r="X3679"/>
      <c r="Y3679"/>
      <c r="Z3679"/>
      <c r="AA3679"/>
      <c r="AC3679"/>
      <c r="AR3679"/>
    </row>
    <row r="3680" spans="24:44">
      <c r="X3680"/>
      <c r="Y3680"/>
      <c r="Z3680"/>
      <c r="AA3680"/>
      <c r="AC3680"/>
      <c r="AR3680"/>
    </row>
    <row r="3681" spans="24:44">
      <c r="X3681"/>
      <c r="Y3681"/>
      <c r="Z3681"/>
      <c r="AA3681"/>
      <c r="AC3681"/>
      <c r="AR3681"/>
    </row>
    <row r="3682" spans="24:44">
      <c r="X3682"/>
      <c r="Y3682"/>
      <c r="Z3682"/>
      <c r="AA3682"/>
      <c r="AC3682"/>
      <c r="AR3682"/>
    </row>
    <row r="3683" spans="24:44">
      <c r="X3683"/>
      <c r="Y3683"/>
      <c r="Z3683"/>
      <c r="AA3683"/>
      <c r="AC3683"/>
      <c r="AR3683"/>
    </row>
    <row r="3684" spans="24:44">
      <c r="X3684"/>
      <c r="Y3684"/>
      <c r="Z3684"/>
      <c r="AA3684"/>
      <c r="AC3684"/>
      <c r="AR3684"/>
    </row>
    <row r="3685" spans="24:44">
      <c r="X3685"/>
      <c r="Y3685"/>
      <c r="Z3685"/>
      <c r="AA3685"/>
      <c r="AC3685"/>
      <c r="AR3685"/>
    </row>
    <row r="3686" spans="24:44">
      <c r="X3686"/>
      <c r="Y3686"/>
      <c r="Z3686"/>
      <c r="AA3686"/>
      <c r="AC3686"/>
      <c r="AR3686"/>
    </row>
    <row r="3687" spans="24:44">
      <c r="X3687"/>
      <c r="Y3687"/>
      <c r="Z3687"/>
      <c r="AA3687"/>
      <c r="AC3687"/>
      <c r="AR3687"/>
    </row>
    <row r="3688" spans="24:44">
      <c r="X3688"/>
      <c r="Y3688"/>
      <c r="Z3688"/>
      <c r="AA3688"/>
      <c r="AC3688"/>
      <c r="AR3688"/>
    </row>
    <row r="3689" spans="24:44">
      <c r="X3689"/>
      <c r="Y3689"/>
      <c r="Z3689"/>
      <c r="AA3689"/>
      <c r="AC3689"/>
      <c r="AR3689"/>
    </row>
    <row r="3690" spans="24:44">
      <c r="X3690"/>
      <c r="Y3690"/>
      <c r="Z3690"/>
      <c r="AA3690"/>
      <c r="AC3690"/>
      <c r="AR3690"/>
    </row>
    <row r="3691" spans="24:44">
      <c r="X3691"/>
      <c r="Y3691"/>
      <c r="Z3691"/>
      <c r="AA3691"/>
      <c r="AC3691"/>
      <c r="AR3691"/>
    </row>
    <row r="3692" spans="24:44">
      <c r="X3692"/>
      <c r="Y3692"/>
      <c r="Z3692"/>
      <c r="AA3692"/>
      <c r="AC3692"/>
      <c r="AR3692"/>
    </row>
    <row r="3693" spans="24:44">
      <c r="X3693"/>
      <c r="Y3693"/>
      <c r="Z3693"/>
      <c r="AA3693"/>
      <c r="AC3693"/>
      <c r="AR3693"/>
    </row>
    <row r="3694" spans="24:44">
      <c r="X3694"/>
      <c r="Y3694"/>
      <c r="Z3694"/>
      <c r="AA3694"/>
      <c r="AC3694"/>
      <c r="AR3694"/>
    </row>
    <row r="3695" spans="24:44">
      <c r="X3695"/>
      <c r="Y3695"/>
      <c r="Z3695"/>
      <c r="AA3695"/>
      <c r="AC3695"/>
      <c r="AR3695"/>
    </row>
    <row r="3696" spans="24:44">
      <c r="X3696"/>
      <c r="Y3696"/>
      <c r="Z3696"/>
      <c r="AA3696"/>
      <c r="AC3696"/>
      <c r="AR3696"/>
    </row>
    <row r="3697" spans="24:44">
      <c r="X3697"/>
      <c r="Y3697"/>
      <c r="Z3697"/>
      <c r="AA3697"/>
      <c r="AC3697"/>
      <c r="AR3697"/>
    </row>
    <row r="3698" spans="24:44">
      <c r="X3698"/>
      <c r="Y3698"/>
      <c r="Z3698"/>
      <c r="AA3698"/>
      <c r="AC3698"/>
      <c r="AR3698"/>
    </row>
    <row r="3699" spans="24:44">
      <c r="X3699"/>
      <c r="Y3699"/>
      <c r="Z3699"/>
      <c r="AA3699"/>
      <c r="AC3699"/>
      <c r="AR3699"/>
    </row>
    <row r="3700" spans="24:44">
      <c r="X3700"/>
      <c r="Y3700"/>
      <c r="Z3700"/>
      <c r="AA3700"/>
      <c r="AC3700"/>
      <c r="AR3700"/>
    </row>
    <row r="3701" spans="24:44">
      <c r="X3701"/>
      <c r="Y3701"/>
      <c r="Z3701"/>
      <c r="AA3701"/>
      <c r="AC3701"/>
      <c r="AR3701"/>
    </row>
    <row r="3702" spans="24:44">
      <c r="X3702"/>
      <c r="Y3702"/>
      <c r="Z3702"/>
      <c r="AA3702"/>
      <c r="AC3702"/>
      <c r="AR3702"/>
    </row>
    <row r="3703" spans="24:44">
      <c r="X3703"/>
      <c r="Y3703"/>
      <c r="Z3703"/>
      <c r="AA3703"/>
      <c r="AC3703"/>
      <c r="AR3703"/>
    </row>
    <row r="3704" spans="24:44">
      <c r="X3704"/>
      <c r="Y3704"/>
      <c r="Z3704"/>
      <c r="AA3704"/>
      <c r="AC3704"/>
      <c r="AR3704"/>
    </row>
    <row r="3705" spans="24:44">
      <c r="X3705"/>
      <c r="Y3705"/>
      <c r="Z3705"/>
      <c r="AA3705"/>
      <c r="AC3705"/>
      <c r="AR3705"/>
    </row>
    <row r="3706" spans="24:44">
      <c r="X3706"/>
      <c r="Y3706"/>
      <c r="Z3706"/>
      <c r="AA3706"/>
      <c r="AC3706"/>
      <c r="AR3706"/>
    </row>
    <row r="3707" spans="24:44">
      <c r="X3707"/>
      <c r="Y3707"/>
      <c r="Z3707"/>
      <c r="AA3707"/>
      <c r="AC3707"/>
      <c r="AR3707"/>
    </row>
    <row r="3708" spans="24:44">
      <c r="X3708"/>
      <c r="Y3708"/>
      <c r="Z3708"/>
      <c r="AA3708"/>
      <c r="AC3708"/>
      <c r="AR3708"/>
    </row>
    <row r="3709" spans="24:44">
      <c r="X3709"/>
      <c r="Y3709"/>
      <c r="Z3709"/>
      <c r="AA3709"/>
      <c r="AC3709"/>
      <c r="AR3709"/>
    </row>
    <row r="3710" spans="24:44">
      <c r="X3710"/>
      <c r="Y3710"/>
      <c r="Z3710"/>
      <c r="AA3710"/>
      <c r="AC3710"/>
      <c r="AR3710"/>
    </row>
    <row r="3711" spans="24:44">
      <c r="X3711"/>
      <c r="Y3711"/>
      <c r="Z3711"/>
      <c r="AA3711"/>
      <c r="AC3711"/>
      <c r="AR3711"/>
    </row>
    <row r="3712" spans="24:44">
      <c r="X3712"/>
      <c r="Y3712"/>
      <c r="Z3712"/>
      <c r="AA3712"/>
      <c r="AC3712"/>
      <c r="AR3712"/>
    </row>
    <row r="3713" spans="24:44">
      <c r="X3713"/>
      <c r="Y3713"/>
      <c r="Z3713"/>
      <c r="AA3713"/>
      <c r="AC3713"/>
      <c r="AR3713"/>
    </row>
    <row r="3714" spans="24:44">
      <c r="X3714"/>
      <c r="Y3714"/>
      <c r="Z3714"/>
      <c r="AA3714"/>
      <c r="AC3714"/>
      <c r="AR3714"/>
    </row>
    <row r="3715" spans="24:44">
      <c r="X3715"/>
      <c r="Y3715"/>
      <c r="Z3715"/>
      <c r="AA3715"/>
      <c r="AC3715"/>
      <c r="AR3715"/>
    </row>
    <row r="3716" spans="24:44">
      <c r="X3716"/>
      <c r="Y3716"/>
      <c r="Z3716"/>
      <c r="AA3716"/>
      <c r="AC3716"/>
      <c r="AR3716"/>
    </row>
    <row r="3717" spans="24:44">
      <c r="X3717"/>
      <c r="Y3717"/>
      <c r="Z3717"/>
      <c r="AA3717"/>
      <c r="AC3717"/>
      <c r="AR3717"/>
    </row>
    <row r="3718" spans="24:44">
      <c r="X3718"/>
      <c r="Y3718"/>
      <c r="Z3718"/>
      <c r="AA3718"/>
      <c r="AC3718"/>
      <c r="AR3718"/>
    </row>
    <row r="3719" spans="24:44">
      <c r="X3719"/>
      <c r="Y3719"/>
      <c r="Z3719"/>
      <c r="AA3719"/>
      <c r="AC3719"/>
      <c r="AR3719"/>
    </row>
    <row r="3720" spans="24:44">
      <c r="X3720"/>
      <c r="Y3720"/>
      <c r="Z3720"/>
      <c r="AA3720"/>
      <c r="AC3720"/>
      <c r="AR3720"/>
    </row>
    <row r="3721" spans="24:44">
      <c r="X3721"/>
      <c r="Y3721"/>
      <c r="Z3721"/>
      <c r="AA3721"/>
      <c r="AC3721"/>
      <c r="AR3721"/>
    </row>
    <row r="3722" spans="24:44">
      <c r="X3722"/>
      <c r="Y3722"/>
      <c r="Z3722"/>
      <c r="AA3722"/>
      <c r="AC3722"/>
      <c r="AR3722"/>
    </row>
    <row r="3723" spans="24:44">
      <c r="X3723"/>
      <c r="Y3723"/>
      <c r="Z3723"/>
      <c r="AA3723"/>
      <c r="AC3723"/>
      <c r="AR3723"/>
    </row>
    <row r="3724" spans="24:44">
      <c r="X3724"/>
      <c r="Y3724"/>
      <c r="Z3724"/>
      <c r="AA3724"/>
      <c r="AC3724"/>
      <c r="AR3724"/>
    </row>
    <row r="3725" spans="24:44">
      <c r="X3725"/>
      <c r="Y3725"/>
      <c r="Z3725"/>
      <c r="AA3725"/>
      <c r="AC3725"/>
      <c r="AR3725"/>
    </row>
    <row r="3726" spans="24:44">
      <c r="X3726"/>
      <c r="Y3726"/>
      <c r="Z3726"/>
      <c r="AA3726"/>
      <c r="AC3726"/>
      <c r="AR3726"/>
    </row>
    <row r="3727" spans="24:44">
      <c r="X3727"/>
      <c r="Y3727"/>
      <c r="Z3727"/>
      <c r="AA3727"/>
      <c r="AC3727"/>
      <c r="AR3727"/>
    </row>
    <row r="3728" spans="24:44">
      <c r="X3728"/>
      <c r="Y3728"/>
      <c r="Z3728"/>
      <c r="AA3728"/>
      <c r="AC3728"/>
      <c r="AR3728"/>
    </row>
    <row r="3729" spans="24:44">
      <c r="X3729"/>
      <c r="Y3729"/>
      <c r="Z3729"/>
      <c r="AA3729"/>
      <c r="AC3729"/>
      <c r="AR3729"/>
    </row>
    <row r="3730" spans="24:44">
      <c r="X3730"/>
      <c r="Y3730"/>
      <c r="Z3730"/>
      <c r="AA3730"/>
      <c r="AC3730"/>
      <c r="AR3730"/>
    </row>
    <row r="3731" spans="24:44">
      <c r="X3731"/>
      <c r="Y3731"/>
      <c r="Z3731"/>
      <c r="AA3731"/>
      <c r="AC3731"/>
      <c r="AR3731"/>
    </row>
    <row r="3732" spans="24:44">
      <c r="X3732"/>
      <c r="Y3732"/>
      <c r="Z3732"/>
      <c r="AA3732"/>
      <c r="AC3732"/>
      <c r="AR3732"/>
    </row>
    <row r="3733" spans="24:44">
      <c r="X3733"/>
      <c r="Y3733"/>
      <c r="Z3733"/>
      <c r="AA3733"/>
      <c r="AC3733"/>
      <c r="AR3733"/>
    </row>
    <row r="3734" spans="24:44">
      <c r="X3734"/>
      <c r="Y3734"/>
      <c r="Z3734"/>
      <c r="AA3734"/>
      <c r="AC3734"/>
      <c r="AR3734"/>
    </row>
    <row r="3735" spans="24:44">
      <c r="X3735"/>
      <c r="Y3735"/>
      <c r="Z3735"/>
      <c r="AA3735"/>
      <c r="AC3735"/>
      <c r="AR3735"/>
    </row>
    <row r="3736" spans="24:44">
      <c r="X3736"/>
      <c r="Y3736"/>
      <c r="Z3736"/>
      <c r="AA3736"/>
      <c r="AC3736"/>
      <c r="AR3736"/>
    </row>
    <row r="3737" spans="24:44">
      <c r="X3737"/>
      <c r="Y3737"/>
      <c r="Z3737"/>
      <c r="AA3737"/>
      <c r="AC3737"/>
      <c r="AR3737"/>
    </row>
    <row r="3738" spans="24:44">
      <c r="X3738"/>
      <c r="Y3738"/>
      <c r="Z3738"/>
      <c r="AA3738"/>
      <c r="AC3738"/>
      <c r="AR3738"/>
    </row>
    <row r="3739" spans="24:44">
      <c r="X3739"/>
      <c r="Y3739"/>
      <c r="Z3739"/>
      <c r="AA3739"/>
      <c r="AC3739"/>
      <c r="AR3739"/>
    </row>
    <row r="3740" spans="24:44">
      <c r="X3740"/>
      <c r="Y3740"/>
      <c r="Z3740"/>
      <c r="AA3740"/>
      <c r="AC3740"/>
      <c r="AR3740"/>
    </row>
    <row r="3741" spans="24:44">
      <c r="X3741"/>
      <c r="Y3741"/>
      <c r="Z3741"/>
      <c r="AA3741"/>
      <c r="AC3741"/>
      <c r="AR3741"/>
    </row>
    <row r="3742" spans="24:44">
      <c r="X3742"/>
      <c r="Y3742"/>
      <c r="Z3742"/>
      <c r="AA3742"/>
      <c r="AC3742"/>
      <c r="AR3742"/>
    </row>
    <row r="3743" spans="24:44">
      <c r="X3743"/>
      <c r="Y3743"/>
      <c r="Z3743"/>
      <c r="AA3743"/>
      <c r="AC3743"/>
      <c r="AR3743"/>
    </row>
    <row r="3744" spans="24:44">
      <c r="X3744"/>
      <c r="Y3744"/>
      <c r="Z3744"/>
      <c r="AA3744"/>
      <c r="AC3744"/>
      <c r="AR3744"/>
    </row>
    <row r="3745" spans="24:44">
      <c r="X3745"/>
      <c r="Y3745"/>
      <c r="Z3745"/>
      <c r="AA3745"/>
      <c r="AC3745"/>
      <c r="AR3745"/>
    </row>
    <row r="3746" spans="24:44">
      <c r="X3746"/>
      <c r="Y3746"/>
      <c r="Z3746"/>
      <c r="AA3746"/>
      <c r="AC3746"/>
      <c r="AR3746"/>
    </row>
    <row r="3747" spans="24:44">
      <c r="X3747"/>
      <c r="Y3747"/>
      <c r="Z3747"/>
      <c r="AA3747"/>
      <c r="AC3747"/>
      <c r="AR3747"/>
    </row>
    <row r="3748" spans="24:44">
      <c r="X3748"/>
      <c r="Y3748"/>
      <c r="Z3748"/>
      <c r="AA3748"/>
      <c r="AC3748"/>
      <c r="AR3748"/>
    </row>
    <row r="3749" spans="24:44">
      <c r="X3749"/>
      <c r="Y3749"/>
      <c r="Z3749"/>
      <c r="AA3749"/>
      <c r="AC3749"/>
      <c r="AR3749"/>
    </row>
    <row r="3750" spans="24:44">
      <c r="X3750"/>
      <c r="Y3750"/>
      <c r="Z3750"/>
      <c r="AA3750"/>
      <c r="AC3750"/>
      <c r="AR3750"/>
    </row>
    <row r="3751" spans="24:44">
      <c r="X3751"/>
      <c r="Y3751"/>
      <c r="Z3751"/>
      <c r="AA3751"/>
      <c r="AC3751"/>
      <c r="AR3751"/>
    </row>
    <row r="3752" spans="24:44">
      <c r="X3752"/>
      <c r="Y3752"/>
      <c r="Z3752"/>
      <c r="AA3752"/>
      <c r="AC3752"/>
      <c r="AR3752"/>
    </row>
    <row r="3753" spans="24:44">
      <c r="X3753"/>
      <c r="Y3753"/>
      <c r="Z3753"/>
      <c r="AA3753"/>
      <c r="AC3753"/>
      <c r="AR3753"/>
    </row>
    <row r="3754" spans="24:44">
      <c r="X3754"/>
      <c r="Y3754"/>
      <c r="Z3754"/>
      <c r="AA3754"/>
      <c r="AC3754"/>
      <c r="AR3754"/>
    </row>
    <row r="3755" spans="24:44">
      <c r="X3755"/>
      <c r="Y3755"/>
      <c r="Z3755"/>
      <c r="AA3755"/>
      <c r="AC3755"/>
      <c r="AR3755"/>
    </row>
    <row r="3756" spans="24:44">
      <c r="X3756"/>
      <c r="Y3756"/>
      <c r="Z3756"/>
      <c r="AA3756"/>
      <c r="AC3756"/>
      <c r="AR3756"/>
    </row>
    <row r="3757" spans="24:44">
      <c r="X3757"/>
      <c r="Y3757"/>
      <c r="Z3757"/>
      <c r="AA3757"/>
      <c r="AC3757"/>
      <c r="AR3757"/>
    </row>
    <row r="3758" spans="24:44">
      <c r="X3758"/>
      <c r="Y3758"/>
      <c r="Z3758"/>
      <c r="AA3758"/>
      <c r="AC3758"/>
      <c r="AR3758"/>
    </row>
    <row r="3759" spans="24:44">
      <c r="X3759"/>
      <c r="Y3759"/>
      <c r="Z3759"/>
      <c r="AA3759"/>
      <c r="AC3759"/>
      <c r="AR3759"/>
    </row>
    <row r="3760" spans="24:44">
      <c r="X3760"/>
      <c r="Y3760"/>
      <c r="Z3760"/>
      <c r="AA3760"/>
      <c r="AC3760"/>
      <c r="AR3760"/>
    </row>
    <row r="3761" spans="24:44">
      <c r="X3761"/>
      <c r="Y3761"/>
      <c r="Z3761"/>
      <c r="AA3761"/>
      <c r="AC3761"/>
      <c r="AR3761"/>
    </row>
    <row r="3762" spans="24:44">
      <c r="X3762"/>
      <c r="Y3762"/>
      <c r="Z3762"/>
      <c r="AA3762"/>
      <c r="AC3762"/>
      <c r="AR3762"/>
    </row>
    <row r="3763" spans="24:44">
      <c r="X3763"/>
      <c r="Y3763"/>
      <c r="Z3763"/>
      <c r="AA3763"/>
      <c r="AC3763"/>
      <c r="AR3763"/>
    </row>
    <row r="3764" spans="24:44">
      <c r="X3764"/>
      <c r="Y3764"/>
      <c r="Z3764"/>
      <c r="AA3764"/>
      <c r="AC3764"/>
      <c r="AR3764"/>
    </row>
    <row r="3765" spans="24:44">
      <c r="X3765"/>
      <c r="Y3765"/>
      <c r="Z3765"/>
      <c r="AA3765"/>
      <c r="AC3765"/>
      <c r="AR3765"/>
    </row>
    <row r="3766" spans="24:44">
      <c r="X3766"/>
      <c r="Y3766"/>
      <c r="Z3766"/>
      <c r="AA3766"/>
      <c r="AC3766"/>
      <c r="AR3766"/>
    </row>
    <row r="3767" spans="24:44">
      <c r="X3767"/>
      <c r="Y3767"/>
      <c r="Z3767"/>
      <c r="AA3767"/>
      <c r="AC3767"/>
      <c r="AR3767"/>
    </row>
    <row r="3768" spans="24:44">
      <c r="X3768"/>
      <c r="Y3768"/>
      <c r="Z3768"/>
      <c r="AA3768"/>
      <c r="AC3768"/>
      <c r="AR3768"/>
    </row>
    <row r="3769" spans="24:44">
      <c r="X3769"/>
      <c r="Y3769"/>
      <c r="Z3769"/>
      <c r="AA3769"/>
      <c r="AC3769"/>
      <c r="AR3769"/>
    </row>
    <row r="3770" spans="24:44">
      <c r="X3770"/>
      <c r="Y3770"/>
      <c r="Z3770"/>
      <c r="AA3770"/>
      <c r="AC3770"/>
      <c r="AR3770"/>
    </row>
    <row r="3771" spans="24:44">
      <c r="X3771"/>
      <c r="Y3771"/>
      <c r="Z3771"/>
      <c r="AA3771"/>
      <c r="AC3771"/>
      <c r="AR3771"/>
    </row>
    <row r="3772" spans="24:44">
      <c r="X3772"/>
      <c r="Y3772"/>
      <c r="Z3772"/>
      <c r="AA3772"/>
      <c r="AC3772"/>
      <c r="AR3772"/>
    </row>
    <row r="3773" spans="24:44">
      <c r="X3773"/>
      <c r="Y3773"/>
      <c r="Z3773"/>
      <c r="AA3773"/>
      <c r="AC3773"/>
      <c r="AR3773"/>
    </row>
    <row r="3774" spans="24:44">
      <c r="X3774"/>
      <c r="Y3774"/>
      <c r="Z3774"/>
      <c r="AA3774"/>
      <c r="AC3774"/>
      <c r="AR3774"/>
    </row>
    <row r="3775" spans="24:44">
      <c r="X3775"/>
      <c r="Y3775"/>
      <c r="Z3775"/>
      <c r="AA3775"/>
      <c r="AC3775"/>
      <c r="AR3775"/>
    </row>
    <row r="3776" spans="24:44">
      <c r="X3776"/>
      <c r="Y3776"/>
      <c r="Z3776"/>
      <c r="AA3776"/>
      <c r="AC3776"/>
      <c r="AR3776"/>
    </row>
    <row r="3777" spans="24:44">
      <c r="X3777"/>
      <c r="Y3777"/>
      <c r="Z3777"/>
      <c r="AA3777"/>
      <c r="AC3777"/>
      <c r="AR3777"/>
    </row>
    <row r="3778" spans="24:44">
      <c r="X3778"/>
      <c r="Y3778"/>
      <c r="Z3778"/>
      <c r="AA3778"/>
      <c r="AC3778"/>
      <c r="AR3778"/>
    </row>
    <row r="3779" spans="24:44">
      <c r="X3779"/>
      <c r="Y3779"/>
      <c r="Z3779"/>
      <c r="AA3779"/>
      <c r="AC3779"/>
      <c r="AR3779"/>
    </row>
    <row r="3780" spans="24:44">
      <c r="X3780"/>
      <c r="Y3780"/>
      <c r="Z3780"/>
      <c r="AA3780"/>
      <c r="AC3780"/>
      <c r="AR3780"/>
    </row>
    <row r="3781" spans="24:44">
      <c r="X3781"/>
      <c r="Y3781"/>
      <c r="Z3781"/>
      <c r="AA3781"/>
      <c r="AC3781"/>
      <c r="AR3781"/>
    </row>
    <row r="3782" spans="24:44">
      <c r="X3782"/>
      <c r="Y3782"/>
      <c r="Z3782"/>
      <c r="AA3782"/>
      <c r="AC3782"/>
      <c r="AR3782"/>
    </row>
    <row r="3783" spans="24:44">
      <c r="X3783"/>
      <c r="Y3783"/>
      <c r="Z3783"/>
      <c r="AA3783"/>
      <c r="AC3783"/>
      <c r="AR3783"/>
    </row>
    <row r="3784" spans="24:44">
      <c r="X3784"/>
      <c r="Y3784"/>
      <c r="Z3784"/>
      <c r="AA3784"/>
      <c r="AC3784"/>
      <c r="AR3784"/>
    </row>
    <row r="3785" spans="24:44">
      <c r="X3785"/>
      <c r="Y3785"/>
      <c r="Z3785"/>
      <c r="AA3785"/>
      <c r="AC3785"/>
      <c r="AR3785"/>
    </row>
    <row r="3786" spans="24:44">
      <c r="X3786"/>
      <c r="Y3786"/>
      <c r="Z3786"/>
      <c r="AA3786"/>
      <c r="AC3786"/>
      <c r="AR3786"/>
    </row>
    <row r="3787" spans="24:44">
      <c r="X3787"/>
      <c r="Y3787"/>
      <c r="Z3787"/>
      <c r="AA3787"/>
      <c r="AC3787"/>
      <c r="AR3787"/>
    </row>
    <row r="3788" spans="24:44">
      <c r="X3788"/>
      <c r="Y3788"/>
      <c r="Z3788"/>
      <c r="AA3788"/>
      <c r="AC3788"/>
      <c r="AR3788"/>
    </row>
    <row r="3789" spans="24:44">
      <c r="X3789"/>
      <c r="Y3789"/>
      <c r="Z3789"/>
      <c r="AA3789"/>
      <c r="AC3789"/>
      <c r="AR3789"/>
    </row>
    <row r="3790" spans="24:44">
      <c r="X3790"/>
      <c r="Y3790"/>
      <c r="Z3790"/>
      <c r="AA3790"/>
      <c r="AC3790"/>
      <c r="AR3790"/>
    </row>
    <row r="3791" spans="24:44">
      <c r="X3791"/>
      <c r="Y3791"/>
      <c r="Z3791"/>
      <c r="AA3791"/>
      <c r="AC3791"/>
      <c r="AR3791"/>
    </row>
    <row r="3792" spans="24:44">
      <c r="X3792"/>
      <c r="Y3792"/>
      <c r="Z3792"/>
      <c r="AA3792"/>
      <c r="AC3792"/>
      <c r="AR3792"/>
    </row>
    <row r="3793" spans="24:44">
      <c r="X3793"/>
      <c r="Y3793"/>
      <c r="Z3793"/>
      <c r="AA3793"/>
      <c r="AC3793"/>
      <c r="AR3793"/>
    </row>
    <row r="3794" spans="24:44">
      <c r="X3794"/>
      <c r="Y3794"/>
      <c r="Z3794"/>
      <c r="AA3794"/>
      <c r="AC3794"/>
      <c r="AR3794"/>
    </row>
    <row r="3795" spans="24:44">
      <c r="X3795"/>
      <c r="Y3795"/>
      <c r="Z3795"/>
      <c r="AA3795"/>
      <c r="AC3795"/>
      <c r="AR3795"/>
    </row>
    <row r="3796" spans="24:44">
      <c r="X3796"/>
      <c r="Y3796"/>
      <c r="Z3796"/>
      <c r="AA3796"/>
      <c r="AC3796"/>
      <c r="AR3796"/>
    </row>
    <row r="3797" spans="24:44">
      <c r="X3797"/>
      <c r="Y3797"/>
      <c r="Z3797"/>
      <c r="AA3797"/>
      <c r="AC3797"/>
      <c r="AR3797"/>
    </row>
    <row r="3798" spans="24:44">
      <c r="X3798"/>
      <c r="Y3798"/>
      <c r="Z3798"/>
      <c r="AA3798"/>
      <c r="AC3798"/>
      <c r="AR3798"/>
    </row>
    <row r="3799" spans="24:44">
      <c r="X3799"/>
      <c r="Y3799"/>
      <c r="Z3799"/>
      <c r="AA3799"/>
      <c r="AC3799"/>
      <c r="AR3799"/>
    </row>
    <row r="3800" spans="24:44">
      <c r="X3800"/>
      <c r="Y3800"/>
      <c r="Z3800"/>
      <c r="AA3800"/>
      <c r="AC3800"/>
      <c r="AR3800"/>
    </row>
    <row r="3801" spans="24:44">
      <c r="X3801"/>
      <c r="Y3801"/>
      <c r="Z3801"/>
      <c r="AA3801"/>
      <c r="AC3801"/>
      <c r="AR3801"/>
    </row>
    <row r="3802" spans="24:44">
      <c r="X3802"/>
      <c r="Y3802"/>
      <c r="Z3802"/>
      <c r="AA3802"/>
      <c r="AC3802"/>
      <c r="AR3802"/>
    </row>
    <row r="3803" spans="24:44">
      <c r="X3803"/>
      <c r="Y3803"/>
      <c r="Z3803"/>
      <c r="AA3803"/>
      <c r="AC3803"/>
      <c r="AR3803"/>
    </row>
    <row r="3804" spans="24:44">
      <c r="X3804"/>
      <c r="Y3804"/>
      <c r="Z3804"/>
      <c r="AA3804"/>
      <c r="AC3804"/>
      <c r="AR3804"/>
    </row>
    <row r="3805" spans="24:44">
      <c r="X3805"/>
      <c r="Y3805"/>
      <c r="Z3805"/>
      <c r="AA3805"/>
      <c r="AC3805"/>
      <c r="AR3805"/>
    </row>
    <row r="3806" spans="24:44">
      <c r="X3806"/>
      <c r="Y3806"/>
      <c r="Z3806"/>
      <c r="AA3806"/>
      <c r="AC3806"/>
      <c r="AR3806"/>
    </row>
    <row r="3807" spans="24:44">
      <c r="X3807"/>
      <c r="Y3807"/>
      <c r="Z3807"/>
      <c r="AA3807"/>
      <c r="AC3807"/>
      <c r="AR3807"/>
    </row>
    <row r="3808" spans="24:44">
      <c r="X3808"/>
      <c r="Y3808"/>
      <c r="Z3808"/>
      <c r="AA3808"/>
      <c r="AC3808"/>
      <c r="AR3808"/>
    </row>
    <row r="3809" spans="24:44">
      <c r="X3809"/>
      <c r="Y3809"/>
      <c r="Z3809"/>
      <c r="AA3809"/>
      <c r="AC3809"/>
      <c r="AR3809"/>
    </row>
    <row r="3810" spans="24:44">
      <c r="X3810"/>
      <c r="Y3810"/>
      <c r="Z3810"/>
      <c r="AA3810"/>
      <c r="AC3810"/>
      <c r="AR3810"/>
    </row>
    <row r="3811" spans="24:44">
      <c r="X3811"/>
      <c r="Y3811"/>
      <c r="Z3811"/>
      <c r="AA3811"/>
      <c r="AC3811"/>
      <c r="AR3811"/>
    </row>
    <row r="3812" spans="24:44">
      <c r="X3812"/>
      <c r="Y3812"/>
      <c r="Z3812"/>
      <c r="AA3812"/>
      <c r="AC3812"/>
      <c r="AR3812"/>
    </row>
    <row r="3813" spans="24:44">
      <c r="X3813"/>
      <c r="Y3813"/>
      <c r="Z3813"/>
      <c r="AA3813"/>
      <c r="AC3813"/>
      <c r="AR3813"/>
    </row>
    <row r="3814" spans="24:44">
      <c r="X3814"/>
      <c r="Y3814"/>
      <c r="Z3814"/>
      <c r="AA3814"/>
      <c r="AC3814"/>
      <c r="AR3814"/>
    </row>
    <row r="3815" spans="24:44">
      <c r="X3815"/>
      <c r="Y3815"/>
      <c r="Z3815"/>
      <c r="AA3815"/>
      <c r="AC3815"/>
      <c r="AR3815"/>
    </row>
    <row r="3816" spans="24:44">
      <c r="X3816"/>
      <c r="Y3816"/>
      <c r="Z3816"/>
      <c r="AA3816"/>
      <c r="AC3816"/>
      <c r="AR3816"/>
    </row>
    <row r="3817" spans="24:44">
      <c r="X3817"/>
      <c r="Y3817"/>
      <c r="Z3817"/>
      <c r="AA3817"/>
      <c r="AC3817"/>
      <c r="AR3817"/>
    </row>
    <row r="3818" spans="24:44">
      <c r="X3818"/>
      <c r="Y3818"/>
      <c r="Z3818"/>
      <c r="AA3818"/>
      <c r="AC3818"/>
      <c r="AR3818"/>
    </row>
    <row r="3819" spans="24:44">
      <c r="X3819"/>
      <c r="Y3819"/>
      <c r="Z3819"/>
      <c r="AA3819"/>
      <c r="AC3819"/>
      <c r="AR3819"/>
    </row>
    <row r="3820" spans="24:44">
      <c r="X3820"/>
      <c r="Y3820"/>
      <c r="Z3820"/>
      <c r="AA3820"/>
      <c r="AC3820"/>
      <c r="AR3820"/>
    </row>
    <row r="3821" spans="24:44">
      <c r="X3821"/>
      <c r="Y3821"/>
      <c r="Z3821"/>
      <c r="AA3821"/>
      <c r="AC3821"/>
      <c r="AR3821"/>
    </row>
    <row r="3822" spans="24:44">
      <c r="X3822"/>
      <c r="Y3822"/>
      <c r="Z3822"/>
      <c r="AA3822"/>
      <c r="AC3822"/>
      <c r="AR3822"/>
    </row>
    <row r="3823" spans="24:44">
      <c r="X3823"/>
      <c r="Y3823"/>
      <c r="Z3823"/>
      <c r="AA3823"/>
      <c r="AC3823"/>
      <c r="AR3823"/>
    </row>
    <row r="3824" spans="24:44">
      <c r="X3824"/>
      <c r="Y3824"/>
      <c r="Z3824"/>
      <c r="AA3824"/>
      <c r="AC3824"/>
      <c r="AR3824"/>
    </row>
    <row r="3825" spans="24:44">
      <c r="X3825"/>
      <c r="Y3825"/>
      <c r="Z3825"/>
      <c r="AA3825"/>
      <c r="AC3825"/>
      <c r="AR3825"/>
    </row>
    <row r="3826" spans="24:44">
      <c r="X3826"/>
      <c r="Y3826"/>
      <c r="Z3826"/>
      <c r="AA3826"/>
      <c r="AC3826"/>
      <c r="AR3826"/>
    </row>
    <row r="3827" spans="24:44">
      <c r="X3827"/>
      <c r="Y3827"/>
      <c r="Z3827"/>
      <c r="AA3827"/>
      <c r="AC3827"/>
      <c r="AR3827"/>
    </row>
    <row r="3828" spans="24:44">
      <c r="X3828"/>
      <c r="Y3828"/>
      <c r="Z3828"/>
      <c r="AA3828"/>
      <c r="AC3828"/>
      <c r="AR3828"/>
    </row>
    <row r="3829" spans="24:44">
      <c r="X3829"/>
      <c r="Y3829"/>
      <c r="Z3829"/>
      <c r="AA3829"/>
      <c r="AC3829"/>
      <c r="AR3829"/>
    </row>
    <row r="3830" spans="24:44">
      <c r="X3830"/>
      <c r="Y3830"/>
      <c r="Z3830"/>
      <c r="AA3830"/>
      <c r="AC3830"/>
      <c r="AR3830"/>
    </row>
    <row r="3831" spans="24:44">
      <c r="X3831"/>
      <c r="Y3831"/>
      <c r="Z3831"/>
      <c r="AA3831"/>
      <c r="AC3831"/>
      <c r="AR3831"/>
    </row>
    <row r="3832" spans="24:44">
      <c r="X3832"/>
      <c r="Y3832"/>
      <c r="Z3832"/>
      <c r="AA3832"/>
      <c r="AC3832"/>
      <c r="AR3832"/>
    </row>
    <row r="3833" spans="24:44">
      <c r="X3833"/>
      <c r="Y3833"/>
      <c r="Z3833"/>
      <c r="AA3833"/>
      <c r="AC3833"/>
      <c r="AR3833"/>
    </row>
    <row r="3834" spans="24:44">
      <c r="X3834"/>
      <c r="Y3834"/>
      <c r="Z3834"/>
      <c r="AA3834"/>
      <c r="AC3834"/>
      <c r="AR3834"/>
    </row>
    <row r="3835" spans="24:44">
      <c r="X3835"/>
      <c r="Y3835"/>
      <c r="Z3835"/>
      <c r="AA3835"/>
      <c r="AC3835"/>
      <c r="AR3835"/>
    </row>
    <row r="3836" spans="24:44">
      <c r="X3836"/>
      <c r="Y3836"/>
      <c r="Z3836"/>
      <c r="AA3836"/>
      <c r="AC3836"/>
      <c r="AR3836"/>
    </row>
    <row r="3837" spans="24:44">
      <c r="X3837"/>
      <c r="Y3837"/>
      <c r="Z3837"/>
      <c r="AA3837"/>
      <c r="AC3837"/>
      <c r="AR3837"/>
    </row>
    <row r="3838" spans="24:44">
      <c r="X3838"/>
      <c r="Y3838"/>
      <c r="Z3838"/>
      <c r="AA3838"/>
      <c r="AC3838"/>
      <c r="AR3838"/>
    </row>
    <row r="3839" spans="24:44">
      <c r="X3839"/>
      <c r="Y3839"/>
      <c r="Z3839"/>
      <c r="AA3839"/>
      <c r="AC3839"/>
      <c r="AR3839"/>
    </row>
    <row r="3840" spans="24:44">
      <c r="X3840"/>
      <c r="Y3840"/>
      <c r="Z3840"/>
      <c r="AA3840"/>
      <c r="AC3840"/>
      <c r="AR3840"/>
    </row>
    <row r="3841" spans="24:44">
      <c r="X3841"/>
      <c r="Y3841"/>
      <c r="Z3841"/>
      <c r="AA3841"/>
      <c r="AC3841"/>
      <c r="AR3841"/>
    </row>
    <row r="3842" spans="24:44">
      <c r="X3842"/>
      <c r="Y3842"/>
      <c r="Z3842"/>
      <c r="AA3842"/>
      <c r="AC3842"/>
      <c r="AR3842"/>
    </row>
    <row r="3843" spans="24:44">
      <c r="X3843"/>
      <c r="Y3843"/>
      <c r="Z3843"/>
      <c r="AA3843"/>
      <c r="AC3843"/>
      <c r="AR3843"/>
    </row>
    <row r="3844" spans="24:44">
      <c r="X3844"/>
      <c r="Y3844"/>
      <c r="Z3844"/>
      <c r="AA3844"/>
      <c r="AC3844"/>
      <c r="AR3844"/>
    </row>
    <row r="3845" spans="24:44">
      <c r="X3845"/>
      <c r="Y3845"/>
      <c r="Z3845"/>
      <c r="AA3845"/>
      <c r="AC3845"/>
      <c r="AR3845"/>
    </row>
    <row r="3846" spans="24:44">
      <c r="X3846"/>
      <c r="Y3846"/>
      <c r="Z3846"/>
      <c r="AA3846"/>
      <c r="AC3846"/>
      <c r="AR3846"/>
    </row>
    <row r="3847" spans="24:44">
      <c r="X3847"/>
      <c r="Y3847"/>
      <c r="Z3847"/>
      <c r="AA3847"/>
      <c r="AC3847"/>
      <c r="AR3847"/>
    </row>
    <row r="3848" spans="24:44">
      <c r="X3848"/>
      <c r="Y3848"/>
      <c r="Z3848"/>
      <c r="AA3848"/>
      <c r="AC3848"/>
      <c r="AR3848"/>
    </row>
    <row r="3849" spans="24:44">
      <c r="X3849"/>
      <c r="Y3849"/>
      <c r="Z3849"/>
      <c r="AA3849"/>
      <c r="AC3849"/>
      <c r="AR3849"/>
    </row>
    <row r="3850" spans="24:44">
      <c r="X3850"/>
      <c r="Y3850"/>
      <c r="Z3850"/>
      <c r="AA3850"/>
      <c r="AC3850"/>
      <c r="AR3850"/>
    </row>
    <row r="3851" spans="24:44">
      <c r="X3851"/>
      <c r="Y3851"/>
      <c r="Z3851"/>
      <c r="AA3851"/>
      <c r="AC3851"/>
      <c r="AR3851"/>
    </row>
    <row r="3852" spans="24:44">
      <c r="X3852"/>
      <c r="Y3852"/>
      <c r="Z3852"/>
      <c r="AA3852"/>
      <c r="AC3852"/>
      <c r="AR3852"/>
    </row>
    <row r="3853" spans="24:44">
      <c r="X3853"/>
      <c r="Y3853"/>
      <c r="Z3853"/>
      <c r="AA3853"/>
      <c r="AC3853"/>
      <c r="AR3853"/>
    </row>
    <row r="3854" spans="24:44">
      <c r="X3854"/>
      <c r="Y3854"/>
      <c r="Z3854"/>
      <c r="AA3854"/>
      <c r="AC3854"/>
      <c r="AR3854"/>
    </row>
    <row r="3855" spans="24:44">
      <c r="X3855"/>
      <c r="Y3855"/>
      <c r="Z3855"/>
      <c r="AA3855"/>
      <c r="AC3855"/>
      <c r="AR3855"/>
    </row>
    <row r="3856" spans="24:44">
      <c r="X3856"/>
      <c r="Y3856"/>
      <c r="Z3856"/>
      <c r="AA3856"/>
      <c r="AC3856"/>
      <c r="AR3856"/>
    </row>
    <row r="3857" spans="24:44">
      <c r="X3857"/>
      <c r="Y3857"/>
      <c r="Z3857"/>
      <c r="AA3857"/>
      <c r="AC3857"/>
      <c r="AR3857"/>
    </row>
    <row r="3858" spans="24:44">
      <c r="X3858"/>
      <c r="Y3858"/>
      <c r="Z3858"/>
      <c r="AA3858"/>
      <c r="AC3858"/>
      <c r="AR3858"/>
    </row>
    <row r="3859" spans="24:44">
      <c r="X3859"/>
      <c r="Y3859"/>
      <c r="Z3859"/>
      <c r="AA3859"/>
      <c r="AC3859"/>
      <c r="AR3859"/>
    </row>
    <row r="3860" spans="24:44">
      <c r="X3860"/>
      <c r="Y3860"/>
      <c r="Z3860"/>
      <c r="AA3860"/>
      <c r="AC3860"/>
      <c r="AR3860"/>
    </row>
    <row r="3861" spans="24:44">
      <c r="X3861"/>
      <c r="Y3861"/>
      <c r="Z3861"/>
      <c r="AA3861"/>
      <c r="AC3861"/>
      <c r="AR3861"/>
    </row>
    <row r="3862" spans="24:44">
      <c r="X3862"/>
      <c r="Y3862"/>
      <c r="Z3862"/>
      <c r="AA3862"/>
      <c r="AC3862"/>
      <c r="AR3862"/>
    </row>
    <row r="3863" spans="24:44">
      <c r="X3863"/>
      <c r="Y3863"/>
      <c r="Z3863"/>
      <c r="AA3863"/>
      <c r="AC3863"/>
      <c r="AR3863"/>
    </row>
    <row r="3864" spans="24:44">
      <c r="X3864"/>
      <c r="Y3864"/>
      <c r="Z3864"/>
      <c r="AA3864"/>
      <c r="AC3864"/>
      <c r="AR3864"/>
    </row>
    <row r="3865" spans="24:44">
      <c r="X3865"/>
      <c r="Y3865"/>
      <c r="Z3865"/>
      <c r="AA3865"/>
      <c r="AC3865"/>
      <c r="AR3865"/>
    </row>
    <row r="3866" spans="24:44">
      <c r="X3866"/>
      <c r="Y3866"/>
      <c r="Z3866"/>
      <c r="AA3866"/>
      <c r="AC3866"/>
      <c r="AR3866"/>
    </row>
    <row r="3867" spans="24:44">
      <c r="X3867"/>
      <c r="Y3867"/>
      <c r="Z3867"/>
      <c r="AA3867"/>
      <c r="AC3867"/>
      <c r="AR3867"/>
    </row>
    <row r="3868" spans="24:44">
      <c r="X3868"/>
      <c r="Y3868"/>
      <c r="Z3868"/>
      <c r="AA3868"/>
      <c r="AC3868"/>
      <c r="AR3868"/>
    </row>
    <row r="3869" spans="24:44">
      <c r="X3869"/>
      <c r="Y3869"/>
      <c r="Z3869"/>
      <c r="AA3869"/>
      <c r="AC3869"/>
      <c r="AR3869"/>
    </row>
    <row r="3870" spans="24:44">
      <c r="X3870"/>
      <c r="Y3870"/>
      <c r="Z3870"/>
      <c r="AA3870"/>
      <c r="AC3870"/>
      <c r="AR3870"/>
    </row>
    <row r="3871" spans="24:44">
      <c r="X3871"/>
      <c r="Y3871"/>
      <c r="Z3871"/>
      <c r="AA3871"/>
      <c r="AC3871"/>
      <c r="AR3871"/>
    </row>
    <row r="3872" spans="24:44">
      <c r="X3872"/>
      <c r="Y3872"/>
      <c r="Z3872"/>
      <c r="AA3872"/>
      <c r="AC3872"/>
      <c r="AR3872"/>
    </row>
    <row r="3873" spans="24:44">
      <c r="X3873"/>
      <c r="Y3873"/>
      <c r="Z3873"/>
      <c r="AA3873"/>
      <c r="AC3873"/>
      <c r="AR3873"/>
    </row>
    <row r="3874" spans="24:44">
      <c r="X3874"/>
      <c r="Y3874"/>
      <c r="Z3874"/>
      <c r="AA3874"/>
      <c r="AC3874"/>
      <c r="AR3874"/>
    </row>
    <row r="3875" spans="24:44">
      <c r="X3875"/>
      <c r="Y3875"/>
      <c r="Z3875"/>
      <c r="AA3875"/>
      <c r="AC3875"/>
      <c r="AR3875"/>
    </row>
    <row r="3876" spans="24:44">
      <c r="X3876"/>
      <c r="Y3876"/>
      <c r="Z3876"/>
      <c r="AA3876"/>
      <c r="AC3876"/>
      <c r="AR3876"/>
    </row>
    <row r="3877" spans="24:44">
      <c r="X3877"/>
      <c r="Y3877"/>
      <c r="Z3877"/>
      <c r="AA3877"/>
      <c r="AC3877"/>
      <c r="AR3877"/>
    </row>
    <row r="3878" spans="24:44">
      <c r="X3878"/>
      <c r="Y3878"/>
      <c r="Z3878"/>
      <c r="AA3878"/>
      <c r="AC3878"/>
      <c r="AR3878"/>
    </row>
    <row r="3879" spans="24:44">
      <c r="X3879"/>
      <c r="Y3879"/>
      <c r="Z3879"/>
      <c r="AA3879"/>
      <c r="AC3879"/>
      <c r="AR3879"/>
    </row>
    <row r="3880" spans="24:44">
      <c r="X3880"/>
      <c r="Y3880"/>
      <c r="Z3880"/>
      <c r="AA3880"/>
      <c r="AC3880"/>
      <c r="AR3880"/>
    </row>
    <row r="3881" spans="24:44">
      <c r="X3881"/>
      <c r="Y3881"/>
      <c r="Z3881"/>
      <c r="AA3881"/>
      <c r="AC3881"/>
      <c r="AR3881"/>
    </row>
    <row r="3882" spans="24:44">
      <c r="X3882"/>
      <c r="Y3882"/>
      <c r="Z3882"/>
      <c r="AA3882"/>
      <c r="AC3882"/>
      <c r="AR3882"/>
    </row>
    <row r="3883" spans="24:44">
      <c r="X3883"/>
      <c r="Y3883"/>
      <c r="Z3883"/>
      <c r="AA3883"/>
      <c r="AC3883"/>
      <c r="AR3883"/>
    </row>
    <row r="3884" spans="24:44">
      <c r="X3884"/>
      <c r="Y3884"/>
      <c r="Z3884"/>
      <c r="AA3884"/>
      <c r="AC3884"/>
      <c r="AR3884"/>
    </row>
    <row r="3885" spans="24:44">
      <c r="X3885"/>
      <c r="Y3885"/>
      <c r="Z3885"/>
      <c r="AA3885"/>
      <c r="AC3885"/>
      <c r="AR3885"/>
    </row>
    <row r="3886" spans="24:44">
      <c r="X3886"/>
      <c r="Y3886"/>
      <c r="Z3886"/>
      <c r="AA3886"/>
      <c r="AC3886"/>
      <c r="AR3886"/>
    </row>
    <row r="3887" spans="24:44">
      <c r="X3887"/>
      <c r="Y3887"/>
      <c r="Z3887"/>
      <c r="AA3887"/>
      <c r="AC3887"/>
      <c r="AR3887"/>
    </row>
    <row r="3888" spans="24:44">
      <c r="X3888"/>
      <c r="Y3888"/>
      <c r="Z3888"/>
      <c r="AA3888"/>
      <c r="AC3888"/>
      <c r="AR3888"/>
    </row>
    <row r="3889" spans="24:44">
      <c r="X3889"/>
      <c r="Y3889"/>
      <c r="Z3889"/>
      <c r="AA3889"/>
      <c r="AC3889"/>
      <c r="AR3889"/>
    </row>
    <row r="3890" spans="24:44">
      <c r="X3890"/>
      <c r="Y3890"/>
      <c r="Z3890"/>
      <c r="AA3890"/>
      <c r="AC3890"/>
      <c r="AR3890"/>
    </row>
    <row r="3891" spans="24:44">
      <c r="X3891"/>
      <c r="Y3891"/>
      <c r="Z3891"/>
      <c r="AA3891"/>
      <c r="AC3891"/>
      <c r="AR3891"/>
    </row>
    <row r="3892" spans="24:44">
      <c r="X3892"/>
      <c r="Y3892"/>
      <c r="Z3892"/>
      <c r="AA3892"/>
      <c r="AC3892"/>
      <c r="AR3892"/>
    </row>
    <row r="3893" spans="24:44">
      <c r="X3893"/>
      <c r="Y3893"/>
      <c r="Z3893"/>
      <c r="AA3893"/>
      <c r="AC3893"/>
      <c r="AR3893"/>
    </row>
    <row r="3894" spans="24:44">
      <c r="X3894"/>
      <c r="Y3894"/>
      <c r="Z3894"/>
      <c r="AA3894"/>
      <c r="AC3894"/>
      <c r="AR3894"/>
    </row>
    <row r="3895" spans="24:44">
      <c r="X3895"/>
      <c r="Y3895"/>
      <c r="Z3895"/>
      <c r="AA3895"/>
      <c r="AC3895"/>
      <c r="AR3895"/>
    </row>
    <row r="3896" spans="24:44">
      <c r="X3896"/>
      <c r="Y3896"/>
      <c r="Z3896"/>
      <c r="AA3896"/>
      <c r="AC3896"/>
      <c r="AR3896"/>
    </row>
    <row r="3897" spans="24:44">
      <c r="X3897"/>
      <c r="Y3897"/>
      <c r="Z3897"/>
      <c r="AA3897"/>
      <c r="AC3897"/>
      <c r="AR3897"/>
    </row>
    <row r="3898" spans="24:44">
      <c r="X3898"/>
      <c r="Y3898"/>
      <c r="Z3898"/>
      <c r="AA3898"/>
      <c r="AC3898"/>
      <c r="AR3898"/>
    </row>
    <row r="3899" spans="24:44">
      <c r="X3899"/>
      <c r="Y3899"/>
      <c r="Z3899"/>
      <c r="AA3899"/>
      <c r="AC3899"/>
      <c r="AR3899"/>
    </row>
    <row r="3900" spans="24:44">
      <c r="X3900"/>
      <c r="Y3900"/>
      <c r="Z3900"/>
      <c r="AA3900"/>
      <c r="AC3900"/>
      <c r="AR3900"/>
    </row>
    <row r="3901" spans="24:44">
      <c r="X3901"/>
      <c r="Y3901"/>
      <c r="Z3901"/>
      <c r="AA3901"/>
      <c r="AC3901"/>
      <c r="AR3901"/>
    </row>
    <row r="3902" spans="24:44">
      <c r="X3902"/>
      <c r="Y3902"/>
      <c r="Z3902"/>
      <c r="AA3902"/>
      <c r="AC3902"/>
      <c r="AR3902"/>
    </row>
    <row r="3903" spans="24:44">
      <c r="X3903"/>
      <c r="Y3903"/>
      <c r="Z3903"/>
      <c r="AA3903"/>
      <c r="AC3903"/>
      <c r="AR3903"/>
    </row>
    <row r="3904" spans="24:44">
      <c r="X3904"/>
      <c r="Y3904"/>
      <c r="Z3904"/>
      <c r="AA3904"/>
      <c r="AC3904"/>
      <c r="AR3904"/>
    </row>
    <row r="3905" spans="24:44">
      <c r="X3905"/>
      <c r="Y3905"/>
      <c r="Z3905"/>
      <c r="AA3905"/>
      <c r="AC3905"/>
      <c r="AR3905"/>
    </row>
    <row r="3906" spans="24:44">
      <c r="X3906"/>
      <c r="Y3906"/>
      <c r="Z3906"/>
      <c r="AA3906"/>
      <c r="AC3906"/>
      <c r="AR3906"/>
    </row>
    <row r="3907" spans="24:44">
      <c r="X3907"/>
      <c r="Y3907"/>
      <c r="Z3907"/>
      <c r="AA3907"/>
      <c r="AC3907"/>
      <c r="AR3907"/>
    </row>
    <row r="3908" spans="24:44">
      <c r="X3908"/>
      <c r="Y3908"/>
      <c r="Z3908"/>
      <c r="AA3908"/>
      <c r="AC3908"/>
      <c r="AR3908"/>
    </row>
    <row r="3909" spans="24:44">
      <c r="X3909"/>
      <c r="Y3909"/>
      <c r="Z3909"/>
      <c r="AA3909"/>
      <c r="AC3909"/>
      <c r="AR3909"/>
    </row>
    <row r="3910" spans="24:44">
      <c r="X3910"/>
      <c r="Y3910"/>
      <c r="Z3910"/>
      <c r="AA3910"/>
      <c r="AC3910"/>
      <c r="AR3910"/>
    </row>
    <row r="3911" spans="24:44">
      <c r="X3911"/>
      <c r="Y3911"/>
      <c r="Z3911"/>
      <c r="AA3911"/>
      <c r="AC3911"/>
      <c r="AR3911"/>
    </row>
    <row r="3912" spans="24:44">
      <c r="X3912"/>
      <c r="Y3912"/>
      <c r="Z3912"/>
      <c r="AA3912"/>
      <c r="AC3912"/>
      <c r="AR3912"/>
    </row>
    <row r="3913" spans="24:44">
      <c r="X3913"/>
      <c r="Y3913"/>
      <c r="Z3913"/>
      <c r="AA3913"/>
      <c r="AC3913"/>
      <c r="AR3913"/>
    </row>
    <row r="3914" spans="24:44">
      <c r="X3914"/>
      <c r="Y3914"/>
      <c r="Z3914"/>
      <c r="AA3914"/>
      <c r="AC3914"/>
      <c r="AR3914"/>
    </row>
    <row r="3915" spans="24:44">
      <c r="X3915"/>
      <c r="Y3915"/>
      <c r="Z3915"/>
      <c r="AA3915"/>
      <c r="AC3915"/>
      <c r="AR3915"/>
    </row>
    <row r="3916" spans="24:44">
      <c r="X3916"/>
      <c r="Y3916"/>
      <c r="Z3916"/>
      <c r="AA3916"/>
      <c r="AC3916"/>
      <c r="AR3916"/>
    </row>
    <row r="3917" spans="24:44">
      <c r="X3917"/>
      <c r="Y3917"/>
      <c r="Z3917"/>
      <c r="AA3917"/>
      <c r="AC3917"/>
      <c r="AR3917"/>
    </row>
    <row r="3918" spans="24:44">
      <c r="X3918"/>
      <c r="Y3918"/>
      <c r="Z3918"/>
      <c r="AA3918"/>
      <c r="AC3918"/>
      <c r="AR3918"/>
    </row>
    <row r="3919" spans="24:44">
      <c r="X3919"/>
      <c r="Y3919"/>
      <c r="Z3919"/>
      <c r="AA3919"/>
      <c r="AC3919"/>
      <c r="AR3919"/>
    </row>
    <row r="3920" spans="24:44">
      <c r="X3920"/>
      <c r="Y3920"/>
      <c r="Z3920"/>
      <c r="AA3920"/>
      <c r="AC3920"/>
      <c r="AR3920"/>
    </row>
    <row r="3921" spans="24:44">
      <c r="X3921"/>
      <c r="Y3921"/>
      <c r="Z3921"/>
      <c r="AA3921"/>
      <c r="AC3921"/>
      <c r="AR3921"/>
    </row>
    <row r="3922" spans="24:44">
      <c r="X3922"/>
      <c r="Y3922"/>
      <c r="Z3922"/>
      <c r="AA3922"/>
      <c r="AC3922"/>
      <c r="AR3922"/>
    </row>
    <row r="3923" spans="24:44">
      <c r="X3923"/>
      <c r="Y3923"/>
      <c r="Z3923"/>
      <c r="AA3923"/>
      <c r="AC3923"/>
      <c r="AR3923"/>
    </row>
    <row r="3924" spans="24:44">
      <c r="X3924"/>
      <c r="Y3924"/>
      <c r="Z3924"/>
      <c r="AA3924"/>
      <c r="AC3924"/>
      <c r="AR3924"/>
    </row>
    <row r="3925" spans="24:44">
      <c r="X3925"/>
      <c r="Y3925"/>
      <c r="Z3925"/>
      <c r="AA3925"/>
      <c r="AC3925"/>
      <c r="AR3925"/>
    </row>
    <row r="3926" spans="24:44">
      <c r="X3926"/>
      <c r="Y3926"/>
      <c r="Z3926"/>
      <c r="AA3926"/>
      <c r="AC3926"/>
      <c r="AR3926"/>
    </row>
    <row r="3927" spans="24:44">
      <c r="X3927"/>
      <c r="Y3927"/>
      <c r="Z3927"/>
      <c r="AA3927"/>
      <c r="AC3927"/>
      <c r="AR3927"/>
    </row>
    <row r="3928" spans="24:44">
      <c r="X3928"/>
      <c r="Y3928"/>
      <c r="Z3928"/>
      <c r="AA3928"/>
      <c r="AC3928"/>
      <c r="AR3928"/>
    </row>
    <row r="3929" spans="24:44">
      <c r="X3929"/>
      <c r="Y3929"/>
      <c r="Z3929"/>
      <c r="AA3929"/>
      <c r="AC3929"/>
      <c r="AR3929"/>
    </row>
    <row r="3930" spans="24:44">
      <c r="X3930"/>
      <c r="Y3930"/>
      <c r="Z3930"/>
      <c r="AA3930"/>
      <c r="AC3930"/>
      <c r="AR3930"/>
    </row>
    <row r="3931" spans="24:44">
      <c r="X3931"/>
      <c r="Y3931"/>
      <c r="Z3931"/>
      <c r="AA3931"/>
      <c r="AC3931"/>
      <c r="AR3931"/>
    </row>
    <row r="3932" spans="24:44">
      <c r="X3932"/>
      <c r="Y3932"/>
      <c r="Z3932"/>
      <c r="AA3932"/>
      <c r="AC3932"/>
      <c r="AR3932"/>
    </row>
    <row r="3933" spans="24:44">
      <c r="X3933"/>
      <c r="Y3933"/>
      <c r="Z3933"/>
      <c r="AA3933"/>
      <c r="AC3933"/>
      <c r="AR3933"/>
    </row>
    <row r="3934" spans="24:44">
      <c r="X3934"/>
      <c r="Y3934"/>
      <c r="Z3934"/>
      <c r="AA3934"/>
      <c r="AC3934"/>
      <c r="AR3934"/>
    </row>
    <row r="3935" spans="24:44">
      <c r="X3935"/>
      <c r="Y3935"/>
      <c r="Z3935"/>
      <c r="AA3935"/>
      <c r="AC3935"/>
      <c r="AR3935"/>
    </row>
    <row r="3936" spans="24:44">
      <c r="X3936"/>
      <c r="Y3936"/>
      <c r="Z3936"/>
      <c r="AA3936"/>
      <c r="AC3936"/>
      <c r="AR3936"/>
    </row>
    <row r="3937" spans="24:44">
      <c r="X3937"/>
      <c r="Y3937"/>
      <c r="Z3937"/>
      <c r="AA3937"/>
      <c r="AC3937"/>
      <c r="AR3937"/>
    </row>
    <row r="3938" spans="24:44">
      <c r="X3938"/>
      <c r="Y3938"/>
      <c r="Z3938"/>
      <c r="AA3938"/>
      <c r="AC3938"/>
      <c r="AR3938"/>
    </row>
    <row r="3939" spans="24:44">
      <c r="X3939"/>
      <c r="Y3939"/>
      <c r="Z3939"/>
      <c r="AA3939"/>
      <c r="AC3939"/>
      <c r="AR3939"/>
    </row>
    <row r="3940" spans="24:44">
      <c r="X3940"/>
      <c r="Y3940"/>
      <c r="Z3940"/>
      <c r="AA3940"/>
      <c r="AC3940"/>
      <c r="AR3940"/>
    </row>
    <row r="3941" spans="24:44">
      <c r="X3941"/>
      <c r="Y3941"/>
      <c r="Z3941"/>
      <c r="AA3941"/>
      <c r="AC3941"/>
      <c r="AR3941"/>
    </row>
    <row r="3942" spans="24:44">
      <c r="X3942"/>
      <c r="Y3942"/>
      <c r="Z3942"/>
      <c r="AA3942"/>
      <c r="AC3942"/>
      <c r="AR3942"/>
    </row>
    <row r="3943" spans="24:44">
      <c r="X3943"/>
      <c r="Y3943"/>
      <c r="Z3943"/>
      <c r="AA3943"/>
      <c r="AC3943"/>
      <c r="AR3943"/>
    </row>
    <row r="3944" spans="24:44">
      <c r="X3944"/>
      <c r="Y3944"/>
      <c r="Z3944"/>
      <c r="AA3944"/>
      <c r="AC3944"/>
      <c r="AR3944"/>
    </row>
    <row r="3945" spans="24:44">
      <c r="X3945"/>
      <c r="Y3945"/>
      <c r="Z3945"/>
      <c r="AA3945"/>
      <c r="AC3945"/>
      <c r="AR3945"/>
    </row>
    <row r="3946" spans="24:44">
      <c r="X3946"/>
      <c r="Y3946"/>
      <c r="Z3946"/>
      <c r="AA3946"/>
      <c r="AC3946"/>
      <c r="AR3946"/>
    </row>
    <row r="3947" spans="24:44">
      <c r="X3947"/>
      <c r="Y3947"/>
      <c r="Z3947"/>
      <c r="AA3947"/>
      <c r="AC3947"/>
      <c r="AR3947"/>
    </row>
    <row r="3948" spans="24:44">
      <c r="X3948"/>
      <c r="Y3948"/>
      <c r="Z3948"/>
      <c r="AA3948"/>
      <c r="AC3948"/>
      <c r="AR3948"/>
    </row>
    <row r="3949" spans="24:44">
      <c r="X3949"/>
      <c r="Y3949"/>
      <c r="Z3949"/>
      <c r="AA3949"/>
      <c r="AC3949"/>
      <c r="AR3949"/>
    </row>
    <row r="3950" spans="24:44">
      <c r="X3950"/>
      <c r="Y3950"/>
      <c r="Z3950"/>
      <c r="AA3950"/>
      <c r="AC3950"/>
      <c r="AR3950"/>
    </row>
    <row r="3951" spans="24:44">
      <c r="X3951"/>
      <c r="Y3951"/>
      <c r="Z3951"/>
      <c r="AA3951"/>
      <c r="AC3951"/>
      <c r="AR3951"/>
    </row>
    <row r="3952" spans="24:44">
      <c r="X3952"/>
      <c r="Y3952"/>
      <c r="Z3952"/>
      <c r="AA3952"/>
      <c r="AC3952"/>
      <c r="AR3952"/>
    </row>
    <row r="3953" spans="24:44">
      <c r="X3953"/>
      <c r="Y3953"/>
      <c r="Z3953"/>
      <c r="AA3953"/>
      <c r="AC3953"/>
      <c r="AR3953"/>
    </row>
    <row r="3954" spans="24:44">
      <c r="X3954"/>
      <c r="Y3954"/>
      <c r="Z3954"/>
      <c r="AA3954"/>
      <c r="AC3954"/>
      <c r="AR3954"/>
    </row>
    <row r="3955" spans="24:44">
      <c r="X3955"/>
      <c r="Y3955"/>
      <c r="Z3955"/>
      <c r="AA3955"/>
      <c r="AC3955"/>
      <c r="AR3955"/>
    </row>
    <row r="3956" spans="24:44">
      <c r="X3956"/>
      <c r="Y3956"/>
      <c r="Z3956"/>
      <c r="AA3956"/>
      <c r="AC3956"/>
      <c r="AR3956"/>
    </row>
    <row r="3957" spans="24:44">
      <c r="X3957"/>
      <c r="Y3957"/>
      <c r="Z3957"/>
      <c r="AA3957"/>
      <c r="AC3957"/>
      <c r="AR3957"/>
    </row>
    <row r="3958" spans="24:44">
      <c r="X3958"/>
      <c r="Y3958"/>
      <c r="Z3958"/>
      <c r="AA3958"/>
      <c r="AC3958"/>
      <c r="AR3958"/>
    </row>
    <row r="3959" spans="24:44">
      <c r="X3959"/>
      <c r="Y3959"/>
      <c r="Z3959"/>
      <c r="AA3959"/>
      <c r="AC3959"/>
      <c r="AR3959"/>
    </row>
    <row r="3960" spans="24:44">
      <c r="X3960"/>
      <c r="Y3960"/>
      <c r="Z3960"/>
      <c r="AA3960"/>
      <c r="AC3960"/>
      <c r="AR3960"/>
    </row>
    <row r="3961" spans="24:44">
      <c r="X3961"/>
      <c r="Y3961"/>
      <c r="Z3961"/>
      <c r="AA3961"/>
      <c r="AC3961"/>
      <c r="AR3961"/>
    </row>
    <row r="3962" spans="24:44">
      <c r="X3962"/>
      <c r="Y3962"/>
      <c r="Z3962"/>
      <c r="AA3962"/>
      <c r="AC3962"/>
      <c r="AR3962"/>
    </row>
    <row r="3963" spans="24:44">
      <c r="X3963"/>
      <c r="Y3963"/>
      <c r="Z3963"/>
      <c r="AA3963"/>
      <c r="AC3963"/>
      <c r="AR3963"/>
    </row>
    <row r="3964" spans="24:44">
      <c r="X3964"/>
      <c r="Y3964"/>
      <c r="Z3964"/>
      <c r="AA3964"/>
      <c r="AC3964"/>
      <c r="AR3964"/>
    </row>
    <row r="3965" spans="24:44">
      <c r="X3965"/>
      <c r="Y3965"/>
      <c r="Z3965"/>
      <c r="AA3965"/>
      <c r="AC3965"/>
      <c r="AR3965"/>
    </row>
    <row r="3966" spans="24:44">
      <c r="X3966"/>
      <c r="Y3966"/>
      <c r="Z3966"/>
      <c r="AA3966"/>
      <c r="AC3966"/>
      <c r="AR3966"/>
    </row>
    <row r="3967" spans="24:44">
      <c r="X3967"/>
      <c r="Y3967"/>
      <c r="Z3967"/>
      <c r="AA3967"/>
      <c r="AC3967"/>
      <c r="AR3967"/>
    </row>
    <row r="3968" spans="24:44">
      <c r="X3968"/>
      <c r="Y3968"/>
      <c r="Z3968"/>
      <c r="AA3968"/>
      <c r="AC3968"/>
      <c r="AR3968"/>
    </row>
    <row r="3969" spans="24:44">
      <c r="X3969"/>
      <c r="Y3969"/>
      <c r="Z3969"/>
      <c r="AA3969"/>
      <c r="AC3969"/>
      <c r="AR3969"/>
    </row>
    <row r="3970" spans="24:44">
      <c r="X3970"/>
      <c r="Y3970"/>
      <c r="Z3970"/>
      <c r="AA3970"/>
      <c r="AC3970"/>
      <c r="AR3970"/>
    </row>
    <row r="3971" spans="24:44">
      <c r="X3971"/>
      <c r="Y3971"/>
      <c r="Z3971"/>
      <c r="AA3971"/>
      <c r="AC3971"/>
      <c r="AR3971"/>
    </row>
    <row r="3972" spans="24:44">
      <c r="X3972"/>
      <c r="Y3972"/>
      <c r="Z3972"/>
      <c r="AA3972"/>
      <c r="AC3972"/>
      <c r="AR3972"/>
    </row>
    <row r="3973" spans="24:44">
      <c r="X3973"/>
      <c r="Y3973"/>
      <c r="Z3973"/>
      <c r="AA3973"/>
      <c r="AC3973"/>
      <c r="AR3973"/>
    </row>
    <row r="3974" spans="24:44">
      <c r="X3974"/>
      <c r="Y3974"/>
      <c r="Z3974"/>
      <c r="AA3974"/>
      <c r="AC3974"/>
      <c r="AR3974"/>
    </row>
    <row r="3975" spans="24:44">
      <c r="X3975"/>
      <c r="Y3975"/>
      <c r="Z3975"/>
      <c r="AA3975"/>
      <c r="AC3975"/>
      <c r="AR3975"/>
    </row>
    <row r="3976" spans="24:44">
      <c r="X3976"/>
      <c r="Y3976"/>
      <c r="Z3976"/>
      <c r="AA3976"/>
      <c r="AC3976"/>
      <c r="AR3976"/>
    </row>
    <row r="3977" spans="24:44">
      <c r="X3977"/>
      <c r="Y3977"/>
      <c r="Z3977"/>
      <c r="AA3977"/>
      <c r="AC3977"/>
      <c r="AR3977"/>
    </row>
    <row r="3978" spans="24:44">
      <c r="X3978"/>
      <c r="Y3978"/>
      <c r="Z3978"/>
      <c r="AA3978"/>
      <c r="AC3978"/>
      <c r="AR3978"/>
    </row>
    <row r="3979" spans="24:44">
      <c r="X3979"/>
      <c r="Y3979"/>
      <c r="Z3979"/>
      <c r="AA3979"/>
      <c r="AC3979"/>
      <c r="AR3979"/>
    </row>
    <row r="3980" spans="24:44">
      <c r="X3980"/>
      <c r="Y3980"/>
      <c r="Z3980"/>
      <c r="AA3980"/>
      <c r="AC3980"/>
      <c r="AR3980"/>
    </row>
    <row r="3981" spans="24:44">
      <c r="X3981"/>
      <c r="Y3981"/>
      <c r="Z3981"/>
      <c r="AA3981"/>
      <c r="AC3981"/>
      <c r="AR3981"/>
    </row>
    <row r="3982" spans="24:44">
      <c r="X3982"/>
      <c r="Y3982"/>
      <c r="Z3982"/>
      <c r="AA3982"/>
      <c r="AC3982"/>
      <c r="AR3982"/>
    </row>
    <row r="3983" spans="24:44">
      <c r="X3983"/>
      <c r="Y3983"/>
      <c r="Z3983"/>
      <c r="AA3983"/>
      <c r="AC3983"/>
      <c r="AR3983"/>
    </row>
    <row r="3984" spans="24:44">
      <c r="X3984"/>
      <c r="Y3984"/>
      <c r="Z3984"/>
      <c r="AA3984"/>
      <c r="AC3984"/>
      <c r="AR3984"/>
    </row>
    <row r="3985" spans="24:44">
      <c r="X3985"/>
      <c r="Y3985"/>
      <c r="Z3985"/>
      <c r="AA3985"/>
      <c r="AC3985"/>
      <c r="AR3985"/>
    </row>
    <row r="3986" spans="24:44">
      <c r="X3986"/>
      <c r="Y3986"/>
      <c r="Z3986"/>
      <c r="AA3986"/>
      <c r="AC3986"/>
      <c r="AR3986"/>
    </row>
    <row r="3987" spans="24:44">
      <c r="X3987"/>
      <c r="Y3987"/>
      <c r="Z3987"/>
      <c r="AA3987"/>
      <c r="AC3987"/>
      <c r="AR3987"/>
    </row>
    <row r="3988" spans="24:44">
      <c r="X3988"/>
      <c r="Y3988"/>
      <c r="Z3988"/>
      <c r="AA3988"/>
      <c r="AC3988"/>
      <c r="AR3988"/>
    </row>
    <row r="3989" spans="24:44">
      <c r="X3989"/>
      <c r="Y3989"/>
      <c r="Z3989"/>
      <c r="AA3989"/>
      <c r="AC3989"/>
      <c r="AR3989"/>
    </row>
    <row r="3990" spans="24:44">
      <c r="X3990"/>
      <c r="Y3990"/>
      <c r="Z3990"/>
      <c r="AA3990"/>
      <c r="AC3990"/>
      <c r="AR3990"/>
    </row>
    <row r="3991" spans="24:44">
      <c r="X3991"/>
      <c r="Y3991"/>
      <c r="Z3991"/>
      <c r="AA3991"/>
      <c r="AC3991"/>
      <c r="AR3991"/>
    </row>
    <row r="3992" spans="24:44">
      <c r="X3992"/>
      <c r="Y3992"/>
      <c r="Z3992"/>
      <c r="AA3992"/>
      <c r="AC3992"/>
      <c r="AR3992"/>
    </row>
    <row r="3993" spans="24:44">
      <c r="X3993"/>
      <c r="Y3993"/>
      <c r="Z3993"/>
      <c r="AA3993"/>
      <c r="AC3993"/>
      <c r="AR3993"/>
    </row>
    <row r="3994" spans="24:44">
      <c r="X3994"/>
      <c r="Y3994"/>
      <c r="Z3994"/>
      <c r="AA3994"/>
      <c r="AC3994"/>
      <c r="AR3994"/>
    </row>
    <row r="3995" spans="24:44">
      <c r="X3995"/>
      <c r="Y3995"/>
      <c r="Z3995"/>
      <c r="AA3995"/>
      <c r="AC3995"/>
      <c r="AR3995"/>
    </row>
    <row r="3996" spans="24:44">
      <c r="X3996"/>
      <c r="Y3996"/>
      <c r="Z3996"/>
      <c r="AA3996"/>
      <c r="AC3996"/>
      <c r="AR3996"/>
    </row>
    <row r="3997" spans="24:44">
      <c r="X3997"/>
      <c r="Y3997"/>
      <c r="Z3997"/>
      <c r="AA3997"/>
      <c r="AC3997"/>
      <c r="AR3997"/>
    </row>
    <row r="3998" spans="24:44">
      <c r="X3998"/>
      <c r="Y3998"/>
      <c r="Z3998"/>
      <c r="AA3998"/>
      <c r="AC3998"/>
      <c r="AR3998"/>
    </row>
    <row r="3999" spans="24:44">
      <c r="X3999"/>
      <c r="Y3999"/>
      <c r="Z3999"/>
      <c r="AA3999"/>
      <c r="AC3999"/>
      <c r="AR3999"/>
    </row>
    <row r="4000" spans="24:44">
      <c r="X4000"/>
      <c r="Y4000"/>
      <c r="Z4000"/>
      <c r="AA4000"/>
      <c r="AC4000"/>
      <c r="AR4000"/>
    </row>
    <row r="4001" spans="24:44">
      <c r="X4001"/>
      <c r="Y4001"/>
      <c r="Z4001"/>
      <c r="AA4001"/>
      <c r="AC4001"/>
      <c r="AR4001"/>
    </row>
    <row r="4002" spans="24:44">
      <c r="X4002"/>
      <c r="Y4002"/>
      <c r="Z4002"/>
      <c r="AA4002"/>
      <c r="AC4002"/>
      <c r="AR4002"/>
    </row>
    <row r="4003" spans="24:44">
      <c r="X4003"/>
      <c r="Y4003"/>
      <c r="Z4003"/>
      <c r="AA4003"/>
      <c r="AC4003"/>
      <c r="AR4003"/>
    </row>
    <row r="4004" spans="24:44">
      <c r="X4004"/>
      <c r="Y4004"/>
      <c r="Z4004"/>
      <c r="AA4004"/>
      <c r="AC4004"/>
      <c r="AR4004"/>
    </row>
    <row r="4005" spans="24:44">
      <c r="X4005"/>
      <c r="Y4005"/>
      <c r="Z4005"/>
      <c r="AA4005"/>
      <c r="AC4005"/>
      <c r="AR4005"/>
    </row>
    <row r="4006" spans="24:44">
      <c r="X4006"/>
      <c r="Y4006"/>
      <c r="Z4006"/>
      <c r="AA4006"/>
      <c r="AC4006"/>
      <c r="AR4006"/>
    </row>
    <row r="4007" spans="24:44">
      <c r="X4007"/>
      <c r="Y4007"/>
      <c r="Z4007"/>
      <c r="AA4007"/>
      <c r="AC4007"/>
      <c r="AR4007"/>
    </row>
    <row r="4008" spans="24:44">
      <c r="X4008"/>
      <c r="Y4008"/>
      <c r="Z4008"/>
      <c r="AA4008"/>
      <c r="AC4008"/>
      <c r="AR4008"/>
    </row>
    <row r="4009" spans="24:44">
      <c r="X4009"/>
      <c r="Y4009"/>
      <c r="Z4009"/>
      <c r="AA4009"/>
      <c r="AC4009"/>
      <c r="AR4009"/>
    </row>
    <row r="4010" spans="24:44">
      <c r="X4010"/>
      <c r="Y4010"/>
      <c r="Z4010"/>
      <c r="AA4010"/>
      <c r="AC4010"/>
      <c r="AR4010"/>
    </row>
    <row r="4011" spans="24:44">
      <c r="X4011"/>
      <c r="Y4011"/>
      <c r="Z4011"/>
      <c r="AA4011"/>
      <c r="AC4011"/>
      <c r="AR4011"/>
    </row>
    <row r="4012" spans="24:44">
      <c r="X4012"/>
      <c r="Y4012"/>
      <c r="Z4012"/>
      <c r="AA4012"/>
      <c r="AC4012"/>
      <c r="AR4012"/>
    </row>
    <row r="4013" spans="24:44">
      <c r="X4013"/>
      <c r="Y4013"/>
      <c r="Z4013"/>
      <c r="AA4013"/>
      <c r="AC4013"/>
      <c r="AR4013"/>
    </row>
    <row r="4014" spans="24:44">
      <c r="X4014"/>
      <c r="Y4014"/>
      <c r="Z4014"/>
      <c r="AA4014"/>
      <c r="AC4014"/>
      <c r="AR4014"/>
    </row>
    <row r="4015" spans="24:44">
      <c r="X4015"/>
      <c r="Y4015"/>
      <c r="Z4015"/>
      <c r="AA4015"/>
      <c r="AC4015"/>
      <c r="AR4015"/>
    </row>
    <row r="4016" spans="24:44">
      <c r="X4016"/>
      <c r="Y4016"/>
      <c r="Z4016"/>
      <c r="AA4016"/>
      <c r="AC4016"/>
      <c r="AR4016"/>
    </row>
    <row r="4017" spans="24:44">
      <c r="X4017"/>
      <c r="Y4017"/>
      <c r="Z4017"/>
      <c r="AA4017"/>
      <c r="AC4017"/>
      <c r="AR4017"/>
    </row>
    <row r="4018" spans="24:44">
      <c r="X4018"/>
      <c r="Y4018"/>
      <c r="Z4018"/>
      <c r="AA4018"/>
      <c r="AC4018"/>
      <c r="AR4018"/>
    </row>
    <row r="4019" spans="24:44">
      <c r="X4019"/>
      <c r="Y4019"/>
      <c r="Z4019"/>
      <c r="AA4019"/>
      <c r="AC4019"/>
      <c r="AR4019"/>
    </row>
    <row r="4020" spans="24:44">
      <c r="X4020"/>
      <c r="Y4020"/>
      <c r="Z4020"/>
      <c r="AA4020"/>
      <c r="AC4020"/>
      <c r="AR4020"/>
    </row>
    <row r="4021" spans="24:44">
      <c r="X4021"/>
      <c r="Y4021"/>
      <c r="Z4021"/>
      <c r="AA4021"/>
      <c r="AC4021"/>
      <c r="AR4021"/>
    </row>
    <row r="4022" spans="24:44">
      <c r="X4022"/>
      <c r="Y4022"/>
      <c r="Z4022"/>
      <c r="AA4022"/>
      <c r="AC4022"/>
      <c r="AR4022"/>
    </row>
    <row r="4023" spans="24:44">
      <c r="X4023"/>
      <c r="Y4023"/>
      <c r="Z4023"/>
      <c r="AA4023"/>
      <c r="AC4023"/>
      <c r="AR4023"/>
    </row>
    <row r="4024" spans="24:44">
      <c r="X4024"/>
      <c r="Y4024"/>
      <c r="Z4024"/>
      <c r="AA4024"/>
      <c r="AC4024"/>
      <c r="AR4024"/>
    </row>
    <row r="4025" spans="24:44">
      <c r="X4025"/>
      <c r="Y4025"/>
      <c r="Z4025"/>
      <c r="AA4025"/>
      <c r="AC4025"/>
      <c r="AR4025"/>
    </row>
    <row r="4026" spans="24:44">
      <c r="X4026"/>
      <c r="Y4026"/>
      <c r="Z4026"/>
      <c r="AA4026"/>
      <c r="AC4026"/>
      <c r="AR4026"/>
    </row>
    <row r="4027" spans="24:44">
      <c r="X4027"/>
      <c r="Y4027"/>
      <c r="Z4027"/>
      <c r="AA4027"/>
      <c r="AC4027"/>
      <c r="AR4027"/>
    </row>
    <row r="4028" spans="24:44">
      <c r="X4028"/>
      <c r="Y4028"/>
      <c r="Z4028"/>
      <c r="AA4028"/>
      <c r="AC4028"/>
      <c r="AR4028"/>
    </row>
    <row r="4029" spans="24:44">
      <c r="X4029"/>
      <c r="Y4029"/>
      <c r="Z4029"/>
      <c r="AA4029"/>
      <c r="AC4029"/>
      <c r="AR4029"/>
    </row>
    <row r="4030" spans="24:44">
      <c r="X4030"/>
      <c r="Y4030"/>
      <c r="Z4030"/>
      <c r="AA4030"/>
      <c r="AC4030"/>
      <c r="AR4030"/>
    </row>
    <row r="4031" spans="24:44">
      <c r="X4031"/>
      <c r="Y4031"/>
      <c r="Z4031"/>
      <c r="AA4031"/>
      <c r="AC4031"/>
      <c r="AR4031"/>
    </row>
    <row r="4032" spans="24:44">
      <c r="X4032"/>
      <c r="Y4032"/>
      <c r="Z4032"/>
      <c r="AA4032"/>
      <c r="AC4032"/>
      <c r="AR4032"/>
    </row>
    <row r="4033" spans="24:44">
      <c r="X4033"/>
      <c r="Y4033"/>
      <c r="Z4033"/>
      <c r="AA4033"/>
      <c r="AC4033"/>
      <c r="AR4033"/>
    </row>
    <row r="4034" spans="24:44">
      <c r="X4034"/>
      <c r="Y4034"/>
      <c r="Z4034"/>
      <c r="AA4034"/>
      <c r="AC4034"/>
      <c r="AR4034"/>
    </row>
    <row r="4035" spans="24:44">
      <c r="X4035"/>
      <c r="Y4035"/>
      <c r="Z4035"/>
      <c r="AA4035"/>
      <c r="AC4035"/>
      <c r="AR4035"/>
    </row>
    <row r="4036" spans="24:44">
      <c r="X4036"/>
      <c r="Y4036"/>
      <c r="Z4036"/>
      <c r="AA4036"/>
      <c r="AC4036"/>
      <c r="AR4036"/>
    </row>
    <row r="4037" spans="24:44">
      <c r="X4037"/>
      <c r="Y4037"/>
      <c r="Z4037"/>
      <c r="AA4037"/>
      <c r="AC4037"/>
      <c r="AR4037"/>
    </row>
    <row r="4038" spans="24:44">
      <c r="X4038"/>
      <c r="Y4038"/>
      <c r="Z4038"/>
      <c r="AA4038"/>
      <c r="AC4038"/>
      <c r="AR4038"/>
    </row>
    <row r="4039" spans="24:44">
      <c r="X4039"/>
      <c r="Y4039"/>
      <c r="Z4039"/>
      <c r="AA4039"/>
      <c r="AC4039"/>
      <c r="AR4039"/>
    </row>
    <row r="4040" spans="24:44">
      <c r="X4040"/>
      <c r="Y4040"/>
      <c r="Z4040"/>
      <c r="AA4040"/>
      <c r="AC4040"/>
      <c r="AR4040"/>
    </row>
    <row r="4041" spans="24:44">
      <c r="X4041"/>
      <c r="Y4041"/>
      <c r="Z4041"/>
      <c r="AA4041"/>
      <c r="AC4041"/>
      <c r="AR4041"/>
    </row>
    <row r="4042" spans="24:44">
      <c r="X4042"/>
      <c r="Y4042"/>
      <c r="Z4042"/>
      <c r="AA4042"/>
      <c r="AC4042"/>
      <c r="AR4042"/>
    </row>
    <row r="4043" spans="24:44">
      <c r="X4043"/>
      <c r="Y4043"/>
      <c r="Z4043"/>
      <c r="AA4043"/>
      <c r="AC4043"/>
      <c r="AR4043"/>
    </row>
    <row r="4044" spans="24:44">
      <c r="X4044"/>
      <c r="Y4044"/>
      <c r="Z4044"/>
      <c r="AA4044"/>
      <c r="AC4044"/>
      <c r="AR4044"/>
    </row>
    <row r="4045" spans="24:44">
      <c r="X4045"/>
      <c r="Y4045"/>
      <c r="Z4045"/>
      <c r="AA4045"/>
      <c r="AC4045"/>
      <c r="AR4045"/>
    </row>
    <row r="4046" spans="24:44">
      <c r="X4046"/>
      <c r="Y4046"/>
      <c r="Z4046"/>
      <c r="AA4046"/>
      <c r="AC4046"/>
      <c r="AR4046"/>
    </row>
    <row r="4047" spans="24:44">
      <c r="X4047"/>
      <c r="Y4047"/>
      <c r="Z4047"/>
      <c r="AA4047"/>
      <c r="AC4047"/>
      <c r="AR4047"/>
    </row>
    <row r="4048" spans="24:44">
      <c r="X4048"/>
      <c r="Y4048"/>
      <c r="Z4048"/>
      <c r="AA4048"/>
      <c r="AC4048"/>
      <c r="AR4048"/>
    </row>
    <row r="4049" spans="24:44">
      <c r="X4049"/>
      <c r="Y4049"/>
      <c r="Z4049"/>
      <c r="AA4049"/>
      <c r="AC4049"/>
      <c r="AR4049"/>
    </row>
    <row r="4050" spans="24:44">
      <c r="X4050"/>
      <c r="Y4050"/>
      <c r="Z4050"/>
      <c r="AA4050"/>
      <c r="AC4050"/>
      <c r="AR4050"/>
    </row>
    <row r="4051" spans="24:44">
      <c r="X4051"/>
      <c r="Y4051"/>
      <c r="Z4051"/>
      <c r="AA4051"/>
      <c r="AC4051"/>
      <c r="AR4051"/>
    </row>
    <row r="4052" spans="24:44">
      <c r="X4052"/>
      <c r="Y4052"/>
      <c r="Z4052"/>
      <c r="AA4052"/>
      <c r="AC4052"/>
      <c r="AR4052"/>
    </row>
    <row r="4053" spans="24:44">
      <c r="X4053"/>
      <c r="Y4053"/>
      <c r="Z4053"/>
      <c r="AA4053"/>
      <c r="AC4053"/>
      <c r="AR4053"/>
    </row>
    <row r="4054" spans="24:44">
      <c r="X4054"/>
      <c r="Y4054"/>
      <c r="Z4054"/>
      <c r="AA4054"/>
      <c r="AC4054"/>
      <c r="AR4054"/>
    </row>
    <row r="4055" spans="24:44">
      <c r="X4055"/>
      <c r="Y4055"/>
      <c r="Z4055"/>
      <c r="AA4055"/>
      <c r="AC4055"/>
      <c r="AR4055"/>
    </row>
    <row r="4056" spans="24:44">
      <c r="X4056"/>
      <c r="Y4056"/>
      <c r="Z4056"/>
      <c r="AA4056"/>
      <c r="AC4056"/>
      <c r="AR4056"/>
    </row>
    <row r="4057" spans="24:44">
      <c r="X4057"/>
      <c r="Y4057"/>
      <c r="Z4057"/>
      <c r="AA4057"/>
      <c r="AC4057"/>
      <c r="AR4057"/>
    </row>
    <row r="4058" spans="24:44">
      <c r="X4058"/>
      <c r="Y4058"/>
      <c r="Z4058"/>
      <c r="AA4058"/>
      <c r="AC4058"/>
      <c r="AR4058"/>
    </row>
    <row r="4059" spans="24:44">
      <c r="X4059"/>
      <c r="Y4059"/>
      <c r="Z4059"/>
      <c r="AA4059"/>
      <c r="AC4059"/>
      <c r="AR4059"/>
    </row>
    <row r="4060" spans="24:44">
      <c r="X4060"/>
      <c r="Y4060"/>
      <c r="Z4060"/>
      <c r="AA4060"/>
      <c r="AC4060"/>
      <c r="AR4060"/>
    </row>
    <row r="4061" spans="24:44">
      <c r="X4061"/>
      <c r="Y4061"/>
      <c r="Z4061"/>
      <c r="AA4061"/>
      <c r="AC4061"/>
      <c r="AR4061"/>
    </row>
    <row r="4062" spans="24:44">
      <c r="X4062"/>
      <c r="Y4062"/>
      <c r="Z4062"/>
      <c r="AA4062"/>
      <c r="AC4062"/>
      <c r="AR4062"/>
    </row>
    <row r="4063" spans="24:44">
      <c r="X4063"/>
      <c r="Y4063"/>
      <c r="Z4063"/>
      <c r="AA4063"/>
      <c r="AC4063"/>
      <c r="AR4063"/>
    </row>
    <row r="4064" spans="24:44">
      <c r="X4064"/>
      <c r="Y4064"/>
      <c r="Z4064"/>
      <c r="AA4064"/>
      <c r="AC4064"/>
      <c r="AR4064"/>
    </row>
    <row r="4065" spans="24:44">
      <c r="X4065"/>
      <c r="Y4065"/>
      <c r="Z4065"/>
      <c r="AA4065"/>
      <c r="AC4065"/>
      <c r="AR4065"/>
    </row>
    <row r="4066" spans="24:44">
      <c r="X4066"/>
      <c r="Y4066"/>
      <c r="Z4066"/>
      <c r="AA4066"/>
      <c r="AC4066"/>
      <c r="AR4066"/>
    </row>
    <row r="4067" spans="24:44">
      <c r="X4067"/>
      <c r="Y4067"/>
      <c r="Z4067"/>
      <c r="AA4067"/>
      <c r="AC4067"/>
      <c r="AR4067"/>
    </row>
    <row r="4068" spans="24:44">
      <c r="X4068"/>
      <c r="Y4068"/>
      <c r="Z4068"/>
      <c r="AA4068"/>
      <c r="AC4068"/>
      <c r="AR4068"/>
    </row>
    <row r="4069" spans="24:44">
      <c r="X4069"/>
      <c r="Y4069"/>
      <c r="Z4069"/>
      <c r="AA4069"/>
      <c r="AC4069"/>
      <c r="AR4069"/>
    </row>
    <row r="4070" spans="24:44">
      <c r="X4070"/>
      <c r="Y4070"/>
      <c r="Z4070"/>
      <c r="AA4070"/>
      <c r="AC4070"/>
      <c r="AR4070"/>
    </row>
    <row r="4071" spans="24:44">
      <c r="X4071"/>
      <c r="Y4071"/>
      <c r="Z4071"/>
      <c r="AA4071"/>
      <c r="AC4071"/>
      <c r="AR4071"/>
    </row>
    <row r="4072" spans="24:44">
      <c r="X4072"/>
      <c r="Y4072"/>
      <c r="Z4072"/>
      <c r="AA4072"/>
      <c r="AC4072"/>
      <c r="AR4072"/>
    </row>
    <row r="4073" spans="24:44">
      <c r="X4073"/>
      <c r="Y4073"/>
      <c r="Z4073"/>
      <c r="AA4073"/>
      <c r="AC4073"/>
      <c r="AR4073"/>
    </row>
    <row r="4074" spans="24:44">
      <c r="X4074"/>
      <c r="Y4074"/>
      <c r="Z4074"/>
      <c r="AA4074"/>
      <c r="AC4074"/>
      <c r="AR4074"/>
    </row>
    <row r="4075" spans="24:44">
      <c r="X4075"/>
      <c r="Y4075"/>
      <c r="Z4075"/>
      <c r="AA4075"/>
      <c r="AC4075"/>
      <c r="AR4075"/>
    </row>
    <row r="4076" spans="24:44">
      <c r="X4076"/>
      <c r="Y4076"/>
      <c r="Z4076"/>
      <c r="AA4076"/>
      <c r="AC4076"/>
      <c r="AR4076"/>
    </row>
    <row r="4077" spans="24:44">
      <c r="X4077"/>
      <c r="Y4077"/>
      <c r="Z4077"/>
      <c r="AA4077"/>
      <c r="AC4077"/>
      <c r="AR4077"/>
    </row>
    <row r="4078" spans="24:44">
      <c r="X4078"/>
      <c r="Y4078"/>
      <c r="Z4078"/>
      <c r="AA4078"/>
      <c r="AC4078"/>
      <c r="AR4078"/>
    </row>
    <row r="4079" spans="24:44">
      <c r="X4079"/>
      <c r="Y4079"/>
      <c r="Z4079"/>
      <c r="AA4079"/>
      <c r="AC4079"/>
      <c r="AR4079"/>
    </row>
    <row r="4080" spans="24:44">
      <c r="X4080"/>
      <c r="Y4080"/>
      <c r="Z4080"/>
      <c r="AA4080"/>
      <c r="AC4080"/>
      <c r="AR4080"/>
    </row>
    <row r="4081" spans="24:44">
      <c r="X4081"/>
      <c r="Y4081"/>
      <c r="Z4081"/>
      <c r="AA4081"/>
      <c r="AC4081"/>
      <c r="AR4081"/>
    </row>
    <row r="4082" spans="24:44">
      <c r="X4082"/>
      <c r="Y4082"/>
      <c r="Z4082"/>
      <c r="AA4082"/>
      <c r="AC4082"/>
      <c r="AR4082"/>
    </row>
    <row r="4083" spans="24:44">
      <c r="X4083"/>
      <c r="Y4083"/>
      <c r="Z4083"/>
      <c r="AA4083"/>
      <c r="AC4083"/>
      <c r="AR4083"/>
    </row>
    <row r="4084" spans="24:44">
      <c r="X4084"/>
      <c r="Y4084"/>
      <c r="Z4084"/>
      <c r="AA4084"/>
      <c r="AC4084"/>
      <c r="AR4084"/>
    </row>
    <row r="4085" spans="24:44">
      <c r="X4085"/>
      <c r="Y4085"/>
      <c r="Z4085"/>
      <c r="AA4085"/>
      <c r="AC4085"/>
      <c r="AR4085"/>
    </row>
    <row r="4086" spans="24:44">
      <c r="X4086"/>
      <c r="Y4086"/>
      <c r="Z4086"/>
      <c r="AA4086"/>
      <c r="AC4086"/>
      <c r="AR4086"/>
    </row>
    <row r="4087" spans="24:44">
      <c r="X4087"/>
      <c r="Y4087"/>
      <c r="Z4087"/>
      <c r="AA4087"/>
      <c r="AC4087"/>
      <c r="AR4087"/>
    </row>
    <row r="4088" spans="24:44">
      <c r="X4088"/>
      <c r="Y4088"/>
      <c r="Z4088"/>
      <c r="AA4088"/>
      <c r="AC4088"/>
      <c r="AR4088"/>
    </row>
    <row r="4089" spans="24:44">
      <c r="X4089"/>
      <c r="Y4089"/>
      <c r="Z4089"/>
      <c r="AA4089"/>
      <c r="AC4089"/>
      <c r="AR4089"/>
    </row>
    <row r="4090" spans="24:44">
      <c r="X4090"/>
      <c r="Y4090"/>
      <c r="Z4090"/>
      <c r="AA4090"/>
      <c r="AC4090"/>
      <c r="AR4090"/>
    </row>
    <row r="4091" spans="24:44">
      <c r="X4091"/>
      <c r="Y4091"/>
      <c r="Z4091"/>
      <c r="AA4091"/>
      <c r="AC4091"/>
      <c r="AR4091"/>
    </row>
    <row r="4092" spans="24:44">
      <c r="X4092"/>
      <c r="Y4092"/>
      <c r="Z4092"/>
      <c r="AA4092"/>
      <c r="AC4092"/>
      <c r="AR4092"/>
    </row>
    <row r="4093" spans="24:44">
      <c r="X4093"/>
      <c r="Y4093"/>
      <c r="Z4093"/>
      <c r="AA4093"/>
      <c r="AC4093"/>
      <c r="AR4093"/>
    </row>
    <row r="4094" spans="24:44">
      <c r="X4094"/>
      <c r="Y4094"/>
      <c r="Z4094"/>
      <c r="AA4094"/>
      <c r="AC4094"/>
      <c r="AR4094"/>
    </row>
    <row r="4095" spans="24:44">
      <c r="X4095"/>
      <c r="Y4095"/>
      <c r="Z4095"/>
      <c r="AA4095"/>
      <c r="AC4095"/>
      <c r="AR4095"/>
    </row>
    <row r="4096" spans="24:44">
      <c r="X4096"/>
      <c r="Y4096"/>
      <c r="Z4096"/>
      <c r="AA4096"/>
      <c r="AC4096"/>
      <c r="AR4096"/>
    </row>
    <row r="4097" spans="24:44">
      <c r="X4097"/>
      <c r="Y4097"/>
      <c r="Z4097"/>
      <c r="AA4097"/>
      <c r="AC4097"/>
      <c r="AR4097"/>
    </row>
    <row r="4098" spans="24:44">
      <c r="X4098"/>
      <c r="Y4098"/>
      <c r="Z4098"/>
      <c r="AA4098"/>
      <c r="AC4098"/>
      <c r="AR4098"/>
    </row>
    <row r="4099" spans="24:44">
      <c r="X4099"/>
      <c r="Y4099"/>
      <c r="Z4099"/>
      <c r="AA4099"/>
      <c r="AC4099"/>
      <c r="AR4099"/>
    </row>
    <row r="4100" spans="24:44">
      <c r="X4100"/>
      <c r="Y4100"/>
      <c r="Z4100"/>
      <c r="AA4100"/>
      <c r="AC4100"/>
      <c r="AR4100"/>
    </row>
    <row r="4101" spans="24:44">
      <c r="X4101"/>
      <c r="Y4101"/>
      <c r="Z4101"/>
      <c r="AA4101"/>
      <c r="AC4101"/>
      <c r="AR4101"/>
    </row>
    <row r="4102" spans="24:44">
      <c r="X4102"/>
      <c r="Y4102"/>
      <c r="Z4102"/>
      <c r="AA4102"/>
      <c r="AC4102"/>
      <c r="AR4102"/>
    </row>
    <row r="4103" spans="24:44">
      <c r="X4103"/>
      <c r="Y4103"/>
      <c r="Z4103"/>
      <c r="AA4103"/>
      <c r="AC4103"/>
      <c r="AR4103"/>
    </row>
    <row r="4104" spans="24:44">
      <c r="X4104"/>
      <c r="Y4104"/>
      <c r="Z4104"/>
      <c r="AA4104"/>
      <c r="AC4104"/>
      <c r="AR4104"/>
    </row>
    <row r="4105" spans="24:44">
      <c r="X4105"/>
      <c r="Y4105"/>
      <c r="Z4105"/>
      <c r="AA4105"/>
      <c r="AC4105"/>
      <c r="AR4105"/>
    </row>
    <row r="4106" spans="24:44">
      <c r="X4106"/>
      <c r="Y4106"/>
      <c r="Z4106"/>
      <c r="AA4106"/>
      <c r="AC4106"/>
      <c r="AR4106"/>
    </row>
    <row r="4107" spans="24:44">
      <c r="X4107"/>
      <c r="Y4107"/>
      <c r="Z4107"/>
      <c r="AA4107"/>
      <c r="AC4107"/>
      <c r="AR4107"/>
    </row>
    <row r="4108" spans="24:44">
      <c r="X4108"/>
      <c r="Y4108"/>
      <c r="Z4108"/>
      <c r="AA4108"/>
      <c r="AC4108"/>
      <c r="AR4108"/>
    </row>
    <row r="4109" spans="24:44">
      <c r="X4109"/>
      <c r="Y4109"/>
      <c r="Z4109"/>
      <c r="AA4109"/>
      <c r="AC4109"/>
      <c r="AR4109"/>
    </row>
    <row r="4110" spans="24:44">
      <c r="X4110"/>
      <c r="Y4110"/>
      <c r="Z4110"/>
      <c r="AA4110"/>
      <c r="AC4110"/>
      <c r="AR4110"/>
    </row>
    <row r="4111" spans="24:44">
      <c r="X4111"/>
      <c r="Y4111"/>
      <c r="Z4111"/>
      <c r="AA4111"/>
      <c r="AC4111"/>
      <c r="AR4111"/>
    </row>
    <row r="4112" spans="24:44">
      <c r="X4112"/>
      <c r="Y4112"/>
      <c r="Z4112"/>
      <c r="AA4112"/>
      <c r="AC4112"/>
      <c r="AR4112"/>
    </row>
    <row r="4113" spans="24:44">
      <c r="X4113"/>
      <c r="Y4113"/>
      <c r="Z4113"/>
      <c r="AA4113"/>
      <c r="AC4113"/>
      <c r="AR4113"/>
    </row>
    <row r="4114" spans="24:44">
      <c r="X4114"/>
      <c r="Y4114"/>
      <c r="Z4114"/>
      <c r="AA4114"/>
      <c r="AC4114"/>
      <c r="AR4114"/>
    </row>
    <row r="4115" spans="24:44">
      <c r="X4115"/>
      <c r="Y4115"/>
      <c r="Z4115"/>
      <c r="AA4115"/>
      <c r="AC4115"/>
      <c r="AR4115"/>
    </row>
    <row r="4116" spans="24:44">
      <c r="X4116"/>
      <c r="Y4116"/>
      <c r="Z4116"/>
      <c r="AA4116"/>
      <c r="AC4116"/>
      <c r="AR4116"/>
    </row>
    <row r="4117" spans="24:44">
      <c r="X4117"/>
      <c r="Y4117"/>
      <c r="Z4117"/>
      <c r="AA4117"/>
      <c r="AC4117"/>
      <c r="AR4117"/>
    </row>
    <row r="4118" spans="24:44">
      <c r="X4118"/>
      <c r="Y4118"/>
      <c r="Z4118"/>
      <c r="AA4118"/>
      <c r="AC4118"/>
      <c r="AR4118"/>
    </row>
    <row r="4119" spans="24:44">
      <c r="X4119"/>
      <c r="Y4119"/>
      <c r="Z4119"/>
      <c r="AA4119"/>
      <c r="AC4119"/>
      <c r="AR4119"/>
    </row>
    <row r="4120" spans="24:44">
      <c r="X4120"/>
      <c r="Y4120"/>
      <c r="Z4120"/>
      <c r="AA4120"/>
      <c r="AC4120"/>
      <c r="AR4120"/>
    </row>
    <row r="4121" spans="24:44">
      <c r="X4121"/>
      <c r="Y4121"/>
      <c r="Z4121"/>
      <c r="AA4121"/>
      <c r="AC4121"/>
      <c r="AR4121"/>
    </row>
    <row r="4122" spans="24:44">
      <c r="X4122"/>
      <c r="Y4122"/>
      <c r="Z4122"/>
      <c r="AA4122"/>
      <c r="AC4122"/>
      <c r="AR4122"/>
    </row>
    <row r="4123" spans="24:44">
      <c r="X4123"/>
      <c r="Y4123"/>
      <c r="Z4123"/>
      <c r="AA4123"/>
      <c r="AC4123"/>
      <c r="AR4123"/>
    </row>
    <row r="4124" spans="24:44">
      <c r="X4124"/>
      <c r="Y4124"/>
      <c r="Z4124"/>
      <c r="AA4124"/>
      <c r="AC4124"/>
      <c r="AR4124"/>
    </row>
    <row r="4125" spans="24:44">
      <c r="X4125"/>
      <c r="Y4125"/>
      <c r="Z4125"/>
      <c r="AA4125"/>
      <c r="AC4125"/>
      <c r="AR4125"/>
    </row>
    <row r="4126" spans="24:44">
      <c r="X4126"/>
      <c r="Y4126"/>
      <c r="Z4126"/>
      <c r="AA4126"/>
      <c r="AC4126"/>
      <c r="AR4126"/>
    </row>
    <row r="4127" spans="24:44">
      <c r="X4127"/>
      <c r="Y4127"/>
      <c r="Z4127"/>
      <c r="AA4127"/>
      <c r="AC4127"/>
      <c r="AR4127"/>
    </row>
    <row r="4128" spans="24:44">
      <c r="X4128"/>
      <c r="Y4128"/>
      <c r="Z4128"/>
      <c r="AA4128"/>
      <c r="AC4128"/>
      <c r="AR4128"/>
    </row>
    <row r="4129" spans="24:44">
      <c r="X4129"/>
      <c r="Y4129"/>
      <c r="Z4129"/>
      <c r="AA4129"/>
      <c r="AC4129"/>
      <c r="AR4129"/>
    </row>
    <row r="4130" spans="24:44">
      <c r="X4130"/>
      <c r="Y4130"/>
      <c r="Z4130"/>
      <c r="AA4130"/>
      <c r="AC4130"/>
      <c r="AR4130"/>
    </row>
    <row r="4131" spans="24:44">
      <c r="X4131"/>
      <c r="Y4131"/>
      <c r="Z4131"/>
      <c r="AA4131"/>
      <c r="AC4131"/>
      <c r="AR4131"/>
    </row>
    <row r="4132" spans="24:44">
      <c r="X4132"/>
      <c r="Y4132"/>
      <c r="Z4132"/>
      <c r="AA4132"/>
      <c r="AC4132"/>
      <c r="AR4132"/>
    </row>
    <row r="4133" spans="24:44">
      <c r="X4133"/>
      <c r="Y4133"/>
      <c r="Z4133"/>
      <c r="AA4133"/>
      <c r="AC4133"/>
      <c r="AR4133"/>
    </row>
    <row r="4134" spans="24:44">
      <c r="X4134"/>
      <c r="Y4134"/>
      <c r="Z4134"/>
      <c r="AA4134"/>
      <c r="AC4134"/>
      <c r="AR4134"/>
    </row>
    <row r="4135" spans="24:44">
      <c r="X4135"/>
      <c r="Y4135"/>
      <c r="Z4135"/>
      <c r="AA4135"/>
      <c r="AC4135"/>
      <c r="AR4135"/>
    </row>
    <row r="4136" spans="24:44">
      <c r="X4136"/>
      <c r="Y4136"/>
      <c r="Z4136"/>
      <c r="AA4136"/>
      <c r="AC4136"/>
      <c r="AR4136"/>
    </row>
    <row r="4137" spans="24:44">
      <c r="X4137"/>
      <c r="Y4137"/>
      <c r="Z4137"/>
      <c r="AA4137"/>
      <c r="AC4137"/>
      <c r="AR4137"/>
    </row>
    <row r="4138" spans="24:44">
      <c r="X4138"/>
      <c r="Y4138"/>
      <c r="Z4138"/>
      <c r="AA4138"/>
      <c r="AC4138"/>
      <c r="AR4138"/>
    </row>
    <row r="4139" spans="24:44">
      <c r="X4139"/>
      <c r="Y4139"/>
      <c r="Z4139"/>
      <c r="AA4139"/>
      <c r="AC4139"/>
      <c r="AR4139"/>
    </row>
    <row r="4140" spans="24:44">
      <c r="X4140"/>
      <c r="Y4140"/>
      <c r="Z4140"/>
      <c r="AA4140"/>
      <c r="AC4140"/>
      <c r="AR4140"/>
    </row>
    <row r="4141" spans="24:44">
      <c r="X4141"/>
      <c r="Y4141"/>
      <c r="Z4141"/>
      <c r="AA4141"/>
      <c r="AC4141"/>
      <c r="AR4141"/>
    </row>
    <row r="4142" spans="24:44">
      <c r="X4142"/>
      <c r="Y4142"/>
      <c r="Z4142"/>
      <c r="AA4142"/>
      <c r="AC4142"/>
      <c r="AR4142"/>
    </row>
    <row r="4143" spans="24:44">
      <c r="X4143"/>
      <c r="Y4143"/>
      <c r="Z4143"/>
      <c r="AA4143"/>
      <c r="AC4143"/>
      <c r="AR4143"/>
    </row>
    <row r="4144" spans="24:44">
      <c r="X4144"/>
      <c r="Y4144"/>
      <c r="Z4144"/>
      <c r="AA4144"/>
      <c r="AC4144"/>
      <c r="AR4144"/>
    </row>
    <row r="4145" spans="24:44">
      <c r="X4145"/>
      <c r="Y4145"/>
      <c r="Z4145"/>
      <c r="AA4145"/>
      <c r="AC4145"/>
      <c r="AR4145"/>
    </row>
    <row r="4146" spans="24:44">
      <c r="X4146"/>
      <c r="Y4146"/>
      <c r="Z4146"/>
      <c r="AA4146"/>
      <c r="AC4146"/>
      <c r="AR4146"/>
    </row>
    <row r="4147" spans="24:44">
      <c r="X4147"/>
      <c r="Y4147"/>
      <c r="Z4147"/>
      <c r="AA4147"/>
      <c r="AC4147"/>
      <c r="AR4147"/>
    </row>
    <row r="4148" spans="24:44">
      <c r="X4148"/>
      <c r="Y4148"/>
      <c r="Z4148"/>
      <c r="AA4148"/>
      <c r="AC4148"/>
      <c r="AR4148"/>
    </row>
    <row r="4149" spans="24:44">
      <c r="X4149"/>
      <c r="Y4149"/>
      <c r="Z4149"/>
      <c r="AA4149"/>
      <c r="AC4149"/>
      <c r="AR4149"/>
    </row>
    <row r="4150" spans="24:44">
      <c r="X4150"/>
      <c r="Y4150"/>
      <c r="Z4150"/>
      <c r="AA4150"/>
      <c r="AC4150"/>
      <c r="AR4150"/>
    </row>
    <row r="4151" spans="24:44">
      <c r="X4151"/>
      <c r="Y4151"/>
      <c r="Z4151"/>
      <c r="AA4151"/>
      <c r="AC4151"/>
      <c r="AR4151"/>
    </row>
    <row r="4152" spans="24:44">
      <c r="X4152"/>
      <c r="Y4152"/>
      <c r="Z4152"/>
      <c r="AA4152"/>
      <c r="AC4152"/>
      <c r="AR4152"/>
    </row>
    <row r="4153" spans="24:44">
      <c r="X4153"/>
      <c r="Y4153"/>
      <c r="Z4153"/>
      <c r="AA4153"/>
      <c r="AC4153"/>
      <c r="AR4153"/>
    </row>
    <row r="4154" spans="24:44">
      <c r="X4154"/>
      <c r="Y4154"/>
      <c r="Z4154"/>
      <c r="AA4154"/>
      <c r="AC4154"/>
      <c r="AR4154"/>
    </row>
    <row r="4155" spans="24:44">
      <c r="X4155"/>
      <c r="Y4155"/>
      <c r="Z4155"/>
      <c r="AA4155"/>
      <c r="AC4155"/>
      <c r="AR4155"/>
    </row>
    <row r="4156" spans="24:44">
      <c r="X4156"/>
      <c r="Y4156"/>
      <c r="Z4156"/>
      <c r="AA4156"/>
      <c r="AC4156"/>
      <c r="AR4156"/>
    </row>
    <row r="4157" spans="24:44">
      <c r="X4157"/>
      <c r="Y4157"/>
      <c r="Z4157"/>
      <c r="AA4157"/>
      <c r="AC4157"/>
      <c r="AR4157"/>
    </row>
    <row r="4158" spans="24:44">
      <c r="X4158"/>
      <c r="Y4158"/>
      <c r="Z4158"/>
      <c r="AA4158"/>
      <c r="AC4158"/>
      <c r="AR4158"/>
    </row>
    <row r="4159" spans="24:44">
      <c r="X4159"/>
      <c r="Y4159"/>
      <c r="Z4159"/>
      <c r="AA4159"/>
      <c r="AC4159"/>
      <c r="AR4159"/>
    </row>
    <row r="4160" spans="24:44">
      <c r="X4160"/>
      <c r="Y4160"/>
      <c r="Z4160"/>
      <c r="AA4160"/>
      <c r="AC4160"/>
      <c r="AR4160"/>
    </row>
    <row r="4161" spans="24:44">
      <c r="X4161"/>
      <c r="Y4161"/>
      <c r="Z4161"/>
      <c r="AA4161"/>
      <c r="AC4161"/>
      <c r="AR4161"/>
    </row>
    <row r="4162" spans="24:44">
      <c r="X4162"/>
      <c r="Y4162"/>
      <c r="Z4162"/>
      <c r="AA4162"/>
      <c r="AC4162"/>
      <c r="AR4162"/>
    </row>
    <row r="4163" spans="24:44">
      <c r="X4163"/>
      <c r="Y4163"/>
      <c r="Z4163"/>
      <c r="AA4163"/>
      <c r="AC4163"/>
      <c r="AR4163"/>
    </row>
    <row r="4164" spans="24:44">
      <c r="X4164"/>
      <c r="Y4164"/>
      <c r="Z4164"/>
      <c r="AA4164"/>
      <c r="AC4164"/>
      <c r="AR4164"/>
    </row>
    <row r="4165" spans="24:44">
      <c r="X4165"/>
      <c r="Y4165"/>
      <c r="Z4165"/>
      <c r="AA4165"/>
      <c r="AC4165"/>
      <c r="AR4165"/>
    </row>
    <row r="4166" spans="24:44">
      <c r="X4166"/>
      <c r="Y4166"/>
      <c r="Z4166"/>
      <c r="AA4166"/>
      <c r="AC4166"/>
      <c r="AR4166"/>
    </row>
    <row r="4167" spans="24:44">
      <c r="X4167"/>
      <c r="Y4167"/>
      <c r="Z4167"/>
      <c r="AA4167"/>
      <c r="AC4167"/>
      <c r="AR4167"/>
    </row>
    <row r="4168" spans="24:44">
      <c r="X4168"/>
      <c r="Y4168"/>
      <c r="Z4168"/>
      <c r="AA4168"/>
      <c r="AC4168"/>
      <c r="AR4168"/>
    </row>
    <row r="4169" spans="24:44">
      <c r="X4169"/>
      <c r="Y4169"/>
      <c r="Z4169"/>
      <c r="AA4169"/>
      <c r="AC4169"/>
      <c r="AR4169"/>
    </row>
    <row r="4170" spans="24:44">
      <c r="X4170"/>
      <c r="Y4170"/>
      <c r="Z4170"/>
      <c r="AA4170"/>
      <c r="AC4170"/>
      <c r="AR4170"/>
    </row>
    <row r="4171" spans="24:44">
      <c r="X4171"/>
      <c r="Y4171"/>
      <c r="Z4171"/>
      <c r="AA4171"/>
      <c r="AC4171"/>
      <c r="AR4171"/>
    </row>
    <row r="4172" spans="24:44">
      <c r="X4172"/>
      <c r="Y4172"/>
      <c r="Z4172"/>
      <c r="AA4172"/>
      <c r="AC4172"/>
      <c r="AR4172"/>
    </row>
    <row r="4173" spans="24:44">
      <c r="X4173"/>
      <c r="Y4173"/>
      <c r="Z4173"/>
      <c r="AA4173"/>
      <c r="AC4173"/>
      <c r="AR4173"/>
    </row>
    <row r="4174" spans="24:44">
      <c r="X4174"/>
      <c r="Y4174"/>
      <c r="Z4174"/>
      <c r="AA4174"/>
      <c r="AC4174"/>
      <c r="AR4174"/>
    </row>
    <row r="4175" spans="24:44">
      <c r="X4175"/>
      <c r="Y4175"/>
      <c r="Z4175"/>
      <c r="AA4175"/>
      <c r="AC4175"/>
      <c r="AR4175"/>
    </row>
    <row r="4176" spans="24:44">
      <c r="X4176"/>
      <c r="Y4176"/>
      <c r="Z4176"/>
      <c r="AA4176"/>
      <c r="AC4176"/>
      <c r="AR4176"/>
    </row>
    <row r="4177" spans="24:44">
      <c r="X4177"/>
      <c r="Y4177"/>
      <c r="Z4177"/>
      <c r="AA4177"/>
      <c r="AC4177"/>
      <c r="AR4177"/>
    </row>
    <row r="4178" spans="24:44">
      <c r="X4178"/>
      <c r="Y4178"/>
      <c r="Z4178"/>
      <c r="AA4178"/>
      <c r="AC4178"/>
      <c r="AR4178"/>
    </row>
    <row r="4179" spans="24:44">
      <c r="X4179"/>
      <c r="Y4179"/>
      <c r="Z4179"/>
      <c r="AA4179"/>
      <c r="AC4179"/>
      <c r="AR4179"/>
    </row>
    <row r="4180" spans="24:44">
      <c r="X4180"/>
      <c r="Y4180"/>
      <c r="Z4180"/>
      <c r="AA4180"/>
      <c r="AC4180"/>
      <c r="AR4180"/>
    </row>
    <row r="4181" spans="24:44">
      <c r="X4181"/>
      <c r="Y4181"/>
      <c r="Z4181"/>
      <c r="AA4181"/>
      <c r="AC4181"/>
      <c r="AR4181"/>
    </row>
    <row r="4182" spans="24:44">
      <c r="X4182"/>
      <c r="Y4182"/>
      <c r="Z4182"/>
      <c r="AA4182"/>
      <c r="AC4182"/>
      <c r="AR4182"/>
    </row>
    <row r="4183" spans="24:44">
      <c r="X4183"/>
      <c r="Y4183"/>
      <c r="Z4183"/>
      <c r="AA4183"/>
      <c r="AC4183"/>
      <c r="AR4183"/>
    </row>
    <row r="4184" spans="24:44">
      <c r="X4184"/>
      <c r="Y4184"/>
      <c r="Z4184"/>
      <c r="AA4184"/>
      <c r="AC4184"/>
      <c r="AR4184"/>
    </row>
    <row r="4185" spans="24:44">
      <c r="X4185"/>
      <c r="Y4185"/>
      <c r="Z4185"/>
      <c r="AA4185"/>
      <c r="AC4185"/>
      <c r="AR4185"/>
    </row>
    <row r="4186" spans="24:44">
      <c r="X4186"/>
      <c r="Y4186"/>
      <c r="Z4186"/>
      <c r="AA4186"/>
      <c r="AC4186"/>
      <c r="AR4186"/>
    </row>
    <row r="4187" spans="24:44">
      <c r="X4187"/>
      <c r="Y4187"/>
      <c r="Z4187"/>
      <c r="AA4187"/>
      <c r="AC4187"/>
      <c r="AR4187"/>
    </row>
    <row r="4188" spans="24:44">
      <c r="X4188"/>
      <c r="Y4188"/>
      <c r="Z4188"/>
      <c r="AA4188"/>
      <c r="AC4188"/>
      <c r="AR4188"/>
    </row>
    <row r="4189" spans="24:44">
      <c r="X4189"/>
      <c r="Y4189"/>
      <c r="Z4189"/>
      <c r="AA4189"/>
      <c r="AC4189"/>
      <c r="AR4189"/>
    </row>
    <row r="4190" spans="24:44">
      <c r="X4190"/>
      <c r="Y4190"/>
      <c r="Z4190"/>
      <c r="AA4190"/>
      <c r="AC4190"/>
      <c r="AR4190"/>
    </row>
    <row r="4191" spans="24:44">
      <c r="X4191"/>
      <c r="Y4191"/>
      <c r="Z4191"/>
      <c r="AA4191"/>
      <c r="AC4191"/>
      <c r="AR4191"/>
    </row>
    <row r="4192" spans="24:44">
      <c r="X4192"/>
      <c r="Y4192"/>
      <c r="Z4192"/>
      <c r="AA4192"/>
      <c r="AC4192"/>
      <c r="AR4192"/>
    </row>
    <row r="4193" spans="24:44">
      <c r="X4193"/>
      <c r="Y4193"/>
      <c r="Z4193"/>
      <c r="AA4193"/>
      <c r="AC4193"/>
      <c r="AR4193"/>
    </row>
    <row r="4194" spans="24:44">
      <c r="X4194"/>
      <c r="Y4194"/>
      <c r="Z4194"/>
      <c r="AA4194"/>
      <c r="AC4194"/>
      <c r="AR4194"/>
    </row>
    <row r="4195" spans="24:44">
      <c r="X4195"/>
      <c r="Y4195"/>
      <c r="Z4195"/>
      <c r="AA4195"/>
      <c r="AC4195"/>
      <c r="AR4195"/>
    </row>
    <row r="4196" spans="24:44">
      <c r="X4196"/>
      <c r="Y4196"/>
      <c r="Z4196"/>
      <c r="AA4196"/>
      <c r="AC4196"/>
      <c r="AR4196"/>
    </row>
    <row r="4197" spans="24:44">
      <c r="X4197"/>
      <c r="Y4197"/>
      <c r="Z4197"/>
      <c r="AA4197"/>
      <c r="AC4197"/>
      <c r="AR4197"/>
    </row>
    <row r="4198" spans="24:44">
      <c r="X4198"/>
      <c r="Y4198"/>
      <c r="Z4198"/>
      <c r="AA4198"/>
      <c r="AC4198"/>
      <c r="AR4198"/>
    </row>
    <row r="4199" spans="24:44">
      <c r="X4199"/>
      <c r="Y4199"/>
      <c r="Z4199"/>
      <c r="AA4199"/>
      <c r="AC4199"/>
      <c r="AR4199"/>
    </row>
    <row r="4200" spans="24:44">
      <c r="X4200"/>
      <c r="Y4200"/>
      <c r="Z4200"/>
      <c r="AA4200"/>
      <c r="AC4200"/>
      <c r="AR4200"/>
    </row>
    <row r="4201" spans="24:44">
      <c r="X4201"/>
      <c r="Y4201"/>
      <c r="Z4201"/>
      <c r="AA4201"/>
      <c r="AC4201"/>
      <c r="AR4201"/>
    </row>
    <row r="4202" spans="24:44">
      <c r="X4202"/>
      <c r="Y4202"/>
      <c r="Z4202"/>
      <c r="AA4202"/>
      <c r="AC4202"/>
      <c r="AR4202"/>
    </row>
    <row r="4203" spans="24:44">
      <c r="X4203"/>
      <c r="Y4203"/>
      <c r="Z4203"/>
      <c r="AA4203"/>
      <c r="AC4203"/>
      <c r="AR4203"/>
    </row>
    <row r="4204" spans="24:44">
      <c r="X4204"/>
      <c r="Y4204"/>
      <c r="Z4204"/>
      <c r="AA4204"/>
      <c r="AC4204"/>
      <c r="AR4204"/>
    </row>
    <row r="4205" spans="24:44">
      <c r="X4205"/>
      <c r="Y4205"/>
      <c r="Z4205"/>
      <c r="AA4205"/>
      <c r="AC4205"/>
      <c r="AR4205"/>
    </row>
    <row r="4206" spans="24:44">
      <c r="X4206"/>
      <c r="Y4206"/>
      <c r="Z4206"/>
      <c r="AA4206"/>
      <c r="AC4206"/>
      <c r="AR4206"/>
    </row>
    <row r="4207" spans="24:44">
      <c r="X4207"/>
      <c r="Y4207"/>
      <c r="Z4207"/>
      <c r="AA4207"/>
      <c r="AC4207"/>
      <c r="AR4207"/>
    </row>
    <row r="4208" spans="24:44">
      <c r="X4208"/>
      <c r="Y4208"/>
      <c r="Z4208"/>
      <c r="AA4208"/>
      <c r="AC4208"/>
      <c r="AR4208"/>
    </row>
    <row r="4209" spans="24:44">
      <c r="X4209"/>
      <c r="Y4209"/>
      <c r="Z4209"/>
      <c r="AA4209"/>
      <c r="AC4209"/>
      <c r="AR4209"/>
    </row>
    <row r="4210" spans="24:44">
      <c r="X4210"/>
      <c r="Y4210"/>
      <c r="Z4210"/>
      <c r="AA4210"/>
      <c r="AC4210"/>
      <c r="AR4210"/>
    </row>
    <row r="4211" spans="24:44">
      <c r="X4211"/>
      <c r="Y4211"/>
      <c r="Z4211"/>
      <c r="AA4211"/>
      <c r="AC4211"/>
      <c r="AR4211"/>
    </row>
    <row r="4212" spans="24:44">
      <c r="X4212"/>
      <c r="Y4212"/>
      <c r="Z4212"/>
      <c r="AA4212"/>
      <c r="AC4212"/>
      <c r="AR4212"/>
    </row>
    <row r="4213" spans="24:44">
      <c r="X4213"/>
      <c r="Y4213"/>
      <c r="Z4213"/>
      <c r="AA4213"/>
      <c r="AC4213"/>
      <c r="AR4213"/>
    </row>
    <row r="4214" spans="24:44">
      <c r="X4214"/>
      <c r="Y4214"/>
      <c r="Z4214"/>
      <c r="AA4214"/>
      <c r="AC4214"/>
      <c r="AR4214"/>
    </row>
    <row r="4215" spans="24:44">
      <c r="X4215"/>
      <c r="Y4215"/>
      <c r="Z4215"/>
      <c r="AA4215"/>
      <c r="AC4215"/>
      <c r="AR4215"/>
    </row>
    <row r="4216" spans="24:44">
      <c r="X4216"/>
      <c r="Y4216"/>
      <c r="Z4216"/>
      <c r="AA4216"/>
      <c r="AC4216"/>
      <c r="AR4216"/>
    </row>
    <row r="4217" spans="24:44">
      <c r="X4217"/>
      <c r="Y4217"/>
      <c r="Z4217"/>
      <c r="AA4217"/>
      <c r="AC4217"/>
      <c r="AR4217"/>
    </row>
    <row r="4218" spans="24:44">
      <c r="X4218"/>
      <c r="Y4218"/>
      <c r="Z4218"/>
      <c r="AA4218"/>
      <c r="AC4218"/>
      <c r="AR4218"/>
    </row>
    <row r="4219" spans="24:44">
      <c r="X4219"/>
      <c r="Y4219"/>
      <c r="Z4219"/>
      <c r="AA4219"/>
      <c r="AC4219"/>
      <c r="AR4219"/>
    </row>
    <row r="4220" spans="24:44">
      <c r="X4220"/>
      <c r="Y4220"/>
      <c r="Z4220"/>
      <c r="AA4220"/>
      <c r="AC4220"/>
      <c r="AR4220"/>
    </row>
    <row r="4221" spans="24:44">
      <c r="X4221"/>
      <c r="Y4221"/>
      <c r="Z4221"/>
      <c r="AA4221"/>
      <c r="AC4221"/>
      <c r="AR4221"/>
    </row>
    <row r="4222" spans="24:44">
      <c r="X4222"/>
      <c r="Y4222"/>
      <c r="Z4222"/>
      <c r="AA4222"/>
      <c r="AC4222"/>
      <c r="AR4222"/>
    </row>
    <row r="4223" spans="24:44">
      <c r="X4223"/>
      <c r="Y4223"/>
      <c r="Z4223"/>
      <c r="AA4223"/>
      <c r="AC4223"/>
      <c r="AR4223"/>
    </row>
    <row r="4224" spans="24:44">
      <c r="X4224"/>
      <c r="Y4224"/>
      <c r="Z4224"/>
      <c r="AA4224"/>
      <c r="AC4224"/>
      <c r="AR4224"/>
    </row>
    <row r="4225" spans="24:44">
      <c r="X4225"/>
      <c r="Y4225"/>
      <c r="Z4225"/>
      <c r="AA4225"/>
      <c r="AC4225"/>
      <c r="AR4225"/>
    </row>
    <row r="4226" spans="24:44">
      <c r="X4226"/>
      <c r="Y4226"/>
      <c r="Z4226"/>
      <c r="AA4226"/>
      <c r="AC4226"/>
      <c r="AR4226"/>
    </row>
    <row r="4227" spans="24:44">
      <c r="X4227"/>
      <c r="Y4227"/>
      <c r="Z4227"/>
      <c r="AA4227"/>
      <c r="AC4227"/>
      <c r="AR4227"/>
    </row>
    <row r="4228" spans="24:44">
      <c r="X4228"/>
      <c r="Y4228"/>
      <c r="Z4228"/>
      <c r="AA4228"/>
      <c r="AC4228"/>
      <c r="AR4228"/>
    </row>
    <row r="4229" spans="24:44">
      <c r="X4229"/>
      <c r="Y4229"/>
      <c r="Z4229"/>
      <c r="AA4229"/>
      <c r="AC4229"/>
      <c r="AR4229"/>
    </row>
    <row r="4230" spans="24:44">
      <c r="X4230"/>
      <c r="Y4230"/>
      <c r="Z4230"/>
      <c r="AA4230"/>
      <c r="AC4230"/>
      <c r="AR4230"/>
    </row>
    <row r="4231" spans="24:44">
      <c r="X4231"/>
      <c r="Y4231"/>
      <c r="Z4231"/>
      <c r="AA4231"/>
      <c r="AC4231"/>
      <c r="AR4231"/>
    </row>
    <row r="4232" spans="24:44">
      <c r="X4232"/>
      <c r="Y4232"/>
      <c r="Z4232"/>
      <c r="AA4232"/>
      <c r="AC4232"/>
      <c r="AR4232"/>
    </row>
    <row r="4233" spans="24:44">
      <c r="X4233"/>
      <c r="Y4233"/>
      <c r="Z4233"/>
      <c r="AA4233"/>
      <c r="AC4233"/>
      <c r="AR4233"/>
    </row>
    <row r="4234" spans="24:44">
      <c r="X4234"/>
      <c r="Y4234"/>
      <c r="Z4234"/>
      <c r="AA4234"/>
      <c r="AC4234"/>
      <c r="AR4234"/>
    </row>
    <row r="4235" spans="24:44">
      <c r="X4235"/>
      <c r="Y4235"/>
      <c r="Z4235"/>
      <c r="AA4235"/>
      <c r="AC4235"/>
      <c r="AR4235"/>
    </row>
    <row r="4236" spans="24:44">
      <c r="X4236"/>
      <c r="Y4236"/>
      <c r="Z4236"/>
      <c r="AA4236"/>
      <c r="AC4236"/>
      <c r="AR4236"/>
    </row>
    <row r="4237" spans="24:44">
      <c r="X4237"/>
      <c r="Y4237"/>
      <c r="Z4237"/>
      <c r="AA4237"/>
      <c r="AC4237"/>
      <c r="AR4237"/>
    </row>
    <row r="4238" spans="24:44">
      <c r="X4238"/>
      <c r="Y4238"/>
      <c r="Z4238"/>
      <c r="AA4238"/>
      <c r="AC4238"/>
      <c r="AR4238"/>
    </row>
    <row r="4239" spans="24:44">
      <c r="X4239"/>
      <c r="Y4239"/>
      <c r="Z4239"/>
      <c r="AA4239"/>
      <c r="AC4239"/>
      <c r="AR4239"/>
    </row>
    <row r="4240" spans="24:44">
      <c r="X4240"/>
      <c r="Y4240"/>
      <c r="Z4240"/>
      <c r="AA4240"/>
      <c r="AC4240"/>
      <c r="AR4240"/>
    </row>
    <row r="4241" spans="24:44">
      <c r="X4241"/>
      <c r="Y4241"/>
      <c r="Z4241"/>
      <c r="AA4241"/>
      <c r="AC4241"/>
      <c r="AR4241"/>
    </row>
    <row r="4242" spans="24:44">
      <c r="X4242"/>
      <c r="Y4242"/>
      <c r="Z4242"/>
      <c r="AA4242"/>
      <c r="AC4242"/>
      <c r="AR4242"/>
    </row>
    <row r="4243" spans="24:44">
      <c r="X4243"/>
      <c r="Y4243"/>
      <c r="Z4243"/>
      <c r="AA4243"/>
      <c r="AC4243"/>
      <c r="AR4243"/>
    </row>
    <row r="4244" spans="24:44">
      <c r="X4244"/>
      <c r="Y4244"/>
      <c r="Z4244"/>
      <c r="AA4244"/>
      <c r="AC4244"/>
      <c r="AR4244"/>
    </row>
    <row r="4245" spans="24:44">
      <c r="X4245"/>
      <c r="Y4245"/>
      <c r="Z4245"/>
      <c r="AA4245"/>
      <c r="AC4245"/>
      <c r="AR4245"/>
    </row>
    <row r="4246" spans="24:44">
      <c r="X4246"/>
      <c r="Y4246"/>
      <c r="Z4246"/>
      <c r="AA4246"/>
      <c r="AC4246"/>
      <c r="AR4246"/>
    </row>
    <row r="4247" spans="24:44">
      <c r="X4247"/>
      <c r="Y4247"/>
      <c r="Z4247"/>
      <c r="AA4247"/>
      <c r="AC4247"/>
      <c r="AR4247"/>
    </row>
    <row r="4248" spans="24:44">
      <c r="X4248"/>
      <c r="Y4248"/>
      <c r="Z4248"/>
      <c r="AA4248"/>
      <c r="AC4248"/>
      <c r="AR4248"/>
    </row>
    <row r="4249" spans="24:44">
      <c r="X4249"/>
      <c r="Y4249"/>
      <c r="Z4249"/>
      <c r="AA4249"/>
      <c r="AC4249"/>
      <c r="AR4249"/>
    </row>
    <row r="4250" spans="24:44">
      <c r="X4250"/>
      <c r="Y4250"/>
      <c r="Z4250"/>
      <c r="AA4250"/>
      <c r="AC4250"/>
      <c r="AR4250"/>
    </row>
    <row r="4251" spans="24:44">
      <c r="X4251"/>
      <c r="Y4251"/>
      <c r="Z4251"/>
      <c r="AA4251"/>
      <c r="AC4251"/>
      <c r="AR4251"/>
    </row>
    <row r="4252" spans="24:44">
      <c r="X4252"/>
      <c r="Y4252"/>
      <c r="Z4252"/>
      <c r="AA4252"/>
      <c r="AC4252"/>
      <c r="AR4252"/>
    </row>
    <row r="4253" spans="24:44">
      <c r="X4253"/>
      <c r="Y4253"/>
      <c r="Z4253"/>
      <c r="AA4253"/>
      <c r="AC4253"/>
      <c r="AR4253"/>
    </row>
    <row r="4254" spans="24:44">
      <c r="X4254"/>
      <c r="Y4254"/>
      <c r="Z4254"/>
      <c r="AA4254"/>
      <c r="AC4254"/>
      <c r="AR4254"/>
    </row>
    <row r="4255" spans="24:44">
      <c r="X4255"/>
      <c r="Y4255"/>
      <c r="Z4255"/>
      <c r="AA4255"/>
      <c r="AC4255"/>
      <c r="AR4255"/>
    </row>
    <row r="4256" spans="24:44">
      <c r="X4256"/>
      <c r="Y4256"/>
      <c r="Z4256"/>
      <c r="AA4256"/>
      <c r="AC4256"/>
      <c r="AR4256"/>
    </row>
    <row r="4257" spans="24:44">
      <c r="X4257"/>
      <c r="Y4257"/>
      <c r="Z4257"/>
      <c r="AA4257"/>
      <c r="AC4257"/>
      <c r="AR4257"/>
    </row>
    <row r="4258" spans="24:44">
      <c r="X4258"/>
      <c r="Y4258"/>
      <c r="Z4258"/>
      <c r="AA4258"/>
      <c r="AC4258"/>
      <c r="AR4258"/>
    </row>
    <row r="4259" spans="24:44">
      <c r="X4259"/>
      <c r="Y4259"/>
      <c r="Z4259"/>
      <c r="AA4259"/>
      <c r="AC4259"/>
      <c r="AR4259"/>
    </row>
    <row r="4260" spans="24:44">
      <c r="X4260"/>
      <c r="Y4260"/>
      <c r="Z4260"/>
      <c r="AA4260"/>
      <c r="AC4260"/>
      <c r="AR4260"/>
    </row>
    <row r="4261" spans="24:44">
      <c r="X4261"/>
      <c r="Y4261"/>
      <c r="Z4261"/>
      <c r="AA4261"/>
      <c r="AC4261"/>
      <c r="AR4261"/>
    </row>
    <row r="4262" spans="24:44">
      <c r="X4262"/>
      <c r="Y4262"/>
      <c r="Z4262"/>
      <c r="AA4262"/>
      <c r="AC4262"/>
      <c r="AR4262"/>
    </row>
    <row r="4263" spans="24:44">
      <c r="X4263"/>
      <c r="Y4263"/>
      <c r="Z4263"/>
      <c r="AA4263"/>
      <c r="AC4263"/>
      <c r="AR4263"/>
    </row>
    <row r="4264" spans="24:44">
      <c r="X4264"/>
      <c r="Y4264"/>
      <c r="Z4264"/>
      <c r="AA4264"/>
      <c r="AC4264"/>
      <c r="AR4264"/>
    </row>
    <row r="4265" spans="24:44">
      <c r="X4265"/>
      <c r="Y4265"/>
      <c r="Z4265"/>
      <c r="AA4265"/>
      <c r="AC4265"/>
      <c r="AR4265"/>
    </row>
    <row r="4266" spans="24:44">
      <c r="X4266"/>
      <c r="Y4266"/>
      <c r="Z4266"/>
      <c r="AA4266"/>
      <c r="AC4266"/>
      <c r="AR4266"/>
    </row>
    <row r="4267" spans="24:44">
      <c r="X4267"/>
      <c r="Y4267"/>
      <c r="Z4267"/>
      <c r="AA4267"/>
      <c r="AC4267"/>
      <c r="AR4267"/>
    </row>
    <row r="4268" spans="24:44">
      <c r="X4268"/>
      <c r="Y4268"/>
      <c r="Z4268"/>
      <c r="AA4268"/>
      <c r="AC4268"/>
      <c r="AR4268"/>
    </row>
    <row r="4269" spans="24:44">
      <c r="X4269"/>
      <c r="Y4269"/>
      <c r="Z4269"/>
      <c r="AA4269"/>
      <c r="AC4269"/>
      <c r="AR4269"/>
    </row>
    <row r="4270" spans="24:44">
      <c r="X4270"/>
      <c r="Y4270"/>
      <c r="Z4270"/>
      <c r="AA4270"/>
      <c r="AC4270"/>
      <c r="AR4270"/>
    </row>
    <row r="4271" spans="24:44">
      <c r="X4271"/>
      <c r="Y4271"/>
      <c r="Z4271"/>
      <c r="AA4271"/>
      <c r="AC4271"/>
      <c r="AR4271"/>
    </row>
    <row r="4272" spans="24:44">
      <c r="X4272"/>
      <c r="Y4272"/>
      <c r="Z4272"/>
      <c r="AA4272"/>
      <c r="AC4272"/>
      <c r="AR4272"/>
    </row>
    <row r="4273" spans="24:44">
      <c r="X4273"/>
      <c r="Y4273"/>
      <c r="Z4273"/>
      <c r="AA4273"/>
      <c r="AC4273"/>
      <c r="AR4273"/>
    </row>
    <row r="4274" spans="24:44">
      <c r="X4274"/>
      <c r="Y4274"/>
      <c r="Z4274"/>
      <c r="AA4274"/>
      <c r="AC4274"/>
      <c r="AR4274"/>
    </row>
    <row r="4275" spans="24:44">
      <c r="X4275"/>
      <c r="Y4275"/>
      <c r="Z4275"/>
      <c r="AA4275"/>
      <c r="AC4275"/>
      <c r="AR4275"/>
    </row>
    <row r="4276" spans="24:44">
      <c r="X4276"/>
      <c r="Y4276"/>
      <c r="Z4276"/>
      <c r="AA4276"/>
      <c r="AC4276"/>
      <c r="AR4276"/>
    </row>
    <row r="4277" spans="24:44">
      <c r="X4277"/>
      <c r="Y4277"/>
      <c r="Z4277"/>
      <c r="AA4277"/>
      <c r="AC4277"/>
      <c r="AR4277"/>
    </row>
    <row r="4278" spans="24:44">
      <c r="X4278"/>
      <c r="Y4278"/>
      <c r="Z4278"/>
      <c r="AA4278"/>
      <c r="AC4278"/>
      <c r="AR4278"/>
    </row>
    <row r="4279" spans="24:44">
      <c r="X4279"/>
      <c r="Y4279"/>
      <c r="Z4279"/>
      <c r="AA4279"/>
      <c r="AC4279"/>
      <c r="AR4279"/>
    </row>
    <row r="4280" spans="24:44">
      <c r="X4280"/>
      <c r="Y4280"/>
      <c r="Z4280"/>
      <c r="AA4280"/>
      <c r="AC4280"/>
      <c r="AR4280"/>
    </row>
    <row r="4281" spans="24:44">
      <c r="X4281"/>
      <c r="Y4281"/>
      <c r="Z4281"/>
      <c r="AA4281"/>
      <c r="AC4281"/>
      <c r="AR4281"/>
    </row>
    <row r="4282" spans="24:44">
      <c r="X4282"/>
      <c r="Y4282"/>
      <c r="Z4282"/>
      <c r="AA4282"/>
      <c r="AC4282"/>
      <c r="AR4282"/>
    </row>
    <row r="4283" spans="24:44">
      <c r="X4283"/>
      <c r="Y4283"/>
      <c r="Z4283"/>
      <c r="AA4283"/>
      <c r="AC4283"/>
      <c r="AR4283"/>
    </row>
    <row r="4284" spans="24:44">
      <c r="X4284"/>
      <c r="Y4284"/>
      <c r="Z4284"/>
      <c r="AA4284"/>
      <c r="AC4284"/>
      <c r="AR4284"/>
    </row>
    <row r="4285" spans="24:44">
      <c r="X4285"/>
      <c r="Y4285"/>
      <c r="Z4285"/>
      <c r="AA4285"/>
      <c r="AC4285"/>
      <c r="AR4285"/>
    </row>
    <row r="4286" spans="24:44">
      <c r="X4286"/>
      <c r="Y4286"/>
      <c r="Z4286"/>
      <c r="AA4286"/>
      <c r="AC4286"/>
      <c r="AR4286"/>
    </row>
    <row r="4287" spans="24:44">
      <c r="X4287"/>
      <c r="Y4287"/>
      <c r="Z4287"/>
      <c r="AA4287"/>
      <c r="AC4287"/>
      <c r="AR4287"/>
    </row>
    <row r="4288" spans="24:44">
      <c r="X4288"/>
      <c r="Y4288"/>
      <c r="Z4288"/>
      <c r="AA4288"/>
      <c r="AC4288"/>
      <c r="AR4288"/>
    </row>
    <row r="4289" spans="24:44">
      <c r="X4289"/>
      <c r="Y4289"/>
      <c r="Z4289"/>
      <c r="AA4289"/>
      <c r="AC4289"/>
      <c r="AR4289"/>
    </row>
    <row r="4290" spans="24:44">
      <c r="X4290"/>
      <c r="Y4290"/>
      <c r="Z4290"/>
      <c r="AA4290"/>
      <c r="AC4290"/>
      <c r="AR4290"/>
    </row>
    <row r="4291" spans="24:44">
      <c r="X4291"/>
      <c r="Y4291"/>
      <c r="Z4291"/>
      <c r="AA4291"/>
      <c r="AC4291"/>
      <c r="AR4291"/>
    </row>
    <row r="4292" spans="24:44">
      <c r="X4292"/>
      <c r="Y4292"/>
      <c r="Z4292"/>
      <c r="AA4292"/>
      <c r="AC4292"/>
      <c r="AR4292"/>
    </row>
    <row r="4293" spans="24:44">
      <c r="X4293"/>
      <c r="Y4293"/>
      <c r="Z4293"/>
      <c r="AA4293"/>
      <c r="AC4293"/>
      <c r="AR4293"/>
    </row>
    <row r="4294" spans="24:44">
      <c r="X4294"/>
      <c r="Y4294"/>
      <c r="Z4294"/>
      <c r="AA4294"/>
      <c r="AC4294"/>
      <c r="AR4294"/>
    </row>
    <row r="4295" spans="24:44">
      <c r="X4295"/>
      <c r="Y4295"/>
      <c r="Z4295"/>
      <c r="AA4295"/>
      <c r="AC4295"/>
      <c r="AR4295"/>
    </row>
    <row r="4296" spans="24:44">
      <c r="X4296"/>
      <c r="Y4296"/>
      <c r="Z4296"/>
      <c r="AA4296"/>
      <c r="AC4296"/>
      <c r="AR4296"/>
    </row>
    <row r="4297" spans="24:44">
      <c r="X4297"/>
      <c r="Y4297"/>
      <c r="Z4297"/>
      <c r="AA4297"/>
      <c r="AC4297"/>
      <c r="AR4297"/>
    </row>
    <row r="4298" spans="24:44">
      <c r="X4298"/>
      <c r="Y4298"/>
      <c r="Z4298"/>
      <c r="AA4298"/>
      <c r="AC4298"/>
      <c r="AR4298"/>
    </row>
    <row r="4299" spans="24:44">
      <c r="X4299"/>
      <c r="Y4299"/>
      <c r="Z4299"/>
      <c r="AA4299"/>
      <c r="AC4299"/>
      <c r="AR4299"/>
    </row>
    <row r="4300" spans="24:44">
      <c r="X4300"/>
      <c r="Y4300"/>
      <c r="Z4300"/>
      <c r="AA4300"/>
      <c r="AC4300"/>
      <c r="AR4300"/>
    </row>
    <row r="4301" spans="24:44">
      <c r="X4301"/>
      <c r="Y4301"/>
      <c r="Z4301"/>
      <c r="AA4301"/>
      <c r="AC4301"/>
      <c r="AR4301"/>
    </row>
    <row r="4302" spans="24:44">
      <c r="X4302"/>
      <c r="Y4302"/>
      <c r="Z4302"/>
      <c r="AA4302"/>
      <c r="AC4302"/>
      <c r="AR4302"/>
    </row>
    <row r="4303" spans="24:44">
      <c r="X4303"/>
      <c r="Y4303"/>
      <c r="Z4303"/>
      <c r="AA4303"/>
      <c r="AC4303"/>
      <c r="AR4303"/>
    </row>
    <row r="4304" spans="24:44">
      <c r="X4304"/>
      <c r="Y4304"/>
      <c r="Z4304"/>
      <c r="AA4304"/>
      <c r="AC4304"/>
      <c r="AR4304"/>
    </row>
    <row r="4305" spans="24:44">
      <c r="X4305"/>
      <c r="Y4305"/>
      <c r="Z4305"/>
      <c r="AA4305"/>
      <c r="AC4305"/>
      <c r="AR4305"/>
    </row>
    <row r="4306" spans="24:44">
      <c r="X4306"/>
      <c r="Y4306"/>
      <c r="Z4306"/>
      <c r="AA4306"/>
      <c r="AC4306"/>
      <c r="AR4306"/>
    </row>
    <row r="4307" spans="24:44">
      <c r="X4307"/>
      <c r="Y4307"/>
      <c r="Z4307"/>
      <c r="AA4307"/>
      <c r="AC4307"/>
      <c r="AR4307"/>
    </row>
    <row r="4308" spans="24:44">
      <c r="X4308"/>
      <c r="Y4308"/>
      <c r="Z4308"/>
      <c r="AA4308"/>
      <c r="AC4308"/>
      <c r="AR4308"/>
    </row>
    <row r="4309" spans="24:44">
      <c r="X4309"/>
      <c r="Y4309"/>
      <c r="Z4309"/>
      <c r="AA4309"/>
      <c r="AC4309"/>
      <c r="AR4309"/>
    </row>
    <row r="4310" spans="24:44">
      <c r="X4310"/>
      <c r="Y4310"/>
      <c r="Z4310"/>
      <c r="AA4310"/>
      <c r="AC4310"/>
      <c r="AR4310"/>
    </row>
    <row r="4311" spans="24:44">
      <c r="X4311"/>
      <c r="Y4311"/>
      <c r="Z4311"/>
      <c r="AA4311"/>
      <c r="AC4311"/>
      <c r="AR4311"/>
    </row>
    <row r="4312" spans="24:44">
      <c r="X4312"/>
      <c r="Y4312"/>
      <c r="Z4312"/>
      <c r="AA4312"/>
      <c r="AC4312"/>
      <c r="AR4312"/>
    </row>
    <row r="4313" spans="24:44">
      <c r="X4313"/>
      <c r="Y4313"/>
      <c r="Z4313"/>
      <c r="AA4313"/>
      <c r="AC4313"/>
      <c r="AR4313"/>
    </row>
    <row r="4314" spans="24:44">
      <c r="X4314"/>
      <c r="Y4314"/>
      <c r="Z4314"/>
      <c r="AA4314"/>
      <c r="AC4314"/>
      <c r="AR4314"/>
    </row>
    <row r="4315" spans="24:44">
      <c r="X4315"/>
      <c r="Y4315"/>
      <c r="Z4315"/>
      <c r="AA4315"/>
      <c r="AC4315"/>
      <c r="AR4315"/>
    </row>
    <row r="4316" spans="24:44">
      <c r="X4316"/>
      <c r="Y4316"/>
      <c r="Z4316"/>
      <c r="AA4316"/>
      <c r="AC4316"/>
      <c r="AR4316"/>
    </row>
    <row r="4317" spans="24:44">
      <c r="X4317"/>
      <c r="Y4317"/>
      <c r="Z4317"/>
      <c r="AA4317"/>
      <c r="AC4317"/>
      <c r="AR4317"/>
    </row>
    <row r="4318" spans="24:44">
      <c r="X4318"/>
      <c r="Y4318"/>
      <c r="Z4318"/>
      <c r="AA4318"/>
      <c r="AC4318"/>
      <c r="AR4318"/>
    </row>
    <row r="4319" spans="24:44">
      <c r="X4319"/>
      <c r="Y4319"/>
      <c r="Z4319"/>
      <c r="AA4319"/>
      <c r="AC4319"/>
      <c r="AR4319"/>
    </row>
    <row r="4320" spans="24:44">
      <c r="X4320"/>
      <c r="Y4320"/>
      <c r="Z4320"/>
      <c r="AA4320"/>
      <c r="AC4320"/>
      <c r="AR4320"/>
    </row>
    <row r="4321" spans="24:44">
      <c r="X4321"/>
      <c r="Y4321"/>
      <c r="Z4321"/>
      <c r="AA4321"/>
      <c r="AC4321"/>
      <c r="AR4321"/>
    </row>
    <row r="4322" spans="24:44">
      <c r="X4322"/>
      <c r="Y4322"/>
      <c r="Z4322"/>
      <c r="AA4322"/>
      <c r="AC4322"/>
      <c r="AR4322"/>
    </row>
    <row r="4323" spans="24:44">
      <c r="X4323"/>
      <c r="Y4323"/>
      <c r="Z4323"/>
      <c r="AA4323"/>
      <c r="AC4323"/>
      <c r="AR4323"/>
    </row>
    <row r="4324" spans="24:44">
      <c r="X4324"/>
      <c r="Y4324"/>
      <c r="Z4324"/>
      <c r="AA4324"/>
      <c r="AC4324"/>
      <c r="AR4324"/>
    </row>
    <row r="4325" spans="24:44">
      <c r="X4325"/>
      <c r="Y4325"/>
      <c r="Z4325"/>
      <c r="AA4325"/>
      <c r="AC4325"/>
      <c r="AR4325"/>
    </row>
    <row r="4326" spans="24:44">
      <c r="X4326"/>
      <c r="Y4326"/>
      <c r="Z4326"/>
      <c r="AA4326"/>
      <c r="AC4326"/>
      <c r="AR4326"/>
    </row>
    <row r="4327" spans="24:44">
      <c r="X4327"/>
      <c r="Y4327"/>
      <c r="Z4327"/>
      <c r="AA4327"/>
      <c r="AC4327"/>
      <c r="AR4327"/>
    </row>
    <row r="4328" spans="24:44">
      <c r="X4328"/>
      <c r="Y4328"/>
      <c r="Z4328"/>
      <c r="AA4328"/>
      <c r="AC4328"/>
      <c r="AR4328"/>
    </row>
    <row r="4329" spans="24:44">
      <c r="X4329"/>
      <c r="Y4329"/>
      <c r="Z4329"/>
      <c r="AA4329"/>
      <c r="AC4329"/>
      <c r="AR4329"/>
    </row>
    <row r="4330" spans="24:44">
      <c r="X4330"/>
      <c r="Y4330"/>
      <c r="Z4330"/>
      <c r="AA4330"/>
      <c r="AC4330"/>
      <c r="AR4330"/>
    </row>
    <row r="4331" spans="24:44">
      <c r="X4331"/>
      <c r="Y4331"/>
      <c r="Z4331"/>
      <c r="AA4331"/>
      <c r="AC4331"/>
      <c r="AR4331"/>
    </row>
    <row r="4332" spans="24:44">
      <c r="X4332"/>
      <c r="Y4332"/>
      <c r="Z4332"/>
      <c r="AA4332"/>
      <c r="AC4332"/>
      <c r="AR4332"/>
    </row>
    <row r="4333" spans="24:44">
      <c r="X4333"/>
      <c r="Y4333"/>
      <c r="Z4333"/>
      <c r="AA4333"/>
      <c r="AC4333"/>
      <c r="AR4333"/>
    </row>
    <row r="4334" spans="24:44">
      <c r="X4334"/>
      <c r="Y4334"/>
      <c r="Z4334"/>
      <c r="AA4334"/>
      <c r="AC4334"/>
      <c r="AR4334"/>
    </row>
    <row r="4335" spans="24:44">
      <c r="X4335"/>
      <c r="Y4335"/>
      <c r="Z4335"/>
      <c r="AA4335"/>
      <c r="AC4335"/>
      <c r="AR4335"/>
    </row>
    <row r="4336" spans="24:44">
      <c r="X4336"/>
      <c r="Y4336"/>
      <c r="Z4336"/>
      <c r="AA4336"/>
      <c r="AC4336"/>
      <c r="AR4336"/>
    </row>
    <row r="4337" spans="24:44">
      <c r="X4337"/>
      <c r="Y4337"/>
      <c r="Z4337"/>
      <c r="AA4337"/>
      <c r="AC4337"/>
      <c r="AR4337"/>
    </row>
    <row r="4338" spans="24:44">
      <c r="X4338"/>
      <c r="Y4338"/>
      <c r="Z4338"/>
      <c r="AA4338"/>
      <c r="AC4338"/>
      <c r="AR4338"/>
    </row>
    <row r="4339" spans="24:44">
      <c r="X4339"/>
      <c r="Y4339"/>
      <c r="Z4339"/>
      <c r="AA4339"/>
      <c r="AC4339"/>
      <c r="AR4339"/>
    </row>
    <row r="4340" spans="24:44">
      <c r="X4340"/>
      <c r="Y4340"/>
      <c r="Z4340"/>
      <c r="AA4340"/>
      <c r="AC4340"/>
      <c r="AR4340"/>
    </row>
    <row r="4341" spans="24:44">
      <c r="X4341"/>
      <c r="Y4341"/>
      <c r="Z4341"/>
      <c r="AA4341"/>
      <c r="AC4341"/>
      <c r="AR4341"/>
    </row>
    <row r="4342" spans="24:44">
      <c r="X4342"/>
      <c r="Y4342"/>
      <c r="Z4342"/>
      <c r="AA4342"/>
      <c r="AC4342"/>
      <c r="AR4342"/>
    </row>
    <row r="4343" spans="24:44">
      <c r="X4343"/>
      <c r="Y4343"/>
      <c r="Z4343"/>
      <c r="AA4343"/>
      <c r="AC4343"/>
      <c r="AR4343"/>
    </row>
    <row r="4344" spans="24:44">
      <c r="X4344"/>
      <c r="Y4344"/>
      <c r="Z4344"/>
      <c r="AA4344"/>
      <c r="AC4344"/>
      <c r="AR4344"/>
    </row>
    <row r="4345" spans="24:44">
      <c r="X4345"/>
      <c r="Y4345"/>
      <c r="Z4345"/>
      <c r="AA4345"/>
      <c r="AC4345"/>
      <c r="AR4345"/>
    </row>
    <row r="4346" spans="24:44">
      <c r="X4346"/>
      <c r="Y4346"/>
      <c r="Z4346"/>
      <c r="AA4346"/>
      <c r="AC4346"/>
      <c r="AR4346"/>
    </row>
    <row r="4347" spans="24:44">
      <c r="X4347"/>
      <c r="Y4347"/>
      <c r="Z4347"/>
      <c r="AA4347"/>
      <c r="AC4347"/>
      <c r="AR4347"/>
    </row>
    <row r="4348" spans="24:44">
      <c r="X4348"/>
      <c r="Y4348"/>
      <c r="Z4348"/>
      <c r="AA4348"/>
      <c r="AC4348"/>
      <c r="AR4348"/>
    </row>
    <row r="4349" spans="24:44">
      <c r="X4349"/>
      <c r="Y4349"/>
      <c r="Z4349"/>
      <c r="AA4349"/>
      <c r="AC4349"/>
      <c r="AR4349"/>
    </row>
    <row r="4350" spans="24:44">
      <c r="X4350"/>
      <c r="Y4350"/>
      <c r="Z4350"/>
      <c r="AA4350"/>
      <c r="AC4350"/>
      <c r="AR4350"/>
    </row>
    <row r="4351" spans="24:44">
      <c r="X4351"/>
      <c r="Y4351"/>
      <c r="Z4351"/>
      <c r="AA4351"/>
      <c r="AC4351"/>
      <c r="AR4351"/>
    </row>
    <row r="4352" spans="24:44">
      <c r="X4352"/>
      <c r="Y4352"/>
      <c r="Z4352"/>
      <c r="AA4352"/>
      <c r="AC4352"/>
      <c r="AR4352"/>
    </row>
    <row r="4353" spans="24:44">
      <c r="X4353"/>
      <c r="Y4353"/>
      <c r="Z4353"/>
      <c r="AA4353"/>
      <c r="AC4353"/>
      <c r="AR4353"/>
    </row>
    <row r="4354" spans="24:44">
      <c r="X4354"/>
      <c r="Y4354"/>
      <c r="Z4354"/>
      <c r="AA4354"/>
      <c r="AC4354"/>
      <c r="AR4354"/>
    </row>
    <row r="4355" spans="24:44">
      <c r="X4355"/>
      <c r="Y4355"/>
      <c r="Z4355"/>
      <c r="AA4355"/>
      <c r="AC4355"/>
      <c r="AR4355"/>
    </row>
    <row r="4356" spans="24:44">
      <c r="X4356"/>
      <c r="Y4356"/>
      <c r="Z4356"/>
      <c r="AA4356"/>
      <c r="AC4356"/>
      <c r="AR4356"/>
    </row>
    <row r="4357" spans="24:44">
      <c r="X4357"/>
      <c r="Y4357"/>
      <c r="Z4357"/>
      <c r="AA4357"/>
      <c r="AC4357"/>
      <c r="AR4357"/>
    </row>
    <row r="4358" spans="24:44">
      <c r="X4358"/>
      <c r="Y4358"/>
      <c r="Z4358"/>
      <c r="AA4358"/>
      <c r="AC4358"/>
      <c r="AR4358"/>
    </row>
    <row r="4359" spans="24:44">
      <c r="X4359"/>
      <c r="Y4359"/>
      <c r="Z4359"/>
      <c r="AA4359"/>
      <c r="AC4359"/>
      <c r="AR4359"/>
    </row>
    <row r="4360" spans="24:44">
      <c r="X4360"/>
      <c r="Y4360"/>
      <c r="Z4360"/>
      <c r="AA4360"/>
      <c r="AC4360"/>
      <c r="AR4360"/>
    </row>
    <row r="4361" spans="24:44">
      <c r="X4361"/>
      <c r="Y4361"/>
      <c r="Z4361"/>
      <c r="AA4361"/>
      <c r="AC4361"/>
      <c r="AR4361"/>
    </row>
    <row r="4362" spans="24:44">
      <c r="X4362"/>
      <c r="Y4362"/>
      <c r="Z4362"/>
      <c r="AA4362"/>
      <c r="AC4362"/>
      <c r="AR4362"/>
    </row>
    <row r="4363" spans="24:44">
      <c r="X4363"/>
      <c r="Y4363"/>
      <c r="Z4363"/>
      <c r="AA4363"/>
      <c r="AC4363"/>
      <c r="AR4363"/>
    </row>
    <row r="4364" spans="24:44">
      <c r="X4364"/>
      <c r="Y4364"/>
      <c r="Z4364"/>
      <c r="AA4364"/>
      <c r="AC4364"/>
      <c r="AR4364"/>
    </row>
    <row r="4365" spans="24:44">
      <c r="X4365"/>
      <c r="Y4365"/>
      <c r="Z4365"/>
      <c r="AA4365"/>
      <c r="AC4365"/>
      <c r="AR4365"/>
    </row>
    <row r="4366" spans="24:44">
      <c r="X4366"/>
      <c r="Y4366"/>
      <c r="Z4366"/>
      <c r="AA4366"/>
      <c r="AC4366"/>
      <c r="AR4366"/>
    </row>
    <row r="4367" spans="24:44">
      <c r="X4367"/>
      <c r="Y4367"/>
      <c r="Z4367"/>
      <c r="AA4367"/>
      <c r="AC4367"/>
      <c r="AR4367"/>
    </row>
    <row r="4368" spans="24:44">
      <c r="X4368"/>
      <c r="Y4368"/>
      <c r="Z4368"/>
      <c r="AA4368"/>
      <c r="AC4368"/>
      <c r="AR4368"/>
    </row>
    <row r="4369" spans="24:44">
      <c r="X4369"/>
      <c r="Y4369"/>
      <c r="Z4369"/>
      <c r="AA4369"/>
      <c r="AC4369"/>
      <c r="AR4369"/>
    </row>
    <row r="4370" spans="24:44">
      <c r="X4370"/>
      <c r="Y4370"/>
      <c r="Z4370"/>
      <c r="AA4370"/>
      <c r="AC4370"/>
      <c r="AR4370"/>
    </row>
    <row r="4371" spans="24:44">
      <c r="X4371"/>
      <c r="Y4371"/>
      <c r="Z4371"/>
      <c r="AA4371"/>
      <c r="AC4371"/>
      <c r="AR4371"/>
    </row>
    <row r="4372" spans="24:44">
      <c r="X4372"/>
      <c r="Y4372"/>
      <c r="Z4372"/>
      <c r="AA4372"/>
      <c r="AC4372"/>
      <c r="AR4372"/>
    </row>
    <row r="4373" spans="24:44">
      <c r="X4373"/>
      <c r="Y4373"/>
      <c r="Z4373"/>
      <c r="AA4373"/>
      <c r="AC4373"/>
      <c r="AR4373"/>
    </row>
    <row r="4374" spans="24:44">
      <c r="X4374"/>
      <c r="Y4374"/>
      <c r="Z4374"/>
      <c r="AA4374"/>
      <c r="AC4374"/>
      <c r="AR4374"/>
    </row>
    <row r="4375" spans="24:44">
      <c r="X4375"/>
      <c r="Y4375"/>
      <c r="Z4375"/>
      <c r="AA4375"/>
      <c r="AC4375"/>
      <c r="AR4375"/>
    </row>
    <row r="4376" spans="24:44">
      <c r="X4376"/>
      <c r="Y4376"/>
      <c r="Z4376"/>
      <c r="AA4376"/>
      <c r="AC4376"/>
      <c r="AR4376"/>
    </row>
    <row r="4377" spans="24:44">
      <c r="X4377"/>
      <c r="Y4377"/>
      <c r="Z4377"/>
      <c r="AA4377"/>
      <c r="AC4377"/>
      <c r="AR4377"/>
    </row>
    <row r="4378" spans="24:44">
      <c r="X4378"/>
      <c r="Y4378"/>
      <c r="Z4378"/>
      <c r="AA4378"/>
      <c r="AC4378"/>
      <c r="AR4378"/>
    </row>
    <row r="4379" spans="24:44">
      <c r="X4379"/>
      <c r="Y4379"/>
      <c r="Z4379"/>
      <c r="AA4379"/>
      <c r="AC4379"/>
      <c r="AR4379"/>
    </row>
    <row r="4380" spans="24:44">
      <c r="X4380"/>
      <c r="Y4380"/>
      <c r="Z4380"/>
      <c r="AA4380"/>
      <c r="AC4380"/>
      <c r="AR4380"/>
    </row>
    <row r="4381" spans="24:44">
      <c r="X4381"/>
      <c r="Y4381"/>
      <c r="Z4381"/>
      <c r="AA4381"/>
      <c r="AC4381"/>
      <c r="AR4381"/>
    </row>
    <row r="4382" spans="24:44">
      <c r="X4382"/>
      <c r="Y4382"/>
      <c r="Z4382"/>
      <c r="AA4382"/>
      <c r="AC4382"/>
      <c r="AR4382"/>
    </row>
    <row r="4383" spans="24:44">
      <c r="X4383"/>
      <c r="Y4383"/>
      <c r="Z4383"/>
      <c r="AA4383"/>
      <c r="AC4383"/>
      <c r="AR4383"/>
    </row>
    <row r="4384" spans="24:44">
      <c r="X4384"/>
      <c r="Y4384"/>
      <c r="Z4384"/>
      <c r="AA4384"/>
      <c r="AC4384"/>
      <c r="AR4384"/>
    </row>
    <row r="4385" spans="24:44">
      <c r="X4385"/>
      <c r="Y4385"/>
      <c r="Z4385"/>
      <c r="AA4385"/>
      <c r="AC4385"/>
      <c r="AR4385"/>
    </row>
    <row r="4386" spans="24:44">
      <c r="X4386"/>
      <c r="Y4386"/>
      <c r="Z4386"/>
      <c r="AA4386"/>
      <c r="AC4386"/>
      <c r="AR4386"/>
    </row>
    <row r="4387" spans="24:44">
      <c r="X4387"/>
      <c r="Y4387"/>
      <c r="Z4387"/>
      <c r="AA4387"/>
      <c r="AC4387"/>
      <c r="AR4387"/>
    </row>
    <row r="4388" spans="24:44">
      <c r="X4388"/>
      <c r="Y4388"/>
      <c r="Z4388"/>
      <c r="AA4388"/>
      <c r="AC4388"/>
      <c r="AR4388"/>
    </row>
    <row r="4389" spans="24:44">
      <c r="X4389"/>
      <c r="Y4389"/>
      <c r="Z4389"/>
      <c r="AA4389"/>
      <c r="AC4389"/>
      <c r="AR4389"/>
    </row>
    <row r="4390" spans="24:44">
      <c r="X4390"/>
      <c r="Y4390"/>
      <c r="Z4390"/>
      <c r="AA4390"/>
      <c r="AC4390"/>
      <c r="AR4390"/>
    </row>
    <row r="4391" spans="24:44">
      <c r="X4391"/>
      <c r="Y4391"/>
      <c r="Z4391"/>
      <c r="AA4391"/>
      <c r="AC4391"/>
      <c r="AR4391"/>
    </row>
    <row r="4392" spans="24:44">
      <c r="X4392"/>
      <c r="Y4392"/>
      <c r="Z4392"/>
      <c r="AA4392"/>
      <c r="AC4392"/>
      <c r="AR4392"/>
    </row>
    <row r="4393" spans="24:44">
      <c r="X4393"/>
      <c r="Y4393"/>
      <c r="Z4393"/>
      <c r="AA4393"/>
      <c r="AC4393"/>
      <c r="AR4393"/>
    </row>
    <row r="4394" spans="24:44">
      <c r="X4394"/>
      <c r="Y4394"/>
      <c r="Z4394"/>
      <c r="AA4394"/>
      <c r="AC4394"/>
      <c r="AR4394"/>
    </row>
    <row r="4395" spans="24:44">
      <c r="X4395"/>
      <c r="Y4395"/>
      <c r="Z4395"/>
      <c r="AA4395"/>
      <c r="AC4395"/>
      <c r="AR4395"/>
    </row>
    <row r="4396" spans="24:44">
      <c r="X4396"/>
      <c r="Y4396"/>
      <c r="Z4396"/>
      <c r="AA4396"/>
      <c r="AC4396"/>
      <c r="AR4396"/>
    </row>
    <row r="4397" spans="24:44">
      <c r="X4397"/>
      <c r="Y4397"/>
      <c r="Z4397"/>
      <c r="AA4397"/>
      <c r="AC4397"/>
      <c r="AR4397"/>
    </row>
    <row r="4398" spans="24:44">
      <c r="X4398"/>
      <c r="Y4398"/>
      <c r="Z4398"/>
      <c r="AA4398"/>
      <c r="AC4398"/>
      <c r="AR4398"/>
    </row>
    <row r="4399" spans="24:44">
      <c r="X4399"/>
      <c r="Y4399"/>
      <c r="Z4399"/>
      <c r="AA4399"/>
      <c r="AC4399"/>
      <c r="AR4399"/>
    </row>
    <row r="4400" spans="24:44">
      <c r="X4400"/>
      <c r="Y4400"/>
      <c r="Z4400"/>
      <c r="AA4400"/>
      <c r="AC4400"/>
      <c r="AR4400"/>
    </row>
    <row r="4401" spans="24:44">
      <c r="X4401"/>
      <c r="Y4401"/>
      <c r="Z4401"/>
      <c r="AA4401"/>
      <c r="AC4401"/>
      <c r="AR4401"/>
    </row>
    <row r="4402" spans="24:44">
      <c r="X4402"/>
      <c r="Y4402"/>
      <c r="Z4402"/>
      <c r="AA4402"/>
      <c r="AC4402"/>
      <c r="AR4402"/>
    </row>
    <row r="4403" spans="24:44">
      <c r="X4403"/>
      <c r="Y4403"/>
      <c r="Z4403"/>
      <c r="AA4403"/>
      <c r="AC4403"/>
      <c r="AR4403"/>
    </row>
    <row r="4404" spans="24:44">
      <c r="X4404"/>
      <c r="Y4404"/>
      <c r="Z4404"/>
      <c r="AA4404"/>
      <c r="AC4404"/>
      <c r="AR4404"/>
    </row>
    <row r="4405" spans="24:44">
      <c r="X4405"/>
      <c r="Y4405"/>
      <c r="Z4405"/>
      <c r="AA4405"/>
      <c r="AC4405"/>
      <c r="AR4405"/>
    </row>
    <row r="4406" spans="24:44">
      <c r="X4406"/>
      <c r="Y4406"/>
      <c r="Z4406"/>
      <c r="AA4406"/>
      <c r="AC4406"/>
      <c r="AR4406"/>
    </row>
    <row r="4407" spans="24:44">
      <c r="X4407"/>
      <c r="Y4407"/>
      <c r="Z4407"/>
      <c r="AA4407"/>
      <c r="AC4407"/>
      <c r="AR4407"/>
    </row>
    <row r="4408" spans="24:44">
      <c r="X4408"/>
      <c r="Y4408"/>
      <c r="Z4408"/>
      <c r="AA4408"/>
      <c r="AC4408"/>
      <c r="AR4408"/>
    </row>
    <row r="4409" spans="24:44">
      <c r="X4409"/>
      <c r="Y4409"/>
      <c r="Z4409"/>
      <c r="AA4409"/>
      <c r="AC4409"/>
      <c r="AR4409"/>
    </row>
    <row r="4410" spans="24:44">
      <c r="X4410"/>
      <c r="Y4410"/>
      <c r="Z4410"/>
      <c r="AA4410"/>
      <c r="AC4410"/>
      <c r="AR4410"/>
    </row>
    <row r="4411" spans="24:44">
      <c r="X4411"/>
      <c r="Y4411"/>
      <c r="Z4411"/>
      <c r="AA4411"/>
      <c r="AC4411"/>
      <c r="AR4411"/>
    </row>
    <row r="4412" spans="24:44">
      <c r="X4412"/>
      <c r="Y4412"/>
      <c r="Z4412"/>
      <c r="AA4412"/>
      <c r="AC4412"/>
      <c r="AR4412"/>
    </row>
    <row r="4413" spans="24:44">
      <c r="X4413"/>
      <c r="Y4413"/>
      <c r="Z4413"/>
      <c r="AA4413"/>
      <c r="AC4413"/>
      <c r="AR4413"/>
    </row>
    <row r="4414" spans="24:44">
      <c r="X4414"/>
      <c r="Y4414"/>
      <c r="Z4414"/>
      <c r="AA4414"/>
      <c r="AC4414"/>
      <c r="AR4414"/>
    </row>
    <row r="4415" spans="24:44">
      <c r="X4415"/>
      <c r="Y4415"/>
      <c r="Z4415"/>
      <c r="AA4415"/>
      <c r="AC4415"/>
      <c r="AR4415"/>
    </row>
    <row r="4416" spans="24:44">
      <c r="X4416"/>
      <c r="Y4416"/>
      <c r="Z4416"/>
      <c r="AA4416"/>
      <c r="AC4416"/>
      <c r="AR4416"/>
    </row>
    <row r="4417" spans="24:44">
      <c r="X4417"/>
      <c r="Y4417"/>
      <c r="Z4417"/>
      <c r="AA4417"/>
      <c r="AC4417"/>
      <c r="AR4417"/>
    </row>
    <row r="4418" spans="24:44">
      <c r="X4418"/>
      <c r="Y4418"/>
      <c r="Z4418"/>
      <c r="AA4418"/>
      <c r="AC4418"/>
      <c r="AR4418"/>
    </row>
    <row r="4419" spans="24:44">
      <c r="X4419"/>
      <c r="Y4419"/>
      <c r="Z4419"/>
      <c r="AA4419"/>
      <c r="AC4419"/>
      <c r="AR4419"/>
    </row>
    <row r="4420" spans="24:44">
      <c r="X4420"/>
      <c r="Y4420"/>
      <c r="Z4420"/>
      <c r="AA4420"/>
      <c r="AC4420"/>
      <c r="AR4420"/>
    </row>
    <row r="4421" spans="24:44">
      <c r="X4421"/>
      <c r="Y4421"/>
      <c r="Z4421"/>
      <c r="AA4421"/>
      <c r="AC4421"/>
      <c r="AR4421"/>
    </row>
    <row r="4422" spans="24:44">
      <c r="X4422"/>
      <c r="Y4422"/>
      <c r="Z4422"/>
      <c r="AA4422"/>
      <c r="AC4422"/>
      <c r="AR4422"/>
    </row>
    <row r="4423" spans="24:44">
      <c r="X4423"/>
      <c r="Y4423"/>
      <c r="Z4423"/>
      <c r="AA4423"/>
      <c r="AC4423"/>
      <c r="AR4423"/>
    </row>
    <row r="4424" spans="24:44">
      <c r="X4424"/>
      <c r="Y4424"/>
      <c r="Z4424"/>
      <c r="AA4424"/>
      <c r="AC4424"/>
      <c r="AR4424"/>
    </row>
    <row r="4425" spans="24:44">
      <c r="X4425"/>
      <c r="Y4425"/>
      <c r="Z4425"/>
      <c r="AA4425"/>
      <c r="AC4425"/>
      <c r="AR4425"/>
    </row>
    <row r="4426" spans="24:44">
      <c r="X4426"/>
      <c r="Y4426"/>
      <c r="Z4426"/>
      <c r="AA4426"/>
      <c r="AC4426"/>
      <c r="AR4426"/>
    </row>
    <row r="4427" spans="24:44">
      <c r="X4427"/>
      <c r="Y4427"/>
      <c r="Z4427"/>
      <c r="AA4427"/>
      <c r="AC4427"/>
      <c r="AR4427"/>
    </row>
    <row r="4428" spans="24:44">
      <c r="X4428"/>
      <c r="Y4428"/>
      <c r="Z4428"/>
      <c r="AA4428"/>
      <c r="AC4428"/>
      <c r="AR4428"/>
    </row>
    <row r="4429" spans="24:44">
      <c r="X4429"/>
      <c r="Y4429"/>
      <c r="Z4429"/>
      <c r="AA4429"/>
      <c r="AC4429"/>
      <c r="AR4429"/>
    </row>
    <row r="4430" spans="24:44">
      <c r="X4430"/>
      <c r="Y4430"/>
      <c r="Z4430"/>
      <c r="AA4430"/>
      <c r="AC4430"/>
      <c r="AR4430"/>
    </row>
    <row r="4431" spans="24:44">
      <c r="X4431"/>
      <c r="Y4431"/>
      <c r="Z4431"/>
      <c r="AA4431"/>
      <c r="AC4431"/>
      <c r="AR4431"/>
    </row>
    <row r="4432" spans="24:44">
      <c r="X4432"/>
      <c r="Y4432"/>
      <c r="Z4432"/>
      <c r="AA4432"/>
      <c r="AC4432"/>
      <c r="AR4432"/>
    </row>
    <row r="4433" spans="24:44">
      <c r="X4433"/>
      <c r="Y4433"/>
      <c r="Z4433"/>
      <c r="AA4433"/>
      <c r="AC4433"/>
      <c r="AR4433"/>
    </row>
    <row r="4434" spans="24:44">
      <c r="X4434"/>
      <c r="Y4434"/>
      <c r="Z4434"/>
      <c r="AA4434"/>
      <c r="AC4434"/>
      <c r="AR4434"/>
    </row>
    <row r="4435" spans="24:44">
      <c r="X4435"/>
      <c r="Y4435"/>
      <c r="Z4435"/>
      <c r="AA4435"/>
      <c r="AC4435"/>
      <c r="AR4435"/>
    </row>
    <row r="4436" spans="24:44">
      <c r="X4436"/>
      <c r="Y4436"/>
      <c r="Z4436"/>
      <c r="AA4436"/>
      <c r="AC4436"/>
      <c r="AR4436"/>
    </row>
    <row r="4437" spans="24:44">
      <c r="X4437"/>
      <c r="Y4437"/>
      <c r="Z4437"/>
      <c r="AA4437"/>
      <c r="AC4437"/>
      <c r="AR4437"/>
    </row>
    <row r="4438" spans="24:44">
      <c r="X4438"/>
      <c r="Y4438"/>
      <c r="Z4438"/>
      <c r="AA4438"/>
      <c r="AC4438"/>
      <c r="AR4438"/>
    </row>
    <row r="4439" spans="24:44">
      <c r="X4439"/>
      <c r="Y4439"/>
      <c r="Z4439"/>
      <c r="AA4439"/>
      <c r="AC4439"/>
      <c r="AR4439"/>
    </row>
    <row r="4440" spans="24:44">
      <c r="X4440"/>
      <c r="Y4440"/>
      <c r="Z4440"/>
      <c r="AA4440"/>
      <c r="AC4440"/>
      <c r="AR4440"/>
    </row>
    <row r="4441" spans="24:44">
      <c r="X4441"/>
      <c r="Y4441"/>
      <c r="Z4441"/>
      <c r="AA4441"/>
      <c r="AC4441"/>
      <c r="AR4441"/>
    </row>
    <row r="4442" spans="24:44">
      <c r="X4442"/>
      <c r="Y4442"/>
      <c r="Z4442"/>
      <c r="AA4442"/>
      <c r="AC4442"/>
      <c r="AR4442"/>
    </row>
    <row r="4443" spans="24:44">
      <c r="X4443"/>
      <c r="Y4443"/>
      <c r="Z4443"/>
      <c r="AA4443"/>
      <c r="AC4443"/>
      <c r="AR4443"/>
    </row>
    <row r="4444" spans="24:44">
      <c r="X4444"/>
      <c r="Y4444"/>
      <c r="Z4444"/>
      <c r="AA4444"/>
      <c r="AC4444"/>
      <c r="AR4444"/>
    </row>
    <row r="4445" spans="24:44">
      <c r="X4445"/>
      <c r="Y4445"/>
      <c r="Z4445"/>
      <c r="AA4445"/>
      <c r="AC4445"/>
      <c r="AR4445"/>
    </row>
    <row r="4446" spans="24:44">
      <c r="X4446"/>
      <c r="Y4446"/>
      <c r="Z4446"/>
      <c r="AA4446"/>
      <c r="AC4446"/>
      <c r="AR4446"/>
    </row>
    <row r="4447" spans="24:44">
      <c r="X4447"/>
      <c r="Y4447"/>
      <c r="Z4447"/>
      <c r="AA4447"/>
      <c r="AC4447"/>
      <c r="AR4447"/>
    </row>
    <row r="4448" spans="24:44">
      <c r="X4448"/>
      <c r="Y4448"/>
      <c r="Z4448"/>
      <c r="AA4448"/>
      <c r="AC4448"/>
      <c r="AR4448"/>
    </row>
    <row r="4449" spans="24:44">
      <c r="X4449"/>
      <c r="Y4449"/>
      <c r="Z4449"/>
      <c r="AA4449"/>
      <c r="AC4449"/>
      <c r="AR4449"/>
    </row>
    <row r="4450" spans="24:44">
      <c r="X4450"/>
      <c r="Y4450"/>
      <c r="Z4450"/>
      <c r="AA4450"/>
      <c r="AC4450"/>
      <c r="AR4450"/>
    </row>
    <row r="4451" spans="24:44">
      <c r="X4451"/>
      <c r="Y4451"/>
      <c r="Z4451"/>
      <c r="AA4451"/>
      <c r="AC4451"/>
      <c r="AR4451"/>
    </row>
    <row r="4452" spans="24:44">
      <c r="X4452"/>
      <c r="Y4452"/>
      <c r="Z4452"/>
      <c r="AA4452"/>
      <c r="AC4452"/>
      <c r="AR4452"/>
    </row>
    <row r="4453" spans="24:44">
      <c r="X4453"/>
      <c r="Y4453"/>
      <c r="Z4453"/>
      <c r="AA4453"/>
      <c r="AC4453"/>
      <c r="AR4453"/>
    </row>
    <row r="4454" spans="24:44">
      <c r="X4454"/>
      <c r="Y4454"/>
      <c r="Z4454"/>
      <c r="AA4454"/>
      <c r="AC4454"/>
      <c r="AR4454"/>
    </row>
    <row r="4455" spans="24:44">
      <c r="X4455"/>
      <c r="Y4455"/>
      <c r="Z4455"/>
      <c r="AA4455"/>
      <c r="AC4455"/>
      <c r="AR4455"/>
    </row>
    <row r="4456" spans="24:44">
      <c r="X4456"/>
      <c r="Y4456"/>
      <c r="Z4456"/>
      <c r="AA4456"/>
      <c r="AC4456"/>
      <c r="AR4456"/>
    </row>
    <row r="4457" spans="24:44">
      <c r="X4457"/>
      <c r="Y4457"/>
      <c r="Z4457"/>
      <c r="AA4457"/>
      <c r="AC4457"/>
      <c r="AR4457"/>
    </row>
    <row r="4458" spans="24:44">
      <c r="X4458"/>
      <c r="Y4458"/>
      <c r="Z4458"/>
      <c r="AA4458"/>
      <c r="AC4458"/>
      <c r="AR4458"/>
    </row>
    <row r="4459" spans="24:44">
      <c r="X4459"/>
      <c r="Y4459"/>
      <c r="Z4459"/>
      <c r="AA4459"/>
      <c r="AC4459"/>
      <c r="AR4459"/>
    </row>
    <row r="4460" spans="24:44">
      <c r="X4460"/>
      <c r="Y4460"/>
      <c r="Z4460"/>
      <c r="AA4460"/>
      <c r="AC4460"/>
      <c r="AR4460"/>
    </row>
    <row r="4461" spans="24:44">
      <c r="X4461"/>
      <c r="Y4461"/>
      <c r="Z4461"/>
      <c r="AA4461"/>
      <c r="AC4461"/>
      <c r="AR4461"/>
    </row>
    <row r="4462" spans="24:44">
      <c r="X4462"/>
      <c r="Y4462"/>
      <c r="Z4462"/>
      <c r="AA4462"/>
      <c r="AC4462"/>
      <c r="AR4462"/>
    </row>
    <row r="4463" spans="24:44">
      <c r="X4463"/>
      <c r="Y4463"/>
      <c r="Z4463"/>
      <c r="AA4463"/>
      <c r="AC4463"/>
      <c r="AR4463"/>
    </row>
    <row r="4464" spans="24:44">
      <c r="X4464"/>
      <c r="Y4464"/>
      <c r="Z4464"/>
      <c r="AA4464"/>
      <c r="AC4464"/>
      <c r="AR4464"/>
    </row>
    <row r="4465" spans="24:44">
      <c r="X4465"/>
      <c r="Y4465"/>
      <c r="Z4465"/>
      <c r="AA4465"/>
      <c r="AC4465"/>
      <c r="AR4465"/>
    </row>
    <row r="4466" spans="24:44">
      <c r="X4466"/>
      <c r="Y4466"/>
      <c r="Z4466"/>
      <c r="AA4466"/>
      <c r="AC4466"/>
      <c r="AR4466"/>
    </row>
    <row r="4467" spans="24:44">
      <c r="X4467"/>
      <c r="Y4467"/>
      <c r="Z4467"/>
      <c r="AA4467"/>
      <c r="AC4467"/>
      <c r="AR4467"/>
    </row>
    <row r="4468" spans="24:44">
      <c r="X4468"/>
      <c r="Y4468"/>
      <c r="Z4468"/>
      <c r="AA4468"/>
      <c r="AC4468"/>
      <c r="AR4468"/>
    </row>
    <row r="4469" spans="24:44">
      <c r="X4469"/>
      <c r="Y4469"/>
      <c r="Z4469"/>
      <c r="AA4469"/>
      <c r="AC4469"/>
      <c r="AR4469"/>
    </row>
    <row r="4470" spans="24:44">
      <c r="X4470"/>
      <c r="Y4470"/>
      <c r="Z4470"/>
      <c r="AA4470"/>
      <c r="AC4470"/>
      <c r="AR4470"/>
    </row>
    <row r="4471" spans="24:44">
      <c r="X4471"/>
      <c r="Y4471"/>
      <c r="Z4471"/>
      <c r="AA4471"/>
      <c r="AC4471"/>
      <c r="AR4471"/>
    </row>
    <row r="4472" spans="24:44">
      <c r="X4472"/>
      <c r="Y4472"/>
      <c r="Z4472"/>
      <c r="AA4472"/>
      <c r="AC4472"/>
      <c r="AR4472"/>
    </row>
    <row r="4473" spans="24:44">
      <c r="X4473"/>
      <c r="Y4473"/>
      <c r="Z4473"/>
      <c r="AA4473"/>
      <c r="AC4473"/>
      <c r="AR4473"/>
    </row>
    <row r="4474" spans="24:44">
      <c r="X4474"/>
      <c r="Y4474"/>
      <c r="Z4474"/>
      <c r="AA4474"/>
      <c r="AC4474"/>
      <c r="AR4474"/>
    </row>
    <row r="4475" spans="24:44">
      <c r="X4475"/>
      <c r="Y4475"/>
      <c r="Z4475"/>
      <c r="AA4475"/>
      <c r="AC4475"/>
      <c r="AR4475"/>
    </row>
    <row r="4476" spans="24:44">
      <c r="X4476"/>
      <c r="Y4476"/>
      <c r="Z4476"/>
      <c r="AA4476"/>
      <c r="AC4476"/>
      <c r="AR4476"/>
    </row>
    <row r="4477" spans="24:44">
      <c r="X4477"/>
      <c r="Y4477"/>
      <c r="Z4477"/>
      <c r="AA4477"/>
      <c r="AC4477"/>
      <c r="AR4477"/>
    </row>
    <row r="4478" spans="24:44">
      <c r="X4478"/>
      <c r="Y4478"/>
      <c r="Z4478"/>
      <c r="AA4478"/>
      <c r="AC4478"/>
      <c r="AR4478"/>
    </row>
    <row r="4479" spans="24:44">
      <c r="X4479"/>
      <c r="Y4479"/>
      <c r="Z4479"/>
      <c r="AA4479"/>
      <c r="AC4479"/>
      <c r="AR4479"/>
    </row>
    <row r="4480" spans="24:44">
      <c r="X4480"/>
      <c r="Y4480"/>
      <c r="Z4480"/>
      <c r="AA4480"/>
      <c r="AC4480"/>
      <c r="AR4480"/>
    </row>
    <row r="4481" spans="24:44">
      <c r="X4481"/>
      <c r="Y4481"/>
      <c r="Z4481"/>
      <c r="AA4481"/>
      <c r="AC4481"/>
      <c r="AR4481"/>
    </row>
    <row r="4482" spans="24:44">
      <c r="X4482"/>
      <c r="Y4482"/>
      <c r="Z4482"/>
      <c r="AA4482"/>
      <c r="AC4482"/>
      <c r="AR4482"/>
    </row>
    <row r="4483" spans="24:44">
      <c r="X4483"/>
      <c r="Y4483"/>
      <c r="Z4483"/>
      <c r="AA4483"/>
      <c r="AC4483"/>
      <c r="AR4483"/>
    </row>
    <row r="4484" spans="24:44">
      <c r="X4484"/>
      <c r="Y4484"/>
      <c r="Z4484"/>
      <c r="AA4484"/>
      <c r="AC4484"/>
      <c r="AR4484"/>
    </row>
    <row r="4485" spans="24:44">
      <c r="X4485"/>
      <c r="Y4485"/>
      <c r="Z4485"/>
      <c r="AA4485"/>
      <c r="AC4485"/>
      <c r="AR4485"/>
    </row>
    <row r="4486" spans="24:44">
      <c r="X4486"/>
      <c r="Y4486"/>
      <c r="Z4486"/>
      <c r="AA4486"/>
      <c r="AC4486"/>
      <c r="AR4486"/>
    </row>
    <row r="4487" spans="24:44">
      <c r="X4487"/>
      <c r="Y4487"/>
      <c r="Z4487"/>
      <c r="AA4487"/>
      <c r="AC4487"/>
      <c r="AR4487"/>
    </row>
    <row r="4488" spans="24:44">
      <c r="X4488"/>
      <c r="Y4488"/>
      <c r="Z4488"/>
      <c r="AA4488"/>
      <c r="AC4488"/>
      <c r="AR4488"/>
    </row>
    <row r="4489" spans="24:44">
      <c r="X4489"/>
      <c r="Y4489"/>
      <c r="Z4489"/>
      <c r="AA4489"/>
      <c r="AC4489"/>
      <c r="AR4489"/>
    </row>
    <row r="4490" spans="24:44">
      <c r="X4490"/>
      <c r="Y4490"/>
      <c r="Z4490"/>
      <c r="AA4490"/>
      <c r="AC4490"/>
      <c r="AR4490"/>
    </row>
    <row r="4491" spans="24:44">
      <c r="X4491"/>
      <c r="Y4491"/>
      <c r="Z4491"/>
      <c r="AA4491"/>
      <c r="AC4491"/>
      <c r="AR4491"/>
    </row>
    <row r="4492" spans="24:44">
      <c r="X4492"/>
      <c r="Y4492"/>
      <c r="Z4492"/>
      <c r="AA4492"/>
      <c r="AC4492"/>
      <c r="AR4492"/>
    </row>
    <row r="4493" spans="24:44">
      <c r="X4493"/>
      <c r="Y4493"/>
      <c r="Z4493"/>
      <c r="AA4493"/>
      <c r="AC4493"/>
      <c r="AR4493"/>
    </row>
    <row r="4494" spans="24:44">
      <c r="X4494"/>
      <c r="Y4494"/>
      <c r="Z4494"/>
      <c r="AA4494"/>
      <c r="AC4494"/>
      <c r="AR4494"/>
    </row>
    <row r="4495" spans="24:44">
      <c r="X4495"/>
      <c r="Y4495"/>
      <c r="Z4495"/>
      <c r="AA4495"/>
      <c r="AC4495"/>
      <c r="AR4495"/>
    </row>
    <row r="4496" spans="24:44">
      <c r="X4496"/>
      <c r="Y4496"/>
      <c r="Z4496"/>
      <c r="AA4496"/>
      <c r="AC4496"/>
      <c r="AR4496"/>
    </row>
    <row r="4497" spans="24:44">
      <c r="X4497"/>
      <c r="Y4497"/>
      <c r="Z4497"/>
      <c r="AA4497"/>
      <c r="AC4497"/>
      <c r="AR4497"/>
    </row>
    <row r="4498" spans="24:44">
      <c r="X4498"/>
      <c r="Y4498"/>
      <c r="Z4498"/>
      <c r="AA4498"/>
      <c r="AC4498"/>
      <c r="AR4498"/>
    </row>
    <row r="4499" spans="24:44">
      <c r="X4499"/>
      <c r="Y4499"/>
      <c r="Z4499"/>
      <c r="AA4499"/>
      <c r="AC4499"/>
      <c r="AR4499"/>
    </row>
    <row r="4500" spans="24:44">
      <c r="X4500"/>
      <c r="Y4500"/>
      <c r="Z4500"/>
      <c r="AA4500"/>
      <c r="AC4500"/>
      <c r="AR4500"/>
    </row>
    <row r="4501" spans="24:44">
      <c r="X4501"/>
      <c r="Y4501"/>
      <c r="Z4501"/>
      <c r="AA4501"/>
      <c r="AC4501"/>
      <c r="AR4501"/>
    </row>
    <row r="4502" spans="24:44">
      <c r="X4502"/>
      <c r="Y4502"/>
      <c r="Z4502"/>
      <c r="AA4502"/>
      <c r="AC4502"/>
      <c r="AR4502"/>
    </row>
    <row r="4503" spans="24:44">
      <c r="X4503"/>
      <c r="Y4503"/>
      <c r="Z4503"/>
      <c r="AA4503"/>
      <c r="AC4503"/>
      <c r="AR4503"/>
    </row>
    <row r="4504" spans="24:44">
      <c r="X4504"/>
      <c r="Y4504"/>
      <c r="Z4504"/>
      <c r="AA4504"/>
      <c r="AC4504"/>
      <c r="AR4504"/>
    </row>
    <row r="4505" spans="24:44">
      <c r="X4505"/>
      <c r="Y4505"/>
      <c r="Z4505"/>
      <c r="AA4505"/>
      <c r="AC4505"/>
      <c r="AR4505"/>
    </row>
    <row r="4506" spans="24:44">
      <c r="X4506"/>
      <c r="Y4506"/>
      <c r="Z4506"/>
      <c r="AA4506"/>
      <c r="AC4506"/>
      <c r="AR4506"/>
    </row>
    <row r="4507" spans="24:44">
      <c r="X4507"/>
      <c r="Y4507"/>
      <c r="Z4507"/>
      <c r="AA4507"/>
      <c r="AC4507"/>
      <c r="AR4507"/>
    </row>
    <row r="4508" spans="24:44">
      <c r="X4508"/>
      <c r="Y4508"/>
      <c r="Z4508"/>
      <c r="AA4508"/>
      <c r="AC4508"/>
      <c r="AR4508"/>
    </row>
    <row r="4509" spans="24:44">
      <c r="X4509"/>
      <c r="Y4509"/>
      <c r="Z4509"/>
      <c r="AA4509"/>
      <c r="AC4509"/>
      <c r="AR4509"/>
    </row>
    <row r="4510" spans="24:44">
      <c r="X4510"/>
      <c r="Y4510"/>
      <c r="Z4510"/>
      <c r="AA4510"/>
      <c r="AC4510"/>
      <c r="AR4510"/>
    </row>
    <row r="4511" spans="24:44">
      <c r="X4511"/>
      <c r="Y4511"/>
      <c r="Z4511"/>
      <c r="AA4511"/>
      <c r="AC4511"/>
      <c r="AR4511"/>
    </row>
    <row r="4512" spans="24:44">
      <c r="X4512"/>
      <c r="Y4512"/>
      <c r="Z4512"/>
      <c r="AA4512"/>
      <c r="AC4512"/>
      <c r="AR4512"/>
    </row>
    <row r="4513" spans="24:44">
      <c r="X4513"/>
      <c r="Y4513"/>
      <c r="Z4513"/>
      <c r="AA4513"/>
      <c r="AC4513"/>
      <c r="AR4513"/>
    </row>
    <row r="4514" spans="24:44">
      <c r="X4514"/>
      <c r="Y4514"/>
      <c r="Z4514"/>
      <c r="AA4514"/>
      <c r="AC4514"/>
      <c r="AR4514"/>
    </row>
    <row r="4515" spans="24:44">
      <c r="X4515"/>
      <c r="Y4515"/>
      <c r="Z4515"/>
      <c r="AA4515"/>
      <c r="AC4515"/>
      <c r="AR4515"/>
    </row>
    <row r="4516" spans="24:44">
      <c r="X4516"/>
      <c r="Y4516"/>
      <c r="Z4516"/>
      <c r="AA4516"/>
      <c r="AC4516"/>
      <c r="AR4516"/>
    </row>
    <row r="4517" spans="24:44">
      <c r="X4517"/>
      <c r="Y4517"/>
      <c r="Z4517"/>
      <c r="AA4517"/>
      <c r="AC4517"/>
      <c r="AR4517"/>
    </row>
    <row r="4518" spans="24:44">
      <c r="X4518"/>
      <c r="Y4518"/>
      <c r="Z4518"/>
      <c r="AA4518"/>
      <c r="AC4518"/>
      <c r="AR4518"/>
    </row>
    <row r="4519" spans="24:44">
      <c r="X4519"/>
      <c r="Y4519"/>
      <c r="Z4519"/>
      <c r="AA4519"/>
      <c r="AC4519"/>
      <c r="AR4519"/>
    </row>
    <row r="4520" spans="24:44">
      <c r="X4520"/>
      <c r="Y4520"/>
      <c r="Z4520"/>
      <c r="AA4520"/>
      <c r="AC4520"/>
      <c r="AR4520"/>
    </row>
    <row r="4521" spans="24:44">
      <c r="X4521"/>
      <c r="Y4521"/>
      <c r="Z4521"/>
      <c r="AA4521"/>
      <c r="AC4521"/>
      <c r="AR4521"/>
    </row>
    <row r="4522" spans="24:44">
      <c r="X4522"/>
      <c r="Y4522"/>
      <c r="Z4522"/>
      <c r="AA4522"/>
      <c r="AC4522"/>
      <c r="AR4522"/>
    </row>
    <row r="4523" spans="24:44">
      <c r="X4523"/>
      <c r="Y4523"/>
      <c r="Z4523"/>
      <c r="AA4523"/>
      <c r="AC4523"/>
      <c r="AR4523"/>
    </row>
    <row r="4524" spans="24:44">
      <c r="X4524"/>
      <c r="Y4524"/>
      <c r="Z4524"/>
      <c r="AA4524"/>
      <c r="AC4524"/>
      <c r="AR4524"/>
    </row>
    <row r="4525" spans="24:44">
      <c r="X4525"/>
      <c r="Y4525"/>
      <c r="Z4525"/>
      <c r="AA4525"/>
      <c r="AC4525"/>
      <c r="AR4525"/>
    </row>
    <row r="4526" spans="24:44">
      <c r="X4526"/>
      <c r="Y4526"/>
      <c r="Z4526"/>
      <c r="AA4526"/>
      <c r="AC4526"/>
      <c r="AR4526"/>
    </row>
    <row r="4527" spans="24:44">
      <c r="X4527"/>
      <c r="Y4527"/>
      <c r="Z4527"/>
      <c r="AA4527"/>
      <c r="AC4527"/>
      <c r="AR4527"/>
    </row>
    <row r="4528" spans="24:44">
      <c r="X4528"/>
      <c r="Y4528"/>
      <c r="Z4528"/>
      <c r="AA4528"/>
      <c r="AC4528"/>
      <c r="AR4528"/>
    </row>
    <row r="4529" spans="24:44">
      <c r="X4529"/>
      <c r="Y4529"/>
      <c r="Z4529"/>
      <c r="AA4529"/>
      <c r="AC4529"/>
      <c r="AR4529"/>
    </row>
    <row r="4530" spans="24:44">
      <c r="X4530"/>
      <c r="Y4530"/>
      <c r="Z4530"/>
      <c r="AA4530"/>
      <c r="AC4530"/>
      <c r="AR4530"/>
    </row>
    <row r="4531" spans="24:44">
      <c r="X4531"/>
      <c r="Y4531"/>
      <c r="Z4531"/>
      <c r="AA4531"/>
      <c r="AC4531"/>
      <c r="AR4531"/>
    </row>
    <row r="4532" spans="24:44">
      <c r="X4532"/>
      <c r="Y4532"/>
      <c r="Z4532"/>
      <c r="AA4532"/>
      <c r="AC4532"/>
      <c r="AR4532"/>
    </row>
    <row r="4533" spans="24:44">
      <c r="X4533"/>
      <c r="Y4533"/>
      <c r="Z4533"/>
      <c r="AA4533"/>
      <c r="AC4533"/>
      <c r="AR4533"/>
    </row>
    <row r="4534" spans="24:44">
      <c r="X4534"/>
      <c r="Y4534"/>
      <c r="Z4534"/>
      <c r="AA4534"/>
      <c r="AC4534"/>
      <c r="AR4534"/>
    </row>
    <row r="4535" spans="24:44">
      <c r="X4535"/>
      <c r="Y4535"/>
      <c r="Z4535"/>
      <c r="AA4535"/>
      <c r="AC4535"/>
      <c r="AR4535"/>
    </row>
    <row r="4536" spans="24:44">
      <c r="X4536"/>
      <c r="Y4536"/>
      <c r="Z4536"/>
      <c r="AA4536"/>
      <c r="AC4536"/>
      <c r="AR4536"/>
    </row>
    <row r="4537" spans="24:44">
      <c r="X4537"/>
      <c r="Y4537"/>
      <c r="Z4537"/>
      <c r="AA4537"/>
      <c r="AC4537"/>
      <c r="AR4537"/>
    </row>
    <row r="4538" spans="24:44">
      <c r="X4538"/>
      <c r="Y4538"/>
      <c r="Z4538"/>
      <c r="AA4538"/>
      <c r="AC4538"/>
      <c r="AR4538"/>
    </row>
    <row r="4539" spans="24:44">
      <c r="X4539"/>
      <c r="Y4539"/>
      <c r="Z4539"/>
      <c r="AA4539"/>
      <c r="AC4539"/>
      <c r="AR4539"/>
    </row>
    <row r="4540" spans="24:44">
      <c r="X4540"/>
      <c r="Y4540"/>
      <c r="Z4540"/>
      <c r="AA4540"/>
      <c r="AC4540"/>
      <c r="AR4540"/>
    </row>
    <row r="4541" spans="24:44">
      <c r="X4541"/>
      <c r="Y4541"/>
      <c r="Z4541"/>
      <c r="AA4541"/>
      <c r="AC4541"/>
      <c r="AR4541"/>
    </row>
    <row r="4542" spans="24:44">
      <c r="X4542"/>
      <c r="Y4542"/>
      <c r="Z4542"/>
      <c r="AA4542"/>
      <c r="AC4542"/>
      <c r="AR4542"/>
    </row>
    <row r="4543" spans="24:44">
      <c r="X4543"/>
      <c r="Y4543"/>
      <c r="Z4543"/>
      <c r="AA4543"/>
      <c r="AC4543"/>
      <c r="AR4543"/>
    </row>
    <row r="4544" spans="24:44">
      <c r="X4544"/>
      <c r="Y4544"/>
      <c r="Z4544"/>
      <c r="AA4544"/>
      <c r="AC4544"/>
      <c r="AR4544"/>
    </row>
    <row r="4545" spans="24:44">
      <c r="X4545"/>
      <c r="Y4545"/>
      <c r="Z4545"/>
      <c r="AA4545"/>
      <c r="AC4545"/>
      <c r="AR4545"/>
    </row>
    <row r="4546" spans="24:44">
      <c r="X4546"/>
      <c r="Y4546"/>
      <c r="Z4546"/>
      <c r="AA4546"/>
      <c r="AC4546"/>
      <c r="AR4546"/>
    </row>
    <row r="4547" spans="24:44">
      <c r="X4547"/>
      <c r="Y4547"/>
      <c r="Z4547"/>
      <c r="AA4547"/>
      <c r="AC4547"/>
      <c r="AR4547"/>
    </row>
    <row r="4548" spans="24:44">
      <c r="X4548"/>
      <c r="Y4548"/>
      <c r="Z4548"/>
      <c r="AA4548"/>
      <c r="AC4548"/>
      <c r="AR4548"/>
    </row>
    <row r="4549" spans="24:44">
      <c r="X4549"/>
      <c r="Y4549"/>
      <c r="Z4549"/>
      <c r="AA4549"/>
      <c r="AC4549"/>
      <c r="AR4549"/>
    </row>
    <row r="4550" spans="24:44">
      <c r="X4550"/>
      <c r="Y4550"/>
      <c r="Z4550"/>
      <c r="AA4550"/>
      <c r="AC4550"/>
      <c r="AR4550"/>
    </row>
    <row r="4551" spans="24:44">
      <c r="X4551"/>
      <c r="Y4551"/>
      <c r="Z4551"/>
      <c r="AA4551"/>
      <c r="AC4551"/>
      <c r="AR4551"/>
    </row>
    <row r="4552" spans="24:44">
      <c r="X4552"/>
      <c r="Y4552"/>
      <c r="Z4552"/>
      <c r="AA4552"/>
      <c r="AC4552"/>
      <c r="AR4552"/>
    </row>
    <row r="4553" spans="24:44">
      <c r="X4553"/>
      <c r="Y4553"/>
      <c r="Z4553"/>
      <c r="AA4553"/>
      <c r="AC4553"/>
      <c r="AR4553"/>
    </row>
    <row r="4554" spans="24:44">
      <c r="X4554"/>
      <c r="Y4554"/>
      <c r="Z4554"/>
      <c r="AA4554"/>
      <c r="AC4554"/>
      <c r="AR4554"/>
    </row>
    <row r="4555" spans="24:44">
      <c r="X4555"/>
      <c r="Y4555"/>
      <c r="Z4555"/>
      <c r="AA4555"/>
      <c r="AC4555"/>
      <c r="AR4555"/>
    </row>
    <row r="4556" spans="24:44">
      <c r="X4556"/>
      <c r="Y4556"/>
      <c r="Z4556"/>
      <c r="AA4556"/>
      <c r="AC4556"/>
      <c r="AR4556"/>
    </row>
    <row r="4557" spans="24:44">
      <c r="X4557"/>
      <c r="Y4557"/>
      <c r="Z4557"/>
      <c r="AA4557"/>
      <c r="AC4557"/>
      <c r="AR4557"/>
    </row>
    <row r="4558" spans="24:44">
      <c r="X4558"/>
      <c r="Y4558"/>
      <c r="Z4558"/>
      <c r="AA4558"/>
      <c r="AC4558"/>
      <c r="AR4558"/>
    </row>
    <row r="4559" spans="24:44">
      <c r="X4559"/>
      <c r="Y4559"/>
      <c r="Z4559"/>
      <c r="AA4559"/>
      <c r="AC4559"/>
      <c r="AR4559"/>
    </row>
    <row r="4560" spans="24:44">
      <c r="X4560"/>
      <c r="Y4560"/>
      <c r="Z4560"/>
      <c r="AA4560"/>
      <c r="AC4560"/>
      <c r="AR4560"/>
    </row>
    <row r="4561" spans="24:44">
      <c r="X4561"/>
      <c r="Y4561"/>
      <c r="Z4561"/>
      <c r="AA4561"/>
      <c r="AC4561"/>
      <c r="AR4561"/>
    </row>
    <row r="4562" spans="24:44">
      <c r="X4562"/>
      <c r="Y4562"/>
      <c r="Z4562"/>
      <c r="AA4562"/>
      <c r="AC4562"/>
      <c r="AR4562"/>
    </row>
    <row r="4563" spans="24:44">
      <c r="X4563"/>
      <c r="Y4563"/>
      <c r="Z4563"/>
      <c r="AA4563"/>
      <c r="AC4563"/>
      <c r="AR4563"/>
    </row>
    <row r="4564" spans="24:44">
      <c r="X4564"/>
      <c r="Y4564"/>
      <c r="Z4564"/>
      <c r="AA4564"/>
      <c r="AC4564"/>
      <c r="AR4564"/>
    </row>
    <row r="4565" spans="24:44">
      <c r="X4565"/>
      <c r="Y4565"/>
      <c r="Z4565"/>
      <c r="AA4565"/>
      <c r="AC4565"/>
      <c r="AR4565"/>
    </row>
    <row r="4566" spans="24:44">
      <c r="X4566"/>
      <c r="Y4566"/>
      <c r="Z4566"/>
      <c r="AA4566"/>
      <c r="AC4566"/>
      <c r="AR4566"/>
    </row>
    <row r="4567" spans="24:44">
      <c r="X4567"/>
      <c r="Y4567"/>
      <c r="Z4567"/>
      <c r="AA4567"/>
      <c r="AC4567"/>
      <c r="AR4567"/>
    </row>
    <row r="4568" spans="24:44">
      <c r="X4568"/>
      <c r="Y4568"/>
      <c r="Z4568"/>
      <c r="AA4568"/>
      <c r="AC4568"/>
      <c r="AR4568"/>
    </row>
    <row r="4569" spans="24:44">
      <c r="X4569"/>
      <c r="Y4569"/>
      <c r="Z4569"/>
      <c r="AA4569"/>
      <c r="AC4569"/>
      <c r="AR4569"/>
    </row>
    <row r="4570" spans="24:44">
      <c r="X4570"/>
      <c r="Y4570"/>
      <c r="Z4570"/>
      <c r="AA4570"/>
      <c r="AC4570"/>
      <c r="AR4570"/>
    </row>
    <row r="4571" spans="24:44">
      <c r="X4571"/>
      <c r="Y4571"/>
      <c r="Z4571"/>
      <c r="AA4571"/>
      <c r="AC4571"/>
      <c r="AR4571"/>
    </row>
    <row r="4572" spans="24:44">
      <c r="X4572"/>
      <c r="Y4572"/>
      <c r="Z4572"/>
      <c r="AA4572"/>
      <c r="AC4572"/>
      <c r="AR4572"/>
    </row>
    <row r="4573" spans="24:44">
      <c r="X4573"/>
      <c r="Y4573"/>
      <c r="Z4573"/>
      <c r="AA4573"/>
      <c r="AC4573"/>
      <c r="AR4573"/>
    </row>
    <row r="4574" spans="24:44">
      <c r="X4574"/>
      <c r="Y4574"/>
      <c r="Z4574"/>
      <c r="AA4574"/>
      <c r="AC4574"/>
      <c r="AR4574"/>
    </row>
    <row r="4575" spans="24:44">
      <c r="X4575"/>
      <c r="Y4575"/>
      <c r="Z4575"/>
      <c r="AA4575"/>
      <c r="AC4575"/>
      <c r="AR4575"/>
    </row>
    <row r="4576" spans="24:44">
      <c r="X4576"/>
      <c r="Y4576"/>
      <c r="Z4576"/>
      <c r="AA4576"/>
      <c r="AC4576"/>
      <c r="AR4576"/>
    </row>
    <row r="4577" spans="24:44">
      <c r="X4577"/>
      <c r="Y4577"/>
      <c r="Z4577"/>
      <c r="AA4577"/>
      <c r="AC4577"/>
      <c r="AR4577"/>
    </row>
    <row r="4578" spans="24:44">
      <c r="X4578"/>
      <c r="Y4578"/>
      <c r="Z4578"/>
      <c r="AA4578"/>
      <c r="AC4578"/>
      <c r="AR4578"/>
    </row>
    <row r="4579" spans="24:44">
      <c r="X4579"/>
      <c r="Y4579"/>
      <c r="Z4579"/>
      <c r="AA4579"/>
      <c r="AC4579"/>
      <c r="AR4579"/>
    </row>
    <row r="4580" spans="24:44">
      <c r="X4580"/>
      <c r="Y4580"/>
      <c r="Z4580"/>
      <c r="AA4580"/>
      <c r="AC4580"/>
      <c r="AR4580"/>
    </row>
    <row r="4581" spans="24:44">
      <c r="X4581"/>
      <c r="Y4581"/>
      <c r="Z4581"/>
      <c r="AA4581"/>
      <c r="AC4581"/>
      <c r="AR4581"/>
    </row>
    <row r="4582" spans="24:44">
      <c r="X4582"/>
      <c r="Y4582"/>
      <c r="Z4582"/>
      <c r="AA4582"/>
      <c r="AC4582"/>
      <c r="AR4582"/>
    </row>
    <row r="4583" spans="24:44">
      <c r="X4583"/>
      <c r="Y4583"/>
      <c r="Z4583"/>
      <c r="AA4583"/>
      <c r="AC4583"/>
      <c r="AR4583"/>
    </row>
    <row r="4584" spans="24:44">
      <c r="X4584"/>
      <c r="Y4584"/>
      <c r="Z4584"/>
      <c r="AA4584"/>
      <c r="AC4584"/>
      <c r="AR4584"/>
    </row>
    <row r="4585" spans="24:44">
      <c r="X4585"/>
      <c r="Y4585"/>
      <c r="Z4585"/>
      <c r="AA4585"/>
      <c r="AC4585"/>
      <c r="AR4585"/>
    </row>
    <row r="4586" spans="24:44">
      <c r="X4586"/>
      <c r="Y4586"/>
      <c r="Z4586"/>
      <c r="AA4586"/>
      <c r="AC4586"/>
      <c r="AR4586"/>
    </row>
    <row r="4587" spans="24:44">
      <c r="X4587"/>
      <c r="Y4587"/>
      <c r="Z4587"/>
      <c r="AA4587"/>
      <c r="AC4587"/>
      <c r="AR4587"/>
    </row>
    <row r="4588" spans="24:44">
      <c r="X4588"/>
      <c r="Y4588"/>
      <c r="Z4588"/>
      <c r="AA4588"/>
      <c r="AC4588"/>
      <c r="AR4588"/>
    </row>
    <row r="4589" spans="24:44">
      <c r="X4589"/>
      <c r="Y4589"/>
      <c r="Z4589"/>
      <c r="AA4589"/>
      <c r="AC4589"/>
      <c r="AR4589"/>
    </row>
    <row r="4590" spans="24:44">
      <c r="X4590"/>
      <c r="Y4590"/>
      <c r="Z4590"/>
      <c r="AA4590"/>
      <c r="AC4590"/>
      <c r="AR4590"/>
    </row>
    <row r="4591" spans="24:44">
      <c r="X4591"/>
      <c r="Y4591"/>
      <c r="Z4591"/>
      <c r="AA4591"/>
      <c r="AC4591"/>
      <c r="AR4591"/>
    </row>
    <row r="4592" spans="24:44">
      <c r="X4592"/>
      <c r="Y4592"/>
      <c r="Z4592"/>
      <c r="AA4592"/>
      <c r="AC4592"/>
      <c r="AR4592"/>
    </row>
    <row r="4593" spans="24:44">
      <c r="X4593"/>
      <c r="Y4593"/>
      <c r="Z4593"/>
      <c r="AA4593"/>
      <c r="AC4593"/>
      <c r="AR4593"/>
    </row>
    <row r="4594" spans="24:44">
      <c r="X4594"/>
      <c r="Y4594"/>
      <c r="Z4594"/>
      <c r="AA4594"/>
      <c r="AC4594"/>
      <c r="AR4594"/>
    </row>
    <row r="4595" spans="24:44">
      <c r="X4595"/>
      <c r="Y4595"/>
      <c r="Z4595"/>
      <c r="AA4595"/>
      <c r="AC4595"/>
      <c r="AR4595"/>
    </row>
    <row r="4596" spans="24:44">
      <c r="X4596"/>
      <c r="Y4596"/>
      <c r="Z4596"/>
      <c r="AA4596"/>
      <c r="AC4596"/>
      <c r="AR4596"/>
    </row>
    <row r="4597" spans="24:44">
      <c r="X4597"/>
      <c r="Y4597"/>
      <c r="Z4597"/>
      <c r="AA4597"/>
      <c r="AC4597"/>
      <c r="AR4597"/>
    </row>
    <row r="4598" spans="24:44">
      <c r="X4598"/>
      <c r="Y4598"/>
      <c r="Z4598"/>
      <c r="AA4598"/>
      <c r="AC4598"/>
      <c r="AR4598"/>
    </row>
    <row r="4599" spans="24:44">
      <c r="X4599"/>
      <c r="Y4599"/>
      <c r="Z4599"/>
      <c r="AA4599"/>
      <c r="AC4599"/>
      <c r="AR4599"/>
    </row>
    <row r="4600" spans="24:44">
      <c r="X4600"/>
      <c r="Y4600"/>
      <c r="Z4600"/>
      <c r="AA4600"/>
      <c r="AC4600"/>
      <c r="AR4600"/>
    </row>
    <row r="4601" spans="24:44">
      <c r="X4601"/>
      <c r="Y4601"/>
      <c r="Z4601"/>
      <c r="AA4601"/>
      <c r="AC4601"/>
      <c r="AR4601"/>
    </row>
    <row r="4602" spans="24:44">
      <c r="X4602"/>
      <c r="Y4602"/>
      <c r="Z4602"/>
      <c r="AA4602"/>
      <c r="AC4602"/>
      <c r="AR4602"/>
    </row>
    <row r="4603" spans="24:44">
      <c r="X4603"/>
      <c r="Y4603"/>
      <c r="Z4603"/>
      <c r="AA4603"/>
      <c r="AC4603"/>
      <c r="AR4603"/>
    </row>
    <row r="4604" spans="24:44">
      <c r="X4604"/>
      <c r="Y4604"/>
      <c r="Z4604"/>
      <c r="AA4604"/>
      <c r="AC4604"/>
      <c r="AR4604"/>
    </row>
    <row r="4605" spans="24:44">
      <c r="X4605"/>
      <c r="Y4605"/>
      <c r="Z4605"/>
      <c r="AA4605"/>
      <c r="AC4605"/>
      <c r="AR4605"/>
    </row>
    <row r="4606" spans="24:44">
      <c r="X4606"/>
      <c r="Y4606"/>
      <c r="Z4606"/>
      <c r="AA4606"/>
      <c r="AC4606"/>
      <c r="AR4606"/>
    </row>
    <row r="4607" spans="24:44">
      <c r="X4607"/>
      <c r="Y4607"/>
      <c r="Z4607"/>
      <c r="AA4607"/>
      <c r="AC4607"/>
      <c r="AR4607"/>
    </row>
    <row r="4608" spans="24:44">
      <c r="X4608"/>
      <c r="Y4608"/>
      <c r="Z4608"/>
      <c r="AA4608"/>
      <c r="AC4608"/>
      <c r="AR4608"/>
    </row>
    <row r="4609" spans="24:44">
      <c r="X4609"/>
      <c r="Y4609"/>
      <c r="Z4609"/>
      <c r="AA4609"/>
      <c r="AC4609"/>
      <c r="AR4609"/>
    </row>
    <row r="4610" spans="24:44">
      <c r="X4610"/>
      <c r="Y4610"/>
      <c r="Z4610"/>
      <c r="AA4610"/>
      <c r="AC4610"/>
      <c r="AR4610"/>
    </row>
    <row r="4611" spans="24:44">
      <c r="X4611"/>
      <c r="Y4611"/>
      <c r="Z4611"/>
      <c r="AA4611"/>
      <c r="AC4611"/>
      <c r="AR4611"/>
    </row>
    <row r="4612" spans="24:44">
      <c r="X4612"/>
      <c r="Y4612"/>
      <c r="Z4612"/>
      <c r="AA4612"/>
      <c r="AC4612"/>
      <c r="AR4612"/>
    </row>
    <row r="4613" spans="24:44">
      <c r="X4613"/>
      <c r="Y4613"/>
      <c r="Z4613"/>
      <c r="AA4613"/>
      <c r="AC4613"/>
      <c r="AR4613"/>
    </row>
    <row r="4614" spans="24:44">
      <c r="X4614"/>
      <c r="Y4614"/>
      <c r="Z4614"/>
      <c r="AA4614"/>
      <c r="AC4614"/>
      <c r="AR4614"/>
    </row>
    <row r="4615" spans="24:44">
      <c r="X4615"/>
      <c r="Y4615"/>
      <c r="Z4615"/>
      <c r="AA4615"/>
      <c r="AC4615"/>
      <c r="AR4615"/>
    </row>
    <row r="4616" spans="24:44">
      <c r="X4616"/>
      <c r="Y4616"/>
      <c r="Z4616"/>
      <c r="AA4616"/>
      <c r="AC4616"/>
      <c r="AR4616"/>
    </row>
    <row r="4617" spans="24:44">
      <c r="X4617"/>
      <c r="Y4617"/>
      <c r="Z4617"/>
      <c r="AA4617"/>
      <c r="AC4617"/>
      <c r="AR4617"/>
    </row>
    <row r="4618" spans="24:44">
      <c r="X4618"/>
      <c r="Y4618"/>
      <c r="Z4618"/>
      <c r="AA4618"/>
      <c r="AC4618"/>
      <c r="AR4618"/>
    </row>
    <row r="4619" spans="24:44">
      <c r="X4619"/>
      <c r="Y4619"/>
      <c r="Z4619"/>
      <c r="AA4619"/>
      <c r="AC4619"/>
      <c r="AR4619"/>
    </row>
    <row r="4620" spans="24:44">
      <c r="X4620"/>
      <c r="Y4620"/>
      <c r="Z4620"/>
      <c r="AA4620"/>
      <c r="AC4620"/>
      <c r="AR4620"/>
    </row>
    <row r="4621" spans="24:44">
      <c r="X4621"/>
      <c r="Y4621"/>
      <c r="Z4621"/>
      <c r="AA4621"/>
      <c r="AC4621"/>
      <c r="AR4621"/>
    </row>
    <row r="4622" spans="24:44">
      <c r="X4622"/>
      <c r="Y4622"/>
      <c r="Z4622"/>
      <c r="AA4622"/>
      <c r="AC4622"/>
      <c r="AR4622"/>
    </row>
    <row r="4623" spans="24:44">
      <c r="X4623"/>
      <c r="Y4623"/>
      <c r="Z4623"/>
      <c r="AA4623"/>
      <c r="AC4623"/>
      <c r="AR4623"/>
    </row>
    <row r="4624" spans="24:44">
      <c r="X4624"/>
      <c r="Y4624"/>
      <c r="Z4624"/>
      <c r="AA4624"/>
      <c r="AC4624"/>
      <c r="AR4624"/>
    </row>
    <row r="4625" spans="24:44">
      <c r="X4625"/>
      <c r="Y4625"/>
      <c r="Z4625"/>
      <c r="AA4625"/>
      <c r="AC4625"/>
      <c r="AR4625"/>
    </row>
    <row r="4626" spans="24:44">
      <c r="X4626"/>
      <c r="Y4626"/>
      <c r="Z4626"/>
      <c r="AA4626"/>
      <c r="AC4626"/>
      <c r="AR4626"/>
    </row>
    <row r="4627" spans="24:44">
      <c r="X4627"/>
      <c r="Y4627"/>
      <c r="Z4627"/>
      <c r="AA4627"/>
      <c r="AC4627"/>
      <c r="AR4627"/>
    </row>
    <row r="4628" spans="24:44">
      <c r="X4628"/>
      <c r="Y4628"/>
      <c r="Z4628"/>
      <c r="AA4628"/>
      <c r="AC4628"/>
      <c r="AR4628"/>
    </row>
    <row r="4629" spans="24:44">
      <c r="X4629"/>
      <c r="Y4629"/>
      <c r="Z4629"/>
      <c r="AA4629"/>
      <c r="AC4629"/>
      <c r="AR4629"/>
    </row>
    <row r="4630" spans="24:44">
      <c r="X4630"/>
      <c r="Y4630"/>
      <c r="Z4630"/>
      <c r="AA4630"/>
      <c r="AC4630"/>
      <c r="AR4630"/>
    </row>
    <row r="4631" spans="24:44">
      <c r="X4631"/>
      <c r="Y4631"/>
      <c r="Z4631"/>
      <c r="AA4631"/>
      <c r="AC4631"/>
      <c r="AR4631"/>
    </row>
    <row r="4632" spans="24:44">
      <c r="X4632"/>
      <c r="Y4632"/>
      <c r="Z4632"/>
      <c r="AA4632"/>
      <c r="AC4632"/>
      <c r="AR4632"/>
    </row>
    <row r="4633" spans="24:44">
      <c r="X4633"/>
      <c r="Y4633"/>
      <c r="Z4633"/>
      <c r="AA4633"/>
      <c r="AC4633"/>
      <c r="AR4633"/>
    </row>
    <row r="4634" spans="24:44">
      <c r="X4634"/>
      <c r="Y4634"/>
      <c r="Z4634"/>
      <c r="AA4634"/>
      <c r="AC4634"/>
      <c r="AR4634"/>
    </row>
    <row r="4635" spans="24:44">
      <c r="X4635"/>
      <c r="Y4635"/>
      <c r="Z4635"/>
      <c r="AA4635"/>
      <c r="AC4635"/>
      <c r="AR4635"/>
    </row>
    <row r="4636" spans="24:44">
      <c r="X4636"/>
      <c r="Y4636"/>
      <c r="Z4636"/>
      <c r="AA4636"/>
      <c r="AC4636"/>
      <c r="AR4636"/>
    </row>
    <row r="4637" spans="24:44">
      <c r="X4637"/>
      <c r="Y4637"/>
      <c r="Z4637"/>
      <c r="AA4637"/>
      <c r="AC4637"/>
      <c r="AR4637"/>
    </row>
    <row r="4638" spans="24:44">
      <c r="X4638"/>
      <c r="Y4638"/>
      <c r="Z4638"/>
      <c r="AA4638"/>
      <c r="AC4638"/>
      <c r="AR4638"/>
    </row>
    <row r="4639" spans="24:44">
      <c r="X4639"/>
      <c r="Y4639"/>
      <c r="Z4639"/>
      <c r="AA4639"/>
      <c r="AC4639"/>
      <c r="AR4639"/>
    </row>
    <row r="4640" spans="24:44">
      <c r="X4640"/>
      <c r="Y4640"/>
      <c r="Z4640"/>
      <c r="AA4640"/>
      <c r="AC4640"/>
      <c r="AR4640"/>
    </row>
    <row r="4641" spans="24:44">
      <c r="X4641"/>
      <c r="Y4641"/>
      <c r="Z4641"/>
      <c r="AA4641"/>
      <c r="AC4641"/>
      <c r="AR4641"/>
    </row>
    <row r="4642" spans="24:44">
      <c r="X4642"/>
      <c r="Y4642"/>
      <c r="Z4642"/>
      <c r="AA4642"/>
      <c r="AC4642"/>
      <c r="AR4642"/>
    </row>
    <row r="4643" spans="24:44">
      <c r="X4643"/>
      <c r="Y4643"/>
      <c r="Z4643"/>
      <c r="AA4643"/>
      <c r="AC4643"/>
      <c r="AR4643"/>
    </row>
    <row r="4644" spans="24:44">
      <c r="X4644"/>
      <c r="Y4644"/>
      <c r="Z4644"/>
      <c r="AA4644"/>
      <c r="AC4644"/>
      <c r="AR4644"/>
    </row>
    <row r="4645" spans="24:44">
      <c r="X4645"/>
      <c r="Y4645"/>
      <c r="Z4645"/>
      <c r="AA4645"/>
      <c r="AC4645"/>
      <c r="AR4645"/>
    </row>
    <row r="4646" spans="24:44">
      <c r="X4646"/>
      <c r="Y4646"/>
      <c r="Z4646"/>
      <c r="AA4646"/>
      <c r="AC4646"/>
      <c r="AR4646"/>
    </row>
    <row r="4647" spans="24:44">
      <c r="X4647"/>
      <c r="Y4647"/>
      <c r="Z4647"/>
      <c r="AA4647"/>
      <c r="AC4647"/>
      <c r="AR4647"/>
    </row>
    <row r="4648" spans="24:44">
      <c r="X4648"/>
      <c r="Y4648"/>
      <c r="Z4648"/>
      <c r="AA4648"/>
      <c r="AC4648"/>
      <c r="AR4648"/>
    </row>
    <row r="4649" spans="24:44">
      <c r="X4649"/>
      <c r="Y4649"/>
      <c r="Z4649"/>
      <c r="AA4649"/>
      <c r="AC4649"/>
      <c r="AR4649"/>
    </row>
    <row r="4650" spans="24:44">
      <c r="X4650"/>
      <c r="Y4650"/>
      <c r="Z4650"/>
      <c r="AA4650"/>
      <c r="AC4650"/>
      <c r="AR4650"/>
    </row>
    <row r="4651" spans="24:44">
      <c r="X4651"/>
      <c r="Y4651"/>
      <c r="Z4651"/>
      <c r="AA4651"/>
      <c r="AC4651"/>
      <c r="AR4651"/>
    </row>
    <row r="4652" spans="24:44">
      <c r="X4652"/>
      <c r="Y4652"/>
      <c r="Z4652"/>
      <c r="AA4652"/>
      <c r="AC4652"/>
      <c r="AR4652"/>
    </row>
    <row r="4653" spans="24:44">
      <c r="X4653"/>
      <c r="Y4653"/>
      <c r="Z4653"/>
      <c r="AA4653"/>
      <c r="AC4653"/>
      <c r="AR4653"/>
    </row>
    <row r="4654" spans="24:44">
      <c r="X4654"/>
      <c r="Y4654"/>
      <c r="Z4654"/>
      <c r="AA4654"/>
      <c r="AC4654"/>
      <c r="AR4654"/>
    </row>
    <row r="4655" spans="24:44">
      <c r="X4655"/>
      <c r="Y4655"/>
      <c r="Z4655"/>
      <c r="AA4655"/>
      <c r="AC4655"/>
      <c r="AR4655"/>
    </row>
    <row r="4656" spans="24:44">
      <c r="X4656"/>
      <c r="Y4656"/>
      <c r="Z4656"/>
      <c r="AA4656"/>
      <c r="AC4656"/>
      <c r="AR4656"/>
    </row>
    <row r="4657" spans="24:44">
      <c r="X4657"/>
      <c r="Y4657"/>
      <c r="Z4657"/>
      <c r="AA4657"/>
      <c r="AC4657"/>
      <c r="AR4657"/>
    </row>
    <row r="4658" spans="24:44">
      <c r="X4658"/>
      <c r="Y4658"/>
      <c r="Z4658"/>
      <c r="AA4658"/>
      <c r="AC4658"/>
      <c r="AR4658"/>
    </row>
    <row r="4659" spans="24:44">
      <c r="X4659"/>
      <c r="Y4659"/>
      <c r="Z4659"/>
      <c r="AA4659"/>
      <c r="AC4659"/>
      <c r="AR4659"/>
    </row>
    <row r="4660" spans="24:44">
      <c r="X4660"/>
      <c r="Y4660"/>
      <c r="Z4660"/>
      <c r="AA4660"/>
      <c r="AC4660"/>
      <c r="AR4660"/>
    </row>
    <row r="4661" spans="24:44">
      <c r="X4661"/>
      <c r="Y4661"/>
      <c r="Z4661"/>
      <c r="AA4661"/>
      <c r="AC4661"/>
      <c r="AR4661"/>
    </row>
    <row r="4662" spans="24:44">
      <c r="X4662"/>
      <c r="Y4662"/>
      <c r="Z4662"/>
      <c r="AA4662"/>
      <c r="AC4662"/>
      <c r="AR4662"/>
    </row>
    <row r="4663" spans="24:44">
      <c r="X4663"/>
      <c r="Y4663"/>
      <c r="Z4663"/>
      <c r="AA4663"/>
      <c r="AC4663"/>
      <c r="AR4663"/>
    </row>
    <row r="4664" spans="24:44">
      <c r="X4664"/>
      <c r="Y4664"/>
      <c r="Z4664"/>
      <c r="AA4664"/>
      <c r="AC4664"/>
      <c r="AR4664"/>
    </row>
    <row r="4665" spans="24:44">
      <c r="X4665"/>
      <c r="Y4665"/>
      <c r="Z4665"/>
      <c r="AA4665"/>
      <c r="AC4665"/>
      <c r="AR4665"/>
    </row>
    <row r="4666" spans="24:44">
      <c r="X4666"/>
      <c r="Y4666"/>
      <c r="Z4666"/>
      <c r="AA4666"/>
      <c r="AC4666"/>
      <c r="AR4666"/>
    </row>
    <row r="4667" spans="24:44">
      <c r="X4667"/>
      <c r="Y4667"/>
      <c r="Z4667"/>
      <c r="AA4667"/>
      <c r="AC4667"/>
      <c r="AR4667"/>
    </row>
    <row r="4668" spans="24:44">
      <c r="X4668"/>
      <c r="Y4668"/>
      <c r="Z4668"/>
      <c r="AA4668"/>
      <c r="AC4668"/>
      <c r="AR4668"/>
    </row>
    <row r="4669" spans="24:44">
      <c r="X4669"/>
      <c r="Y4669"/>
      <c r="Z4669"/>
      <c r="AA4669"/>
      <c r="AC4669"/>
      <c r="AR4669"/>
    </row>
    <row r="4670" spans="24:44">
      <c r="X4670"/>
      <c r="Y4670"/>
      <c r="Z4670"/>
      <c r="AA4670"/>
      <c r="AC4670"/>
      <c r="AR4670"/>
    </row>
    <row r="4671" spans="24:44">
      <c r="X4671"/>
      <c r="Y4671"/>
      <c r="Z4671"/>
      <c r="AA4671"/>
      <c r="AC4671"/>
      <c r="AR4671"/>
    </row>
    <row r="4672" spans="24:44">
      <c r="X4672"/>
      <c r="Y4672"/>
      <c r="Z4672"/>
      <c r="AA4672"/>
      <c r="AC4672"/>
      <c r="AR4672"/>
    </row>
    <row r="4673" spans="24:44">
      <c r="X4673"/>
      <c r="Y4673"/>
      <c r="Z4673"/>
      <c r="AA4673"/>
      <c r="AC4673"/>
      <c r="AR4673"/>
    </row>
    <row r="4674" spans="24:44">
      <c r="X4674"/>
      <c r="Y4674"/>
      <c r="Z4674"/>
      <c r="AA4674"/>
      <c r="AC4674"/>
      <c r="AR4674"/>
    </row>
    <row r="4675" spans="24:44">
      <c r="X4675"/>
      <c r="Y4675"/>
      <c r="Z4675"/>
      <c r="AA4675"/>
      <c r="AC4675"/>
      <c r="AR4675"/>
    </row>
    <row r="4676" spans="24:44">
      <c r="X4676"/>
      <c r="Y4676"/>
      <c r="Z4676"/>
      <c r="AA4676"/>
      <c r="AC4676"/>
      <c r="AR4676"/>
    </row>
    <row r="4677" spans="24:44">
      <c r="X4677"/>
      <c r="Y4677"/>
      <c r="Z4677"/>
      <c r="AA4677"/>
      <c r="AC4677"/>
      <c r="AR4677"/>
    </row>
    <row r="4678" spans="24:44">
      <c r="X4678"/>
      <c r="Y4678"/>
      <c r="Z4678"/>
      <c r="AA4678"/>
      <c r="AC4678"/>
      <c r="AR4678"/>
    </row>
    <row r="4679" spans="24:44">
      <c r="X4679"/>
      <c r="Y4679"/>
      <c r="Z4679"/>
      <c r="AA4679"/>
      <c r="AC4679"/>
      <c r="AR4679"/>
    </row>
    <row r="4680" spans="24:44">
      <c r="X4680"/>
      <c r="Y4680"/>
      <c r="Z4680"/>
      <c r="AA4680"/>
      <c r="AC4680"/>
      <c r="AR4680"/>
    </row>
    <row r="4681" spans="24:44">
      <c r="X4681"/>
      <c r="Y4681"/>
      <c r="Z4681"/>
      <c r="AA4681"/>
      <c r="AC4681"/>
      <c r="AR4681"/>
    </row>
    <row r="4682" spans="24:44">
      <c r="X4682"/>
      <c r="Y4682"/>
      <c r="Z4682"/>
      <c r="AA4682"/>
      <c r="AC4682"/>
      <c r="AR4682"/>
    </row>
    <row r="4683" spans="24:44">
      <c r="X4683"/>
      <c r="Y4683"/>
      <c r="Z4683"/>
      <c r="AA4683"/>
      <c r="AC4683"/>
      <c r="AR4683"/>
    </row>
    <row r="4684" spans="24:44">
      <c r="X4684"/>
      <c r="Y4684"/>
      <c r="Z4684"/>
      <c r="AA4684"/>
      <c r="AC4684"/>
      <c r="AR4684"/>
    </row>
    <row r="4685" spans="24:44">
      <c r="X4685"/>
      <c r="Y4685"/>
      <c r="Z4685"/>
      <c r="AA4685"/>
      <c r="AC4685"/>
      <c r="AR4685"/>
    </row>
    <row r="4686" spans="24:44">
      <c r="X4686"/>
      <c r="Y4686"/>
      <c r="Z4686"/>
      <c r="AA4686"/>
      <c r="AC4686"/>
      <c r="AR4686"/>
    </row>
    <row r="4687" spans="24:44">
      <c r="X4687"/>
      <c r="Y4687"/>
      <c r="Z4687"/>
      <c r="AA4687"/>
      <c r="AC4687"/>
      <c r="AR4687"/>
    </row>
    <row r="4688" spans="24:44">
      <c r="X4688"/>
      <c r="Y4688"/>
      <c r="Z4688"/>
      <c r="AA4688"/>
      <c r="AC4688"/>
      <c r="AR4688"/>
    </row>
    <row r="4689" spans="24:44">
      <c r="X4689"/>
      <c r="Y4689"/>
      <c r="Z4689"/>
      <c r="AA4689"/>
      <c r="AC4689"/>
      <c r="AR4689"/>
    </row>
    <row r="4690" spans="24:44">
      <c r="X4690"/>
      <c r="Y4690"/>
      <c r="Z4690"/>
      <c r="AA4690"/>
      <c r="AC4690"/>
      <c r="AR4690"/>
    </row>
    <row r="4691" spans="24:44">
      <c r="X4691"/>
      <c r="Y4691"/>
      <c r="Z4691"/>
      <c r="AA4691"/>
      <c r="AC4691"/>
      <c r="AR4691"/>
    </row>
    <row r="4692" spans="24:44">
      <c r="X4692"/>
      <c r="Y4692"/>
      <c r="Z4692"/>
      <c r="AA4692"/>
      <c r="AC4692"/>
      <c r="AR4692"/>
    </row>
    <row r="4693" spans="24:44">
      <c r="X4693"/>
      <c r="Y4693"/>
      <c r="Z4693"/>
      <c r="AA4693"/>
      <c r="AC4693"/>
      <c r="AR4693"/>
    </row>
    <row r="4694" spans="24:44">
      <c r="X4694"/>
      <c r="Y4694"/>
      <c r="Z4694"/>
      <c r="AA4694"/>
      <c r="AC4694"/>
      <c r="AR4694"/>
    </row>
    <row r="4695" spans="24:44">
      <c r="X4695"/>
      <c r="Y4695"/>
      <c r="Z4695"/>
      <c r="AA4695"/>
      <c r="AC4695"/>
      <c r="AR4695"/>
    </row>
    <row r="4696" spans="24:44">
      <c r="X4696"/>
      <c r="Y4696"/>
      <c r="Z4696"/>
      <c r="AA4696"/>
      <c r="AC4696"/>
      <c r="AR4696"/>
    </row>
    <row r="4697" spans="24:44">
      <c r="X4697"/>
      <c r="Y4697"/>
      <c r="Z4697"/>
      <c r="AA4697"/>
      <c r="AC4697"/>
      <c r="AR4697"/>
    </row>
    <row r="4698" spans="24:44">
      <c r="X4698"/>
      <c r="Y4698"/>
      <c r="Z4698"/>
      <c r="AA4698"/>
      <c r="AC4698"/>
      <c r="AR4698"/>
    </row>
    <row r="4699" spans="24:44">
      <c r="X4699"/>
      <c r="Y4699"/>
      <c r="Z4699"/>
      <c r="AA4699"/>
      <c r="AC4699"/>
      <c r="AR4699"/>
    </row>
    <row r="4700" spans="24:44">
      <c r="X4700"/>
      <c r="Y4700"/>
      <c r="Z4700"/>
      <c r="AA4700"/>
      <c r="AC4700"/>
      <c r="AR4700"/>
    </row>
    <row r="4701" spans="24:44">
      <c r="X4701"/>
      <c r="Y4701"/>
      <c r="Z4701"/>
      <c r="AA4701"/>
      <c r="AC4701"/>
      <c r="AR4701"/>
    </row>
    <row r="4702" spans="24:44">
      <c r="X4702"/>
      <c r="Y4702"/>
      <c r="Z4702"/>
      <c r="AA4702"/>
      <c r="AC4702"/>
      <c r="AR4702"/>
    </row>
    <row r="4703" spans="24:44">
      <c r="X4703"/>
      <c r="Y4703"/>
      <c r="Z4703"/>
      <c r="AA4703"/>
      <c r="AC4703"/>
      <c r="AR4703"/>
    </row>
    <row r="4704" spans="24:44">
      <c r="X4704"/>
      <c r="Y4704"/>
      <c r="Z4704"/>
      <c r="AA4704"/>
      <c r="AC4704"/>
      <c r="AR4704"/>
    </row>
    <row r="4705" spans="24:44">
      <c r="X4705"/>
      <c r="Y4705"/>
      <c r="Z4705"/>
      <c r="AA4705"/>
      <c r="AC4705"/>
      <c r="AR4705"/>
    </row>
    <row r="4706" spans="24:44">
      <c r="X4706"/>
      <c r="Y4706"/>
      <c r="Z4706"/>
      <c r="AA4706"/>
      <c r="AC4706"/>
      <c r="AR4706"/>
    </row>
    <row r="4707" spans="24:44">
      <c r="X4707"/>
      <c r="Y4707"/>
      <c r="Z4707"/>
      <c r="AA4707"/>
      <c r="AC4707"/>
      <c r="AR4707"/>
    </row>
    <row r="4708" spans="24:44">
      <c r="X4708"/>
      <c r="Y4708"/>
      <c r="Z4708"/>
      <c r="AA4708"/>
      <c r="AC4708"/>
      <c r="AR4708"/>
    </row>
    <row r="4709" spans="24:44">
      <c r="X4709"/>
      <c r="Y4709"/>
      <c r="Z4709"/>
      <c r="AA4709"/>
      <c r="AC4709"/>
      <c r="AR4709"/>
    </row>
    <row r="4710" spans="24:44">
      <c r="X4710"/>
      <c r="Y4710"/>
      <c r="Z4710"/>
      <c r="AA4710"/>
      <c r="AC4710"/>
      <c r="AR4710"/>
    </row>
    <row r="4711" spans="24:44">
      <c r="X4711"/>
      <c r="Y4711"/>
      <c r="Z4711"/>
      <c r="AA4711"/>
      <c r="AC4711"/>
      <c r="AR4711"/>
    </row>
    <row r="4712" spans="24:44">
      <c r="X4712"/>
      <c r="Y4712"/>
      <c r="Z4712"/>
      <c r="AA4712"/>
      <c r="AC4712"/>
      <c r="AR4712"/>
    </row>
    <row r="4713" spans="24:44">
      <c r="X4713"/>
      <c r="Y4713"/>
      <c r="Z4713"/>
      <c r="AA4713"/>
      <c r="AC4713"/>
      <c r="AR4713"/>
    </row>
    <row r="4714" spans="24:44">
      <c r="X4714"/>
      <c r="Y4714"/>
      <c r="Z4714"/>
      <c r="AA4714"/>
      <c r="AC4714"/>
      <c r="AR4714"/>
    </row>
    <row r="4715" spans="24:44">
      <c r="X4715"/>
      <c r="Y4715"/>
      <c r="Z4715"/>
      <c r="AA4715"/>
      <c r="AC4715"/>
      <c r="AR4715"/>
    </row>
    <row r="4716" spans="24:44">
      <c r="X4716"/>
      <c r="Y4716"/>
      <c r="Z4716"/>
      <c r="AA4716"/>
      <c r="AC4716"/>
      <c r="AR4716"/>
    </row>
    <row r="4717" spans="24:44">
      <c r="X4717"/>
      <c r="Y4717"/>
      <c r="Z4717"/>
      <c r="AA4717"/>
      <c r="AC4717"/>
      <c r="AR4717"/>
    </row>
    <row r="4718" spans="24:44">
      <c r="X4718"/>
      <c r="Y4718"/>
      <c r="Z4718"/>
      <c r="AA4718"/>
      <c r="AC4718"/>
      <c r="AR4718"/>
    </row>
    <row r="4719" spans="24:44">
      <c r="X4719"/>
      <c r="Y4719"/>
      <c r="Z4719"/>
      <c r="AA4719"/>
      <c r="AC4719"/>
      <c r="AR4719"/>
    </row>
    <row r="4720" spans="24:44">
      <c r="X4720"/>
      <c r="Y4720"/>
      <c r="Z4720"/>
      <c r="AA4720"/>
      <c r="AC4720"/>
      <c r="AR4720"/>
    </row>
    <row r="4721" spans="24:44">
      <c r="X4721"/>
      <c r="Y4721"/>
      <c r="Z4721"/>
      <c r="AA4721"/>
      <c r="AC4721"/>
      <c r="AR4721"/>
    </row>
    <row r="4722" spans="24:44">
      <c r="X4722"/>
      <c r="Y4722"/>
      <c r="Z4722"/>
      <c r="AA4722"/>
      <c r="AC4722"/>
      <c r="AR4722"/>
    </row>
    <row r="4723" spans="24:44">
      <c r="X4723"/>
      <c r="Y4723"/>
      <c r="Z4723"/>
      <c r="AA4723"/>
      <c r="AC4723"/>
      <c r="AR4723"/>
    </row>
    <row r="4724" spans="24:44">
      <c r="X4724"/>
      <c r="Y4724"/>
      <c r="Z4724"/>
      <c r="AA4724"/>
      <c r="AC4724"/>
      <c r="AR4724"/>
    </row>
    <row r="4725" spans="24:44">
      <c r="X4725"/>
      <c r="Y4725"/>
      <c r="Z4725"/>
      <c r="AA4725"/>
      <c r="AC4725"/>
      <c r="AR4725"/>
    </row>
    <row r="4726" spans="24:44">
      <c r="X4726"/>
      <c r="Y4726"/>
      <c r="Z4726"/>
      <c r="AA4726"/>
      <c r="AC4726"/>
      <c r="AR4726"/>
    </row>
    <row r="4727" spans="24:44">
      <c r="X4727"/>
      <c r="Y4727"/>
      <c r="Z4727"/>
      <c r="AA4727"/>
      <c r="AC4727"/>
      <c r="AR4727"/>
    </row>
    <row r="4728" spans="24:44">
      <c r="X4728"/>
      <c r="Y4728"/>
      <c r="Z4728"/>
      <c r="AA4728"/>
      <c r="AC4728"/>
      <c r="AR4728"/>
    </row>
    <row r="4729" spans="24:44">
      <c r="X4729"/>
      <c r="Y4729"/>
      <c r="Z4729"/>
      <c r="AA4729"/>
      <c r="AC4729"/>
      <c r="AR4729"/>
    </row>
    <row r="4730" spans="24:44">
      <c r="X4730"/>
      <c r="Y4730"/>
      <c r="Z4730"/>
      <c r="AA4730"/>
      <c r="AC4730"/>
      <c r="AR4730"/>
    </row>
    <row r="4731" spans="24:44">
      <c r="X4731"/>
      <c r="Y4731"/>
      <c r="Z4731"/>
      <c r="AA4731"/>
      <c r="AC4731"/>
      <c r="AR4731"/>
    </row>
    <row r="4732" spans="24:44">
      <c r="X4732"/>
      <c r="Y4732"/>
      <c r="Z4732"/>
      <c r="AA4732"/>
      <c r="AC4732"/>
      <c r="AR4732"/>
    </row>
    <row r="4733" spans="24:44">
      <c r="X4733"/>
      <c r="Y4733"/>
      <c r="Z4733"/>
      <c r="AA4733"/>
      <c r="AC4733"/>
      <c r="AR4733"/>
    </row>
    <row r="4734" spans="24:44">
      <c r="X4734"/>
      <c r="Y4734"/>
      <c r="Z4734"/>
      <c r="AA4734"/>
      <c r="AC4734"/>
      <c r="AR4734"/>
    </row>
    <row r="4735" spans="24:44">
      <c r="X4735"/>
      <c r="Y4735"/>
      <c r="Z4735"/>
      <c r="AA4735"/>
      <c r="AC4735"/>
      <c r="AR4735"/>
    </row>
    <row r="4736" spans="24:44">
      <c r="X4736"/>
      <c r="Y4736"/>
      <c r="Z4736"/>
      <c r="AA4736"/>
      <c r="AC4736"/>
      <c r="AR4736"/>
    </row>
    <row r="4737" spans="24:44">
      <c r="X4737"/>
      <c r="Y4737"/>
      <c r="Z4737"/>
      <c r="AA4737"/>
      <c r="AC4737"/>
      <c r="AR4737"/>
    </row>
    <row r="4738" spans="24:44">
      <c r="X4738"/>
      <c r="Y4738"/>
      <c r="Z4738"/>
      <c r="AA4738"/>
      <c r="AC4738"/>
      <c r="AR4738"/>
    </row>
    <row r="4739" spans="24:44">
      <c r="X4739"/>
      <c r="Y4739"/>
      <c r="Z4739"/>
      <c r="AA4739"/>
      <c r="AC4739"/>
      <c r="AR4739"/>
    </row>
    <row r="4740" spans="24:44">
      <c r="X4740"/>
      <c r="Y4740"/>
      <c r="Z4740"/>
      <c r="AA4740"/>
      <c r="AC4740"/>
      <c r="AR4740"/>
    </row>
    <row r="4741" spans="24:44">
      <c r="X4741"/>
      <c r="Y4741"/>
      <c r="Z4741"/>
      <c r="AA4741"/>
      <c r="AC4741"/>
      <c r="AR4741"/>
    </row>
    <row r="4742" spans="24:44">
      <c r="X4742"/>
      <c r="Y4742"/>
      <c r="Z4742"/>
      <c r="AA4742"/>
      <c r="AC4742"/>
      <c r="AR4742"/>
    </row>
    <row r="4743" spans="24:44">
      <c r="X4743"/>
      <c r="Y4743"/>
      <c r="Z4743"/>
      <c r="AA4743"/>
      <c r="AC4743"/>
      <c r="AR4743"/>
    </row>
    <row r="4744" spans="24:44">
      <c r="X4744"/>
      <c r="Y4744"/>
      <c r="Z4744"/>
      <c r="AA4744"/>
      <c r="AC4744"/>
      <c r="AR4744"/>
    </row>
    <row r="4745" spans="24:44">
      <c r="X4745"/>
      <c r="Y4745"/>
      <c r="Z4745"/>
      <c r="AA4745"/>
      <c r="AC4745"/>
      <c r="AR4745"/>
    </row>
    <row r="4746" spans="24:44">
      <c r="X4746"/>
      <c r="Y4746"/>
      <c r="Z4746"/>
      <c r="AA4746"/>
      <c r="AC4746"/>
      <c r="AR4746"/>
    </row>
    <row r="4747" spans="24:44">
      <c r="X4747"/>
      <c r="Y4747"/>
      <c r="Z4747"/>
      <c r="AA4747"/>
      <c r="AC4747"/>
      <c r="AR4747"/>
    </row>
    <row r="4748" spans="24:44">
      <c r="X4748"/>
      <c r="Y4748"/>
      <c r="Z4748"/>
      <c r="AA4748"/>
      <c r="AC4748"/>
      <c r="AR4748"/>
    </row>
    <row r="4749" spans="24:44">
      <c r="X4749"/>
      <c r="Y4749"/>
      <c r="Z4749"/>
      <c r="AA4749"/>
      <c r="AC4749"/>
      <c r="AR4749"/>
    </row>
    <row r="4750" spans="24:44">
      <c r="X4750"/>
      <c r="Y4750"/>
      <c r="Z4750"/>
      <c r="AA4750"/>
      <c r="AC4750"/>
      <c r="AR4750"/>
    </row>
    <row r="4751" spans="24:44">
      <c r="X4751"/>
      <c r="Y4751"/>
      <c r="Z4751"/>
      <c r="AA4751"/>
      <c r="AC4751"/>
      <c r="AR4751"/>
    </row>
    <row r="4752" spans="24:44">
      <c r="X4752"/>
      <c r="Y4752"/>
      <c r="Z4752"/>
      <c r="AA4752"/>
      <c r="AC4752"/>
      <c r="AR4752"/>
    </row>
    <row r="4753" spans="24:44">
      <c r="X4753"/>
      <c r="Y4753"/>
      <c r="Z4753"/>
      <c r="AA4753"/>
      <c r="AC4753"/>
      <c r="AR4753"/>
    </row>
    <row r="4754" spans="24:44">
      <c r="X4754"/>
      <c r="Y4754"/>
      <c r="Z4754"/>
      <c r="AA4754"/>
      <c r="AC4754"/>
      <c r="AR4754"/>
    </row>
    <row r="4755" spans="24:44">
      <c r="X4755"/>
      <c r="Y4755"/>
      <c r="Z4755"/>
      <c r="AA4755"/>
      <c r="AC4755"/>
      <c r="AR4755"/>
    </row>
    <row r="4756" spans="24:44">
      <c r="X4756"/>
      <c r="Y4756"/>
      <c r="Z4756"/>
      <c r="AA4756"/>
      <c r="AC4756"/>
      <c r="AR4756"/>
    </row>
    <row r="4757" spans="24:44">
      <c r="X4757"/>
      <c r="Y4757"/>
      <c r="Z4757"/>
      <c r="AA4757"/>
      <c r="AC4757"/>
      <c r="AR4757"/>
    </row>
    <row r="4758" spans="24:44">
      <c r="X4758"/>
      <c r="Y4758"/>
      <c r="Z4758"/>
      <c r="AA4758"/>
      <c r="AC4758"/>
      <c r="AR4758"/>
    </row>
    <row r="4759" spans="24:44">
      <c r="X4759"/>
      <c r="Y4759"/>
      <c r="Z4759"/>
      <c r="AA4759"/>
      <c r="AC4759"/>
      <c r="AR4759"/>
    </row>
    <row r="4760" spans="24:44">
      <c r="X4760"/>
      <c r="Y4760"/>
      <c r="Z4760"/>
      <c r="AA4760"/>
      <c r="AC4760"/>
      <c r="AR4760"/>
    </row>
    <row r="4761" spans="24:44">
      <c r="X4761"/>
      <c r="Y4761"/>
      <c r="Z4761"/>
      <c r="AA4761"/>
      <c r="AC4761"/>
      <c r="AR4761"/>
    </row>
    <row r="4762" spans="24:44">
      <c r="X4762"/>
      <c r="Y4762"/>
      <c r="Z4762"/>
      <c r="AA4762"/>
      <c r="AC4762"/>
      <c r="AR4762"/>
    </row>
    <row r="4763" spans="24:44">
      <c r="X4763"/>
      <c r="Y4763"/>
      <c r="Z4763"/>
      <c r="AA4763"/>
      <c r="AC4763"/>
      <c r="AR4763"/>
    </row>
    <row r="4764" spans="24:44">
      <c r="X4764"/>
      <c r="Y4764"/>
      <c r="Z4764"/>
      <c r="AA4764"/>
      <c r="AC4764"/>
      <c r="AR4764"/>
    </row>
    <row r="4765" spans="24:44">
      <c r="X4765"/>
      <c r="Y4765"/>
      <c r="Z4765"/>
      <c r="AA4765"/>
      <c r="AC4765"/>
      <c r="AR4765"/>
    </row>
    <row r="4766" spans="24:44">
      <c r="X4766"/>
      <c r="Y4766"/>
      <c r="Z4766"/>
      <c r="AA4766"/>
      <c r="AC4766"/>
      <c r="AR4766"/>
    </row>
    <row r="4767" spans="24:44">
      <c r="X4767"/>
      <c r="Y4767"/>
      <c r="Z4767"/>
      <c r="AA4767"/>
      <c r="AC4767"/>
      <c r="AR4767"/>
    </row>
    <row r="4768" spans="24:44">
      <c r="X4768"/>
      <c r="Y4768"/>
      <c r="Z4768"/>
      <c r="AA4768"/>
      <c r="AC4768"/>
      <c r="AR4768"/>
    </row>
    <row r="4769" spans="24:44">
      <c r="X4769"/>
      <c r="Y4769"/>
      <c r="Z4769"/>
      <c r="AA4769"/>
      <c r="AC4769"/>
      <c r="AR4769"/>
    </row>
    <row r="4770" spans="24:44">
      <c r="X4770"/>
      <c r="Y4770"/>
      <c r="Z4770"/>
      <c r="AA4770"/>
      <c r="AC4770"/>
      <c r="AR4770"/>
    </row>
    <row r="4771" spans="24:44">
      <c r="X4771"/>
      <c r="Y4771"/>
      <c r="Z4771"/>
      <c r="AA4771"/>
      <c r="AC4771"/>
      <c r="AR4771"/>
    </row>
    <row r="4772" spans="24:44">
      <c r="X4772"/>
      <c r="Y4772"/>
      <c r="Z4772"/>
      <c r="AA4772"/>
      <c r="AC4772"/>
      <c r="AR4772"/>
    </row>
    <row r="4773" spans="24:44">
      <c r="X4773"/>
      <c r="Y4773"/>
      <c r="Z4773"/>
      <c r="AA4773"/>
      <c r="AC4773"/>
      <c r="AR4773"/>
    </row>
    <row r="4774" spans="24:44">
      <c r="X4774"/>
      <c r="Y4774"/>
      <c r="Z4774"/>
      <c r="AA4774"/>
      <c r="AC4774"/>
      <c r="AR4774"/>
    </row>
    <row r="4775" spans="24:44">
      <c r="X4775"/>
      <c r="Y4775"/>
      <c r="Z4775"/>
      <c r="AA4775"/>
      <c r="AC4775"/>
      <c r="AR4775"/>
    </row>
    <row r="4776" spans="24:44">
      <c r="X4776"/>
      <c r="Y4776"/>
      <c r="Z4776"/>
      <c r="AA4776"/>
      <c r="AC4776"/>
      <c r="AR4776"/>
    </row>
    <row r="4777" spans="24:44">
      <c r="X4777"/>
      <c r="Y4777"/>
      <c r="Z4777"/>
      <c r="AA4777"/>
      <c r="AC4777"/>
      <c r="AR4777"/>
    </row>
    <row r="4778" spans="24:44">
      <c r="X4778"/>
      <c r="Y4778"/>
      <c r="Z4778"/>
      <c r="AA4778"/>
      <c r="AC4778"/>
      <c r="AR4778"/>
    </row>
    <row r="4779" spans="24:44">
      <c r="X4779"/>
      <c r="Y4779"/>
      <c r="Z4779"/>
      <c r="AA4779"/>
      <c r="AC4779"/>
      <c r="AR4779"/>
    </row>
    <row r="4780" spans="24:44">
      <c r="X4780"/>
      <c r="Y4780"/>
      <c r="Z4780"/>
      <c r="AA4780"/>
      <c r="AC4780"/>
      <c r="AR4780"/>
    </row>
    <row r="4781" spans="24:44">
      <c r="X4781"/>
      <c r="Y4781"/>
      <c r="Z4781"/>
      <c r="AA4781"/>
      <c r="AC4781"/>
      <c r="AR4781"/>
    </row>
    <row r="4782" spans="24:44">
      <c r="X4782"/>
      <c r="Y4782"/>
      <c r="Z4782"/>
      <c r="AA4782"/>
      <c r="AC4782"/>
      <c r="AR4782"/>
    </row>
    <row r="4783" spans="24:44">
      <c r="X4783"/>
      <c r="Y4783"/>
      <c r="Z4783"/>
      <c r="AA4783"/>
      <c r="AC4783"/>
      <c r="AR4783"/>
    </row>
    <row r="4784" spans="24:44">
      <c r="X4784"/>
      <c r="Y4784"/>
      <c r="Z4784"/>
      <c r="AA4784"/>
      <c r="AC4784"/>
      <c r="AR4784"/>
    </row>
    <row r="4785" spans="24:44">
      <c r="X4785"/>
      <c r="Y4785"/>
      <c r="Z4785"/>
      <c r="AA4785"/>
      <c r="AC4785"/>
      <c r="AR4785"/>
    </row>
    <row r="4786" spans="24:44">
      <c r="X4786"/>
      <c r="Y4786"/>
      <c r="Z4786"/>
      <c r="AA4786"/>
      <c r="AC4786"/>
      <c r="AR4786"/>
    </row>
    <row r="4787" spans="24:44">
      <c r="X4787"/>
      <c r="Y4787"/>
      <c r="Z4787"/>
      <c r="AA4787"/>
      <c r="AC4787"/>
      <c r="AR4787"/>
    </row>
    <row r="4788" spans="24:44">
      <c r="X4788"/>
      <c r="Y4788"/>
      <c r="Z4788"/>
      <c r="AA4788"/>
      <c r="AC4788"/>
      <c r="AR4788"/>
    </row>
    <row r="4789" spans="24:44">
      <c r="X4789"/>
      <c r="Y4789"/>
      <c r="Z4789"/>
      <c r="AA4789"/>
      <c r="AC4789"/>
      <c r="AR4789"/>
    </row>
    <row r="4790" spans="24:44">
      <c r="X4790"/>
      <c r="Y4790"/>
      <c r="Z4790"/>
      <c r="AA4790"/>
      <c r="AC4790"/>
      <c r="AR4790"/>
    </row>
    <row r="4791" spans="24:44">
      <c r="X4791"/>
      <c r="Y4791"/>
      <c r="Z4791"/>
      <c r="AA4791"/>
      <c r="AC4791"/>
      <c r="AR4791"/>
    </row>
    <row r="4792" spans="24:44">
      <c r="X4792"/>
      <c r="Y4792"/>
      <c r="Z4792"/>
      <c r="AA4792"/>
      <c r="AC4792"/>
      <c r="AR4792"/>
    </row>
    <row r="4793" spans="24:44">
      <c r="X4793"/>
      <c r="Y4793"/>
      <c r="Z4793"/>
      <c r="AA4793"/>
      <c r="AC4793"/>
      <c r="AR4793"/>
    </row>
    <row r="4794" spans="24:44">
      <c r="X4794"/>
      <c r="Y4794"/>
      <c r="Z4794"/>
      <c r="AA4794"/>
      <c r="AC4794"/>
      <c r="AR4794"/>
    </row>
    <row r="4795" spans="24:44">
      <c r="X4795"/>
      <c r="Y4795"/>
      <c r="Z4795"/>
      <c r="AA4795"/>
      <c r="AC4795"/>
      <c r="AR4795"/>
    </row>
    <row r="4796" spans="24:44">
      <c r="X4796"/>
      <c r="Y4796"/>
      <c r="Z4796"/>
      <c r="AA4796"/>
      <c r="AC4796"/>
      <c r="AR4796"/>
    </row>
    <row r="4797" spans="24:44">
      <c r="X4797"/>
      <c r="Y4797"/>
      <c r="Z4797"/>
      <c r="AA4797"/>
      <c r="AC4797"/>
      <c r="AR4797"/>
    </row>
    <row r="4798" spans="24:44">
      <c r="X4798"/>
      <c r="Y4798"/>
      <c r="Z4798"/>
      <c r="AA4798"/>
      <c r="AC4798"/>
      <c r="AR4798"/>
    </row>
    <row r="4799" spans="24:44">
      <c r="X4799"/>
      <c r="Y4799"/>
      <c r="Z4799"/>
      <c r="AA4799"/>
      <c r="AC4799"/>
      <c r="AR4799"/>
    </row>
    <row r="4800" spans="24:44">
      <c r="X4800"/>
      <c r="Y4800"/>
      <c r="Z4800"/>
      <c r="AA4800"/>
      <c r="AC4800"/>
      <c r="AR4800"/>
    </row>
    <row r="4801" spans="24:44">
      <c r="X4801"/>
      <c r="Y4801"/>
      <c r="Z4801"/>
      <c r="AA4801"/>
      <c r="AC4801"/>
      <c r="AR4801"/>
    </row>
    <row r="4802" spans="24:44">
      <c r="X4802"/>
      <c r="Y4802"/>
      <c r="Z4802"/>
      <c r="AA4802"/>
      <c r="AC4802"/>
      <c r="AR4802"/>
    </row>
    <row r="4803" spans="24:44">
      <c r="X4803"/>
      <c r="Y4803"/>
      <c r="Z4803"/>
      <c r="AA4803"/>
      <c r="AC4803"/>
      <c r="AR4803"/>
    </row>
    <row r="4804" spans="24:44">
      <c r="X4804"/>
      <c r="Y4804"/>
      <c r="Z4804"/>
      <c r="AA4804"/>
      <c r="AC4804"/>
      <c r="AR4804"/>
    </row>
    <row r="4805" spans="24:44">
      <c r="X4805"/>
      <c r="Y4805"/>
      <c r="Z4805"/>
      <c r="AA4805"/>
      <c r="AC4805"/>
      <c r="AR4805"/>
    </row>
    <row r="4806" spans="24:44">
      <c r="X4806"/>
      <c r="Y4806"/>
      <c r="Z4806"/>
      <c r="AA4806"/>
      <c r="AC4806"/>
      <c r="AR4806"/>
    </row>
    <row r="4807" spans="24:44">
      <c r="X4807"/>
      <c r="Y4807"/>
      <c r="Z4807"/>
      <c r="AA4807"/>
      <c r="AC4807"/>
      <c r="AR4807"/>
    </row>
    <row r="4808" spans="24:44">
      <c r="X4808"/>
      <c r="Y4808"/>
      <c r="Z4808"/>
      <c r="AA4808"/>
      <c r="AC4808"/>
      <c r="AR4808"/>
    </row>
    <row r="4809" spans="24:44">
      <c r="X4809"/>
      <c r="Y4809"/>
      <c r="Z4809"/>
      <c r="AA4809"/>
      <c r="AC4809"/>
      <c r="AR4809"/>
    </row>
    <row r="4810" spans="24:44">
      <c r="X4810"/>
      <c r="Y4810"/>
      <c r="Z4810"/>
      <c r="AA4810"/>
      <c r="AC4810"/>
      <c r="AR4810"/>
    </row>
    <row r="4811" spans="24:44">
      <c r="X4811"/>
      <c r="Y4811"/>
      <c r="Z4811"/>
      <c r="AA4811"/>
      <c r="AC4811"/>
      <c r="AR4811"/>
    </row>
    <row r="4812" spans="24:44">
      <c r="X4812"/>
      <c r="Y4812"/>
      <c r="Z4812"/>
      <c r="AA4812"/>
      <c r="AC4812"/>
      <c r="AR4812"/>
    </row>
    <row r="4813" spans="24:44">
      <c r="X4813"/>
      <c r="Y4813"/>
      <c r="Z4813"/>
      <c r="AA4813"/>
      <c r="AC4813"/>
      <c r="AR4813"/>
    </row>
    <row r="4814" spans="24:44">
      <c r="X4814"/>
      <c r="Y4814"/>
      <c r="Z4814"/>
      <c r="AA4814"/>
      <c r="AC4814"/>
      <c r="AR4814"/>
    </row>
    <row r="4815" spans="24:44">
      <c r="X4815"/>
      <c r="Y4815"/>
      <c r="Z4815"/>
      <c r="AA4815"/>
      <c r="AC4815"/>
      <c r="AR4815"/>
    </row>
    <row r="4816" spans="24:44">
      <c r="X4816"/>
      <c r="Y4816"/>
      <c r="Z4816"/>
      <c r="AA4816"/>
      <c r="AC4816"/>
      <c r="AR4816"/>
    </row>
    <row r="4817" spans="24:44">
      <c r="X4817"/>
      <c r="Y4817"/>
      <c r="Z4817"/>
      <c r="AA4817"/>
      <c r="AC4817"/>
      <c r="AR4817"/>
    </row>
    <row r="4818" spans="24:44">
      <c r="X4818"/>
      <c r="Y4818"/>
      <c r="Z4818"/>
      <c r="AA4818"/>
      <c r="AC4818"/>
      <c r="AR4818"/>
    </row>
    <row r="4819" spans="24:44">
      <c r="X4819"/>
      <c r="Y4819"/>
      <c r="Z4819"/>
      <c r="AA4819"/>
      <c r="AC4819"/>
      <c r="AR4819"/>
    </row>
    <row r="4820" spans="24:44">
      <c r="X4820"/>
      <c r="Y4820"/>
      <c r="Z4820"/>
      <c r="AA4820"/>
      <c r="AC4820"/>
      <c r="AR4820"/>
    </row>
    <row r="4821" spans="24:44">
      <c r="X4821"/>
      <c r="Y4821"/>
      <c r="Z4821"/>
      <c r="AA4821"/>
      <c r="AC4821"/>
      <c r="AR4821"/>
    </row>
    <row r="4822" spans="24:44">
      <c r="X4822"/>
      <c r="Y4822"/>
      <c r="Z4822"/>
      <c r="AA4822"/>
      <c r="AC4822"/>
      <c r="AR4822"/>
    </row>
    <row r="4823" spans="24:44">
      <c r="X4823"/>
      <c r="Y4823"/>
      <c r="Z4823"/>
      <c r="AA4823"/>
      <c r="AC4823"/>
      <c r="AR4823"/>
    </row>
    <row r="4824" spans="24:44">
      <c r="X4824"/>
      <c r="Y4824"/>
      <c r="Z4824"/>
      <c r="AA4824"/>
      <c r="AC4824"/>
      <c r="AR4824"/>
    </row>
    <row r="4825" spans="24:44">
      <c r="X4825"/>
      <c r="Y4825"/>
      <c r="Z4825"/>
      <c r="AA4825"/>
      <c r="AC4825"/>
      <c r="AR4825"/>
    </row>
    <row r="4826" spans="24:44">
      <c r="X4826"/>
      <c r="Y4826"/>
      <c r="Z4826"/>
      <c r="AA4826"/>
      <c r="AC4826"/>
      <c r="AR4826"/>
    </row>
    <row r="4827" spans="24:44">
      <c r="X4827"/>
      <c r="Y4827"/>
      <c r="Z4827"/>
      <c r="AA4827"/>
      <c r="AC4827"/>
      <c r="AR4827"/>
    </row>
    <row r="4828" spans="24:44">
      <c r="X4828"/>
      <c r="Y4828"/>
      <c r="Z4828"/>
      <c r="AA4828"/>
      <c r="AC4828"/>
      <c r="AR4828"/>
    </row>
    <row r="4829" spans="24:44">
      <c r="X4829"/>
      <c r="Y4829"/>
      <c r="Z4829"/>
      <c r="AA4829"/>
      <c r="AC4829"/>
      <c r="AR4829"/>
    </row>
    <row r="4830" spans="24:44">
      <c r="X4830"/>
      <c r="Y4830"/>
      <c r="Z4830"/>
      <c r="AA4830"/>
      <c r="AC4830"/>
      <c r="AR4830"/>
    </row>
    <row r="4831" spans="24:44">
      <c r="X4831"/>
      <c r="Y4831"/>
      <c r="Z4831"/>
      <c r="AA4831"/>
      <c r="AC4831"/>
      <c r="AR4831"/>
    </row>
    <row r="4832" spans="24:44">
      <c r="X4832"/>
      <c r="Y4832"/>
      <c r="Z4832"/>
      <c r="AA4832"/>
      <c r="AC4832"/>
      <c r="AR4832"/>
    </row>
    <row r="4833" spans="24:44">
      <c r="X4833"/>
      <c r="Y4833"/>
      <c r="Z4833"/>
      <c r="AA4833"/>
      <c r="AC4833"/>
      <c r="AR4833"/>
    </row>
    <row r="4834" spans="24:44">
      <c r="X4834"/>
      <c r="Y4834"/>
      <c r="Z4834"/>
      <c r="AA4834"/>
      <c r="AC4834"/>
      <c r="AR4834"/>
    </row>
    <row r="4835" spans="24:44">
      <c r="X4835"/>
      <c r="Y4835"/>
      <c r="Z4835"/>
      <c r="AA4835"/>
      <c r="AC4835"/>
      <c r="AR4835"/>
    </row>
    <row r="4836" spans="24:44">
      <c r="X4836"/>
      <c r="Y4836"/>
      <c r="Z4836"/>
      <c r="AA4836"/>
      <c r="AC4836"/>
      <c r="AR4836"/>
    </row>
    <row r="4837" spans="24:44">
      <c r="X4837"/>
      <c r="Y4837"/>
      <c r="Z4837"/>
      <c r="AA4837"/>
      <c r="AC4837"/>
      <c r="AR4837"/>
    </row>
    <row r="4838" spans="24:44">
      <c r="X4838"/>
      <c r="Y4838"/>
      <c r="Z4838"/>
      <c r="AA4838"/>
      <c r="AC4838"/>
      <c r="AR4838"/>
    </row>
    <row r="4839" spans="24:44">
      <c r="X4839"/>
      <c r="Y4839"/>
      <c r="Z4839"/>
      <c r="AA4839"/>
      <c r="AC4839"/>
      <c r="AR4839"/>
    </row>
    <row r="4840" spans="24:44">
      <c r="X4840"/>
      <c r="Y4840"/>
      <c r="Z4840"/>
      <c r="AA4840"/>
      <c r="AC4840"/>
      <c r="AR4840"/>
    </row>
    <row r="4841" spans="24:44">
      <c r="X4841"/>
      <c r="Y4841"/>
      <c r="Z4841"/>
      <c r="AA4841"/>
      <c r="AC4841"/>
      <c r="AR4841"/>
    </row>
    <row r="4842" spans="24:44">
      <c r="X4842"/>
      <c r="Y4842"/>
      <c r="Z4842"/>
      <c r="AA4842"/>
      <c r="AC4842"/>
      <c r="AR4842"/>
    </row>
    <row r="4843" spans="24:44">
      <c r="X4843"/>
      <c r="Y4843"/>
      <c r="Z4843"/>
      <c r="AA4843"/>
      <c r="AC4843"/>
      <c r="AR4843"/>
    </row>
    <row r="4844" spans="24:44">
      <c r="X4844"/>
      <c r="Y4844"/>
      <c r="Z4844"/>
      <c r="AA4844"/>
      <c r="AC4844"/>
      <c r="AR4844"/>
    </row>
    <row r="4845" spans="24:44">
      <c r="X4845"/>
      <c r="Y4845"/>
      <c r="Z4845"/>
      <c r="AA4845"/>
      <c r="AC4845"/>
      <c r="AR4845"/>
    </row>
    <row r="4846" spans="24:44">
      <c r="X4846"/>
      <c r="Y4846"/>
      <c r="Z4846"/>
      <c r="AA4846"/>
      <c r="AC4846"/>
      <c r="AR4846"/>
    </row>
    <row r="4847" spans="24:44">
      <c r="X4847"/>
      <c r="Y4847"/>
      <c r="Z4847"/>
      <c r="AA4847"/>
      <c r="AC4847"/>
      <c r="AR4847"/>
    </row>
    <row r="4848" spans="24:44">
      <c r="X4848"/>
      <c r="Y4848"/>
      <c r="Z4848"/>
      <c r="AA4848"/>
      <c r="AC4848"/>
      <c r="AR4848"/>
    </row>
    <row r="4849" spans="24:44">
      <c r="X4849"/>
      <c r="Y4849"/>
      <c r="Z4849"/>
      <c r="AA4849"/>
      <c r="AC4849"/>
      <c r="AR4849"/>
    </row>
    <row r="4850" spans="24:44">
      <c r="X4850"/>
      <c r="Y4850"/>
      <c r="Z4850"/>
      <c r="AA4850"/>
      <c r="AC4850"/>
      <c r="AR4850"/>
    </row>
    <row r="4851" spans="24:44">
      <c r="X4851"/>
      <c r="Y4851"/>
      <c r="Z4851"/>
      <c r="AA4851"/>
      <c r="AC4851"/>
      <c r="AR4851"/>
    </row>
    <row r="4852" spans="24:44">
      <c r="X4852"/>
      <c r="Y4852"/>
      <c r="Z4852"/>
      <c r="AA4852"/>
      <c r="AC4852"/>
      <c r="AR4852"/>
    </row>
    <row r="4853" spans="24:44">
      <c r="X4853"/>
      <c r="Y4853"/>
      <c r="Z4853"/>
      <c r="AA4853"/>
      <c r="AC4853"/>
      <c r="AR4853"/>
    </row>
    <row r="4854" spans="24:44">
      <c r="X4854"/>
      <c r="Y4854"/>
      <c r="Z4854"/>
      <c r="AA4854"/>
      <c r="AC4854"/>
      <c r="AR4854"/>
    </row>
    <row r="4855" spans="24:44">
      <c r="X4855"/>
      <c r="Y4855"/>
      <c r="Z4855"/>
      <c r="AA4855"/>
      <c r="AC4855"/>
      <c r="AR4855"/>
    </row>
    <row r="4856" spans="24:44">
      <c r="X4856"/>
      <c r="Y4856"/>
      <c r="Z4856"/>
      <c r="AA4856"/>
      <c r="AC4856"/>
      <c r="AR4856"/>
    </row>
    <row r="4857" spans="24:44">
      <c r="X4857"/>
      <c r="Y4857"/>
      <c r="Z4857"/>
      <c r="AA4857"/>
      <c r="AC4857"/>
      <c r="AR4857"/>
    </row>
    <row r="4858" spans="24:44">
      <c r="X4858"/>
      <c r="Y4858"/>
      <c r="Z4858"/>
      <c r="AA4858"/>
      <c r="AC4858"/>
      <c r="AR4858"/>
    </row>
    <row r="4859" spans="24:44">
      <c r="X4859"/>
      <c r="Y4859"/>
      <c r="Z4859"/>
      <c r="AA4859"/>
      <c r="AC4859"/>
      <c r="AR4859"/>
    </row>
    <row r="4860" spans="24:44">
      <c r="X4860"/>
      <c r="Y4860"/>
      <c r="Z4860"/>
      <c r="AA4860"/>
      <c r="AC4860"/>
      <c r="AR4860"/>
    </row>
    <row r="4861" spans="24:44">
      <c r="X4861"/>
      <c r="Y4861"/>
      <c r="Z4861"/>
      <c r="AA4861"/>
      <c r="AC4861"/>
      <c r="AR4861"/>
    </row>
    <row r="4862" spans="24:44">
      <c r="X4862"/>
      <c r="Y4862"/>
      <c r="Z4862"/>
      <c r="AA4862"/>
      <c r="AC4862"/>
      <c r="AR4862"/>
    </row>
    <row r="4863" spans="24:44">
      <c r="X4863"/>
      <c r="Y4863"/>
      <c r="Z4863"/>
      <c r="AA4863"/>
      <c r="AC4863"/>
      <c r="AR4863"/>
    </row>
    <row r="4864" spans="24:44">
      <c r="X4864"/>
      <c r="Y4864"/>
      <c r="Z4864"/>
      <c r="AA4864"/>
      <c r="AC4864"/>
      <c r="AR4864"/>
    </row>
    <row r="4865" spans="24:44">
      <c r="X4865"/>
      <c r="Y4865"/>
      <c r="Z4865"/>
      <c r="AA4865"/>
      <c r="AC4865"/>
      <c r="AR4865"/>
    </row>
    <row r="4866" spans="24:44">
      <c r="X4866"/>
      <c r="Y4866"/>
      <c r="Z4866"/>
      <c r="AA4866"/>
      <c r="AC4866"/>
      <c r="AR4866"/>
    </row>
    <row r="4867" spans="24:44">
      <c r="X4867"/>
      <c r="Y4867"/>
      <c r="Z4867"/>
      <c r="AA4867"/>
      <c r="AC4867"/>
      <c r="AR4867"/>
    </row>
    <row r="4868" spans="24:44">
      <c r="X4868"/>
      <c r="Y4868"/>
      <c r="Z4868"/>
      <c r="AA4868"/>
      <c r="AC4868"/>
      <c r="AR4868"/>
    </row>
    <row r="4869" spans="24:44">
      <c r="X4869"/>
      <c r="Y4869"/>
      <c r="Z4869"/>
      <c r="AA4869"/>
      <c r="AC4869"/>
      <c r="AR4869"/>
    </row>
    <row r="4870" spans="24:44">
      <c r="X4870"/>
      <c r="Y4870"/>
      <c r="Z4870"/>
      <c r="AA4870"/>
      <c r="AC4870"/>
      <c r="AR4870"/>
    </row>
    <row r="4871" spans="24:44">
      <c r="X4871"/>
      <c r="Y4871"/>
      <c r="Z4871"/>
      <c r="AA4871"/>
      <c r="AC4871"/>
      <c r="AR4871"/>
    </row>
    <row r="4872" spans="24:44">
      <c r="X4872"/>
      <c r="Y4872"/>
      <c r="Z4872"/>
      <c r="AA4872"/>
      <c r="AC4872"/>
      <c r="AR4872"/>
    </row>
    <row r="4873" spans="24:44">
      <c r="X4873"/>
      <c r="Y4873"/>
      <c r="Z4873"/>
      <c r="AA4873"/>
      <c r="AC4873"/>
      <c r="AR4873"/>
    </row>
    <row r="4874" spans="24:44">
      <c r="X4874"/>
      <c r="Y4874"/>
      <c r="Z4874"/>
      <c r="AA4874"/>
      <c r="AC4874"/>
      <c r="AR4874"/>
    </row>
    <row r="4875" spans="24:44">
      <c r="X4875"/>
      <c r="Y4875"/>
      <c r="Z4875"/>
      <c r="AA4875"/>
      <c r="AC4875"/>
      <c r="AR4875"/>
    </row>
    <row r="4876" spans="24:44">
      <c r="X4876"/>
      <c r="Y4876"/>
      <c r="Z4876"/>
      <c r="AA4876"/>
      <c r="AC4876"/>
      <c r="AR4876"/>
    </row>
    <row r="4877" spans="24:44">
      <c r="X4877"/>
      <c r="Y4877"/>
      <c r="Z4877"/>
      <c r="AA4877"/>
      <c r="AC4877"/>
      <c r="AR4877"/>
    </row>
    <row r="4878" spans="24:44">
      <c r="X4878"/>
      <c r="Y4878"/>
      <c r="Z4878"/>
      <c r="AA4878"/>
      <c r="AC4878"/>
      <c r="AR4878"/>
    </row>
    <row r="4879" spans="24:44">
      <c r="X4879"/>
      <c r="Y4879"/>
      <c r="Z4879"/>
      <c r="AA4879"/>
      <c r="AC4879"/>
      <c r="AR4879"/>
    </row>
    <row r="4880" spans="24:44">
      <c r="X4880"/>
      <c r="Y4880"/>
      <c r="Z4880"/>
      <c r="AA4880"/>
      <c r="AC4880"/>
      <c r="AR4880"/>
    </row>
    <row r="4881" spans="24:44">
      <c r="X4881"/>
      <c r="Y4881"/>
      <c r="Z4881"/>
      <c r="AA4881"/>
      <c r="AC4881"/>
      <c r="AR4881"/>
    </row>
    <row r="4882" spans="24:44">
      <c r="X4882"/>
      <c r="Y4882"/>
      <c r="Z4882"/>
      <c r="AA4882"/>
      <c r="AC4882"/>
      <c r="AR4882"/>
    </row>
    <row r="4883" spans="24:44">
      <c r="X4883"/>
      <c r="Y4883"/>
      <c r="Z4883"/>
      <c r="AA4883"/>
      <c r="AC4883"/>
      <c r="AR4883"/>
    </row>
    <row r="4884" spans="24:44">
      <c r="X4884"/>
      <c r="Y4884"/>
      <c r="Z4884"/>
      <c r="AA4884"/>
      <c r="AC4884"/>
      <c r="AR4884"/>
    </row>
    <row r="4885" spans="24:44">
      <c r="X4885"/>
      <c r="Y4885"/>
      <c r="Z4885"/>
      <c r="AA4885"/>
      <c r="AC4885"/>
      <c r="AR4885"/>
    </row>
    <row r="4886" spans="24:44">
      <c r="X4886"/>
      <c r="Y4886"/>
      <c r="Z4886"/>
      <c r="AA4886"/>
      <c r="AC4886"/>
      <c r="AR4886"/>
    </row>
    <row r="4887" spans="24:44">
      <c r="X4887"/>
      <c r="Y4887"/>
      <c r="Z4887"/>
      <c r="AA4887"/>
      <c r="AC4887"/>
      <c r="AR4887"/>
    </row>
    <row r="4888" spans="24:44">
      <c r="X4888"/>
      <c r="Y4888"/>
      <c r="Z4888"/>
      <c r="AA4888"/>
      <c r="AC4888"/>
      <c r="AR4888"/>
    </row>
    <row r="4889" spans="24:44">
      <c r="X4889"/>
      <c r="Y4889"/>
      <c r="Z4889"/>
      <c r="AA4889"/>
      <c r="AC4889"/>
      <c r="AR4889"/>
    </row>
    <row r="4890" spans="24:44">
      <c r="X4890"/>
      <c r="Y4890"/>
      <c r="Z4890"/>
      <c r="AA4890"/>
      <c r="AC4890"/>
      <c r="AR4890"/>
    </row>
    <row r="4891" spans="24:44">
      <c r="X4891"/>
      <c r="Y4891"/>
      <c r="Z4891"/>
      <c r="AA4891"/>
      <c r="AC4891"/>
      <c r="AR4891"/>
    </row>
    <row r="4892" spans="24:44">
      <c r="X4892"/>
      <c r="Y4892"/>
      <c r="Z4892"/>
      <c r="AA4892"/>
      <c r="AC4892"/>
      <c r="AR4892"/>
    </row>
    <row r="4893" spans="24:44">
      <c r="X4893"/>
      <c r="Y4893"/>
      <c r="Z4893"/>
      <c r="AA4893"/>
      <c r="AC4893"/>
      <c r="AR4893"/>
    </row>
    <row r="4894" spans="24:44">
      <c r="X4894"/>
      <c r="Y4894"/>
      <c r="Z4894"/>
      <c r="AA4894"/>
      <c r="AC4894"/>
      <c r="AR4894"/>
    </row>
    <row r="4895" spans="24:44">
      <c r="X4895"/>
      <c r="Y4895"/>
      <c r="Z4895"/>
      <c r="AA4895"/>
      <c r="AC4895"/>
      <c r="AR4895"/>
    </row>
    <row r="4896" spans="24:44">
      <c r="X4896"/>
      <c r="Y4896"/>
      <c r="Z4896"/>
      <c r="AA4896"/>
      <c r="AC4896"/>
      <c r="AR4896"/>
    </row>
    <row r="4897" spans="24:44">
      <c r="X4897"/>
      <c r="Y4897"/>
      <c r="Z4897"/>
      <c r="AA4897"/>
      <c r="AC4897"/>
      <c r="AR4897"/>
    </row>
    <row r="4898" spans="24:44">
      <c r="X4898"/>
      <c r="Y4898"/>
      <c r="Z4898"/>
      <c r="AA4898"/>
      <c r="AC4898"/>
      <c r="AR4898"/>
    </row>
    <row r="4899" spans="24:44">
      <c r="X4899"/>
      <c r="Y4899"/>
      <c r="Z4899"/>
      <c r="AA4899"/>
      <c r="AC4899"/>
      <c r="AR4899"/>
    </row>
    <row r="4900" spans="24:44">
      <c r="X4900"/>
      <c r="Y4900"/>
      <c r="Z4900"/>
      <c r="AA4900"/>
      <c r="AC4900"/>
      <c r="AR4900"/>
    </row>
    <row r="4901" spans="24:44">
      <c r="X4901"/>
      <c r="Y4901"/>
      <c r="Z4901"/>
      <c r="AA4901"/>
      <c r="AC4901"/>
      <c r="AR4901"/>
    </row>
    <row r="4902" spans="24:44">
      <c r="X4902"/>
      <c r="Y4902"/>
      <c r="Z4902"/>
      <c r="AA4902"/>
      <c r="AC4902"/>
      <c r="AR4902"/>
    </row>
    <row r="4903" spans="24:44">
      <c r="X4903"/>
      <c r="Y4903"/>
      <c r="Z4903"/>
      <c r="AA4903"/>
      <c r="AC4903"/>
      <c r="AR4903"/>
    </row>
    <row r="4904" spans="24:44">
      <c r="X4904"/>
      <c r="Y4904"/>
      <c r="Z4904"/>
      <c r="AA4904"/>
      <c r="AC4904"/>
      <c r="AR4904"/>
    </row>
    <row r="4905" spans="24:44">
      <c r="X4905"/>
      <c r="Y4905"/>
      <c r="Z4905"/>
      <c r="AA4905"/>
      <c r="AC4905"/>
      <c r="AR4905"/>
    </row>
    <row r="4906" spans="24:44">
      <c r="X4906"/>
      <c r="Y4906"/>
      <c r="Z4906"/>
      <c r="AA4906"/>
      <c r="AC4906"/>
      <c r="AR4906"/>
    </row>
    <row r="4907" spans="24:44">
      <c r="X4907"/>
      <c r="Y4907"/>
      <c r="Z4907"/>
      <c r="AA4907"/>
      <c r="AC4907"/>
      <c r="AR4907"/>
    </row>
    <row r="4908" spans="24:44">
      <c r="X4908"/>
      <c r="Y4908"/>
      <c r="Z4908"/>
      <c r="AA4908"/>
      <c r="AC4908"/>
      <c r="AR4908"/>
    </row>
    <row r="4909" spans="24:44">
      <c r="X4909"/>
      <c r="Y4909"/>
      <c r="Z4909"/>
      <c r="AA4909"/>
      <c r="AC4909"/>
      <c r="AR4909"/>
    </row>
    <row r="4910" spans="24:44">
      <c r="X4910"/>
      <c r="Y4910"/>
      <c r="Z4910"/>
      <c r="AA4910"/>
      <c r="AC4910"/>
      <c r="AR4910"/>
    </row>
    <row r="4911" spans="24:44">
      <c r="X4911"/>
      <c r="Y4911"/>
      <c r="Z4911"/>
      <c r="AA4911"/>
      <c r="AC4911"/>
      <c r="AR4911"/>
    </row>
    <row r="4912" spans="24:44">
      <c r="X4912"/>
      <c r="Y4912"/>
      <c r="Z4912"/>
      <c r="AA4912"/>
      <c r="AC4912"/>
      <c r="AR4912"/>
    </row>
    <row r="4913" spans="24:44">
      <c r="X4913"/>
      <c r="Y4913"/>
      <c r="Z4913"/>
      <c r="AA4913"/>
      <c r="AC4913"/>
      <c r="AR4913"/>
    </row>
    <row r="4914" spans="24:44">
      <c r="X4914"/>
      <c r="Y4914"/>
      <c r="Z4914"/>
      <c r="AA4914"/>
      <c r="AC4914"/>
      <c r="AR4914"/>
    </row>
    <row r="4915" spans="24:44">
      <c r="X4915"/>
      <c r="Y4915"/>
      <c r="Z4915"/>
      <c r="AA4915"/>
      <c r="AC4915"/>
      <c r="AR4915"/>
    </row>
    <row r="4916" spans="24:44">
      <c r="X4916"/>
      <c r="Y4916"/>
      <c r="Z4916"/>
      <c r="AA4916"/>
      <c r="AC4916"/>
      <c r="AR4916"/>
    </row>
    <row r="4917" spans="24:44">
      <c r="X4917"/>
      <c r="Y4917"/>
      <c r="Z4917"/>
      <c r="AA4917"/>
      <c r="AC4917"/>
      <c r="AR4917"/>
    </row>
    <row r="4918" spans="24:44">
      <c r="X4918"/>
      <c r="Y4918"/>
      <c r="Z4918"/>
      <c r="AA4918"/>
      <c r="AC4918"/>
      <c r="AR4918"/>
    </row>
    <row r="4919" spans="24:44">
      <c r="X4919"/>
      <c r="Y4919"/>
      <c r="Z4919"/>
      <c r="AA4919"/>
      <c r="AC4919"/>
      <c r="AR4919"/>
    </row>
    <row r="4920" spans="24:44">
      <c r="X4920"/>
      <c r="Y4920"/>
      <c r="Z4920"/>
      <c r="AA4920"/>
      <c r="AC4920"/>
      <c r="AR4920"/>
    </row>
    <row r="4921" spans="24:44">
      <c r="X4921"/>
      <c r="Y4921"/>
      <c r="Z4921"/>
      <c r="AA4921"/>
      <c r="AC4921"/>
      <c r="AR4921"/>
    </row>
    <row r="4922" spans="24:44">
      <c r="X4922"/>
      <c r="Y4922"/>
      <c r="Z4922"/>
      <c r="AA4922"/>
      <c r="AC4922"/>
      <c r="AR4922"/>
    </row>
    <row r="4923" spans="24:44">
      <c r="X4923"/>
      <c r="Y4923"/>
      <c r="Z4923"/>
      <c r="AA4923"/>
      <c r="AC4923"/>
      <c r="AR4923"/>
    </row>
    <row r="4924" spans="24:44">
      <c r="X4924"/>
      <c r="Y4924"/>
      <c r="Z4924"/>
      <c r="AA4924"/>
      <c r="AC4924"/>
      <c r="AR4924"/>
    </row>
    <row r="4925" spans="24:44">
      <c r="X4925"/>
      <c r="Y4925"/>
      <c r="Z4925"/>
      <c r="AA4925"/>
      <c r="AC4925"/>
      <c r="AR4925"/>
    </row>
    <row r="4926" spans="24:44">
      <c r="X4926"/>
      <c r="Y4926"/>
      <c r="Z4926"/>
      <c r="AA4926"/>
      <c r="AC4926"/>
      <c r="AR4926"/>
    </row>
    <row r="4927" spans="24:44">
      <c r="X4927"/>
      <c r="Y4927"/>
      <c r="Z4927"/>
      <c r="AA4927"/>
      <c r="AC4927"/>
      <c r="AR4927"/>
    </row>
    <row r="4928" spans="24:44">
      <c r="X4928"/>
      <c r="Y4928"/>
      <c r="Z4928"/>
      <c r="AA4928"/>
      <c r="AC4928"/>
      <c r="AR4928"/>
    </row>
    <row r="4929" spans="24:44">
      <c r="X4929"/>
      <c r="Y4929"/>
      <c r="Z4929"/>
      <c r="AA4929"/>
      <c r="AC4929"/>
      <c r="AR4929"/>
    </row>
    <row r="4930" spans="24:44">
      <c r="X4930"/>
      <c r="Y4930"/>
      <c r="Z4930"/>
      <c r="AA4930"/>
      <c r="AC4930"/>
      <c r="AR4930"/>
    </row>
    <row r="4931" spans="24:44">
      <c r="X4931"/>
      <c r="Y4931"/>
      <c r="Z4931"/>
      <c r="AA4931"/>
      <c r="AC4931"/>
      <c r="AR4931"/>
    </row>
    <row r="4932" spans="24:44">
      <c r="X4932"/>
      <c r="Y4932"/>
      <c r="Z4932"/>
      <c r="AA4932"/>
      <c r="AC4932"/>
      <c r="AR4932"/>
    </row>
    <row r="4933" spans="24:44">
      <c r="X4933"/>
      <c r="Y4933"/>
      <c r="Z4933"/>
      <c r="AA4933"/>
      <c r="AC4933"/>
      <c r="AR4933"/>
    </row>
    <row r="4934" spans="24:44">
      <c r="X4934"/>
      <c r="Y4934"/>
      <c r="Z4934"/>
      <c r="AA4934"/>
      <c r="AC4934"/>
      <c r="AR4934"/>
    </row>
    <row r="4935" spans="24:44">
      <c r="X4935"/>
      <c r="Y4935"/>
      <c r="Z4935"/>
      <c r="AA4935"/>
      <c r="AC4935"/>
      <c r="AR4935"/>
    </row>
    <row r="4936" spans="24:44">
      <c r="X4936"/>
      <c r="Y4936"/>
      <c r="Z4936"/>
      <c r="AA4936"/>
      <c r="AC4936"/>
      <c r="AR4936"/>
    </row>
    <row r="4937" spans="24:44">
      <c r="X4937"/>
      <c r="Y4937"/>
      <c r="Z4937"/>
      <c r="AA4937"/>
      <c r="AC4937"/>
      <c r="AR4937"/>
    </row>
    <row r="4938" spans="24:44">
      <c r="X4938"/>
      <c r="Y4938"/>
      <c r="Z4938"/>
      <c r="AA4938"/>
      <c r="AC4938"/>
      <c r="AR4938"/>
    </row>
    <row r="4939" spans="24:44">
      <c r="X4939"/>
      <c r="Y4939"/>
      <c r="Z4939"/>
      <c r="AA4939"/>
      <c r="AC4939"/>
      <c r="AR4939"/>
    </row>
    <row r="4940" spans="24:44">
      <c r="X4940"/>
      <c r="Y4940"/>
      <c r="Z4940"/>
      <c r="AA4940"/>
      <c r="AC4940"/>
      <c r="AR4940"/>
    </row>
    <row r="4941" spans="24:44">
      <c r="X4941"/>
      <c r="Y4941"/>
      <c r="Z4941"/>
      <c r="AA4941"/>
      <c r="AC4941"/>
      <c r="AR4941"/>
    </row>
    <row r="4942" spans="24:44">
      <c r="X4942"/>
      <c r="Y4942"/>
      <c r="Z4942"/>
      <c r="AA4942"/>
      <c r="AC4942"/>
      <c r="AR4942"/>
    </row>
    <row r="4943" spans="24:44">
      <c r="X4943"/>
      <c r="Y4943"/>
      <c r="Z4943"/>
      <c r="AA4943"/>
      <c r="AC4943"/>
      <c r="AR4943"/>
    </row>
    <row r="4944" spans="24:44">
      <c r="X4944"/>
      <c r="Y4944"/>
      <c r="Z4944"/>
      <c r="AA4944"/>
      <c r="AC4944"/>
      <c r="AR4944"/>
    </row>
    <row r="4945" spans="24:44">
      <c r="X4945"/>
      <c r="Y4945"/>
      <c r="Z4945"/>
      <c r="AA4945"/>
      <c r="AC4945"/>
      <c r="AR4945"/>
    </row>
    <row r="4946" spans="24:44">
      <c r="X4946"/>
      <c r="Y4946"/>
      <c r="Z4946"/>
      <c r="AA4946"/>
      <c r="AC4946"/>
      <c r="AR4946"/>
    </row>
    <row r="4947" spans="24:44">
      <c r="X4947"/>
      <c r="Y4947"/>
      <c r="Z4947"/>
      <c r="AA4947"/>
      <c r="AC4947"/>
      <c r="AR4947"/>
    </row>
    <row r="4948" spans="24:44">
      <c r="X4948"/>
      <c r="Y4948"/>
      <c r="Z4948"/>
      <c r="AA4948"/>
      <c r="AC4948"/>
      <c r="AR4948"/>
    </row>
    <row r="4949" spans="24:44">
      <c r="X4949"/>
      <c r="Y4949"/>
      <c r="Z4949"/>
      <c r="AA4949"/>
      <c r="AC4949"/>
      <c r="AR4949"/>
    </row>
    <row r="4950" spans="24:44">
      <c r="X4950"/>
      <c r="Y4950"/>
      <c r="Z4950"/>
      <c r="AA4950"/>
      <c r="AC4950"/>
      <c r="AR4950"/>
    </row>
    <row r="4951" spans="24:44">
      <c r="X4951"/>
      <c r="Y4951"/>
      <c r="Z4951"/>
      <c r="AA4951"/>
      <c r="AC4951"/>
      <c r="AR4951"/>
    </row>
    <row r="4952" spans="24:44">
      <c r="X4952"/>
      <c r="Y4952"/>
      <c r="Z4952"/>
      <c r="AA4952"/>
      <c r="AC4952"/>
      <c r="AR4952"/>
    </row>
    <row r="4953" spans="24:44">
      <c r="X4953"/>
      <c r="Y4953"/>
      <c r="Z4953"/>
      <c r="AA4953"/>
      <c r="AC4953"/>
      <c r="AR4953"/>
    </row>
    <row r="4954" spans="24:44">
      <c r="X4954"/>
      <c r="Y4954"/>
      <c r="Z4954"/>
      <c r="AA4954"/>
      <c r="AC4954"/>
      <c r="AR4954"/>
    </row>
    <row r="4955" spans="24:44">
      <c r="X4955"/>
      <c r="Y4955"/>
      <c r="Z4955"/>
      <c r="AA4955"/>
      <c r="AC4955"/>
      <c r="AR4955"/>
    </row>
    <row r="4956" spans="24:44">
      <c r="X4956"/>
      <c r="Y4956"/>
      <c r="Z4956"/>
      <c r="AA4956"/>
      <c r="AC4956"/>
      <c r="AR4956"/>
    </row>
    <row r="4957" spans="24:44">
      <c r="X4957"/>
      <c r="Y4957"/>
      <c r="Z4957"/>
      <c r="AA4957"/>
      <c r="AC4957"/>
      <c r="AR4957"/>
    </row>
    <row r="4958" spans="24:44">
      <c r="X4958"/>
      <c r="Y4958"/>
      <c r="Z4958"/>
      <c r="AA4958"/>
      <c r="AC4958"/>
      <c r="AR4958"/>
    </row>
    <row r="4959" spans="24:44">
      <c r="X4959"/>
      <c r="Y4959"/>
      <c r="Z4959"/>
      <c r="AA4959"/>
      <c r="AC4959"/>
      <c r="AR4959"/>
    </row>
    <row r="4960" spans="24:44">
      <c r="X4960"/>
      <c r="Y4960"/>
      <c r="Z4960"/>
      <c r="AA4960"/>
      <c r="AC4960"/>
      <c r="AR4960"/>
    </row>
    <row r="4961" spans="24:44">
      <c r="X4961"/>
      <c r="Y4961"/>
      <c r="Z4961"/>
      <c r="AA4961"/>
      <c r="AC4961"/>
      <c r="AR4961"/>
    </row>
    <row r="4962" spans="24:44">
      <c r="X4962"/>
      <c r="Y4962"/>
      <c r="Z4962"/>
      <c r="AA4962"/>
      <c r="AC4962"/>
      <c r="AR4962"/>
    </row>
    <row r="4963" spans="24:44">
      <c r="X4963"/>
      <c r="Y4963"/>
      <c r="Z4963"/>
      <c r="AA4963"/>
      <c r="AC4963"/>
      <c r="AR4963"/>
    </row>
    <row r="4964" spans="24:44">
      <c r="X4964"/>
      <c r="Y4964"/>
      <c r="Z4964"/>
      <c r="AA4964"/>
      <c r="AC4964"/>
      <c r="AR4964"/>
    </row>
    <row r="4965" spans="24:44">
      <c r="X4965"/>
      <c r="Y4965"/>
      <c r="Z4965"/>
      <c r="AA4965"/>
      <c r="AC4965"/>
      <c r="AR4965"/>
    </row>
    <row r="4966" spans="24:44">
      <c r="X4966"/>
      <c r="Y4966"/>
      <c r="Z4966"/>
      <c r="AA4966"/>
      <c r="AC4966"/>
      <c r="AR4966"/>
    </row>
    <row r="4967" spans="24:44">
      <c r="X4967"/>
      <c r="Y4967"/>
      <c r="Z4967"/>
      <c r="AA4967"/>
      <c r="AC4967"/>
      <c r="AR4967"/>
    </row>
    <row r="4968" spans="24:44">
      <c r="X4968"/>
      <c r="Y4968"/>
      <c r="Z4968"/>
      <c r="AA4968"/>
      <c r="AC4968"/>
      <c r="AR4968"/>
    </row>
    <row r="4969" spans="24:44">
      <c r="X4969"/>
      <c r="Y4969"/>
      <c r="Z4969"/>
      <c r="AA4969"/>
      <c r="AC4969"/>
      <c r="AR4969"/>
    </row>
    <row r="4970" spans="24:44">
      <c r="X4970"/>
      <c r="Y4970"/>
      <c r="Z4970"/>
      <c r="AA4970"/>
      <c r="AC4970"/>
      <c r="AR4970"/>
    </row>
    <row r="4971" spans="24:44">
      <c r="X4971"/>
      <c r="Y4971"/>
      <c r="Z4971"/>
      <c r="AA4971"/>
      <c r="AC4971"/>
      <c r="AR4971"/>
    </row>
    <row r="4972" spans="24:44">
      <c r="X4972"/>
      <c r="Y4972"/>
      <c r="Z4972"/>
      <c r="AA4972"/>
      <c r="AC4972"/>
      <c r="AR4972"/>
    </row>
    <row r="4973" spans="24:44">
      <c r="X4973"/>
      <c r="Y4973"/>
      <c r="Z4973"/>
      <c r="AA4973"/>
      <c r="AC4973"/>
      <c r="AR4973"/>
    </row>
    <row r="4974" spans="24:44">
      <c r="X4974"/>
      <c r="Y4974"/>
      <c r="Z4974"/>
      <c r="AA4974"/>
      <c r="AC4974"/>
      <c r="AR4974"/>
    </row>
    <row r="4975" spans="24:44">
      <c r="X4975"/>
      <c r="Y4975"/>
      <c r="Z4975"/>
      <c r="AA4975"/>
      <c r="AC4975"/>
      <c r="AR4975"/>
    </row>
    <row r="4976" spans="24:44">
      <c r="X4976"/>
      <c r="Y4976"/>
      <c r="Z4976"/>
      <c r="AA4976"/>
      <c r="AC4976"/>
      <c r="AR4976"/>
    </row>
    <row r="4977" spans="24:44">
      <c r="X4977"/>
      <c r="Y4977"/>
      <c r="Z4977"/>
      <c r="AA4977"/>
      <c r="AC4977"/>
      <c r="AR4977"/>
    </row>
    <row r="4978" spans="24:44">
      <c r="X4978"/>
      <c r="Y4978"/>
      <c r="Z4978"/>
      <c r="AA4978"/>
      <c r="AC4978"/>
      <c r="AR4978"/>
    </row>
    <row r="4979" spans="24:44">
      <c r="X4979"/>
      <c r="Y4979"/>
      <c r="Z4979"/>
      <c r="AA4979"/>
      <c r="AC4979"/>
      <c r="AR4979"/>
    </row>
    <row r="4980" spans="24:44">
      <c r="X4980"/>
      <c r="Y4980"/>
      <c r="Z4980"/>
      <c r="AA4980"/>
      <c r="AC4980"/>
      <c r="AR4980"/>
    </row>
    <row r="4981" spans="24:44">
      <c r="X4981"/>
      <c r="Y4981"/>
      <c r="Z4981"/>
      <c r="AA4981"/>
      <c r="AC4981"/>
      <c r="AR4981"/>
    </row>
    <row r="4982" spans="24:44">
      <c r="X4982"/>
      <c r="Y4982"/>
      <c r="Z4982"/>
      <c r="AA4982"/>
      <c r="AC4982"/>
      <c r="AR4982"/>
    </row>
    <row r="4983" spans="24:44">
      <c r="X4983"/>
      <c r="Y4983"/>
      <c r="Z4983"/>
      <c r="AA4983"/>
      <c r="AC4983"/>
      <c r="AR4983"/>
    </row>
    <row r="4984" spans="24:44">
      <c r="X4984"/>
      <c r="Y4984"/>
      <c r="Z4984"/>
      <c r="AA4984"/>
      <c r="AC4984"/>
      <c r="AR4984"/>
    </row>
    <row r="4985" spans="24:44">
      <c r="X4985"/>
      <c r="Y4985"/>
      <c r="Z4985"/>
      <c r="AA4985"/>
      <c r="AC4985"/>
      <c r="AR4985"/>
    </row>
    <row r="4986" spans="24:44">
      <c r="X4986"/>
      <c r="Y4986"/>
      <c r="Z4986"/>
      <c r="AA4986"/>
      <c r="AC4986"/>
      <c r="AR4986"/>
    </row>
    <row r="4987" spans="24:44">
      <c r="X4987"/>
      <c r="Y4987"/>
      <c r="Z4987"/>
      <c r="AA4987"/>
      <c r="AC4987"/>
      <c r="AR4987"/>
    </row>
    <row r="4988" spans="24:44">
      <c r="X4988"/>
      <c r="Y4988"/>
      <c r="Z4988"/>
      <c r="AA4988"/>
      <c r="AC4988"/>
      <c r="AR4988"/>
    </row>
    <row r="4989" spans="24:44">
      <c r="X4989"/>
      <c r="Y4989"/>
      <c r="Z4989"/>
      <c r="AA4989"/>
      <c r="AC4989"/>
      <c r="AR4989"/>
    </row>
    <row r="4990" spans="24:44">
      <c r="X4990"/>
      <c r="Y4990"/>
      <c r="Z4990"/>
      <c r="AA4990"/>
      <c r="AC4990"/>
      <c r="AR4990"/>
    </row>
    <row r="4991" spans="24:44">
      <c r="X4991"/>
      <c r="Y4991"/>
      <c r="Z4991"/>
      <c r="AA4991"/>
      <c r="AC4991"/>
      <c r="AR4991"/>
    </row>
    <row r="4992" spans="24:44">
      <c r="X4992"/>
      <c r="Y4992"/>
      <c r="Z4992"/>
      <c r="AA4992"/>
      <c r="AC4992"/>
      <c r="AR4992"/>
    </row>
    <row r="4993" spans="24:44">
      <c r="X4993"/>
      <c r="Y4993"/>
      <c r="Z4993"/>
      <c r="AA4993"/>
      <c r="AC4993"/>
      <c r="AR4993"/>
    </row>
    <row r="4994" spans="24:44">
      <c r="X4994"/>
      <c r="Y4994"/>
      <c r="Z4994"/>
      <c r="AA4994"/>
      <c r="AC4994"/>
      <c r="AR4994"/>
    </row>
    <row r="4995" spans="24:44">
      <c r="X4995"/>
      <c r="Y4995"/>
      <c r="Z4995"/>
      <c r="AA4995"/>
      <c r="AC4995"/>
      <c r="AR4995"/>
    </row>
    <row r="4996" spans="24:44">
      <c r="X4996"/>
      <c r="Y4996"/>
      <c r="Z4996"/>
      <c r="AA4996"/>
      <c r="AC4996"/>
      <c r="AR4996"/>
    </row>
    <row r="4997" spans="24:44">
      <c r="X4997"/>
      <c r="Y4997"/>
      <c r="Z4997"/>
      <c r="AA4997"/>
      <c r="AC4997"/>
      <c r="AR4997"/>
    </row>
    <row r="4998" spans="24:44">
      <c r="X4998"/>
      <c r="Y4998"/>
      <c r="Z4998"/>
      <c r="AA4998"/>
      <c r="AC4998"/>
      <c r="AR4998"/>
    </row>
    <row r="4999" spans="24:44">
      <c r="X4999"/>
      <c r="Y4999"/>
      <c r="Z4999"/>
      <c r="AA4999"/>
      <c r="AC4999"/>
      <c r="AR4999"/>
    </row>
    <row r="5000" spans="24:44">
      <c r="X5000"/>
      <c r="Y5000"/>
      <c r="Z5000"/>
      <c r="AA5000"/>
      <c r="AC5000"/>
      <c r="AR5000"/>
    </row>
    <row r="5001" spans="24:44">
      <c r="X5001"/>
      <c r="Y5001"/>
      <c r="Z5001"/>
      <c r="AA5001"/>
      <c r="AC5001"/>
      <c r="AR5001"/>
    </row>
    <row r="5002" spans="24:44">
      <c r="X5002"/>
      <c r="Y5002"/>
      <c r="Z5002"/>
      <c r="AA5002"/>
      <c r="AC5002"/>
      <c r="AR5002"/>
    </row>
    <row r="5003" spans="24:44">
      <c r="X5003"/>
      <c r="Y5003"/>
      <c r="Z5003"/>
      <c r="AA5003"/>
      <c r="AC5003"/>
      <c r="AR5003"/>
    </row>
    <row r="5004" spans="24:44">
      <c r="X5004"/>
      <c r="Y5004"/>
      <c r="Z5004"/>
      <c r="AA5004"/>
      <c r="AC5004"/>
      <c r="AR5004"/>
    </row>
    <row r="5005" spans="24:44">
      <c r="X5005"/>
      <c r="Y5005"/>
      <c r="Z5005"/>
      <c r="AA5005"/>
      <c r="AC5005"/>
      <c r="AR5005"/>
    </row>
    <row r="5006" spans="24:44">
      <c r="X5006"/>
      <c r="Y5006"/>
      <c r="Z5006"/>
      <c r="AA5006"/>
      <c r="AC5006"/>
      <c r="AR5006"/>
    </row>
    <row r="5007" spans="24:44">
      <c r="X5007"/>
      <c r="Y5007"/>
      <c r="Z5007"/>
      <c r="AA5007"/>
      <c r="AC5007"/>
      <c r="AR5007"/>
    </row>
    <row r="5008" spans="24:44">
      <c r="X5008"/>
      <c r="Y5008"/>
      <c r="Z5008"/>
      <c r="AA5008"/>
      <c r="AC5008"/>
      <c r="AR5008"/>
    </row>
    <row r="5009" spans="24:44">
      <c r="X5009"/>
      <c r="Y5009"/>
      <c r="Z5009"/>
      <c r="AA5009"/>
      <c r="AC5009"/>
      <c r="AR5009"/>
    </row>
    <row r="5010" spans="24:44">
      <c r="X5010"/>
      <c r="Y5010"/>
      <c r="Z5010"/>
      <c r="AA5010"/>
      <c r="AC5010"/>
      <c r="AR5010"/>
    </row>
    <row r="5011" spans="24:44">
      <c r="X5011"/>
      <c r="Y5011"/>
      <c r="Z5011"/>
      <c r="AA5011"/>
      <c r="AC5011"/>
      <c r="AR5011"/>
    </row>
    <row r="5012" spans="24:44">
      <c r="X5012"/>
      <c r="Y5012"/>
      <c r="Z5012"/>
      <c r="AA5012"/>
      <c r="AC5012"/>
      <c r="AR5012"/>
    </row>
    <row r="5013" spans="24:44">
      <c r="X5013"/>
      <c r="Y5013"/>
      <c r="Z5013"/>
      <c r="AA5013"/>
      <c r="AC5013"/>
      <c r="AR5013"/>
    </row>
    <row r="5014" spans="24:44">
      <c r="X5014"/>
      <c r="Y5014"/>
      <c r="Z5014"/>
      <c r="AA5014"/>
      <c r="AC5014"/>
      <c r="AR5014"/>
    </row>
    <row r="5015" spans="24:44">
      <c r="X5015"/>
      <c r="Y5015"/>
      <c r="Z5015"/>
      <c r="AA5015"/>
      <c r="AC5015"/>
      <c r="AR5015"/>
    </row>
    <row r="5016" spans="24:44">
      <c r="X5016"/>
      <c r="Y5016"/>
      <c r="Z5016"/>
      <c r="AA5016"/>
      <c r="AC5016"/>
      <c r="AR5016"/>
    </row>
    <row r="5017" spans="24:44">
      <c r="X5017"/>
      <c r="Y5017"/>
      <c r="Z5017"/>
      <c r="AA5017"/>
      <c r="AC5017"/>
      <c r="AR5017"/>
    </row>
    <row r="5018" spans="24:44">
      <c r="X5018"/>
      <c r="Y5018"/>
      <c r="Z5018"/>
      <c r="AA5018"/>
      <c r="AC5018"/>
      <c r="AR5018"/>
    </row>
    <row r="5019" spans="24:44">
      <c r="X5019"/>
      <c r="Y5019"/>
      <c r="Z5019"/>
      <c r="AA5019"/>
      <c r="AC5019"/>
      <c r="AR5019"/>
    </row>
    <row r="5020" spans="24:44">
      <c r="X5020"/>
      <c r="Y5020"/>
      <c r="Z5020"/>
      <c r="AA5020"/>
      <c r="AC5020"/>
      <c r="AR5020"/>
    </row>
    <row r="5021" spans="24:44">
      <c r="X5021"/>
      <c r="Y5021"/>
      <c r="Z5021"/>
      <c r="AA5021"/>
      <c r="AC5021"/>
      <c r="AR5021"/>
    </row>
    <row r="5022" spans="24:44">
      <c r="X5022"/>
      <c r="Y5022"/>
      <c r="Z5022"/>
      <c r="AA5022"/>
      <c r="AC5022"/>
      <c r="AR5022"/>
    </row>
    <row r="5023" spans="24:44">
      <c r="X5023"/>
      <c r="Y5023"/>
      <c r="Z5023"/>
      <c r="AA5023"/>
      <c r="AC5023"/>
      <c r="AR5023"/>
    </row>
    <row r="5024" spans="24:44">
      <c r="X5024"/>
      <c r="Y5024"/>
      <c r="Z5024"/>
      <c r="AA5024"/>
      <c r="AC5024"/>
      <c r="AR5024"/>
    </row>
    <row r="5025" spans="24:44">
      <c r="X5025"/>
      <c r="Y5025"/>
      <c r="Z5025"/>
      <c r="AA5025"/>
      <c r="AC5025"/>
      <c r="AR5025"/>
    </row>
    <row r="5026" spans="24:44">
      <c r="X5026"/>
      <c r="Y5026"/>
      <c r="Z5026"/>
      <c r="AA5026"/>
      <c r="AC5026"/>
      <c r="AR5026"/>
    </row>
    <row r="5027" spans="24:44">
      <c r="X5027"/>
      <c r="Y5027"/>
      <c r="Z5027"/>
      <c r="AA5027"/>
      <c r="AC5027"/>
      <c r="AR5027"/>
    </row>
    <row r="5028" spans="24:44">
      <c r="X5028"/>
      <c r="Y5028"/>
      <c r="Z5028"/>
      <c r="AA5028"/>
      <c r="AC5028"/>
      <c r="AR5028"/>
    </row>
    <row r="5029" spans="24:44">
      <c r="X5029"/>
      <c r="Y5029"/>
      <c r="Z5029"/>
      <c r="AA5029"/>
      <c r="AC5029"/>
      <c r="AR5029"/>
    </row>
    <row r="5030" spans="24:44">
      <c r="X5030"/>
      <c r="Y5030"/>
      <c r="Z5030"/>
      <c r="AA5030"/>
      <c r="AC5030"/>
      <c r="AR5030"/>
    </row>
    <row r="5031" spans="24:44">
      <c r="X5031"/>
      <c r="Y5031"/>
      <c r="Z5031"/>
      <c r="AA5031"/>
      <c r="AC5031"/>
      <c r="AR5031"/>
    </row>
    <row r="5032" spans="24:44">
      <c r="X5032"/>
      <c r="Y5032"/>
      <c r="Z5032"/>
      <c r="AA5032"/>
      <c r="AC5032"/>
      <c r="AR5032"/>
    </row>
    <row r="5033" spans="24:44">
      <c r="X5033"/>
      <c r="Y5033"/>
      <c r="Z5033"/>
      <c r="AA5033"/>
      <c r="AC5033"/>
      <c r="AR5033"/>
    </row>
    <row r="5034" spans="24:44">
      <c r="X5034"/>
      <c r="Y5034"/>
      <c r="Z5034"/>
      <c r="AA5034"/>
      <c r="AC5034"/>
      <c r="AR5034"/>
    </row>
    <row r="5035" spans="24:44">
      <c r="X5035"/>
      <c r="Y5035"/>
      <c r="Z5035"/>
      <c r="AA5035"/>
      <c r="AC5035"/>
      <c r="AR5035"/>
    </row>
    <row r="5036" spans="24:44">
      <c r="X5036"/>
      <c r="Y5036"/>
      <c r="Z5036"/>
      <c r="AA5036"/>
      <c r="AC5036"/>
      <c r="AR5036"/>
    </row>
    <row r="5037" spans="24:44">
      <c r="X5037"/>
      <c r="Y5037"/>
      <c r="Z5037"/>
      <c r="AA5037"/>
      <c r="AC5037"/>
      <c r="AR5037"/>
    </row>
    <row r="5038" spans="24:44">
      <c r="X5038"/>
      <c r="Y5038"/>
      <c r="Z5038"/>
      <c r="AA5038"/>
      <c r="AC5038"/>
      <c r="AR5038"/>
    </row>
    <row r="5039" spans="24:44">
      <c r="X5039"/>
      <c r="Y5039"/>
      <c r="Z5039"/>
      <c r="AA5039"/>
      <c r="AC5039"/>
      <c r="AR5039"/>
    </row>
    <row r="5040" spans="24:44">
      <c r="X5040"/>
      <c r="Y5040"/>
      <c r="Z5040"/>
      <c r="AA5040"/>
      <c r="AC5040"/>
      <c r="AR5040"/>
    </row>
    <row r="5041" spans="24:44">
      <c r="X5041"/>
      <c r="Y5041"/>
      <c r="Z5041"/>
      <c r="AA5041"/>
      <c r="AC5041"/>
      <c r="AR5041"/>
    </row>
    <row r="5042" spans="24:44">
      <c r="X5042"/>
      <c r="Y5042"/>
      <c r="Z5042"/>
      <c r="AA5042"/>
      <c r="AC5042"/>
      <c r="AR5042"/>
    </row>
    <row r="5043" spans="24:44">
      <c r="X5043"/>
      <c r="Y5043"/>
      <c r="Z5043"/>
      <c r="AA5043"/>
      <c r="AC5043"/>
      <c r="AR5043"/>
    </row>
    <row r="5044" spans="24:44">
      <c r="X5044"/>
      <c r="Y5044"/>
      <c r="Z5044"/>
      <c r="AA5044"/>
      <c r="AC5044"/>
      <c r="AR5044"/>
    </row>
    <row r="5045" spans="24:44">
      <c r="X5045"/>
      <c r="Y5045"/>
      <c r="Z5045"/>
      <c r="AA5045"/>
      <c r="AC5045"/>
      <c r="AR5045"/>
    </row>
    <row r="5046" spans="24:44">
      <c r="X5046"/>
      <c r="Y5046"/>
      <c r="Z5046"/>
      <c r="AA5046"/>
      <c r="AC5046"/>
      <c r="AR5046"/>
    </row>
    <row r="5047" spans="24:44">
      <c r="X5047"/>
      <c r="Y5047"/>
      <c r="Z5047"/>
      <c r="AA5047"/>
      <c r="AC5047"/>
      <c r="AR5047"/>
    </row>
    <row r="5048" spans="24:44">
      <c r="X5048"/>
      <c r="Y5048"/>
      <c r="Z5048"/>
      <c r="AA5048"/>
      <c r="AC5048"/>
      <c r="AR5048"/>
    </row>
    <row r="5049" spans="24:44">
      <c r="X5049"/>
      <c r="Y5049"/>
      <c r="Z5049"/>
      <c r="AA5049"/>
      <c r="AC5049"/>
      <c r="AR5049"/>
    </row>
    <row r="5050" spans="24:44">
      <c r="X5050"/>
      <c r="Y5050"/>
      <c r="Z5050"/>
      <c r="AA5050"/>
      <c r="AC5050"/>
      <c r="AR5050"/>
    </row>
    <row r="5051" spans="24:44">
      <c r="X5051"/>
      <c r="Y5051"/>
      <c r="Z5051"/>
      <c r="AA5051"/>
      <c r="AC5051"/>
      <c r="AR5051"/>
    </row>
    <row r="5052" spans="24:44">
      <c r="X5052"/>
      <c r="Y5052"/>
      <c r="Z5052"/>
      <c r="AA5052"/>
      <c r="AC5052"/>
      <c r="AR5052"/>
    </row>
    <row r="5053" spans="24:44">
      <c r="X5053"/>
      <c r="Y5053"/>
      <c r="Z5053"/>
      <c r="AA5053"/>
      <c r="AC5053"/>
      <c r="AR5053"/>
    </row>
    <row r="5054" spans="24:44">
      <c r="X5054"/>
      <c r="Y5054"/>
      <c r="Z5054"/>
      <c r="AA5054"/>
      <c r="AC5054"/>
      <c r="AR5054"/>
    </row>
    <row r="5055" spans="24:44">
      <c r="X5055"/>
      <c r="Y5055"/>
      <c r="Z5055"/>
      <c r="AA5055"/>
      <c r="AC5055"/>
      <c r="AR5055"/>
    </row>
    <row r="5056" spans="24:44">
      <c r="X5056"/>
      <c r="Y5056"/>
      <c r="Z5056"/>
      <c r="AA5056"/>
      <c r="AC5056"/>
      <c r="AR5056"/>
    </row>
    <row r="5057" spans="24:44">
      <c r="X5057"/>
      <c r="Y5057"/>
      <c r="Z5057"/>
      <c r="AA5057"/>
      <c r="AC5057"/>
      <c r="AR5057"/>
    </row>
    <row r="5058" spans="24:44">
      <c r="X5058"/>
      <c r="Y5058"/>
      <c r="Z5058"/>
      <c r="AA5058"/>
      <c r="AC5058"/>
      <c r="AR5058"/>
    </row>
    <row r="5059" spans="24:44">
      <c r="X5059"/>
      <c r="Y5059"/>
      <c r="Z5059"/>
      <c r="AA5059"/>
      <c r="AC5059"/>
      <c r="AR5059"/>
    </row>
    <row r="5060" spans="24:44">
      <c r="X5060"/>
      <c r="Y5060"/>
      <c r="Z5060"/>
      <c r="AA5060"/>
      <c r="AC5060"/>
      <c r="AR5060"/>
    </row>
    <row r="5061" spans="24:44">
      <c r="X5061"/>
      <c r="Y5061"/>
      <c r="Z5061"/>
      <c r="AA5061"/>
      <c r="AC5061"/>
      <c r="AR5061"/>
    </row>
    <row r="5062" spans="24:44">
      <c r="X5062"/>
      <c r="Y5062"/>
      <c r="Z5062"/>
      <c r="AA5062"/>
      <c r="AC5062"/>
      <c r="AR5062"/>
    </row>
    <row r="5063" spans="24:44">
      <c r="X5063"/>
      <c r="Y5063"/>
      <c r="Z5063"/>
      <c r="AA5063"/>
      <c r="AC5063"/>
      <c r="AR5063"/>
    </row>
    <row r="5064" spans="24:44">
      <c r="X5064"/>
      <c r="Y5064"/>
      <c r="Z5064"/>
      <c r="AA5064"/>
      <c r="AC5064"/>
      <c r="AR5064"/>
    </row>
    <row r="5065" spans="24:44">
      <c r="X5065"/>
      <c r="Y5065"/>
      <c r="Z5065"/>
      <c r="AA5065"/>
      <c r="AC5065"/>
      <c r="AR5065"/>
    </row>
    <row r="5066" spans="24:44">
      <c r="X5066"/>
      <c r="Y5066"/>
      <c r="Z5066"/>
      <c r="AA5066"/>
      <c r="AC5066"/>
      <c r="AR5066"/>
    </row>
    <row r="5067" spans="24:44">
      <c r="X5067"/>
      <c r="Y5067"/>
      <c r="Z5067"/>
      <c r="AA5067"/>
      <c r="AC5067"/>
      <c r="AR5067"/>
    </row>
    <row r="5068" spans="24:44">
      <c r="X5068"/>
      <c r="Y5068"/>
      <c r="Z5068"/>
      <c r="AA5068"/>
      <c r="AC5068"/>
      <c r="AR5068"/>
    </row>
    <row r="5069" spans="24:44">
      <c r="X5069"/>
      <c r="Y5069"/>
      <c r="Z5069"/>
      <c r="AA5069"/>
      <c r="AC5069"/>
      <c r="AR5069"/>
    </row>
    <row r="5070" spans="24:44">
      <c r="X5070"/>
      <c r="Y5070"/>
      <c r="Z5070"/>
      <c r="AA5070"/>
      <c r="AC5070"/>
      <c r="AR5070"/>
    </row>
    <row r="5071" spans="24:44">
      <c r="X5071"/>
      <c r="Y5071"/>
      <c r="Z5071"/>
      <c r="AA5071"/>
      <c r="AC5071"/>
      <c r="AR5071"/>
    </row>
    <row r="5072" spans="24:44">
      <c r="X5072"/>
      <c r="Y5072"/>
      <c r="Z5072"/>
      <c r="AA5072"/>
      <c r="AC5072"/>
      <c r="AR5072"/>
    </row>
    <row r="5073" spans="24:44">
      <c r="X5073"/>
      <c r="Y5073"/>
      <c r="Z5073"/>
      <c r="AA5073"/>
      <c r="AC5073"/>
      <c r="AR5073"/>
    </row>
    <row r="5074" spans="24:44">
      <c r="X5074"/>
      <c r="Y5074"/>
      <c r="Z5074"/>
      <c r="AA5074"/>
      <c r="AC5074"/>
      <c r="AR5074"/>
    </row>
    <row r="5075" spans="24:44">
      <c r="X5075"/>
      <c r="Y5075"/>
      <c r="Z5075"/>
      <c r="AA5075"/>
      <c r="AC5075"/>
      <c r="AR5075"/>
    </row>
    <row r="5076" spans="24:44">
      <c r="X5076"/>
      <c r="Y5076"/>
      <c r="Z5076"/>
      <c r="AA5076"/>
      <c r="AC5076"/>
      <c r="AR5076"/>
    </row>
    <row r="5077" spans="24:44">
      <c r="X5077"/>
      <c r="Y5077"/>
      <c r="Z5077"/>
      <c r="AA5077"/>
      <c r="AC5077"/>
      <c r="AR5077"/>
    </row>
    <row r="5078" spans="24:44">
      <c r="X5078"/>
      <c r="Y5078"/>
      <c r="Z5078"/>
      <c r="AA5078"/>
      <c r="AC5078"/>
      <c r="AR5078"/>
    </row>
    <row r="5079" spans="24:44">
      <c r="X5079"/>
      <c r="Y5079"/>
      <c r="Z5079"/>
      <c r="AA5079"/>
      <c r="AC5079"/>
      <c r="AR5079"/>
    </row>
    <row r="5080" spans="24:44">
      <c r="X5080"/>
      <c r="Y5080"/>
      <c r="Z5080"/>
      <c r="AA5080"/>
      <c r="AC5080"/>
      <c r="AR5080"/>
    </row>
    <row r="5081" spans="24:44">
      <c r="X5081"/>
      <c r="Y5081"/>
      <c r="Z5081"/>
      <c r="AA5081"/>
      <c r="AC5081"/>
      <c r="AR5081"/>
    </row>
    <row r="5082" spans="24:44">
      <c r="X5082"/>
      <c r="Y5082"/>
      <c r="Z5082"/>
      <c r="AA5082"/>
      <c r="AC5082"/>
      <c r="AR5082"/>
    </row>
    <row r="5083" spans="24:44">
      <c r="X5083"/>
      <c r="Y5083"/>
      <c r="Z5083"/>
      <c r="AA5083"/>
      <c r="AC5083"/>
      <c r="AR5083"/>
    </row>
    <row r="5084" spans="24:44">
      <c r="X5084"/>
      <c r="Y5084"/>
      <c r="Z5084"/>
      <c r="AA5084"/>
      <c r="AC5084"/>
      <c r="AR5084"/>
    </row>
    <row r="5085" spans="24:44">
      <c r="X5085"/>
      <c r="Y5085"/>
      <c r="Z5085"/>
      <c r="AA5085"/>
      <c r="AC5085"/>
      <c r="AR5085"/>
    </row>
    <row r="5086" spans="24:44">
      <c r="X5086"/>
      <c r="Y5086"/>
      <c r="Z5086"/>
      <c r="AA5086"/>
      <c r="AC5086"/>
      <c r="AR5086"/>
    </row>
    <row r="5087" spans="24:44">
      <c r="X5087"/>
      <c r="Y5087"/>
      <c r="Z5087"/>
      <c r="AA5087"/>
      <c r="AC5087"/>
      <c r="AR5087"/>
    </row>
    <row r="5088" spans="24:44">
      <c r="X5088"/>
      <c r="Y5088"/>
      <c r="Z5088"/>
      <c r="AA5088"/>
      <c r="AC5088"/>
      <c r="AR5088"/>
    </row>
    <row r="5089" spans="24:44">
      <c r="X5089"/>
      <c r="Y5089"/>
      <c r="Z5089"/>
      <c r="AA5089"/>
      <c r="AC5089"/>
      <c r="AR5089"/>
    </row>
    <row r="5090" spans="24:44">
      <c r="X5090"/>
      <c r="Y5090"/>
      <c r="Z5090"/>
      <c r="AA5090"/>
      <c r="AC5090"/>
      <c r="AR5090"/>
    </row>
    <row r="5091" spans="24:44">
      <c r="X5091"/>
      <c r="Y5091"/>
      <c r="Z5091"/>
      <c r="AA5091"/>
      <c r="AC5091"/>
      <c r="AR5091"/>
    </row>
    <row r="5092" spans="24:44">
      <c r="X5092"/>
      <c r="Y5092"/>
      <c r="Z5092"/>
      <c r="AA5092"/>
      <c r="AC5092"/>
      <c r="AR5092"/>
    </row>
    <row r="5093" spans="24:44">
      <c r="X5093"/>
      <c r="Y5093"/>
      <c r="Z5093"/>
      <c r="AA5093"/>
      <c r="AC5093"/>
      <c r="AR5093"/>
    </row>
    <row r="5094" spans="24:44">
      <c r="X5094"/>
      <c r="Y5094"/>
      <c r="Z5094"/>
      <c r="AA5094"/>
      <c r="AC5094"/>
      <c r="AR5094"/>
    </row>
    <row r="5095" spans="24:44">
      <c r="X5095"/>
      <c r="Y5095"/>
      <c r="Z5095"/>
      <c r="AA5095"/>
      <c r="AC5095"/>
      <c r="AR5095"/>
    </row>
    <row r="5096" spans="24:44">
      <c r="X5096"/>
      <c r="Y5096"/>
      <c r="Z5096"/>
      <c r="AA5096"/>
      <c r="AC5096"/>
      <c r="AR5096"/>
    </row>
    <row r="5097" spans="24:44">
      <c r="X5097"/>
      <c r="Y5097"/>
      <c r="Z5097"/>
      <c r="AA5097"/>
      <c r="AC5097"/>
      <c r="AR5097"/>
    </row>
    <row r="5098" spans="24:44">
      <c r="X5098"/>
      <c r="Y5098"/>
      <c r="Z5098"/>
      <c r="AA5098"/>
      <c r="AC5098"/>
      <c r="AR5098"/>
    </row>
    <row r="5099" spans="24:44">
      <c r="X5099"/>
      <c r="Y5099"/>
      <c r="Z5099"/>
      <c r="AA5099"/>
      <c r="AC5099"/>
      <c r="AR5099"/>
    </row>
    <row r="5100" spans="24:44">
      <c r="X5100"/>
      <c r="Y5100"/>
      <c r="Z5100"/>
      <c r="AA5100"/>
      <c r="AC5100"/>
      <c r="AR5100"/>
    </row>
    <row r="5101" spans="24:44">
      <c r="X5101"/>
      <c r="Y5101"/>
      <c r="Z5101"/>
      <c r="AA5101"/>
      <c r="AC5101"/>
      <c r="AR5101"/>
    </row>
    <row r="5102" spans="24:44">
      <c r="X5102"/>
      <c r="Y5102"/>
      <c r="Z5102"/>
      <c r="AA5102"/>
      <c r="AC5102"/>
      <c r="AR5102"/>
    </row>
    <row r="5103" spans="24:44">
      <c r="X5103"/>
      <c r="Y5103"/>
      <c r="Z5103"/>
      <c r="AA5103"/>
      <c r="AC5103"/>
      <c r="AR5103"/>
    </row>
    <row r="5104" spans="24:44">
      <c r="X5104"/>
      <c r="Y5104"/>
      <c r="Z5104"/>
      <c r="AA5104"/>
      <c r="AC5104"/>
      <c r="AR5104"/>
    </row>
    <row r="5105" spans="24:44">
      <c r="X5105"/>
      <c r="Y5105"/>
      <c r="Z5105"/>
      <c r="AA5105"/>
      <c r="AC5105"/>
      <c r="AR5105"/>
    </row>
    <row r="5106" spans="24:44">
      <c r="X5106"/>
      <c r="Y5106"/>
      <c r="Z5106"/>
      <c r="AA5106"/>
      <c r="AC5106"/>
      <c r="AR5106"/>
    </row>
    <row r="5107" spans="24:44">
      <c r="X5107"/>
      <c r="Y5107"/>
      <c r="Z5107"/>
      <c r="AA5107"/>
      <c r="AC5107"/>
      <c r="AR5107"/>
    </row>
    <row r="5108" spans="24:44">
      <c r="X5108"/>
      <c r="Y5108"/>
      <c r="Z5108"/>
      <c r="AA5108"/>
      <c r="AC5108"/>
      <c r="AR5108"/>
    </row>
    <row r="5109" spans="24:44">
      <c r="X5109"/>
      <c r="Y5109"/>
      <c r="Z5109"/>
      <c r="AA5109"/>
      <c r="AC5109"/>
      <c r="AR5109"/>
    </row>
    <row r="5110" spans="24:44">
      <c r="X5110"/>
      <c r="Y5110"/>
      <c r="Z5110"/>
      <c r="AA5110"/>
      <c r="AC5110"/>
      <c r="AR5110"/>
    </row>
    <row r="5111" spans="24:44">
      <c r="X5111"/>
      <c r="Y5111"/>
      <c r="Z5111"/>
      <c r="AA5111"/>
      <c r="AC5111"/>
      <c r="AR5111"/>
    </row>
    <row r="5112" spans="24:44">
      <c r="X5112"/>
      <c r="Y5112"/>
      <c r="Z5112"/>
      <c r="AA5112"/>
      <c r="AC5112"/>
      <c r="AR5112"/>
    </row>
    <row r="5113" spans="24:44">
      <c r="X5113"/>
      <c r="Y5113"/>
      <c r="Z5113"/>
      <c r="AA5113"/>
      <c r="AC5113"/>
      <c r="AR5113"/>
    </row>
    <row r="5114" spans="24:44">
      <c r="X5114"/>
      <c r="Y5114"/>
      <c r="Z5114"/>
      <c r="AA5114"/>
      <c r="AC5114"/>
      <c r="AR5114"/>
    </row>
    <row r="5115" spans="24:44">
      <c r="X5115"/>
      <c r="Y5115"/>
      <c r="Z5115"/>
      <c r="AA5115"/>
      <c r="AC5115"/>
      <c r="AR5115"/>
    </row>
    <row r="5116" spans="24:44">
      <c r="X5116"/>
      <c r="Y5116"/>
      <c r="Z5116"/>
      <c r="AA5116"/>
      <c r="AC5116"/>
      <c r="AR5116"/>
    </row>
    <row r="5117" spans="24:44">
      <c r="X5117"/>
      <c r="Y5117"/>
      <c r="Z5117"/>
      <c r="AA5117"/>
      <c r="AC5117"/>
      <c r="AR5117"/>
    </row>
    <row r="5118" spans="24:44">
      <c r="X5118"/>
      <c r="Y5118"/>
      <c r="Z5118"/>
      <c r="AA5118"/>
      <c r="AC5118"/>
      <c r="AR5118"/>
    </row>
    <row r="5119" spans="24:44">
      <c r="X5119"/>
      <c r="Y5119"/>
      <c r="Z5119"/>
      <c r="AA5119"/>
      <c r="AC5119"/>
      <c r="AR5119"/>
    </row>
    <row r="5120" spans="24:44">
      <c r="X5120"/>
      <c r="Y5120"/>
      <c r="Z5120"/>
      <c r="AA5120"/>
      <c r="AC5120"/>
      <c r="AR5120"/>
    </row>
    <row r="5121" spans="24:44">
      <c r="X5121"/>
      <c r="Y5121"/>
      <c r="Z5121"/>
      <c r="AA5121"/>
      <c r="AC5121"/>
      <c r="AR5121"/>
    </row>
    <row r="5122" spans="24:44">
      <c r="X5122"/>
      <c r="Y5122"/>
      <c r="Z5122"/>
      <c r="AA5122"/>
      <c r="AC5122"/>
      <c r="AR5122"/>
    </row>
    <row r="5123" spans="24:44">
      <c r="X5123"/>
      <c r="Y5123"/>
      <c r="Z5123"/>
      <c r="AA5123"/>
      <c r="AC5123"/>
      <c r="AR5123"/>
    </row>
    <row r="5124" spans="24:44">
      <c r="X5124"/>
      <c r="Y5124"/>
      <c r="Z5124"/>
      <c r="AA5124"/>
      <c r="AC5124"/>
      <c r="AR5124"/>
    </row>
    <row r="5125" spans="24:44">
      <c r="X5125"/>
      <c r="Y5125"/>
      <c r="Z5125"/>
      <c r="AA5125"/>
      <c r="AC5125"/>
      <c r="AR5125"/>
    </row>
    <row r="5126" spans="24:44">
      <c r="X5126"/>
      <c r="Y5126"/>
      <c r="Z5126"/>
      <c r="AA5126"/>
      <c r="AC5126"/>
      <c r="AR5126"/>
    </row>
    <row r="5127" spans="24:44">
      <c r="X5127"/>
      <c r="Y5127"/>
      <c r="Z5127"/>
      <c r="AA5127"/>
      <c r="AC5127"/>
      <c r="AR5127"/>
    </row>
    <row r="5128" spans="24:44">
      <c r="X5128"/>
      <c r="Y5128"/>
      <c r="Z5128"/>
      <c r="AA5128"/>
      <c r="AC5128"/>
      <c r="AR5128"/>
    </row>
    <row r="5129" spans="24:44">
      <c r="X5129"/>
      <c r="Y5129"/>
      <c r="Z5129"/>
      <c r="AA5129"/>
      <c r="AC5129"/>
      <c r="AR5129"/>
    </row>
    <row r="5130" spans="24:44">
      <c r="X5130"/>
      <c r="Y5130"/>
      <c r="Z5130"/>
      <c r="AA5130"/>
      <c r="AC5130"/>
      <c r="AR5130"/>
    </row>
    <row r="5131" spans="24:44">
      <c r="X5131"/>
      <c r="Y5131"/>
      <c r="Z5131"/>
      <c r="AA5131"/>
      <c r="AC5131"/>
      <c r="AR5131"/>
    </row>
    <row r="5132" spans="24:44">
      <c r="X5132"/>
      <c r="Y5132"/>
      <c r="Z5132"/>
      <c r="AA5132"/>
      <c r="AC5132"/>
      <c r="AR5132"/>
    </row>
    <row r="5133" spans="24:44">
      <c r="X5133"/>
      <c r="Y5133"/>
      <c r="Z5133"/>
      <c r="AA5133"/>
      <c r="AC5133"/>
      <c r="AR5133"/>
    </row>
    <row r="5134" spans="24:44">
      <c r="X5134"/>
      <c r="Y5134"/>
      <c r="Z5134"/>
      <c r="AA5134"/>
      <c r="AC5134"/>
      <c r="AR5134"/>
    </row>
    <row r="5135" spans="24:44">
      <c r="X5135"/>
      <c r="Y5135"/>
      <c r="Z5135"/>
      <c r="AA5135"/>
      <c r="AC5135"/>
      <c r="AR5135"/>
    </row>
    <row r="5136" spans="24:44">
      <c r="X5136"/>
      <c r="Y5136"/>
      <c r="Z5136"/>
      <c r="AA5136"/>
      <c r="AC5136"/>
      <c r="AR5136"/>
    </row>
    <row r="5137" spans="24:44">
      <c r="X5137"/>
      <c r="Y5137"/>
      <c r="Z5137"/>
      <c r="AA5137"/>
      <c r="AC5137"/>
      <c r="AR5137"/>
    </row>
    <row r="5138" spans="24:44">
      <c r="X5138"/>
      <c r="Y5138"/>
      <c r="Z5138"/>
      <c r="AA5138"/>
      <c r="AC5138"/>
      <c r="AR5138"/>
    </row>
    <row r="5139" spans="24:44">
      <c r="X5139"/>
      <c r="Y5139"/>
      <c r="Z5139"/>
      <c r="AA5139"/>
      <c r="AC5139"/>
      <c r="AR5139"/>
    </row>
    <row r="5140" spans="24:44">
      <c r="X5140"/>
      <c r="Y5140"/>
      <c r="Z5140"/>
      <c r="AA5140"/>
      <c r="AC5140"/>
      <c r="AR5140"/>
    </row>
    <row r="5141" spans="24:44">
      <c r="X5141"/>
      <c r="Y5141"/>
      <c r="Z5141"/>
      <c r="AA5141"/>
      <c r="AC5141"/>
      <c r="AR5141"/>
    </row>
    <row r="5142" spans="24:44">
      <c r="X5142"/>
      <c r="Y5142"/>
      <c r="Z5142"/>
      <c r="AA5142"/>
      <c r="AC5142"/>
      <c r="AR5142"/>
    </row>
    <row r="5143" spans="24:44">
      <c r="X5143"/>
      <c r="Y5143"/>
      <c r="Z5143"/>
      <c r="AA5143"/>
      <c r="AC5143"/>
      <c r="AR5143"/>
    </row>
    <row r="5144" spans="24:44">
      <c r="X5144"/>
      <c r="Y5144"/>
      <c r="Z5144"/>
      <c r="AA5144"/>
      <c r="AC5144"/>
      <c r="AR5144"/>
    </row>
    <row r="5145" spans="24:44">
      <c r="X5145"/>
      <c r="Y5145"/>
      <c r="Z5145"/>
      <c r="AA5145"/>
      <c r="AC5145"/>
      <c r="AR5145"/>
    </row>
    <row r="5146" spans="24:44">
      <c r="X5146"/>
      <c r="Y5146"/>
      <c r="Z5146"/>
      <c r="AA5146"/>
      <c r="AC5146"/>
      <c r="AR5146"/>
    </row>
    <row r="5147" spans="24:44">
      <c r="X5147"/>
      <c r="Y5147"/>
      <c r="Z5147"/>
      <c r="AA5147"/>
      <c r="AC5147"/>
      <c r="AR5147"/>
    </row>
    <row r="5148" spans="24:44">
      <c r="X5148"/>
      <c r="Y5148"/>
      <c r="Z5148"/>
      <c r="AA5148"/>
      <c r="AC5148"/>
      <c r="AR5148"/>
    </row>
    <row r="5149" spans="24:44">
      <c r="X5149"/>
      <c r="Y5149"/>
      <c r="Z5149"/>
      <c r="AA5149"/>
      <c r="AC5149"/>
      <c r="AR5149"/>
    </row>
    <row r="5150" spans="24:44">
      <c r="X5150"/>
      <c r="Y5150"/>
      <c r="Z5150"/>
      <c r="AA5150"/>
      <c r="AC5150"/>
      <c r="AR5150"/>
    </row>
    <row r="5151" spans="24:44">
      <c r="X5151"/>
      <c r="Y5151"/>
      <c r="Z5151"/>
      <c r="AA5151"/>
      <c r="AC5151"/>
      <c r="AR5151"/>
    </row>
    <row r="5152" spans="24:44">
      <c r="X5152"/>
      <c r="Y5152"/>
      <c r="Z5152"/>
      <c r="AA5152"/>
      <c r="AC5152"/>
      <c r="AR5152"/>
    </row>
    <row r="5153" spans="24:44">
      <c r="X5153"/>
      <c r="Y5153"/>
      <c r="Z5153"/>
      <c r="AA5153"/>
      <c r="AC5153"/>
      <c r="AR5153"/>
    </row>
    <row r="5154" spans="24:44">
      <c r="X5154"/>
      <c r="Y5154"/>
      <c r="Z5154"/>
      <c r="AA5154"/>
      <c r="AC5154"/>
      <c r="AR5154"/>
    </row>
    <row r="5155" spans="24:44">
      <c r="X5155"/>
      <c r="Y5155"/>
      <c r="Z5155"/>
      <c r="AA5155"/>
      <c r="AC5155"/>
      <c r="AR5155"/>
    </row>
    <row r="5156" spans="24:44">
      <c r="X5156"/>
      <c r="Y5156"/>
      <c r="Z5156"/>
      <c r="AA5156"/>
      <c r="AC5156"/>
      <c r="AR5156"/>
    </row>
    <row r="5157" spans="24:44">
      <c r="X5157"/>
      <c r="Y5157"/>
      <c r="Z5157"/>
      <c r="AA5157"/>
      <c r="AC5157"/>
      <c r="AR5157"/>
    </row>
    <row r="5158" spans="24:44">
      <c r="X5158"/>
      <c r="Y5158"/>
      <c r="Z5158"/>
      <c r="AA5158"/>
      <c r="AC5158"/>
      <c r="AR5158"/>
    </row>
    <row r="5159" spans="24:44">
      <c r="X5159"/>
      <c r="Y5159"/>
      <c r="Z5159"/>
      <c r="AA5159"/>
      <c r="AC5159"/>
      <c r="AR5159"/>
    </row>
    <row r="5160" spans="24:44">
      <c r="X5160"/>
      <c r="Y5160"/>
      <c r="Z5160"/>
      <c r="AA5160"/>
      <c r="AC5160"/>
      <c r="AR5160"/>
    </row>
    <row r="5161" spans="24:44">
      <c r="X5161"/>
      <c r="Y5161"/>
      <c r="Z5161"/>
      <c r="AA5161"/>
      <c r="AC5161"/>
      <c r="AR5161"/>
    </row>
    <row r="5162" spans="24:44">
      <c r="X5162"/>
      <c r="Y5162"/>
      <c r="Z5162"/>
      <c r="AA5162"/>
      <c r="AC5162"/>
      <c r="AR5162"/>
    </row>
    <row r="5163" spans="24:44">
      <c r="X5163"/>
      <c r="Y5163"/>
      <c r="Z5163"/>
      <c r="AA5163"/>
      <c r="AC5163"/>
      <c r="AR5163"/>
    </row>
    <row r="5164" spans="24:44">
      <c r="X5164"/>
      <c r="Y5164"/>
      <c r="Z5164"/>
      <c r="AA5164"/>
      <c r="AC5164"/>
      <c r="AR5164"/>
    </row>
    <row r="5165" spans="24:44">
      <c r="X5165"/>
      <c r="Y5165"/>
      <c r="Z5165"/>
      <c r="AA5165"/>
      <c r="AC5165"/>
      <c r="AR5165"/>
    </row>
    <row r="5166" spans="24:44">
      <c r="X5166"/>
      <c r="Y5166"/>
      <c r="Z5166"/>
      <c r="AA5166"/>
      <c r="AC5166"/>
      <c r="AR5166"/>
    </row>
    <row r="5167" spans="24:44">
      <c r="X5167"/>
      <c r="Y5167"/>
      <c r="Z5167"/>
      <c r="AA5167"/>
      <c r="AC5167"/>
      <c r="AR5167"/>
    </row>
    <row r="5168" spans="24:44">
      <c r="X5168"/>
      <c r="Y5168"/>
      <c r="Z5168"/>
      <c r="AA5168"/>
      <c r="AC5168"/>
      <c r="AR5168"/>
    </row>
    <row r="5169" spans="24:44">
      <c r="X5169"/>
      <c r="Y5169"/>
      <c r="Z5169"/>
      <c r="AA5169"/>
      <c r="AC5169"/>
      <c r="AR5169"/>
    </row>
    <row r="5170" spans="24:44">
      <c r="X5170"/>
      <c r="Y5170"/>
      <c r="Z5170"/>
      <c r="AA5170"/>
      <c r="AC5170"/>
      <c r="AR5170"/>
    </row>
    <row r="5171" spans="24:44">
      <c r="X5171"/>
      <c r="Y5171"/>
      <c r="Z5171"/>
      <c r="AA5171"/>
      <c r="AC5171"/>
      <c r="AR5171"/>
    </row>
    <row r="5172" spans="24:44">
      <c r="X5172"/>
      <c r="Y5172"/>
      <c r="Z5172"/>
      <c r="AA5172"/>
      <c r="AC5172"/>
      <c r="AR5172"/>
    </row>
    <row r="5173" spans="24:44">
      <c r="X5173"/>
      <c r="Y5173"/>
      <c r="Z5173"/>
      <c r="AA5173"/>
      <c r="AC5173"/>
      <c r="AR5173"/>
    </row>
    <row r="5174" spans="24:44">
      <c r="X5174"/>
      <c r="Y5174"/>
      <c r="Z5174"/>
      <c r="AA5174"/>
      <c r="AC5174"/>
      <c r="AR5174"/>
    </row>
    <row r="5175" spans="24:44">
      <c r="X5175"/>
      <c r="Y5175"/>
      <c r="Z5175"/>
      <c r="AA5175"/>
      <c r="AC5175"/>
      <c r="AR5175"/>
    </row>
    <row r="5176" spans="24:44">
      <c r="X5176"/>
      <c r="Y5176"/>
      <c r="Z5176"/>
      <c r="AA5176"/>
      <c r="AC5176"/>
      <c r="AR5176"/>
    </row>
    <row r="5177" spans="24:44">
      <c r="X5177"/>
      <c r="Y5177"/>
      <c r="Z5177"/>
      <c r="AA5177"/>
      <c r="AC5177"/>
      <c r="AR5177"/>
    </row>
    <row r="5178" spans="24:44">
      <c r="X5178"/>
      <c r="Y5178"/>
      <c r="Z5178"/>
      <c r="AA5178"/>
      <c r="AC5178"/>
      <c r="AR5178"/>
    </row>
    <row r="5179" spans="24:44">
      <c r="X5179"/>
      <c r="Y5179"/>
      <c r="Z5179"/>
      <c r="AA5179"/>
      <c r="AC5179"/>
      <c r="AR5179"/>
    </row>
    <row r="5180" spans="24:44">
      <c r="X5180"/>
      <c r="Y5180"/>
      <c r="Z5180"/>
      <c r="AA5180"/>
      <c r="AC5180"/>
      <c r="AR5180"/>
    </row>
    <row r="5181" spans="24:44">
      <c r="X5181"/>
      <c r="Y5181"/>
      <c r="Z5181"/>
      <c r="AA5181"/>
      <c r="AC5181"/>
      <c r="AR5181"/>
    </row>
    <row r="5182" spans="24:44">
      <c r="X5182"/>
      <c r="Y5182"/>
      <c r="Z5182"/>
      <c r="AA5182"/>
      <c r="AC5182"/>
      <c r="AR5182"/>
    </row>
    <row r="5183" spans="24:44">
      <c r="X5183"/>
      <c r="Y5183"/>
      <c r="Z5183"/>
      <c r="AA5183"/>
      <c r="AC5183"/>
      <c r="AR5183"/>
    </row>
    <row r="5184" spans="24:44">
      <c r="X5184"/>
      <c r="Y5184"/>
      <c r="Z5184"/>
      <c r="AA5184"/>
      <c r="AC5184"/>
      <c r="AR5184"/>
    </row>
    <row r="5185" spans="24:44">
      <c r="X5185"/>
      <c r="Y5185"/>
      <c r="Z5185"/>
      <c r="AA5185"/>
      <c r="AC5185"/>
      <c r="AR5185"/>
    </row>
    <row r="5186" spans="24:44">
      <c r="X5186"/>
      <c r="Y5186"/>
      <c r="Z5186"/>
      <c r="AA5186"/>
      <c r="AC5186"/>
      <c r="AR5186"/>
    </row>
    <row r="5187" spans="24:44">
      <c r="X5187"/>
      <c r="Y5187"/>
      <c r="Z5187"/>
      <c r="AA5187"/>
      <c r="AC5187"/>
      <c r="AR5187"/>
    </row>
    <row r="5188" spans="24:44">
      <c r="X5188"/>
      <c r="Y5188"/>
      <c r="Z5188"/>
      <c r="AA5188"/>
      <c r="AC5188"/>
      <c r="AR5188"/>
    </row>
    <row r="5189" spans="24:44">
      <c r="X5189"/>
      <c r="Y5189"/>
      <c r="Z5189"/>
      <c r="AA5189"/>
      <c r="AC5189"/>
      <c r="AR5189"/>
    </row>
    <row r="5190" spans="24:44">
      <c r="X5190"/>
      <c r="Y5190"/>
      <c r="Z5190"/>
      <c r="AA5190"/>
      <c r="AC5190"/>
      <c r="AR5190"/>
    </row>
    <row r="5191" spans="24:44">
      <c r="X5191"/>
      <c r="Y5191"/>
      <c r="Z5191"/>
      <c r="AA5191"/>
      <c r="AC5191"/>
      <c r="AR5191"/>
    </row>
    <row r="5192" spans="24:44">
      <c r="X5192"/>
      <c r="Y5192"/>
      <c r="Z5192"/>
      <c r="AA5192"/>
      <c r="AC5192"/>
      <c r="AR5192"/>
    </row>
    <row r="5193" spans="24:44">
      <c r="X5193"/>
      <c r="Y5193"/>
      <c r="Z5193"/>
      <c r="AA5193"/>
      <c r="AC5193"/>
      <c r="AR5193"/>
    </row>
    <row r="5194" spans="24:44">
      <c r="X5194"/>
      <c r="Y5194"/>
      <c r="Z5194"/>
      <c r="AA5194"/>
      <c r="AC5194"/>
      <c r="AR5194"/>
    </row>
    <row r="5195" spans="24:44">
      <c r="X5195"/>
      <c r="Y5195"/>
      <c r="Z5195"/>
      <c r="AA5195"/>
      <c r="AC5195"/>
      <c r="AR5195"/>
    </row>
    <row r="5196" spans="24:44">
      <c r="X5196"/>
      <c r="Y5196"/>
      <c r="Z5196"/>
      <c r="AA5196"/>
      <c r="AC5196"/>
      <c r="AR5196"/>
    </row>
    <row r="5197" spans="24:44">
      <c r="X5197"/>
      <c r="Y5197"/>
      <c r="Z5197"/>
      <c r="AA5197"/>
      <c r="AC5197"/>
      <c r="AR5197"/>
    </row>
    <row r="5198" spans="24:44">
      <c r="X5198"/>
      <c r="Y5198"/>
      <c r="Z5198"/>
      <c r="AA5198"/>
      <c r="AC5198"/>
      <c r="AR5198"/>
    </row>
    <row r="5199" spans="24:44">
      <c r="X5199"/>
      <c r="Y5199"/>
      <c r="Z5199"/>
      <c r="AA5199"/>
      <c r="AC5199"/>
      <c r="AR5199"/>
    </row>
    <row r="5200" spans="24:44">
      <c r="X5200"/>
      <c r="Y5200"/>
      <c r="Z5200"/>
      <c r="AA5200"/>
      <c r="AC5200"/>
      <c r="AR5200"/>
    </row>
    <row r="5201" spans="24:44">
      <c r="X5201"/>
      <c r="Y5201"/>
      <c r="Z5201"/>
      <c r="AA5201"/>
      <c r="AC5201"/>
      <c r="AR5201"/>
    </row>
    <row r="5202" spans="24:44">
      <c r="X5202"/>
      <c r="Y5202"/>
      <c r="Z5202"/>
      <c r="AA5202"/>
      <c r="AC5202"/>
      <c r="AR5202"/>
    </row>
    <row r="5203" spans="24:44">
      <c r="X5203"/>
      <c r="Y5203"/>
      <c r="Z5203"/>
      <c r="AA5203"/>
      <c r="AC5203"/>
      <c r="AR5203"/>
    </row>
    <row r="5204" spans="24:44">
      <c r="X5204"/>
      <c r="Y5204"/>
      <c r="Z5204"/>
      <c r="AA5204"/>
      <c r="AC5204"/>
      <c r="AR5204"/>
    </row>
    <row r="5205" spans="24:44">
      <c r="X5205"/>
      <c r="Y5205"/>
      <c r="Z5205"/>
      <c r="AA5205"/>
      <c r="AC5205"/>
      <c r="AR5205"/>
    </row>
    <row r="5206" spans="24:44">
      <c r="X5206"/>
      <c r="Y5206"/>
      <c r="Z5206"/>
      <c r="AA5206"/>
      <c r="AC5206"/>
      <c r="AR5206"/>
    </row>
    <row r="5207" spans="24:44">
      <c r="X5207"/>
      <c r="Y5207"/>
      <c r="Z5207"/>
      <c r="AA5207"/>
      <c r="AC5207"/>
      <c r="AR5207"/>
    </row>
    <row r="5208" spans="24:44">
      <c r="X5208"/>
      <c r="Y5208"/>
      <c r="Z5208"/>
      <c r="AA5208"/>
      <c r="AC5208"/>
      <c r="AR5208"/>
    </row>
    <row r="5209" spans="24:44">
      <c r="X5209"/>
      <c r="Y5209"/>
      <c r="Z5209"/>
      <c r="AA5209"/>
      <c r="AC5209"/>
      <c r="AR5209"/>
    </row>
    <row r="5210" spans="24:44">
      <c r="X5210"/>
      <c r="Y5210"/>
      <c r="Z5210"/>
      <c r="AA5210"/>
      <c r="AC5210"/>
      <c r="AR5210"/>
    </row>
    <row r="5211" spans="24:44">
      <c r="X5211"/>
      <c r="Y5211"/>
      <c r="Z5211"/>
      <c r="AA5211"/>
      <c r="AC5211"/>
      <c r="AR5211"/>
    </row>
    <row r="5212" spans="24:44">
      <c r="X5212"/>
      <c r="Y5212"/>
      <c r="Z5212"/>
      <c r="AA5212"/>
      <c r="AC5212"/>
      <c r="AR5212"/>
    </row>
    <row r="5213" spans="24:44">
      <c r="X5213"/>
      <c r="Y5213"/>
      <c r="Z5213"/>
      <c r="AA5213"/>
      <c r="AC5213"/>
      <c r="AR5213"/>
    </row>
    <row r="5214" spans="24:44">
      <c r="X5214"/>
      <c r="Y5214"/>
      <c r="Z5214"/>
      <c r="AA5214"/>
      <c r="AC5214"/>
      <c r="AR5214"/>
    </row>
    <row r="5215" spans="24:44">
      <c r="X5215"/>
      <c r="Y5215"/>
      <c r="Z5215"/>
      <c r="AA5215"/>
      <c r="AC5215"/>
      <c r="AR5215"/>
    </row>
    <row r="5216" spans="24:44">
      <c r="X5216"/>
      <c r="Y5216"/>
      <c r="Z5216"/>
      <c r="AA5216"/>
      <c r="AC5216"/>
      <c r="AR5216"/>
    </row>
    <row r="5217" spans="24:44">
      <c r="X5217"/>
      <c r="Y5217"/>
      <c r="Z5217"/>
      <c r="AA5217"/>
      <c r="AC5217"/>
      <c r="AR5217"/>
    </row>
    <row r="5218" spans="24:44">
      <c r="X5218"/>
      <c r="Y5218"/>
      <c r="Z5218"/>
      <c r="AA5218"/>
      <c r="AC5218"/>
      <c r="AR5218"/>
    </row>
    <row r="5219" spans="24:44">
      <c r="X5219"/>
      <c r="Y5219"/>
      <c r="Z5219"/>
      <c r="AA5219"/>
      <c r="AC5219"/>
      <c r="AR5219"/>
    </row>
    <row r="5220" spans="24:44">
      <c r="X5220"/>
      <c r="Y5220"/>
      <c r="Z5220"/>
      <c r="AA5220"/>
      <c r="AC5220"/>
      <c r="AR5220"/>
    </row>
    <row r="5221" spans="24:44">
      <c r="X5221"/>
      <c r="Y5221"/>
      <c r="Z5221"/>
      <c r="AA5221"/>
      <c r="AC5221"/>
      <c r="AR5221"/>
    </row>
    <row r="5222" spans="24:44">
      <c r="X5222"/>
      <c r="Y5222"/>
      <c r="Z5222"/>
      <c r="AA5222"/>
      <c r="AC5222"/>
      <c r="AR5222"/>
    </row>
    <row r="5223" spans="24:44">
      <c r="X5223"/>
      <c r="Y5223"/>
      <c r="Z5223"/>
      <c r="AA5223"/>
      <c r="AC5223"/>
      <c r="AR5223"/>
    </row>
    <row r="5224" spans="24:44">
      <c r="X5224"/>
      <c r="Y5224"/>
      <c r="Z5224"/>
      <c r="AA5224"/>
      <c r="AC5224"/>
      <c r="AR5224"/>
    </row>
    <row r="5225" spans="24:44">
      <c r="X5225"/>
      <c r="Y5225"/>
      <c r="Z5225"/>
      <c r="AA5225"/>
      <c r="AC5225"/>
      <c r="AR5225"/>
    </row>
    <row r="5226" spans="24:44">
      <c r="X5226"/>
      <c r="Y5226"/>
      <c r="Z5226"/>
      <c r="AA5226"/>
      <c r="AC5226"/>
      <c r="AR5226"/>
    </row>
    <row r="5227" spans="24:44">
      <c r="X5227"/>
      <c r="Y5227"/>
      <c r="Z5227"/>
      <c r="AA5227"/>
      <c r="AC5227"/>
      <c r="AR5227"/>
    </row>
    <row r="5228" spans="24:44">
      <c r="X5228"/>
      <c r="Y5228"/>
      <c r="Z5228"/>
      <c r="AA5228"/>
      <c r="AC5228"/>
      <c r="AR5228"/>
    </row>
    <row r="5229" spans="24:44">
      <c r="X5229"/>
      <c r="Y5229"/>
      <c r="Z5229"/>
      <c r="AA5229"/>
      <c r="AC5229"/>
      <c r="AR5229"/>
    </row>
    <row r="5230" spans="24:44">
      <c r="X5230"/>
      <c r="Y5230"/>
      <c r="Z5230"/>
      <c r="AA5230"/>
      <c r="AC5230"/>
      <c r="AR5230"/>
    </row>
    <row r="5231" spans="24:44">
      <c r="X5231"/>
      <c r="Y5231"/>
      <c r="Z5231"/>
      <c r="AA5231"/>
      <c r="AC5231"/>
      <c r="AR5231"/>
    </row>
    <row r="5232" spans="24:44">
      <c r="X5232"/>
      <c r="Y5232"/>
      <c r="Z5232"/>
      <c r="AA5232"/>
      <c r="AC5232"/>
      <c r="AR5232"/>
    </row>
    <row r="5233" spans="24:44">
      <c r="X5233"/>
      <c r="Y5233"/>
      <c r="Z5233"/>
      <c r="AA5233"/>
      <c r="AC5233"/>
      <c r="AR5233"/>
    </row>
    <row r="5234" spans="24:44">
      <c r="X5234"/>
      <c r="Y5234"/>
      <c r="Z5234"/>
      <c r="AA5234"/>
      <c r="AC5234"/>
      <c r="AR5234"/>
    </row>
    <row r="5235" spans="24:44">
      <c r="X5235"/>
      <c r="Y5235"/>
      <c r="Z5235"/>
      <c r="AA5235"/>
      <c r="AC5235"/>
      <c r="AR5235"/>
    </row>
    <row r="5236" spans="24:44">
      <c r="X5236"/>
      <c r="Y5236"/>
      <c r="Z5236"/>
      <c r="AA5236"/>
      <c r="AC5236"/>
      <c r="AR5236"/>
    </row>
    <row r="5237" spans="24:44">
      <c r="X5237"/>
      <c r="Y5237"/>
      <c r="Z5237"/>
      <c r="AA5237"/>
      <c r="AC5237"/>
      <c r="AR5237"/>
    </row>
    <row r="5238" spans="24:44">
      <c r="X5238"/>
      <c r="Y5238"/>
      <c r="Z5238"/>
      <c r="AA5238"/>
      <c r="AC5238"/>
      <c r="AR5238"/>
    </row>
    <row r="5239" spans="24:44">
      <c r="X5239"/>
      <c r="Y5239"/>
      <c r="Z5239"/>
      <c r="AA5239"/>
      <c r="AC5239"/>
      <c r="AR5239"/>
    </row>
    <row r="5240" spans="24:44">
      <c r="X5240"/>
      <c r="Y5240"/>
      <c r="Z5240"/>
      <c r="AA5240"/>
      <c r="AC5240"/>
      <c r="AR5240"/>
    </row>
    <row r="5241" spans="24:44">
      <c r="X5241"/>
      <c r="Y5241"/>
      <c r="Z5241"/>
      <c r="AA5241"/>
      <c r="AC5241"/>
      <c r="AR5241"/>
    </row>
    <row r="5242" spans="24:44">
      <c r="X5242"/>
      <c r="Y5242"/>
      <c r="Z5242"/>
      <c r="AA5242"/>
      <c r="AC5242"/>
      <c r="AR5242"/>
    </row>
    <row r="5243" spans="24:44">
      <c r="X5243"/>
      <c r="Y5243"/>
      <c r="Z5243"/>
      <c r="AA5243"/>
      <c r="AC5243"/>
      <c r="AR5243"/>
    </row>
    <row r="5244" spans="24:44">
      <c r="X5244"/>
      <c r="Y5244"/>
      <c r="Z5244"/>
      <c r="AA5244"/>
      <c r="AC5244"/>
      <c r="AR5244"/>
    </row>
    <row r="5245" spans="24:44">
      <c r="X5245"/>
      <c r="Y5245"/>
      <c r="Z5245"/>
      <c r="AA5245"/>
      <c r="AC5245"/>
      <c r="AR5245"/>
    </row>
    <row r="5246" spans="24:44">
      <c r="X5246"/>
      <c r="Y5246"/>
      <c r="Z5246"/>
      <c r="AA5246"/>
      <c r="AC5246"/>
      <c r="AR5246"/>
    </row>
    <row r="5247" spans="24:44">
      <c r="X5247"/>
      <c r="Y5247"/>
      <c r="Z5247"/>
      <c r="AA5247"/>
      <c r="AC5247"/>
      <c r="AR5247"/>
    </row>
    <row r="5248" spans="24:44">
      <c r="X5248"/>
      <c r="Y5248"/>
      <c r="Z5248"/>
      <c r="AA5248"/>
      <c r="AC5248"/>
      <c r="AR5248"/>
    </row>
    <row r="5249" spans="24:44">
      <c r="X5249"/>
      <c r="Y5249"/>
      <c r="Z5249"/>
      <c r="AA5249"/>
      <c r="AC5249"/>
      <c r="AR5249"/>
    </row>
    <row r="5250" spans="24:44">
      <c r="X5250"/>
      <c r="Y5250"/>
      <c r="Z5250"/>
      <c r="AA5250"/>
      <c r="AC5250"/>
      <c r="AR5250"/>
    </row>
    <row r="5251" spans="24:44">
      <c r="X5251"/>
      <c r="Y5251"/>
      <c r="Z5251"/>
      <c r="AA5251"/>
      <c r="AC5251"/>
      <c r="AR5251"/>
    </row>
    <row r="5252" spans="24:44">
      <c r="X5252"/>
      <c r="Y5252"/>
      <c r="Z5252"/>
      <c r="AA5252"/>
      <c r="AC5252"/>
      <c r="AR5252"/>
    </row>
    <row r="5253" spans="24:44">
      <c r="X5253"/>
      <c r="Y5253"/>
      <c r="Z5253"/>
      <c r="AA5253"/>
      <c r="AC5253"/>
      <c r="AR5253"/>
    </row>
    <row r="5254" spans="24:44">
      <c r="X5254"/>
      <c r="Y5254"/>
      <c r="Z5254"/>
      <c r="AA5254"/>
      <c r="AC5254"/>
      <c r="AR5254"/>
    </row>
    <row r="5255" spans="24:44">
      <c r="X5255"/>
      <c r="Y5255"/>
      <c r="Z5255"/>
      <c r="AA5255"/>
      <c r="AC5255"/>
      <c r="AR5255"/>
    </row>
    <row r="5256" spans="24:44">
      <c r="X5256"/>
      <c r="Y5256"/>
      <c r="Z5256"/>
      <c r="AA5256"/>
      <c r="AC5256"/>
      <c r="AR5256"/>
    </row>
    <row r="5257" spans="24:44">
      <c r="X5257"/>
      <c r="Y5257"/>
      <c r="Z5257"/>
      <c r="AA5257"/>
      <c r="AC5257"/>
      <c r="AR5257"/>
    </row>
    <row r="5258" spans="24:44">
      <c r="X5258"/>
      <c r="Y5258"/>
      <c r="Z5258"/>
      <c r="AA5258"/>
      <c r="AC5258"/>
      <c r="AR5258"/>
    </row>
    <row r="5259" spans="24:44">
      <c r="X5259"/>
      <c r="Y5259"/>
      <c r="Z5259"/>
      <c r="AA5259"/>
      <c r="AC5259"/>
      <c r="AR5259"/>
    </row>
    <row r="5260" spans="24:44">
      <c r="X5260"/>
      <c r="Y5260"/>
      <c r="Z5260"/>
      <c r="AA5260"/>
      <c r="AC5260"/>
      <c r="AR5260"/>
    </row>
    <row r="5261" spans="24:44">
      <c r="X5261"/>
      <c r="Y5261"/>
      <c r="Z5261"/>
      <c r="AA5261"/>
      <c r="AC5261"/>
      <c r="AR5261"/>
    </row>
    <row r="5262" spans="24:44">
      <c r="X5262"/>
      <c r="Y5262"/>
      <c r="Z5262"/>
      <c r="AA5262"/>
      <c r="AC5262"/>
      <c r="AR5262"/>
    </row>
    <row r="5263" spans="24:44">
      <c r="X5263"/>
      <c r="Y5263"/>
      <c r="Z5263"/>
      <c r="AA5263"/>
      <c r="AC5263"/>
      <c r="AR5263"/>
    </row>
    <row r="5264" spans="24:44">
      <c r="X5264"/>
      <c r="Y5264"/>
      <c r="Z5264"/>
      <c r="AA5264"/>
      <c r="AC5264"/>
      <c r="AR5264"/>
    </row>
    <row r="5265" spans="24:44">
      <c r="X5265"/>
      <c r="Y5265"/>
      <c r="Z5265"/>
      <c r="AA5265"/>
      <c r="AC5265"/>
      <c r="AR5265"/>
    </row>
    <row r="5266" spans="24:44">
      <c r="X5266"/>
      <c r="Y5266"/>
      <c r="Z5266"/>
      <c r="AA5266"/>
      <c r="AC5266"/>
      <c r="AR5266"/>
    </row>
    <row r="5267" spans="24:44">
      <c r="X5267"/>
      <c r="Y5267"/>
      <c r="Z5267"/>
      <c r="AA5267"/>
      <c r="AC5267"/>
      <c r="AR5267"/>
    </row>
    <row r="5268" spans="24:44">
      <c r="X5268"/>
      <c r="Y5268"/>
      <c r="Z5268"/>
      <c r="AA5268"/>
      <c r="AC5268"/>
      <c r="AR5268"/>
    </row>
    <row r="5269" spans="24:44">
      <c r="X5269"/>
      <c r="Y5269"/>
      <c r="Z5269"/>
      <c r="AA5269"/>
      <c r="AC5269"/>
      <c r="AR5269"/>
    </row>
    <row r="5270" spans="24:44">
      <c r="X5270"/>
      <c r="Y5270"/>
      <c r="Z5270"/>
      <c r="AA5270"/>
      <c r="AC5270"/>
      <c r="AR5270"/>
    </row>
    <row r="5271" spans="24:44">
      <c r="X5271"/>
      <c r="Y5271"/>
      <c r="Z5271"/>
      <c r="AA5271"/>
      <c r="AC5271"/>
      <c r="AR5271"/>
    </row>
    <row r="5272" spans="24:44">
      <c r="X5272"/>
      <c r="Y5272"/>
      <c r="Z5272"/>
      <c r="AA5272"/>
      <c r="AC5272"/>
      <c r="AR5272"/>
    </row>
    <row r="5273" spans="24:44">
      <c r="X5273"/>
      <c r="Y5273"/>
      <c r="Z5273"/>
      <c r="AA5273"/>
      <c r="AC5273"/>
      <c r="AR5273"/>
    </row>
    <row r="5274" spans="24:44">
      <c r="X5274"/>
      <c r="Y5274"/>
      <c r="Z5274"/>
      <c r="AA5274"/>
      <c r="AC5274"/>
      <c r="AR5274"/>
    </row>
    <row r="5275" spans="24:44">
      <c r="X5275"/>
      <c r="Y5275"/>
      <c r="Z5275"/>
      <c r="AA5275"/>
      <c r="AC5275"/>
      <c r="AR5275"/>
    </row>
    <row r="5276" spans="24:44">
      <c r="X5276"/>
      <c r="Y5276"/>
      <c r="Z5276"/>
      <c r="AA5276"/>
      <c r="AC5276"/>
      <c r="AR5276"/>
    </row>
    <row r="5277" spans="24:44">
      <c r="X5277"/>
      <c r="Y5277"/>
      <c r="Z5277"/>
      <c r="AA5277"/>
      <c r="AC5277"/>
      <c r="AR5277"/>
    </row>
    <row r="5278" spans="24:44">
      <c r="X5278"/>
      <c r="Y5278"/>
      <c r="Z5278"/>
      <c r="AA5278"/>
      <c r="AC5278"/>
      <c r="AR5278"/>
    </row>
    <row r="5279" spans="24:44">
      <c r="X5279"/>
      <c r="Y5279"/>
      <c r="Z5279"/>
      <c r="AA5279"/>
      <c r="AC5279"/>
      <c r="AR5279"/>
    </row>
    <row r="5280" spans="24:44">
      <c r="X5280"/>
      <c r="Y5280"/>
      <c r="Z5280"/>
      <c r="AA5280"/>
      <c r="AC5280"/>
      <c r="AR5280"/>
    </row>
    <row r="5281" spans="24:44">
      <c r="X5281"/>
      <c r="Y5281"/>
      <c r="Z5281"/>
      <c r="AA5281"/>
      <c r="AC5281"/>
      <c r="AR5281"/>
    </row>
    <row r="5282" spans="24:44">
      <c r="X5282"/>
      <c r="Y5282"/>
      <c r="Z5282"/>
      <c r="AA5282"/>
      <c r="AC5282"/>
      <c r="AR5282"/>
    </row>
    <row r="5283" spans="24:44">
      <c r="X5283"/>
      <c r="Y5283"/>
      <c r="Z5283"/>
      <c r="AA5283"/>
      <c r="AC5283"/>
      <c r="AR5283"/>
    </row>
    <row r="5284" spans="24:44">
      <c r="X5284"/>
      <c r="Y5284"/>
      <c r="Z5284"/>
      <c r="AA5284"/>
      <c r="AC5284"/>
      <c r="AR5284"/>
    </row>
    <row r="5285" spans="24:44">
      <c r="X5285"/>
      <c r="Y5285"/>
      <c r="Z5285"/>
      <c r="AA5285"/>
      <c r="AC5285"/>
      <c r="AR5285"/>
    </row>
    <row r="5286" spans="24:44">
      <c r="X5286"/>
      <c r="Y5286"/>
      <c r="Z5286"/>
      <c r="AA5286"/>
      <c r="AC5286"/>
      <c r="AR5286"/>
    </row>
    <row r="5287" spans="24:44">
      <c r="X5287"/>
      <c r="Y5287"/>
      <c r="Z5287"/>
      <c r="AA5287"/>
      <c r="AC5287"/>
      <c r="AR5287"/>
    </row>
    <row r="5288" spans="24:44">
      <c r="X5288"/>
      <c r="Y5288"/>
      <c r="Z5288"/>
      <c r="AA5288"/>
      <c r="AC5288"/>
      <c r="AR5288"/>
    </row>
    <row r="5289" spans="24:44">
      <c r="X5289"/>
      <c r="Y5289"/>
      <c r="Z5289"/>
      <c r="AA5289"/>
      <c r="AC5289"/>
      <c r="AR5289"/>
    </row>
    <row r="5290" spans="24:44">
      <c r="X5290"/>
      <c r="Y5290"/>
      <c r="Z5290"/>
      <c r="AA5290"/>
      <c r="AC5290"/>
      <c r="AR5290"/>
    </row>
    <row r="5291" spans="24:44">
      <c r="X5291"/>
      <c r="Y5291"/>
      <c r="Z5291"/>
      <c r="AA5291"/>
      <c r="AC5291"/>
      <c r="AR5291"/>
    </row>
    <row r="5292" spans="24:44">
      <c r="X5292"/>
      <c r="Y5292"/>
      <c r="Z5292"/>
      <c r="AA5292"/>
      <c r="AC5292"/>
      <c r="AR5292"/>
    </row>
    <row r="5293" spans="24:44">
      <c r="X5293"/>
      <c r="Y5293"/>
      <c r="Z5293"/>
      <c r="AA5293"/>
      <c r="AC5293"/>
      <c r="AR5293"/>
    </row>
    <row r="5294" spans="24:44">
      <c r="X5294"/>
      <c r="Y5294"/>
      <c r="Z5294"/>
      <c r="AA5294"/>
      <c r="AC5294"/>
      <c r="AR5294"/>
    </row>
    <row r="5295" spans="24:44">
      <c r="X5295"/>
      <c r="Y5295"/>
      <c r="Z5295"/>
      <c r="AA5295"/>
      <c r="AC5295"/>
      <c r="AR5295"/>
    </row>
    <row r="5296" spans="24:44">
      <c r="X5296"/>
      <c r="Y5296"/>
      <c r="Z5296"/>
      <c r="AA5296"/>
      <c r="AC5296"/>
      <c r="AR5296"/>
    </row>
    <row r="5297" spans="24:44">
      <c r="X5297"/>
      <c r="Y5297"/>
      <c r="Z5297"/>
      <c r="AA5297"/>
      <c r="AC5297"/>
      <c r="AR5297"/>
    </row>
    <row r="5298" spans="24:44">
      <c r="X5298"/>
      <c r="Y5298"/>
      <c r="Z5298"/>
      <c r="AA5298"/>
      <c r="AC5298"/>
      <c r="AR5298"/>
    </row>
    <row r="5299" spans="24:44">
      <c r="X5299"/>
      <c r="Y5299"/>
      <c r="Z5299"/>
      <c r="AA5299"/>
      <c r="AC5299"/>
      <c r="AR5299"/>
    </row>
    <row r="5300" spans="24:44">
      <c r="X5300"/>
      <c r="Y5300"/>
      <c r="Z5300"/>
      <c r="AA5300"/>
      <c r="AC5300"/>
      <c r="AR5300"/>
    </row>
    <row r="5301" spans="24:44">
      <c r="X5301"/>
      <c r="Y5301"/>
      <c r="Z5301"/>
      <c r="AA5301"/>
      <c r="AC5301"/>
      <c r="AR5301"/>
    </row>
    <row r="5302" spans="24:44">
      <c r="X5302"/>
      <c r="Y5302"/>
      <c r="Z5302"/>
      <c r="AA5302"/>
      <c r="AC5302"/>
      <c r="AR5302"/>
    </row>
    <row r="5303" spans="24:44">
      <c r="X5303"/>
      <c r="Y5303"/>
      <c r="Z5303"/>
      <c r="AA5303"/>
      <c r="AC5303"/>
      <c r="AR5303"/>
    </row>
    <row r="5304" spans="24:44">
      <c r="X5304"/>
      <c r="Y5304"/>
      <c r="Z5304"/>
      <c r="AA5304"/>
      <c r="AC5304"/>
      <c r="AR5304"/>
    </row>
    <row r="5305" spans="24:44">
      <c r="X5305"/>
      <c r="Y5305"/>
      <c r="Z5305"/>
      <c r="AA5305"/>
      <c r="AC5305"/>
      <c r="AR5305"/>
    </row>
    <row r="5306" spans="24:44">
      <c r="X5306"/>
      <c r="Y5306"/>
      <c r="Z5306"/>
      <c r="AA5306"/>
      <c r="AC5306"/>
      <c r="AR5306"/>
    </row>
    <row r="5307" spans="24:44">
      <c r="X5307"/>
      <c r="Y5307"/>
      <c r="Z5307"/>
      <c r="AA5307"/>
      <c r="AC5307"/>
      <c r="AR5307"/>
    </row>
    <row r="5308" spans="24:44">
      <c r="X5308"/>
      <c r="Y5308"/>
      <c r="Z5308"/>
      <c r="AA5308"/>
      <c r="AC5308"/>
      <c r="AR5308"/>
    </row>
    <row r="5309" spans="24:44">
      <c r="X5309"/>
      <c r="Y5309"/>
      <c r="Z5309"/>
      <c r="AA5309"/>
      <c r="AC5309"/>
      <c r="AR5309"/>
    </row>
    <row r="5310" spans="24:44">
      <c r="X5310"/>
      <c r="Y5310"/>
      <c r="Z5310"/>
      <c r="AA5310"/>
      <c r="AC5310"/>
      <c r="AR5310"/>
    </row>
    <row r="5311" spans="24:44">
      <c r="X5311"/>
      <c r="Y5311"/>
      <c r="Z5311"/>
      <c r="AA5311"/>
      <c r="AC5311"/>
      <c r="AR5311"/>
    </row>
    <row r="5312" spans="24:44">
      <c r="X5312"/>
      <c r="Y5312"/>
      <c r="Z5312"/>
      <c r="AA5312"/>
      <c r="AC5312"/>
      <c r="AR5312"/>
    </row>
    <row r="5313" spans="24:44">
      <c r="X5313"/>
      <c r="Y5313"/>
      <c r="Z5313"/>
      <c r="AA5313"/>
      <c r="AC5313"/>
      <c r="AR5313"/>
    </row>
    <row r="5314" spans="24:44">
      <c r="X5314"/>
      <c r="Y5314"/>
      <c r="Z5314"/>
      <c r="AA5314"/>
      <c r="AC5314"/>
      <c r="AR5314"/>
    </row>
    <row r="5315" spans="24:44">
      <c r="X5315"/>
      <c r="Y5315"/>
      <c r="Z5315"/>
      <c r="AA5315"/>
      <c r="AC5315"/>
      <c r="AR5315"/>
    </row>
    <row r="5316" spans="24:44">
      <c r="X5316"/>
      <c r="Y5316"/>
      <c r="Z5316"/>
      <c r="AA5316"/>
      <c r="AC5316"/>
      <c r="AR5316"/>
    </row>
    <row r="5317" spans="24:44">
      <c r="X5317"/>
      <c r="Y5317"/>
      <c r="Z5317"/>
      <c r="AA5317"/>
      <c r="AC5317"/>
      <c r="AR5317"/>
    </row>
    <row r="5318" spans="24:44">
      <c r="X5318"/>
      <c r="Y5318"/>
      <c r="Z5318"/>
      <c r="AA5318"/>
      <c r="AC5318"/>
      <c r="AR5318"/>
    </row>
    <row r="5319" spans="24:44">
      <c r="X5319"/>
      <c r="Y5319"/>
      <c r="Z5319"/>
      <c r="AA5319"/>
      <c r="AC5319"/>
      <c r="AR5319"/>
    </row>
    <row r="5320" spans="24:44">
      <c r="X5320"/>
      <c r="Y5320"/>
      <c r="Z5320"/>
      <c r="AA5320"/>
      <c r="AC5320"/>
      <c r="AR5320"/>
    </row>
    <row r="5321" spans="24:44">
      <c r="X5321"/>
      <c r="Y5321"/>
      <c r="Z5321"/>
      <c r="AA5321"/>
      <c r="AC5321"/>
      <c r="AR5321"/>
    </row>
    <row r="5322" spans="24:44">
      <c r="X5322"/>
      <c r="Y5322"/>
      <c r="Z5322"/>
      <c r="AA5322"/>
      <c r="AC5322"/>
      <c r="AR5322"/>
    </row>
    <row r="5323" spans="24:44">
      <c r="X5323"/>
      <c r="Y5323"/>
      <c r="Z5323"/>
      <c r="AA5323"/>
      <c r="AC5323"/>
      <c r="AR5323"/>
    </row>
    <row r="5324" spans="24:44">
      <c r="X5324"/>
      <c r="Y5324"/>
      <c r="Z5324"/>
      <c r="AA5324"/>
      <c r="AC5324"/>
      <c r="AR5324"/>
    </row>
    <row r="5325" spans="24:44">
      <c r="X5325"/>
      <c r="Y5325"/>
      <c r="Z5325"/>
      <c r="AA5325"/>
      <c r="AC5325"/>
      <c r="AR5325"/>
    </row>
    <row r="5326" spans="24:44">
      <c r="X5326"/>
      <c r="Y5326"/>
      <c r="Z5326"/>
      <c r="AA5326"/>
      <c r="AC5326"/>
      <c r="AR5326"/>
    </row>
    <row r="5327" spans="24:44">
      <c r="X5327"/>
      <c r="Y5327"/>
      <c r="Z5327"/>
      <c r="AA5327"/>
      <c r="AC5327"/>
      <c r="AR5327"/>
    </row>
    <row r="5328" spans="24:44">
      <c r="X5328"/>
      <c r="Y5328"/>
      <c r="Z5328"/>
      <c r="AA5328"/>
      <c r="AC5328"/>
      <c r="AR5328"/>
    </row>
    <row r="5329" spans="24:44">
      <c r="X5329"/>
      <c r="Y5329"/>
      <c r="Z5329"/>
      <c r="AA5329"/>
      <c r="AC5329"/>
      <c r="AR5329"/>
    </row>
    <row r="5330" spans="24:44">
      <c r="X5330"/>
      <c r="Y5330"/>
      <c r="Z5330"/>
      <c r="AA5330"/>
      <c r="AC5330"/>
      <c r="AR5330"/>
    </row>
    <row r="5331" spans="24:44">
      <c r="X5331"/>
      <c r="Y5331"/>
      <c r="Z5331"/>
      <c r="AA5331"/>
      <c r="AC5331"/>
      <c r="AR5331"/>
    </row>
    <row r="5332" spans="24:44">
      <c r="X5332"/>
      <c r="Y5332"/>
      <c r="Z5332"/>
      <c r="AA5332"/>
      <c r="AC5332"/>
      <c r="AR5332"/>
    </row>
    <row r="5333" spans="24:44">
      <c r="X5333"/>
      <c r="Y5333"/>
      <c r="Z5333"/>
      <c r="AA5333"/>
      <c r="AC5333"/>
      <c r="AR5333"/>
    </row>
    <row r="5334" spans="24:44">
      <c r="X5334"/>
      <c r="Y5334"/>
      <c r="Z5334"/>
      <c r="AA5334"/>
      <c r="AC5334"/>
      <c r="AR5334"/>
    </row>
    <row r="5335" spans="24:44">
      <c r="X5335"/>
      <c r="Y5335"/>
      <c r="Z5335"/>
      <c r="AA5335"/>
      <c r="AC5335"/>
      <c r="AR5335"/>
    </row>
    <row r="5336" spans="24:44">
      <c r="X5336"/>
      <c r="Y5336"/>
      <c r="Z5336"/>
      <c r="AA5336"/>
      <c r="AC5336"/>
      <c r="AR5336"/>
    </row>
    <row r="5337" spans="24:44">
      <c r="X5337"/>
      <c r="Y5337"/>
      <c r="Z5337"/>
      <c r="AA5337"/>
      <c r="AC5337"/>
      <c r="AR5337"/>
    </row>
    <row r="5338" spans="24:44">
      <c r="X5338"/>
      <c r="Y5338"/>
      <c r="Z5338"/>
      <c r="AA5338"/>
      <c r="AC5338"/>
      <c r="AR5338"/>
    </row>
    <row r="5339" spans="24:44">
      <c r="X5339"/>
      <c r="Y5339"/>
      <c r="Z5339"/>
      <c r="AA5339"/>
      <c r="AC5339"/>
      <c r="AR5339"/>
    </row>
    <row r="5340" spans="24:44">
      <c r="X5340"/>
      <c r="Y5340"/>
      <c r="Z5340"/>
      <c r="AA5340"/>
      <c r="AC5340"/>
      <c r="AR5340"/>
    </row>
    <row r="5341" spans="24:44">
      <c r="X5341"/>
      <c r="Y5341"/>
      <c r="Z5341"/>
      <c r="AA5341"/>
      <c r="AC5341"/>
      <c r="AR5341"/>
    </row>
    <row r="5342" spans="24:44">
      <c r="X5342"/>
      <c r="Y5342"/>
      <c r="Z5342"/>
      <c r="AA5342"/>
      <c r="AC5342"/>
      <c r="AR5342"/>
    </row>
    <row r="5343" spans="24:44">
      <c r="X5343"/>
      <c r="Y5343"/>
      <c r="Z5343"/>
      <c r="AA5343"/>
      <c r="AC5343"/>
      <c r="AR5343"/>
    </row>
    <row r="5344" spans="24:44">
      <c r="X5344"/>
      <c r="Y5344"/>
      <c r="Z5344"/>
      <c r="AA5344"/>
      <c r="AC5344"/>
      <c r="AR5344"/>
    </row>
    <row r="5345" spans="24:44">
      <c r="X5345"/>
      <c r="Y5345"/>
      <c r="Z5345"/>
      <c r="AA5345"/>
      <c r="AC5345"/>
      <c r="AR5345"/>
    </row>
    <row r="5346" spans="24:44">
      <c r="X5346"/>
      <c r="Y5346"/>
      <c r="Z5346"/>
      <c r="AA5346"/>
      <c r="AC5346"/>
      <c r="AR5346"/>
    </row>
    <row r="5347" spans="24:44">
      <c r="X5347"/>
      <c r="Y5347"/>
      <c r="Z5347"/>
      <c r="AA5347"/>
      <c r="AC5347"/>
      <c r="AR5347"/>
    </row>
    <row r="5348" spans="24:44">
      <c r="X5348"/>
      <c r="Y5348"/>
      <c r="Z5348"/>
      <c r="AA5348"/>
      <c r="AC5348"/>
      <c r="AR5348"/>
    </row>
    <row r="5349" spans="24:44">
      <c r="X5349"/>
      <c r="Y5349"/>
      <c r="Z5349"/>
      <c r="AA5349"/>
      <c r="AC5349"/>
      <c r="AR5349"/>
    </row>
    <row r="5350" spans="24:44">
      <c r="X5350"/>
      <c r="Y5350"/>
      <c r="Z5350"/>
      <c r="AA5350"/>
      <c r="AC5350"/>
      <c r="AR5350"/>
    </row>
    <row r="5351" spans="24:44">
      <c r="X5351"/>
      <c r="Y5351"/>
      <c r="Z5351"/>
      <c r="AA5351"/>
      <c r="AC5351"/>
      <c r="AR5351"/>
    </row>
    <row r="5352" spans="24:44">
      <c r="X5352"/>
      <c r="Y5352"/>
      <c r="Z5352"/>
      <c r="AA5352"/>
      <c r="AC5352"/>
      <c r="AR5352"/>
    </row>
    <row r="5353" spans="24:44">
      <c r="X5353"/>
      <c r="Y5353"/>
      <c r="Z5353"/>
      <c r="AA5353"/>
      <c r="AC5353"/>
      <c r="AR5353"/>
    </row>
    <row r="5354" spans="24:44">
      <c r="X5354"/>
      <c r="Y5354"/>
      <c r="Z5354"/>
      <c r="AA5354"/>
      <c r="AC5354"/>
      <c r="AR5354"/>
    </row>
    <row r="5355" spans="24:44">
      <c r="X5355"/>
      <c r="Y5355"/>
      <c r="Z5355"/>
      <c r="AA5355"/>
      <c r="AC5355"/>
      <c r="AR5355"/>
    </row>
    <row r="5356" spans="24:44">
      <c r="X5356"/>
      <c r="Y5356"/>
      <c r="Z5356"/>
      <c r="AA5356"/>
      <c r="AC5356"/>
      <c r="AR5356"/>
    </row>
    <row r="5357" spans="24:44">
      <c r="X5357"/>
      <c r="Y5357"/>
      <c r="Z5357"/>
      <c r="AA5357"/>
      <c r="AC5357"/>
      <c r="AR5357"/>
    </row>
    <row r="5358" spans="24:44">
      <c r="X5358"/>
      <c r="Y5358"/>
      <c r="Z5358"/>
      <c r="AA5358"/>
      <c r="AC5358"/>
      <c r="AR5358"/>
    </row>
    <row r="5359" spans="24:44">
      <c r="X5359"/>
      <c r="Y5359"/>
      <c r="Z5359"/>
      <c r="AA5359"/>
      <c r="AC5359"/>
      <c r="AR5359"/>
    </row>
    <row r="5360" spans="24:44">
      <c r="X5360"/>
      <c r="Y5360"/>
      <c r="Z5360"/>
      <c r="AA5360"/>
      <c r="AC5360"/>
      <c r="AR5360"/>
    </row>
    <row r="5361" spans="24:44">
      <c r="X5361"/>
      <c r="Y5361"/>
      <c r="Z5361"/>
      <c r="AA5361"/>
      <c r="AC5361"/>
      <c r="AR5361"/>
    </row>
    <row r="5362" spans="24:44">
      <c r="X5362"/>
      <c r="Y5362"/>
      <c r="Z5362"/>
      <c r="AA5362"/>
      <c r="AC5362"/>
      <c r="AR5362"/>
    </row>
    <row r="5363" spans="24:44">
      <c r="X5363"/>
      <c r="Y5363"/>
      <c r="Z5363"/>
      <c r="AA5363"/>
      <c r="AC5363"/>
      <c r="AR5363"/>
    </row>
    <row r="5364" spans="24:44">
      <c r="X5364"/>
      <c r="Y5364"/>
      <c r="Z5364"/>
      <c r="AA5364"/>
      <c r="AC5364"/>
      <c r="AR5364"/>
    </row>
    <row r="5365" spans="24:44">
      <c r="X5365"/>
      <c r="Y5365"/>
      <c r="Z5365"/>
      <c r="AA5365"/>
      <c r="AC5365"/>
      <c r="AR5365"/>
    </row>
    <row r="5366" spans="24:44">
      <c r="X5366"/>
      <c r="Y5366"/>
      <c r="Z5366"/>
      <c r="AA5366"/>
      <c r="AC5366"/>
      <c r="AR5366"/>
    </row>
    <row r="5367" spans="24:44">
      <c r="X5367"/>
      <c r="Y5367"/>
      <c r="Z5367"/>
      <c r="AA5367"/>
      <c r="AC5367"/>
      <c r="AR5367"/>
    </row>
    <row r="5368" spans="24:44">
      <c r="X5368"/>
      <c r="Y5368"/>
      <c r="Z5368"/>
      <c r="AA5368"/>
      <c r="AC5368"/>
      <c r="AR5368"/>
    </row>
    <row r="5369" spans="24:44">
      <c r="X5369"/>
      <c r="Y5369"/>
      <c r="Z5369"/>
      <c r="AA5369"/>
      <c r="AC5369"/>
      <c r="AR5369"/>
    </row>
    <row r="5370" spans="24:44">
      <c r="X5370"/>
      <c r="Y5370"/>
      <c r="Z5370"/>
      <c r="AA5370"/>
      <c r="AC5370"/>
      <c r="AR5370"/>
    </row>
    <row r="5371" spans="24:44">
      <c r="X5371"/>
      <c r="Y5371"/>
      <c r="Z5371"/>
      <c r="AA5371"/>
      <c r="AC5371"/>
      <c r="AR5371"/>
    </row>
    <row r="5372" spans="24:44">
      <c r="X5372"/>
      <c r="Y5372"/>
      <c r="Z5372"/>
      <c r="AA5372"/>
      <c r="AC5372"/>
      <c r="AR5372"/>
    </row>
    <row r="5373" spans="24:44">
      <c r="X5373"/>
      <c r="Y5373"/>
      <c r="Z5373"/>
      <c r="AA5373"/>
      <c r="AC5373"/>
      <c r="AR5373"/>
    </row>
    <row r="5374" spans="24:44">
      <c r="X5374"/>
      <c r="Y5374"/>
      <c r="Z5374"/>
      <c r="AA5374"/>
      <c r="AC5374"/>
      <c r="AR5374"/>
    </row>
    <row r="5375" spans="24:44">
      <c r="X5375"/>
      <c r="Y5375"/>
      <c r="Z5375"/>
      <c r="AA5375"/>
      <c r="AC5375"/>
      <c r="AR5375"/>
    </row>
    <row r="5376" spans="24:44">
      <c r="X5376"/>
      <c r="Y5376"/>
      <c r="Z5376"/>
      <c r="AA5376"/>
      <c r="AC5376"/>
      <c r="AR5376"/>
    </row>
    <row r="5377" spans="24:44">
      <c r="X5377"/>
      <c r="Y5377"/>
      <c r="Z5377"/>
      <c r="AA5377"/>
      <c r="AC5377"/>
      <c r="AR5377"/>
    </row>
    <row r="5378" spans="24:44">
      <c r="X5378"/>
      <c r="Y5378"/>
      <c r="Z5378"/>
      <c r="AA5378"/>
      <c r="AC5378"/>
      <c r="AR5378"/>
    </row>
    <row r="5379" spans="24:44">
      <c r="X5379"/>
      <c r="Y5379"/>
      <c r="Z5379"/>
      <c r="AA5379"/>
      <c r="AC5379"/>
      <c r="AR5379"/>
    </row>
    <row r="5380" spans="24:44">
      <c r="X5380"/>
      <c r="Y5380"/>
      <c r="Z5380"/>
      <c r="AA5380"/>
      <c r="AC5380"/>
      <c r="AR5380"/>
    </row>
    <row r="5381" spans="24:44">
      <c r="X5381"/>
      <c r="Y5381"/>
      <c r="Z5381"/>
      <c r="AA5381"/>
      <c r="AC5381"/>
      <c r="AR5381"/>
    </row>
    <row r="5382" spans="24:44">
      <c r="X5382"/>
      <c r="Y5382"/>
      <c r="Z5382"/>
      <c r="AA5382"/>
      <c r="AC5382"/>
      <c r="AR5382"/>
    </row>
    <row r="5383" spans="24:44">
      <c r="X5383"/>
      <c r="Y5383"/>
      <c r="Z5383"/>
      <c r="AA5383"/>
      <c r="AC5383"/>
      <c r="AR5383"/>
    </row>
    <row r="5384" spans="24:44">
      <c r="X5384"/>
      <c r="Y5384"/>
      <c r="Z5384"/>
      <c r="AA5384"/>
      <c r="AC5384"/>
      <c r="AR5384"/>
    </row>
    <row r="5385" spans="24:44">
      <c r="X5385"/>
      <c r="Y5385"/>
      <c r="Z5385"/>
      <c r="AA5385"/>
      <c r="AC5385"/>
      <c r="AR5385"/>
    </row>
    <row r="5386" spans="24:44">
      <c r="X5386"/>
      <c r="Y5386"/>
      <c r="Z5386"/>
      <c r="AA5386"/>
      <c r="AC5386"/>
      <c r="AR5386"/>
    </row>
    <row r="5387" spans="24:44">
      <c r="X5387"/>
      <c r="Y5387"/>
      <c r="Z5387"/>
      <c r="AA5387"/>
      <c r="AC5387"/>
      <c r="AR5387"/>
    </row>
    <row r="5388" spans="24:44">
      <c r="X5388"/>
      <c r="Y5388"/>
      <c r="Z5388"/>
      <c r="AA5388"/>
      <c r="AC5388"/>
      <c r="AR5388"/>
    </row>
    <row r="5389" spans="24:44">
      <c r="X5389"/>
      <c r="Y5389"/>
      <c r="Z5389"/>
      <c r="AA5389"/>
      <c r="AC5389"/>
      <c r="AR5389"/>
    </row>
    <row r="5390" spans="24:44">
      <c r="X5390"/>
      <c r="Y5390"/>
      <c r="Z5390"/>
      <c r="AA5390"/>
      <c r="AC5390"/>
      <c r="AR5390"/>
    </row>
    <row r="5391" spans="24:44">
      <c r="X5391"/>
      <c r="Y5391"/>
      <c r="Z5391"/>
      <c r="AA5391"/>
      <c r="AC5391"/>
      <c r="AR5391"/>
    </row>
    <row r="5392" spans="24:44">
      <c r="X5392"/>
      <c r="Y5392"/>
      <c r="Z5392"/>
      <c r="AA5392"/>
      <c r="AC5392"/>
      <c r="AR5392"/>
    </row>
    <row r="5393" spans="24:44">
      <c r="X5393"/>
      <c r="Y5393"/>
      <c r="Z5393"/>
      <c r="AA5393"/>
      <c r="AC5393"/>
      <c r="AR5393"/>
    </row>
    <row r="5394" spans="24:44">
      <c r="X5394"/>
      <c r="Y5394"/>
      <c r="Z5394"/>
      <c r="AA5394"/>
      <c r="AC5394"/>
      <c r="AR5394"/>
    </row>
    <row r="5395" spans="24:44">
      <c r="X5395"/>
      <c r="Y5395"/>
      <c r="Z5395"/>
      <c r="AA5395"/>
      <c r="AC5395"/>
      <c r="AR5395"/>
    </row>
    <row r="5396" spans="24:44">
      <c r="X5396"/>
      <c r="Y5396"/>
      <c r="Z5396"/>
      <c r="AA5396"/>
      <c r="AC5396"/>
      <c r="AR5396"/>
    </row>
    <row r="5397" spans="24:44">
      <c r="X5397"/>
      <c r="Y5397"/>
      <c r="Z5397"/>
      <c r="AA5397"/>
      <c r="AC5397"/>
      <c r="AR5397"/>
    </row>
    <row r="5398" spans="24:44">
      <c r="X5398"/>
      <c r="Y5398"/>
      <c r="Z5398"/>
      <c r="AA5398"/>
      <c r="AC5398"/>
      <c r="AR5398"/>
    </row>
    <row r="5399" spans="24:44">
      <c r="X5399"/>
      <c r="Y5399"/>
      <c r="Z5399"/>
      <c r="AA5399"/>
      <c r="AC5399"/>
      <c r="AR5399"/>
    </row>
    <row r="5400" spans="24:44">
      <c r="X5400"/>
      <c r="Y5400"/>
      <c r="Z5400"/>
      <c r="AA5400"/>
      <c r="AC5400"/>
      <c r="AR5400"/>
    </row>
    <row r="5401" spans="24:44">
      <c r="X5401"/>
      <c r="Y5401"/>
      <c r="Z5401"/>
      <c r="AA5401"/>
      <c r="AC5401"/>
      <c r="AR5401"/>
    </row>
    <row r="5402" spans="24:44">
      <c r="X5402"/>
      <c r="Y5402"/>
      <c r="Z5402"/>
      <c r="AA5402"/>
      <c r="AC5402"/>
      <c r="AR5402"/>
    </row>
    <row r="5403" spans="24:44">
      <c r="X5403"/>
      <c r="Y5403"/>
      <c r="Z5403"/>
      <c r="AA5403"/>
      <c r="AC5403"/>
      <c r="AR5403"/>
    </row>
    <row r="5404" spans="24:44">
      <c r="X5404"/>
      <c r="Y5404"/>
      <c r="Z5404"/>
      <c r="AA5404"/>
      <c r="AC5404"/>
      <c r="AR5404"/>
    </row>
    <row r="5405" spans="24:44">
      <c r="X5405"/>
      <c r="Y5405"/>
      <c r="Z5405"/>
      <c r="AA5405"/>
      <c r="AC5405"/>
      <c r="AR5405"/>
    </row>
    <row r="5406" spans="24:44">
      <c r="X5406"/>
      <c r="Y5406"/>
      <c r="Z5406"/>
      <c r="AA5406"/>
      <c r="AC5406"/>
      <c r="AR5406"/>
    </row>
    <row r="5407" spans="24:44">
      <c r="X5407"/>
      <c r="Y5407"/>
      <c r="Z5407"/>
      <c r="AA5407"/>
      <c r="AC5407"/>
      <c r="AR5407"/>
    </row>
    <row r="5408" spans="24:44">
      <c r="X5408"/>
      <c r="Y5408"/>
      <c r="Z5408"/>
      <c r="AA5408"/>
      <c r="AC5408"/>
      <c r="AR5408"/>
    </row>
    <row r="5409" spans="24:44">
      <c r="X5409"/>
      <c r="Y5409"/>
      <c r="Z5409"/>
      <c r="AA5409"/>
      <c r="AC5409"/>
      <c r="AR5409"/>
    </row>
    <row r="5410" spans="24:44">
      <c r="X5410"/>
      <c r="Y5410"/>
      <c r="Z5410"/>
      <c r="AA5410"/>
      <c r="AC5410"/>
      <c r="AR5410"/>
    </row>
    <row r="5411" spans="24:44">
      <c r="X5411"/>
      <c r="Y5411"/>
      <c r="Z5411"/>
      <c r="AA5411"/>
      <c r="AC5411"/>
      <c r="AR5411"/>
    </row>
    <row r="5412" spans="24:44">
      <c r="X5412"/>
      <c r="Y5412"/>
      <c r="Z5412"/>
      <c r="AA5412"/>
      <c r="AC5412"/>
      <c r="AR5412"/>
    </row>
    <row r="5413" spans="24:44">
      <c r="X5413"/>
      <c r="Y5413"/>
      <c r="Z5413"/>
      <c r="AA5413"/>
      <c r="AC5413"/>
      <c r="AR5413"/>
    </row>
    <row r="5414" spans="24:44">
      <c r="X5414"/>
      <c r="Y5414"/>
      <c r="Z5414"/>
      <c r="AA5414"/>
      <c r="AC5414"/>
      <c r="AR5414"/>
    </row>
    <row r="5415" spans="24:44">
      <c r="X5415"/>
      <c r="Y5415"/>
      <c r="Z5415"/>
      <c r="AA5415"/>
      <c r="AC5415"/>
      <c r="AR5415"/>
    </row>
    <row r="5416" spans="24:44">
      <c r="X5416"/>
      <c r="Y5416"/>
      <c r="Z5416"/>
      <c r="AA5416"/>
      <c r="AC5416"/>
      <c r="AR5416"/>
    </row>
    <row r="5417" spans="24:44">
      <c r="X5417"/>
      <c r="Y5417"/>
      <c r="Z5417"/>
      <c r="AA5417"/>
      <c r="AC5417"/>
      <c r="AR5417"/>
    </row>
    <row r="5418" spans="24:44">
      <c r="X5418"/>
      <c r="Y5418"/>
      <c r="Z5418"/>
      <c r="AA5418"/>
      <c r="AC5418"/>
      <c r="AR5418"/>
    </row>
    <row r="5419" spans="24:44">
      <c r="X5419"/>
      <c r="Y5419"/>
      <c r="Z5419"/>
      <c r="AA5419"/>
      <c r="AC5419"/>
      <c r="AR5419"/>
    </row>
    <row r="5420" spans="24:44">
      <c r="X5420"/>
      <c r="Y5420"/>
      <c r="Z5420"/>
      <c r="AA5420"/>
      <c r="AC5420"/>
      <c r="AR5420"/>
    </row>
    <row r="5421" spans="24:44">
      <c r="X5421"/>
      <c r="Y5421"/>
      <c r="Z5421"/>
      <c r="AA5421"/>
      <c r="AC5421"/>
      <c r="AR5421"/>
    </row>
    <row r="5422" spans="24:44">
      <c r="X5422"/>
      <c r="Y5422"/>
      <c r="Z5422"/>
      <c r="AA5422"/>
      <c r="AC5422"/>
      <c r="AR5422"/>
    </row>
    <row r="5423" spans="24:44">
      <c r="X5423"/>
      <c r="Y5423"/>
      <c r="Z5423"/>
      <c r="AA5423"/>
      <c r="AC5423"/>
      <c r="AR5423"/>
    </row>
    <row r="5424" spans="24:44">
      <c r="X5424"/>
      <c r="Y5424"/>
      <c r="Z5424"/>
      <c r="AA5424"/>
      <c r="AC5424"/>
      <c r="AR5424"/>
    </row>
    <row r="5425" spans="24:44">
      <c r="X5425"/>
      <c r="Y5425"/>
      <c r="Z5425"/>
      <c r="AA5425"/>
      <c r="AC5425"/>
      <c r="AR5425"/>
    </row>
    <row r="5426" spans="24:44">
      <c r="X5426"/>
      <c r="Y5426"/>
      <c r="Z5426"/>
      <c r="AA5426"/>
      <c r="AC5426"/>
      <c r="AR5426"/>
    </row>
    <row r="5427" spans="24:44">
      <c r="X5427"/>
      <c r="Y5427"/>
      <c r="Z5427"/>
      <c r="AA5427"/>
      <c r="AC5427"/>
      <c r="AR5427"/>
    </row>
    <row r="5428" spans="24:44">
      <c r="X5428"/>
      <c r="Y5428"/>
      <c r="Z5428"/>
      <c r="AA5428"/>
      <c r="AC5428"/>
      <c r="AR5428"/>
    </row>
    <row r="5429" spans="24:44">
      <c r="X5429"/>
      <c r="Y5429"/>
      <c r="Z5429"/>
      <c r="AA5429"/>
      <c r="AC5429"/>
      <c r="AR5429"/>
    </row>
    <row r="5430" spans="24:44">
      <c r="X5430"/>
      <c r="Y5430"/>
      <c r="Z5430"/>
      <c r="AA5430"/>
      <c r="AC5430"/>
      <c r="AR5430"/>
    </row>
    <row r="5431" spans="24:44">
      <c r="X5431"/>
      <c r="Y5431"/>
      <c r="Z5431"/>
      <c r="AA5431"/>
      <c r="AC5431"/>
      <c r="AR5431"/>
    </row>
    <row r="5432" spans="24:44">
      <c r="X5432"/>
      <c r="Y5432"/>
      <c r="Z5432"/>
      <c r="AA5432"/>
      <c r="AC5432"/>
      <c r="AR5432"/>
    </row>
    <row r="5433" spans="24:44">
      <c r="X5433"/>
      <c r="Y5433"/>
      <c r="Z5433"/>
      <c r="AA5433"/>
      <c r="AC5433"/>
      <c r="AR5433"/>
    </row>
    <row r="5434" spans="24:44">
      <c r="X5434"/>
      <c r="Y5434"/>
      <c r="Z5434"/>
      <c r="AA5434"/>
      <c r="AC5434"/>
      <c r="AR5434"/>
    </row>
    <row r="5435" spans="24:44">
      <c r="X5435"/>
      <c r="Y5435"/>
      <c r="Z5435"/>
      <c r="AA5435"/>
      <c r="AC5435"/>
      <c r="AR5435"/>
    </row>
    <row r="5436" spans="24:44">
      <c r="X5436"/>
      <c r="Y5436"/>
      <c r="Z5436"/>
      <c r="AA5436"/>
      <c r="AC5436"/>
      <c r="AR5436"/>
    </row>
    <row r="5437" spans="24:44">
      <c r="X5437"/>
      <c r="Y5437"/>
      <c r="Z5437"/>
      <c r="AA5437"/>
      <c r="AC5437"/>
      <c r="AR5437"/>
    </row>
    <row r="5438" spans="24:44">
      <c r="X5438"/>
      <c r="Y5438"/>
      <c r="Z5438"/>
      <c r="AA5438"/>
      <c r="AC5438"/>
      <c r="AR5438"/>
    </row>
    <row r="5439" spans="24:44">
      <c r="X5439"/>
      <c r="Y5439"/>
      <c r="Z5439"/>
      <c r="AA5439"/>
      <c r="AC5439"/>
      <c r="AR5439"/>
    </row>
    <row r="5440" spans="24:44">
      <c r="X5440"/>
      <c r="Y5440"/>
      <c r="Z5440"/>
      <c r="AA5440"/>
      <c r="AC5440"/>
      <c r="AR5440"/>
    </row>
    <row r="5441" spans="24:44">
      <c r="X5441"/>
      <c r="Y5441"/>
      <c r="Z5441"/>
      <c r="AA5441"/>
      <c r="AC5441"/>
      <c r="AR5441"/>
    </row>
    <row r="5442" spans="24:44">
      <c r="X5442"/>
      <c r="Y5442"/>
      <c r="Z5442"/>
      <c r="AA5442"/>
      <c r="AC5442"/>
      <c r="AR5442"/>
    </row>
    <row r="5443" spans="24:44">
      <c r="X5443"/>
      <c r="Y5443"/>
      <c r="Z5443"/>
      <c r="AA5443"/>
      <c r="AC5443"/>
      <c r="AR5443"/>
    </row>
    <row r="5444" spans="24:44">
      <c r="X5444"/>
      <c r="Y5444"/>
      <c r="Z5444"/>
      <c r="AA5444"/>
      <c r="AC5444"/>
      <c r="AR5444"/>
    </row>
    <row r="5445" spans="24:44">
      <c r="X5445"/>
      <c r="Y5445"/>
      <c r="Z5445"/>
      <c r="AA5445"/>
      <c r="AC5445"/>
      <c r="AR5445"/>
    </row>
    <row r="5446" spans="24:44">
      <c r="X5446"/>
      <c r="Y5446"/>
      <c r="Z5446"/>
      <c r="AA5446"/>
      <c r="AC5446"/>
      <c r="AR5446"/>
    </row>
    <row r="5447" spans="24:44">
      <c r="X5447"/>
      <c r="Y5447"/>
      <c r="Z5447"/>
      <c r="AA5447"/>
      <c r="AC5447"/>
      <c r="AR5447"/>
    </row>
    <row r="5448" spans="24:44">
      <c r="X5448"/>
      <c r="Y5448"/>
      <c r="Z5448"/>
      <c r="AA5448"/>
      <c r="AC5448"/>
      <c r="AR5448"/>
    </row>
    <row r="5449" spans="24:44">
      <c r="X5449"/>
      <c r="Y5449"/>
      <c r="Z5449"/>
      <c r="AA5449"/>
      <c r="AC5449"/>
      <c r="AR5449"/>
    </row>
    <row r="5450" spans="24:44">
      <c r="X5450"/>
      <c r="Y5450"/>
      <c r="Z5450"/>
      <c r="AA5450"/>
      <c r="AC5450"/>
      <c r="AR5450"/>
    </row>
    <row r="5451" spans="24:44">
      <c r="X5451"/>
      <c r="Y5451"/>
      <c r="Z5451"/>
      <c r="AA5451"/>
      <c r="AC5451"/>
      <c r="AR5451"/>
    </row>
    <row r="5452" spans="24:44">
      <c r="X5452"/>
      <c r="Y5452"/>
      <c r="Z5452"/>
      <c r="AA5452"/>
      <c r="AC5452"/>
      <c r="AR5452"/>
    </row>
    <row r="5453" spans="24:44">
      <c r="X5453"/>
      <c r="Y5453"/>
      <c r="Z5453"/>
      <c r="AA5453"/>
      <c r="AC5453"/>
      <c r="AR5453"/>
    </row>
    <row r="5454" spans="24:44">
      <c r="X5454"/>
      <c r="Y5454"/>
      <c r="Z5454"/>
      <c r="AA5454"/>
      <c r="AC5454"/>
      <c r="AR5454"/>
    </row>
    <row r="5455" spans="24:44">
      <c r="X5455"/>
      <c r="Y5455"/>
      <c r="Z5455"/>
      <c r="AA5455"/>
      <c r="AC5455"/>
      <c r="AR5455"/>
    </row>
    <row r="5456" spans="24:44">
      <c r="X5456"/>
      <c r="Y5456"/>
      <c r="Z5456"/>
      <c r="AA5456"/>
      <c r="AC5456"/>
      <c r="AR5456"/>
    </row>
    <row r="5457" spans="24:44">
      <c r="X5457"/>
      <c r="Y5457"/>
      <c r="Z5457"/>
      <c r="AA5457"/>
      <c r="AC5457"/>
      <c r="AR5457"/>
    </row>
    <row r="5458" spans="24:44">
      <c r="X5458"/>
      <c r="Y5458"/>
      <c r="Z5458"/>
      <c r="AA5458"/>
      <c r="AC5458"/>
      <c r="AR5458"/>
    </row>
    <row r="5459" spans="24:44">
      <c r="X5459"/>
      <c r="Y5459"/>
      <c r="Z5459"/>
      <c r="AA5459"/>
      <c r="AC5459"/>
      <c r="AR5459"/>
    </row>
    <row r="5460" spans="24:44">
      <c r="X5460"/>
      <c r="Y5460"/>
      <c r="Z5460"/>
      <c r="AA5460"/>
      <c r="AC5460"/>
      <c r="AR5460"/>
    </row>
    <row r="5461" spans="24:44">
      <c r="X5461"/>
      <c r="Y5461"/>
      <c r="Z5461"/>
      <c r="AA5461"/>
      <c r="AC5461"/>
      <c r="AR5461"/>
    </row>
    <row r="5462" spans="24:44">
      <c r="X5462"/>
      <c r="Y5462"/>
      <c r="Z5462"/>
      <c r="AA5462"/>
      <c r="AC5462"/>
      <c r="AR5462"/>
    </row>
    <row r="5463" spans="24:44">
      <c r="X5463"/>
      <c r="Y5463"/>
      <c r="Z5463"/>
      <c r="AA5463"/>
      <c r="AC5463"/>
      <c r="AR5463"/>
    </row>
    <row r="5464" spans="24:44">
      <c r="X5464"/>
      <c r="Y5464"/>
      <c r="Z5464"/>
      <c r="AA5464"/>
      <c r="AC5464"/>
      <c r="AR5464"/>
    </row>
    <row r="5465" spans="24:44">
      <c r="X5465"/>
      <c r="Y5465"/>
      <c r="Z5465"/>
      <c r="AA5465"/>
      <c r="AC5465"/>
      <c r="AR5465"/>
    </row>
    <row r="5466" spans="24:44">
      <c r="X5466"/>
      <c r="Y5466"/>
      <c r="Z5466"/>
      <c r="AA5466"/>
      <c r="AC5466"/>
      <c r="AR5466"/>
    </row>
    <row r="5467" spans="24:44">
      <c r="X5467"/>
      <c r="Y5467"/>
      <c r="Z5467"/>
      <c r="AA5467"/>
      <c r="AC5467"/>
      <c r="AR5467"/>
    </row>
    <row r="5468" spans="24:44">
      <c r="X5468"/>
      <c r="Y5468"/>
      <c r="Z5468"/>
      <c r="AA5468"/>
      <c r="AC5468"/>
      <c r="AR5468"/>
    </row>
    <row r="5469" spans="24:44">
      <c r="X5469"/>
      <c r="Y5469"/>
      <c r="Z5469"/>
      <c r="AA5469"/>
      <c r="AC5469"/>
      <c r="AR5469"/>
    </row>
    <row r="5470" spans="24:44">
      <c r="X5470"/>
      <c r="Y5470"/>
      <c r="Z5470"/>
      <c r="AA5470"/>
      <c r="AC5470"/>
      <c r="AR5470"/>
    </row>
    <row r="5471" spans="24:44">
      <c r="X5471"/>
      <c r="Y5471"/>
      <c r="Z5471"/>
      <c r="AA5471"/>
      <c r="AC5471"/>
      <c r="AR5471"/>
    </row>
    <row r="5472" spans="24:44">
      <c r="X5472"/>
      <c r="Y5472"/>
      <c r="Z5472"/>
      <c r="AA5472"/>
      <c r="AC5472"/>
      <c r="AR5472"/>
    </row>
    <row r="5473" spans="24:44">
      <c r="X5473"/>
      <c r="Y5473"/>
      <c r="Z5473"/>
      <c r="AA5473"/>
      <c r="AC5473"/>
      <c r="AR5473"/>
    </row>
    <row r="5474" spans="24:44">
      <c r="X5474"/>
      <c r="Y5474"/>
      <c r="Z5474"/>
      <c r="AA5474"/>
      <c r="AC5474"/>
      <c r="AR5474"/>
    </row>
    <row r="5475" spans="24:44">
      <c r="X5475"/>
      <c r="Y5475"/>
      <c r="Z5475"/>
      <c r="AA5475"/>
      <c r="AC5475"/>
      <c r="AR5475"/>
    </row>
    <row r="5476" spans="24:44">
      <c r="X5476"/>
      <c r="Y5476"/>
      <c r="Z5476"/>
      <c r="AA5476"/>
      <c r="AC5476"/>
      <c r="AR5476"/>
    </row>
    <row r="5477" spans="24:44">
      <c r="X5477"/>
      <c r="Y5477"/>
      <c r="Z5477"/>
      <c r="AA5477"/>
      <c r="AC5477"/>
      <c r="AR5477"/>
    </row>
    <row r="5478" spans="24:44">
      <c r="X5478"/>
      <c r="Y5478"/>
      <c r="Z5478"/>
      <c r="AA5478"/>
      <c r="AC5478"/>
      <c r="AR5478"/>
    </row>
    <row r="5479" spans="24:44">
      <c r="X5479"/>
      <c r="Y5479"/>
      <c r="Z5479"/>
      <c r="AA5479"/>
      <c r="AC5479"/>
      <c r="AR5479"/>
    </row>
    <row r="5480" spans="24:44">
      <c r="X5480"/>
      <c r="Y5480"/>
      <c r="Z5480"/>
      <c r="AA5480"/>
      <c r="AC5480"/>
      <c r="AR5480"/>
    </row>
    <row r="5481" spans="24:44">
      <c r="X5481"/>
      <c r="Y5481"/>
      <c r="Z5481"/>
      <c r="AA5481"/>
      <c r="AC5481"/>
      <c r="AR5481"/>
    </row>
    <row r="5482" spans="24:44">
      <c r="X5482"/>
      <c r="Y5482"/>
      <c r="Z5482"/>
      <c r="AA5482"/>
      <c r="AC5482"/>
      <c r="AR5482"/>
    </row>
    <row r="5483" spans="24:44">
      <c r="X5483"/>
      <c r="Y5483"/>
      <c r="Z5483"/>
      <c r="AA5483"/>
      <c r="AC5483"/>
      <c r="AR5483"/>
    </row>
    <row r="5484" spans="24:44">
      <c r="X5484"/>
      <c r="Y5484"/>
      <c r="Z5484"/>
      <c r="AA5484"/>
      <c r="AC5484"/>
      <c r="AR5484"/>
    </row>
    <row r="5485" spans="24:44">
      <c r="X5485"/>
      <c r="Y5485"/>
      <c r="Z5485"/>
      <c r="AA5485"/>
      <c r="AC5485"/>
      <c r="AR5485"/>
    </row>
    <row r="5486" spans="24:44">
      <c r="X5486"/>
      <c r="Y5486"/>
      <c r="Z5486"/>
      <c r="AA5486"/>
      <c r="AC5486"/>
      <c r="AR5486"/>
    </row>
    <row r="5487" spans="24:44">
      <c r="X5487"/>
      <c r="Y5487"/>
      <c r="Z5487"/>
      <c r="AA5487"/>
      <c r="AC5487"/>
      <c r="AR5487"/>
    </row>
    <row r="5488" spans="24:44">
      <c r="X5488"/>
      <c r="Y5488"/>
      <c r="Z5488"/>
      <c r="AA5488"/>
      <c r="AC5488"/>
      <c r="AR5488"/>
    </row>
    <row r="5489" spans="24:44">
      <c r="X5489"/>
      <c r="Y5489"/>
      <c r="Z5489"/>
      <c r="AA5489"/>
      <c r="AC5489"/>
      <c r="AR5489"/>
    </row>
    <row r="5490" spans="24:44">
      <c r="X5490"/>
      <c r="Y5490"/>
      <c r="Z5490"/>
      <c r="AA5490"/>
      <c r="AC5490"/>
      <c r="AR5490"/>
    </row>
    <row r="5491" spans="24:44">
      <c r="X5491"/>
      <c r="Y5491"/>
      <c r="Z5491"/>
      <c r="AA5491"/>
      <c r="AC5491"/>
      <c r="AR5491"/>
    </row>
    <row r="5492" spans="24:44">
      <c r="X5492"/>
      <c r="Y5492"/>
      <c r="Z5492"/>
      <c r="AA5492"/>
      <c r="AC5492"/>
      <c r="AR5492"/>
    </row>
    <row r="5493" spans="24:44">
      <c r="X5493"/>
      <c r="Y5493"/>
      <c r="Z5493"/>
      <c r="AA5493"/>
      <c r="AC5493"/>
      <c r="AR5493"/>
    </row>
    <row r="5494" spans="24:44">
      <c r="X5494"/>
      <c r="Y5494"/>
      <c r="Z5494"/>
      <c r="AA5494"/>
      <c r="AC5494"/>
      <c r="AR5494"/>
    </row>
    <row r="5495" spans="24:44">
      <c r="X5495"/>
      <c r="Y5495"/>
      <c r="Z5495"/>
      <c r="AA5495"/>
      <c r="AC5495"/>
      <c r="AR5495"/>
    </row>
    <row r="5496" spans="24:44">
      <c r="X5496"/>
      <c r="Y5496"/>
      <c r="Z5496"/>
      <c r="AA5496"/>
      <c r="AC5496"/>
      <c r="AR5496"/>
    </row>
    <row r="5497" spans="24:44">
      <c r="X5497"/>
      <c r="Y5497"/>
      <c r="Z5497"/>
      <c r="AA5497"/>
      <c r="AC5497"/>
      <c r="AR5497"/>
    </row>
    <row r="5498" spans="24:44">
      <c r="X5498"/>
      <c r="Y5498"/>
      <c r="Z5498"/>
      <c r="AA5498"/>
      <c r="AC5498"/>
      <c r="AR5498"/>
    </row>
    <row r="5499" spans="24:44">
      <c r="X5499"/>
      <c r="Y5499"/>
      <c r="Z5499"/>
      <c r="AA5499"/>
      <c r="AC5499"/>
      <c r="AR5499"/>
    </row>
    <row r="5500" spans="24:44">
      <c r="X5500"/>
      <c r="Y5500"/>
      <c r="Z5500"/>
      <c r="AA5500"/>
      <c r="AC5500"/>
      <c r="AR5500"/>
    </row>
    <row r="5501" spans="24:44">
      <c r="X5501"/>
      <c r="Y5501"/>
      <c r="Z5501"/>
      <c r="AA5501"/>
      <c r="AC5501"/>
      <c r="AR5501"/>
    </row>
    <row r="5502" spans="24:44">
      <c r="X5502"/>
      <c r="Y5502"/>
      <c r="Z5502"/>
      <c r="AA5502"/>
      <c r="AC5502"/>
      <c r="AR5502"/>
    </row>
    <row r="5503" spans="24:44">
      <c r="X5503"/>
      <c r="Y5503"/>
      <c r="Z5503"/>
      <c r="AA5503"/>
      <c r="AC5503"/>
      <c r="AR5503"/>
    </row>
    <row r="5504" spans="24:44">
      <c r="X5504"/>
      <c r="Y5504"/>
      <c r="Z5504"/>
      <c r="AA5504"/>
      <c r="AC5504"/>
      <c r="AR5504"/>
    </row>
    <row r="5505" spans="24:44">
      <c r="X5505"/>
      <c r="Y5505"/>
      <c r="Z5505"/>
      <c r="AA5505"/>
      <c r="AC5505"/>
      <c r="AR5505"/>
    </row>
    <row r="5506" spans="24:44">
      <c r="X5506"/>
      <c r="Y5506"/>
      <c r="Z5506"/>
      <c r="AA5506"/>
      <c r="AC5506"/>
      <c r="AR5506"/>
    </row>
    <row r="5507" spans="24:44">
      <c r="X5507"/>
      <c r="Y5507"/>
      <c r="Z5507"/>
      <c r="AA5507"/>
      <c r="AC5507"/>
      <c r="AR5507"/>
    </row>
    <row r="5508" spans="24:44">
      <c r="X5508"/>
      <c r="Y5508"/>
      <c r="Z5508"/>
      <c r="AA5508"/>
      <c r="AC5508"/>
      <c r="AR5508"/>
    </row>
    <row r="5509" spans="24:44">
      <c r="X5509"/>
      <c r="Y5509"/>
      <c r="Z5509"/>
      <c r="AA5509"/>
      <c r="AC5509"/>
      <c r="AR5509"/>
    </row>
    <row r="5510" spans="24:44">
      <c r="X5510"/>
      <c r="Y5510"/>
      <c r="Z5510"/>
      <c r="AA5510"/>
      <c r="AC5510"/>
      <c r="AR5510"/>
    </row>
    <row r="5511" spans="24:44">
      <c r="X5511"/>
      <c r="Y5511"/>
      <c r="Z5511"/>
      <c r="AA5511"/>
      <c r="AC5511"/>
      <c r="AR5511"/>
    </row>
    <row r="5512" spans="24:44">
      <c r="X5512"/>
      <c r="Y5512"/>
      <c r="Z5512"/>
      <c r="AA5512"/>
      <c r="AC5512"/>
      <c r="AR5512"/>
    </row>
    <row r="5513" spans="24:44">
      <c r="X5513"/>
      <c r="Y5513"/>
      <c r="Z5513"/>
      <c r="AA5513"/>
      <c r="AC5513"/>
      <c r="AR5513"/>
    </row>
    <row r="5514" spans="24:44">
      <c r="X5514"/>
      <c r="Y5514"/>
      <c r="Z5514"/>
      <c r="AA5514"/>
      <c r="AC5514"/>
      <c r="AR5514"/>
    </row>
    <row r="5515" spans="24:44">
      <c r="X5515"/>
      <c r="Y5515"/>
      <c r="Z5515"/>
      <c r="AA5515"/>
      <c r="AC5515"/>
      <c r="AR5515"/>
    </row>
    <row r="5516" spans="24:44">
      <c r="X5516"/>
      <c r="Y5516"/>
      <c r="Z5516"/>
      <c r="AA5516"/>
      <c r="AC5516"/>
      <c r="AR5516"/>
    </row>
    <row r="5517" spans="24:44">
      <c r="X5517"/>
      <c r="Y5517"/>
      <c r="Z5517"/>
      <c r="AA5517"/>
      <c r="AC5517"/>
      <c r="AR5517"/>
    </row>
    <row r="5518" spans="24:44">
      <c r="X5518"/>
      <c r="Y5518"/>
      <c r="Z5518"/>
      <c r="AA5518"/>
      <c r="AC5518"/>
      <c r="AR5518"/>
    </row>
    <row r="5519" spans="24:44">
      <c r="X5519"/>
      <c r="Y5519"/>
      <c r="Z5519"/>
      <c r="AA5519"/>
      <c r="AC5519"/>
      <c r="AR5519"/>
    </row>
    <row r="5520" spans="24:44">
      <c r="X5520"/>
      <c r="Y5520"/>
      <c r="Z5520"/>
      <c r="AA5520"/>
      <c r="AC5520"/>
      <c r="AR5520"/>
    </row>
    <row r="5521" spans="24:44">
      <c r="X5521"/>
      <c r="Y5521"/>
      <c r="Z5521"/>
      <c r="AA5521"/>
      <c r="AC5521"/>
      <c r="AR5521"/>
    </row>
    <row r="5522" spans="24:44">
      <c r="X5522"/>
      <c r="Y5522"/>
      <c r="Z5522"/>
      <c r="AA5522"/>
      <c r="AC5522"/>
      <c r="AR5522"/>
    </row>
    <row r="5523" spans="24:44">
      <c r="X5523"/>
      <c r="Y5523"/>
      <c r="Z5523"/>
      <c r="AA5523"/>
      <c r="AC5523"/>
      <c r="AR5523"/>
    </row>
    <row r="5524" spans="24:44">
      <c r="X5524"/>
      <c r="Y5524"/>
      <c r="Z5524"/>
      <c r="AA5524"/>
      <c r="AC5524"/>
      <c r="AR5524"/>
    </row>
    <row r="5525" spans="24:44">
      <c r="X5525"/>
      <c r="Y5525"/>
      <c r="Z5525"/>
      <c r="AA5525"/>
      <c r="AC5525"/>
      <c r="AR5525"/>
    </row>
    <row r="5526" spans="24:44">
      <c r="X5526"/>
      <c r="Y5526"/>
      <c r="Z5526"/>
      <c r="AA5526"/>
      <c r="AC5526"/>
      <c r="AR5526"/>
    </row>
    <row r="5527" spans="24:44">
      <c r="X5527"/>
      <c r="Y5527"/>
      <c r="Z5527"/>
      <c r="AA5527"/>
      <c r="AC5527"/>
      <c r="AR5527"/>
    </row>
    <row r="5528" spans="24:44">
      <c r="X5528"/>
      <c r="Y5528"/>
      <c r="Z5528"/>
      <c r="AA5528"/>
      <c r="AC5528"/>
      <c r="AR5528"/>
    </row>
    <row r="5529" spans="24:44">
      <c r="X5529"/>
      <c r="Y5529"/>
      <c r="Z5529"/>
      <c r="AA5529"/>
      <c r="AC5529"/>
      <c r="AR5529"/>
    </row>
    <row r="5530" spans="24:44">
      <c r="X5530"/>
      <c r="Y5530"/>
      <c r="Z5530"/>
      <c r="AA5530"/>
      <c r="AC5530"/>
      <c r="AR5530"/>
    </row>
    <row r="5531" spans="24:44">
      <c r="X5531"/>
      <c r="Y5531"/>
      <c r="Z5531"/>
      <c r="AA5531"/>
      <c r="AC5531"/>
      <c r="AR5531"/>
    </row>
    <row r="5532" spans="24:44">
      <c r="X5532"/>
      <c r="Y5532"/>
      <c r="Z5532"/>
      <c r="AA5532"/>
      <c r="AC5532"/>
      <c r="AR5532"/>
    </row>
    <row r="5533" spans="24:44">
      <c r="X5533"/>
      <c r="Y5533"/>
      <c r="Z5533"/>
      <c r="AA5533"/>
      <c r="AC5533"/>
      <c r="AR5533"/>
    </row>
    <row r="5534" spans="24:44">
      <c r="X5534"/>
      <c r="Y5534"/>
      <c r="Z5534"/>
      <c r="AA5534"/>
      <c r="AC5534"/>
      <c r="AR5534"/>
    </row>
    <row r="5535" spans="24:44">
      <c r="X5535"/>
      <c r="Y5535"/>
      <c r="Z5535"/>
      <c r="AA5535"/>
      <c r="AC5535"/>
      <c r="AR5535"/>
    </row>
    <row r="5536" spans="24:44">
      <c r="X5536"/>
      <c r="Y5536"/>
      <c r="Z5536"/>
      <c r="AA5536"/>
      <c r="AC5536"/>
      <c r="AR5536"/>
    </row>
    <row r="5537" spans="24:44">
      <c r="X5537"/>
      <c r="Y5537"/>
      <c r="Z5537"/>
      <c r="AA5537"/>
      <c r="AC5537"/>
      <c r="AR5537"/>
    </row>
    <row r="5538" spans="24:44">
      <c r="X5538"/>
      <c r="Y5538"/>
      <c r="Z5538"/>
      <c r="AA5538"/>
      <c r="AC5538"/>
      <c r="AR5538"/>
    </row>
    <row r="5539" spans="24:44">
      <c r="X5539"/>
      <c r="Y5539"/>
      <c r="Z5539"/>
      <c r="AA5539"/>
      <c r="AC5539"/>
      <c r="AR5539"/>
    </row>
    <row r="5540" spans="24:44">
      <c r="X5540"/>
      <c r="Y5540"/>
      <c r="Z5540"/>
      <c r="AA5540"/>
      <c r="AC5540"/>
      <c r="AR5540"/>
    </row>
    <row r="5541" spans="24:44">
      <c r="X5541"/>
      <c r="Y5541"/>
      <c r="Z5541"/>
      <c r="AA5541"/>
      <c r="AC5541"/>
      <c r="AR5541"/>
    </row>
    <row r="5542" spans="24:44">
      <c r="X5542"/>
      <c r="Y5542"/>
      <c r="Z5542"/>
      <c r="AA5542"/>
      <c r="AC5542"/>
      <c r="AR5542"/>
    </row>
    <row r="5543" spans="24:44">
      <c r="X5543"/>
      <c r="Y5543"/>
      <c r="Z5543"/>
      <c r="AA5543"/>
      <c r="AC5543"/>
      <c r="AR5543"/>
    </row>
    <row r="5544" spans="24:44">
      <c r="X5544"/>
      <c r="Y5544"/>
      <c r="Z5544"/>
      <c r="AA5544"/>
      <c r="AC5544"/>
      <c r="AR5544"/>
    </row>
    <row r="5545" spans="24:44">
      <c r="X5545"/>
      <c r="Y5545"/>
      <c r="Z5545"/>
      <c r="AA5545"/>
      <c r="AC5545"/>
      <c r="AR5545"/>
    </row>
    <row r="5546" spans="24:44">
      <c r="X5546"/>
      <c r="Y5546"/>
      <c r="Z5546"/>
      <c r="AA5546"/>
      <c r="AC5546"/>
      <c r="AR5546"/>
    </row>
    <row r="5547" spans="24:44">
      <c r="X5547"/>
      <c r="Y5547"/>
      <c r="Z5547"/>
      <c r="AA5547"/>
      <c r="AC5547"/>
      <c r="AR5547"/>
    </row>
    <row r="5548" spans="24:44">
      <c r="X5548"/>
      <c r="Y5548"/>
      <c r="Z5548"/>
      <c r="AA5548"/>
      <c r="AC5548"/>
      <c r="AR5548"/>
    </row>
    <row r="5549" spans="24:44">
      <c r="X5549"/>
      <c r="Y5549"/>
      <c r="Z5549"/>
      <c r="AA5549"/>
      <c r="AC5549"/>
      <c r="AR5549"/>
    </row>
    <row r="5550" spans="24:44">
      <c r="X5550"/>
      <c r="Y5550"/>
      <c r="Z5550"/>
      <c r="AA5550"/>
      <c r="AC5550"/>
      <c r="AR5550"/>
    </row>
    <row r="5551" spans="24:44">
      <c r="X5551"/>
      <c r="Y5551"/>
      <c r="Z5551"/>
      <c r="AA5551"/>
      <c r="AC5551"/>
      <c r="AR5551"/>
    </row>
    <row r="5552" spans="24:44">
      <c r="X5552"/>
      <c r="Y5552"/>
      <c r="Z5552"/>
      <c r="AA5552"/>
      <c r="AC5552"/>
      <c r="AR5552"/>
    </row>
    <row r="5553" spans="24:44">
      <c r="X5553"/>
      <c r="Y5553"/>
      <c r="Z5553"/>
      <c r="AA5553"/>
      <c r="AC5553"/>
      <c r="AR5553"/>
    </row>
    <row r="5554" spans="24:44">
      <c r="X5554"/>
      <c r="Y5554"/>
      <c r="Z5554"/>
      <c r="AA5554"/>
      <c r="AC5554"/>
      <c r="AR5554"/>
    </row>
    <row r="5555" spans="24:44">
      <c r="X5555"/>
      <c r="Y5555"/>
      <c r="Z5555"/>
      <c r="AA5555"/>
      <c r="AC5555"/>
      <c r="AR5555"/>
    </row>
    <row r="5556" spans="24:44">
      <c r="X5556"/>
      <c r="Y5556"/>
      <c r="Z5556"/>
      <c r="AA5556"/>
      <c r="AC5556"/>
      <c r="AR5556"/>
    </row>
    <row r="5557" spans="24:44">
      <c r="X5557"/>
      <c r="Y5557"/>
      <c r="Z5557"/>
      <c r="AA5557"/>
      <c r="AC5557"/>
      <c r="AR5557"/>
    </row>
    <row r="5558" spans="24:44">
      <c r="X5558"/>
      <c r="Y5558"/>
      <c r="Z5558"/>
      <c r="AA5558"/>
      <c r="AC5558"/>
      <c r="AR5558"/>
    </row>
    <row r="5559" spans="24:44">
      <c r="X5559"/>
      <c r="Y5559"/>
      <c r="Z5559"/>
      <c r="AA5559"/>
      <c r="AC5559"/>
      <c r="AR5559"/>
    </row>
    <row r="5560" spans="24:44">
      <c r="X5560"/>
      <c r="Y5560"/>
      <c r="Z5560"/>
      <c r="AA5560"/>
      <c r="AC5560"/>
      <c r="AR5560"/>
    </row>
    <row r="5561" spans="24:44">
      <c r="X5561"/>
      <c r="Y5561"/>
      <c r="Z5561"/>
      <c r="AA5561"/>
      <c r="AC5561"/>
      <c r="AR5561"/>
    </row>
    <row r="5562" spans="24:44">
      <c r="X5562"/>
      <c r="Y5562"/>
      <c r="Z5562"/>
      <c r="AA5562"/>
      <c r="AC5562"/>
      <c r="AR5562"/>
    </row>
    <row r="5563" spans="24:44">
      <c r="X5563"/>
      <c r="Y5563"/>
      <c r="Z5563"/>
      <c r="AA5563"/>
      <c r="AC5563"/>
      <c r="AR5563"/>
    </row>
    <row r="5564" spans="24:44">
      <c r="X5564"/>
      <c r="Y5564"/>
      <c r="Z5564"/>
      <c r="AA5564"/>
      <c r="AC5564"/>
      <c r="AR5564"/>
    </row>
    <row r="5565" spans="24:44">
      <c r="X5565"/>
      <c r="Y5565"/>
      <c r="Z5565"/>
      <c r="AA5565"/>
      <c r="AC5565"/>
      <c r="AR5565"/>
    </row>
    <row r="5566" spans="24:44">
      <c r="X5566"/>
      <c r="Y5566"/>
      <c r="Z5566"/>
      <c r="AA5566"/>
      <c r="AC5566"/>
      <c r="AR5566"/>
    </row>
    <row r="5567" spans="24:44">
      <c r="X5567"/>
      <c r="Y5567"/>
      <c r="Z5567"/>
      <c r="AA5567"/>
      <c r="AC5567"/>
      <c r="AR5567"/>
    </row>
    <row r="5568" spans="24:44">
      <c r="X5568"/>
      <c r="Y5568"/>
      <c r="Z5568"/>
      <c r="AA5568"/>
      <c r="AC5568"/>
      <c r="AR5568"/>
    </row>
    <row r="5569" spans="24:44">
      <c r="X5569"/>
      <c r="Y5569"/>
      <c r="Z5569"/>
      <c r="AA5569"/>
      <c r="AC5569"/>
      <c r="AR5569"/>
    </row>
    <row r="5570" spans="24:44">
      <c r="X5570"/>
      <c r="Y5570"/>
      <c r="Z5570"/>
      <c r="AA5570"/>
      <c r="AC5570"/>
      <c r="AR5570"/>
    </row>
    <row r="5571" spans="24:44">
      <c r="X5571"/>
      <c r="Y5571"/>
      <c r="Z5571"/>
      <c r="AA5571"/>
      <c r="AC5571"/>
      <c r="AR5571"/>
    </row>
    <row r="5572" spans="24:44">
      <c r="X5572"/>
      <c r="Y5572"/>
      <c r="Z5572"/>
      <c r="AA5572"/>
      <c r="AC5572"/>
      <c r="AR5572"/>
    </row>
    <row r="5573" spans="24:44">
      <c r="X5573"/>
      <c r="Y5573"/>
      <c r="Z5573"/>
      <c r="AA5573"/>
      <c r="AC5573"/>
      <c r="AR5573"/>
    </row>
    <row r="5574" spans="24:44">
      <c r="X5574"/>
      <c r="Y5574"/>
      <c r="Z5574"/>
      <c r="AA5574"/>
      <c r="AC5574"/>
      <c r="AR5574"/>
    </row>
    <row r="5575" spans="24:44">
      <c r="X5575"/>
      <c r="Y5575"/>
      <c r="Z5575"/>
      <c r="AA5575"/>
      <c r="AC5575"/>
      <c r="AR5575"/>
    </row>
    <row r="5576" spans="24:44">
      <c r="X5576"/>
      <c r="Y5576"/>
      <c r="Z5576"/>
      <c r="AA5576"/>
      <c r="AC5576"/>
      <c r="AR5576"/>
    </row>
    <row r="5577" spans="24:44">
      <c r="X5577"/>
      <c r="Y5577"/>
      <c r="Z5577"/>
      <c r="AA5577"/>
      <c r="AC5577"/>
      <c r="AR5577"/>
    </row>
    <row r="5578" spans="24:44">
      <c r="X5578"/>
      <c r="Y5578"/>
      <c r="Z5578"/>
      <c r="AA5578"/>
      <c r="AC5578"/>
      <c r="AR5578"/>
    </row>
    <row r="5579" spans="24:44">
      <c r="X5579"/>
      <c r="Y5579"/>
      <c r="Z5579"/>
      <c r="AA5579"/>
      <c r="AC5579"/>
      <c r="AR5579"/>
    </row>
    <row r="5580" spans="24:44">
      <c r="X5580"/>
      <c r="Y5580"/>
      <c r="Z5580"/>
      <c r="AA5580"/>
      <c r="AC5580"/>
      <c r="AR5580"/>
    </row>
    <row r="5581" spans="24:44">
      <c r="X5581"/>
      <c r="Y5581"/>
      <c r="Z5581"/>
      <c r="AA5581"/>
      <c r="AC5581"/>
      <c r="AR5581"/>
    </row>
    <row r="5582" spans="24:44">
      <c r="X5582"/>
      <c r="Y5582"/>
      <c r="Z5582"/>
      <c r="AA5582"/>
      <c r="AC5582"/>
      <c r="AR5582"/>
    </row>
    <row r="5583" spans="24:44">
      <c r="X5583"/>
      <c r="Y5583"/>
      <c r="Z5583"/>
      <c r="AA5583"/>
      <c r="AC5583"/>
      <c r="AR5583"/>
    </row>
    <row r="5584" spans="24:44">
      <c r="X5584"/>
      <c r="Y5584"/>
      <c r="Z5584"/>
      <c r="AA5584"/>
      <c r="AC5584"/>
      <c r="AR5584"/>
    </row>
    <row r="5585" spans="24:44">
      <c r="X5585"/>
      <c r="Y5585"/>
      <c r="Z5585"/>
      <c r="AA5585"/>
      <c r="AC5585"/>
      <c r="AR5585"/>
    </row>
    <row r="5586" spans="24:44">
      <c r="X5586"/>
      <c r="Y5586"/>
      <c r="Z5586"/>
      <c r="AA5586"/>
      <c r="AC5586"/>
      <c r="AR5586"/>
    </row>
    <row r="5587" spans="24:44">
      <c r="X5587"/>
      <c r="Y5587"/>
      <c r="Z5587"/>
      <c r="AA5587"/>
      <c r="AC5587"/>
      <c r="AR5587"/>
    </row>
    <row r="5588" spans="24:44">
      <c r="X5588"/>
      <c r="Y5588"/>
      <c r="Z5588"/>
      <c r="AA5588"/>
      <c r="AC5588"/>
      <c r="AR5588"/>
    </row>
    <row r="5589" spans="24:44">
      <c r="X5589"/>
      <c r="Y5589"/>
      <c r="Z5589"/>
      <c r="AA5589"/>
      <c r="AC5589"/>
      <c r="AR5589"/>
    </row>
    <row r="5590" spans="24:44">
      <c r="X5590"/>
      <c r="Y5590"/>
      <c r="Z5590"/>
      <c r="AA5590"/>
      <c r="AC5590"/>
      <c r="AR5590"/>
    </row>
    <row r="5591" spans="24:44">
      <c r="X5591"/>
      <c r="Y5591"/>
      <c r="Z5591"/>
      <c r="AA5591"/>
      <c r="AC5591"/>
      <c r="AR5591"/>
    </row>
    <row r="5592" spans="24:44">
      <c r="X5592"/>
      <c r="Y5592"/>
      <c r="Z5592"/>
      <c r="AA5592"/>
      <c r="AC5592"/>
      <c r="AR5592"/>
    </row>
    <row r="5593" spans="24:44">
      <c r="X5593"/>
      <c r="Y5593"/>
      <c r="Z5593"/>
      <c r="AA5593"/>
      <c r="AC5593"/>
      <c r="AR5593"/>
    </row>
    <row r="5594" spans="24:44">
      <c r="X5594"/>
      <c r="Y5594"/>
      <c r="Z5594"/>
      <c r="AA5594"/>
      <c r="AC5594"/>
      <c r="AR5594"/>
    </row>
    <row r="5595" spans="24:44">
      <c r="X5595"/>
      <c r="Y5595"/>
      <c r="Z5595"/>
      <c r="AA5595"/>
      <c r="AC5595"/>
      <c r="AR5595"/>
    </row>
    <row r="5596" spans="24:44">
      <c r="X5596"/>
      <c r="Y5596"/>
      <c r="Z5596"/>
      <c r="AA5596"/>
      <c r="AC5596"/>
      <c r="AR5596"/>
    </row>
    <row r="5597" spans="24:44">
      <c r="X5597"/>
      <c r="Y5597"/>
      <c r="Z5597"/>
      <c r="AA5597"/>
      <c r="AC5597"/>
      <c r="AR5597"/>
    </row>
    <row r="5598" spans="24:44">
      <c r="X5598"/>
      <c r="Y5598"/>
      <c r="Z5598"/>
      <c r="AA5598"/>
      <c r="AC5598"/>
      <c r="AR5598"/>
    </row>
    <row r="5599" spans="24:44">
      <c r="X5599"/>
      <c r="Y5599"/>
      <c r="Z5599"/>
      <c r="AA5599"/>
      <c r="AC5599"/>
      <c r="AR5599"/>
    </row>
    <row r="5600" spans="24:44">
      <c r="X5600"/>
      <c r="Y5600"/>
      <c r="Z5600"/>
      <c r="AA5600"/>
      <c r="AC5600"/>
      <c r="AR5600"/>
    </row>
    <row r="5601" spans="24:44">
      <c r="X5601"/>
      <c r="Y5601"/>
      <c r="Z5601"/>
      <c r="AA5601"/>
      <c r="AC5601"/>
      <c r="AR5601"/>
    </row>
    <row r="5602" spans="24:44">
      <c r="X5602"/>
      <c r="Y5602"/>
      <c r="Z5602"/>
      <c r="AA5602"/>
      <c r="AC5602"/>
      <c r="AR5602"/>
    </row>
    <row r="5603" spans="24:44">
      <c r="X5603"/>
      <c r="Y5603"/>
      <c r="Z5603"/>
      <c r="AA5603"/>
      <c r="AC5603"/>
      <c r="AR5603"/>
    </row>
    <row r="5604" spans="24:44">
      <c r="X5604"/>
      <c r="Y5604"/>
      <c r="Z5604"/>
      <c r="AA5604"/>
      <c r="AC5604"/>
      <c r="AR5604"/>
    </row>
    <row r="5605" spans="24:44">
      <c r="X5605"/>
      <c r="Y5605"/>
      <c r="Z5605"/>
      <c r="AA5605"/>
      <c r="AC5605"/>
      <c r="AR5605"/>
    </row>
    <row r="5606" spans="24:44">
      <c r="X5606"/>
      <c r="Y5606"/>
      <c r="Z5606"/>
      <c r="AA5606"/>
      <c r="AC5606"/>
      <c r="AR5606"/>
    </row>
    <row r="5607" spans="24:44">
      <c r="X5607"/>
      <c r="Y5607"/>
      <c r="Z5607"/>
      <c r="AA5607"/>
      <c r="AC5607"/>
      <c r="AR5607"/>
    </row>
    <row r="5608" spans="24:44">
      <c r="X5608"/>
      <c r="Y5608"/>
      <c r="Z5608"/>
      <c r="AA5608"/>
      <c r="AC5608"/>
      <c r="AR5608"/>
    </row>
    <row r="5609" spans="24:44">
      <c r="X5609"/>
      <c r="Y5609"/>
      <c r="Z5609"/>
      <c r="AA5609"/>
      <c r="AC5609"/>
      <c r="AR5609"/>
    </row>
    <row r="5610" spans="24:44">
      <c r="X5610"/>
      <c r="Y5610"/>
      <c r="Z5610"/>
      <c r="AA5610"/>
      <c r="AC5610"/>
      <c r="AR5610"/>
    </row>
    <row r="5611" spans="24:44">
      <c r="X5611"/>
      <c r="Y5611"/>
      <c r="Z5611"/>
      <c r="AA5611"/>
      <c r="AC5611"/>
      <c r="AR5611"/>
    </row>
    <row r="5612" spans="24:44">
      <c r="X5612"/>
      <c r="Y5612"/>
      <c r="Z5612"/>
      <c r="AA5612"/>
      <c r="AC5612"/>
      <c r="AR5612"/>
    </row>
    <row r="5613" spans="24:44">
      <c r="X5613"/>
      <c r="Y5613"/>
      <c r="Z5613"/>
      <c r="AA5613"/>
      <c r="AC5613"/>
      <c r="AR5613"/>
    </row>
    <row r="5614" spans="24:44">
      <c r="X5614"/>
      <c r="Y5614"/>
      <c r="Z5614"/>
      <c r="AA5614"/>
      <c r="AC5614"/>
      <c r="AR5614"/>
    </row>
    <row r="5615" spans="24:44">
      <c r="X5615"/>
      <c r="Y5615"/>
      <c r="Z5615"/>
      <c r="AA5615"/>
      <c r="AC5615"/>
      <c r="AR5615"/>
    </row>
    <row r="5616" spans="24:44">
      <c r="X5616"/>
      <c r="Y5616"/>
      <c r="Z5616"/>
      <c r="AA5616"/>
      <c r="AC5616"/>
      <c r="AR5616"/>
    </row>
    <row r="5617" spans="24:44">
      <c r="X5617"/>
      <c r="Y5617"/>
      <c r="Z5617"/>
      <c r="AA5617"/>
      <c r="AC5617"/>
      <c r="AR5617"/>
    </row>
    <row r="5618" spans="24:44">
      <c r="X5618"/>
      <c r="Y5618"/>
      <c r="Z5618"/>
      <c r="AA5618"/>
      <c r="AC5618"/>
      <c r="AR5618"/>
    </row>
    <row r="5619" spans="24:44">
      <c r="X5619"/>
      <c r="Y5619"/>
      <c r="Z5619"/>
      <c r="AA5619"/>
      <c r="AC5619"/>
      <c r="AR5619"/>
    </row>
    <row r="5620" spans="24:44">
      <c r="X5620"/>
      <c r="Y5620"/>
      <c r="Z5620"/>
      <c r="AA5620"/>
      <c r="AC5620"/>
      <c r="AR5620"/>
    </row>
    <row r="5621" spans="24:44">
      <c r="X5621"/>
      <c r="Y5621"/>
      <c r="Z5621"/>
      <c r="AA5621"/>
      <c r="AC5621"/>
      <c r="AR5621"/>
    </row>
    <row r="5622" spans="24:44">
      <c r="X5622"/>
      <c r="Y5622"/>
      <c r="Z5622"/>
      <c r="AA5622"/>
      <c r="AC5622"/>
      <c r="AR5622"/>
    </row>
    <row r="5623" spans="24:44">
      <c r="X5623"/>
      <c r="Y5623"/>
      <c r="Z5623"/>
      <c r="AA5623"/>
      <c r="AC5623"/>
      <c r="AR5623"/>
    </row>
    <row r="5624" spans="24:44">
      <c r="X5624"/>
      <c r="Y5624"/>
      <c r="Z5624"/>
      <c r="AA5624"/>
      <c r="AC5624"/>
      <c r="AR5624"/>
    </row>
    <row r="5625" spans="24:44">
      <c r="X5625"/>
      <c r="Y5625"/>
      <c r="Z5625"/>
      <c r="AA5625"/>
      <c r="AC5625"/>
      <c r="AR5625"/>
    </row>
    <row r="5626" spans="24:44">
      <c r="X5626"/>
      <c r="Y5626"/>
      <c r="Z5626"/>
      <c r="AA5626"/>
      <c r="AC5626"/>
      <c r="AR5626"/>
    </row>
    <row r="5627" spans="24:44">
      <c r="X5627"/>
      <c r="Y5627"/>
      <c r="Z5627"/>
      <c r="AA5627"/>
      <c r="AC5627"/>
      <c r="AR5627"/>
    </row>
    <row r="5628" spans="24:44">
      <c r="X5628"/>
      <c r="Y5628"/>
      <c r="Z5628"/>
      <c r="AA5628"/>
      <c r="AC5628"/>
      <c r="AR5628"/>
    </row>
    <row r="5629" spans="24:44">
      <c r="X5629"/>
      <c r="Y5629"/>
      <c r="Z5629"/>
      <c r="AA5629"/>
      <c r="AC5629"/>
      <c r="AR5629"/>
    </row>
    <row r="5630" spans="24:44">
      <c r="X5630"/>
      <c r="Y5630"/>
      <c r="Z5630"/>
      <c r="AA5630"/>
      <c r="AC5630"/>
      <c r="AR5630"/>
    </row>
    <row r="5631" spans="24:44">
      <c r="X5631"/>
      <c r="Y5631"/>
      <c r="Z5631"/>
      <c r="AA5631"/>
      <c r="AC5631"/>
      <c r="AR5631"/>
    </row>
    <row r="5632" spans="24:44">
      <c r="X5632"/>
      <c r="Y5632"/>
      <c r="Z5632"/>
      <c r="AA5632"/>
      <c r="AC5632"/>
      <c r="AR5632"/>
    </row>
    <row r="5633" spans="24:44">
      <c r="X5633"/>
      <c r="Y5633"/>
      <c r="Z5633"/>
      <c r="AA5633"/>
      <c r="AC5633"/>
      <c r="AR5633"/>
    </row>
    <row r="5634" spans="24:44">
      <c r="X5634"/>
      <c r="Y5634"/>
      <c r="Z5634"/>
      <c r="AA5634"/>
      <c r="AC5634"/>
      <c r="AR5634"/>
    </row>
    <row r="5635" spans="24:44">
      <c r="X5635"/>
      <c r="Y5635"/>
      <c r="Z5635"/>
      <c r="AA5635"/>
      <c r="AC5635"/>
      <c r="AR5635"/>
    </row>
    <row r="5636" spans="24:44">
      <c r="X5636"/>
      <c r="Y5636"/>
      <c r="Z5636"/>
      <c r="AA5636"/>
      <c r="AC5636"/>
      <c r="AR5636"/>
    </row>
    <row r="5637" spans="24:44">
      <c r="X5637"/>
      <c r="Y5637"/>
      <c r="Z5637"/>
      <c r="AA5637"/>
      <c r="AC5637"/>
      <c r="AR5637"/>
    </row>
    <row r="5638" spans="24:44">
      <c r="X5638"/>
      <c r="Y5638"/>
      <c r="Z5638"/>
      <c r="AA5638"/>
      <c r="AC5638"/>
      <c r="AR5638"/>
    </row>
    <row r="5639" spans="24:44">
      <c r="X5639"/>
      <c r="Y5639"/>
      <c r="Z5639"/>
      <c r="AA5639"/>
      <c r="AC5639"/>
      <c r="AR5639"/>
    </row>
    <row r="5640" spans="24:44">
      <c r="X5640"/>
      <c r="Y5640"/>
      <c r="Z5640"/>
      <c r="AA5640"/>
      <c r="AC5640"/>
      <c r="AR5640"/>
    </row>
    <row r="5641" spans="24:44">
      <c r="X5641"/>
      <c r="Y5641"/>
      <c r="Z5641"/>
      <c r="AA5641"/>
      <c r="AC5641"/>
      <c r="AR5641"/>
    </row>
    <row r="5642" spans="24:44">
      <c r="X5642"/>
      <c r="Y5642"/>
      <c r="Z5642"/>
      <c r="AA5642"/>
      <c r="AC5642"/>
      <c r="AR5642"/>
    </row>
    <row r="5643" spans="24:44">
      <c r="X5643"/>
      <c r="Y5643"/>
      <c r="Z5643"/>
      <c r="AA5643"/>
      <c r="AC5643"/>
      <c r="AR5643"/>
    </row>
    <row r="5644" spans="24:44">
      <c r="X5644"/>
      <c r="Y5644"/>
      <c r="Z5644"/>
      <c r="AA5644"/>
      <c r="AC5644"/>
      <c r="AR5644"/>
    </row>
    <row r="5645" spans="24:44">
      <c r="X5645"/>
      <c r="Y5645"/>
      <c r="Z5645"/>
      <c r="AA5645"/>
      <c r="AC5645"/>
      <c r="AR5645"/>
    </row>
    <row r="5646" spans="24:44">
      <c r="X5646"/>
      <c r="Y5646"/>
      <c r="Z5646"/>
      <c r="AA5646"/>
      <c r="AC5646"/>
      <c r="AR5646"/>
    </row>
    <row r="5647" spans="24:44">
      <c r="X5647"/>
      <c r="Y5647"/>
      <c r="Z5647"/>
      <c r="AA5647"/>
      <c r="AC5647"/>
      <c r="AR5647"/>
    </row>
    <row r="5648" spans="24:44">
      <c r="X5648"/>
      <c r="Y5648"/>
      <c r="Z5648"/>
      <c r="AA5648"/>
      <c r="AC5648"/>
      <c r="AR5648"/>
    </row>
    <row r="5649" spans="24:44">
      <c r="X5649"/>
      <c r="Y5649"/>
      <c r="Z5649"/>
      <c r="AA5649"/>
      <c r="AC5649"/>
      <c r="AR5649"/>
    </row>
    <row r="5650" spans="24:44">
      <c r="X5650"/>
      <c r="Y5650"/>
      <c r="Z5650"/>
      <c r="AA5650"/>
      <c r="AC5650"/>
      <c r="AR5650"/>
    </row>
    <row r="5651" spans="24:44">
      <c r="X5651"/>
      <c r="Y5651"/>
      <c r="Z5651"/>
      <c r="AA5651"/>
      <c r="AC5651"/>
      <c r="AR5651"/>
    </row>
    <row r="5652" spans="24:44">
      <c r="X5652"/>
      <c r="Y5652"/>
      <c r="Z5652"/>
      <c r="AA5652"/>
      <c r="AC5652"/>
      <c r="AR5652"/>
    </row>
    <row r="5653" spans="24:44">
      <c r="X5653"/>
      <c r="Y5653"/>
      <c r="Z5653"/>
      <c r="AA5653"/>
      <c r="AC5653"/>
      <c r="AR5653"/>
    </row>
    <row r="5654" spans="24:44">
      <c r="X5654"/>
      <c r="Y5654"/>
      <c r="Z5654"/>
      <c r="AA5654"/>
      <c r="AC5654"/>
      <c r="AR5654"/>
    </row>
    <row r="5655" spans="24:44">
      <c r="X5655"/>
      <c r="Y5655"/>
      <c r="Z5655"/>
      <c r="AA5655"/>
      <c r="AC5655"/>
      <c r="AR5655"/>
    </row>
    <row r="5656" spans="24:44">
      <c r="X5656"/>
      <c r="Y5656"/>
      <c r="Z5656"/>
      <c r="AA5656"/>
      <c r="AC5656"/>
      <c r="AR5656"/>
    </row>
    <row r="5657" spans="24:44">
      <c r="X5657"/>
      <c r="Y5657"/>
      <c r="Z5657"/>
      <c r="AA5657"/>
      <c r="AC5657"/>
      <c r="AR5657"/>
    </row>
    <row r="5658" spans="24:44">
      <c r="X5658"/>
      <c r="Y5658"/>
      <c r="Z5658"/>
      <c r="AA5658"/>
      <c r="AC5658"/>
      <c r="AR5658"/>
    </row>
    <row r="5659" spans="24:44">
      <c r="X5659"/>
      <c r="Y5659"/>
      <c r="Z5659"/>
      <c r="AA5659"/>
      <c r="AC5659"/>
      <c r="AR5659"/>
    </row>
    <row r="5660" spans="24:44">
      <c r="X5660"/>
      <c r="Y5660"/>
      <c r="Z5660"/>
      <c r="AA5660"/>
      <c r="AC5660"/>
      <c r="AR5660"/>
    </row>
    <row r="5661" spans="24:44">
      <c r="X5661"/>
      <c r="Y5661"/>
      <c r="Z5661"/>
      <c r="AA5661"/>
      <c r="AC5661"/>
      <c r="AR5661"/>
    </row>
    <row r="5662" spans="24:44">
      <c r="X5662"/>
      <c r="Y5662"/>
      <c r="Z5662"/>
      <c r="AA5662"/>
      <c r="AC5662"/>
      <c r="AR5662"/>
    </row>
    <row r="5663" spans="24:44">
      <c r="X5663"/>
      <c r="Y5663"/>
      <c r="Z5663"/>
      <c r="AA5663"/>
      <c r="AC5663"/>
      <c r="AR5663"/>
    </row>
    <row r="5664" spans="24:44">
      <c r="X5664"/>
      <c r="Y5664"/>
      <c r="Z5664"/>
      <c r="AA5664"/>
      <c r="AC5664"/>
      <c r="AR5664"/>
    </row>
    <row r="5665" spans="24:44">
      <c r="X5665"/>
      <c r="Y5665"/>
      <c r="Z5665"/>
      <c r="AA5665"/>
      <c r="AC5665"/>
      <c r="AR5665"/>
    </row>
    <row r="5666" spans="24:44">
      <c r="X5666"/>
      <c r="Y5666"/>
      <c r="Z5666"/>
      <c r="AA5666"/>
      <c r="AC5666"/>
      <c r="AR5666"/>
    </row>
    <row r="5667" spans="24:44">
      <c r="X5667"/>
      <c r="Y5667"/>
      <c r="Z5667"/>
      <c r="AA5667"/>
      <c r="AC5667"/>
      <c r="AR5667"/>
    </row>
    <row r="5668" spans="24:44">
      <c r="X5668"/>
      <c r="Y5668"/>
      <c r="Z5668"/>
      <c r="AA5668"/>
      <c r="AC5668"/>
      <c r="AR5668"/>
    </row>
    <row r="5669" spans="24:44">
      <c r="X5669"/>
      <c r="Y5669"/>
      <c r="Z5669"/>
      <c r="AA5669"/>
      <c r="AC5669"/>
      <c r="AR5669"/>
    </row>
    <row r="5670" spans="24:44">
      <c r="X5670"/>
      <c r="Y5670"/>
      <c r="Z5670"/>
      <c r="AA5670"/>
      <c r="AC5670"/>
      <c r="AR5670"/>
    </row>
    <row r="5671" spans="24:44">
      <c r="X5671"/>
      <c r="Y5671"/>
      <c r="Z5671"/>
      <c r="AA5671"/>
      <c r="AC5671"/>
      <c r="AR5671"/>
    </row>
    <row r="5672" spans="24:44">
      <c r="X5672"/>
      <c r="Y5672"/>
      <c r="Z5672"/>
      <c r="AA5672"/>
      <c r="AC5672"/>
      <c r="AR5672"/>
    </row>
    <row r="5673" spans="24:44">
      <c r="X5673"/>
      <c r="Y5673"/>
      <c r="Z5673"/>
      <c r="AA5673"/>
      <c r="AC5673"/>
      <c r="AR5673"/>
    </row>
    <row r="5674" spans="24:44">
      <c r="X5674"/>
      <c r="Y5674"/>
      <c r="Z5674"/>
      <c r="AA5674"/>
      <c r="AC5674"/>
      <c r="AR5674"/>
    </row>
    <row r="5675" spans="24:44">
      <c r="X5675"/>
      <c r="Y5675"/>
      <c r="Z5675"/>
      <c r="AA5675"/>
      <c r="AC5675"/>
      <c r="AR5675"/>
    </row>
    <row r="5676" spans="24:44">
      <c r="X5676"/>
      <c r="Y5676"/>
      <c r="Z5676"/>
      <c r="AA5676"/>
      <c r="AC5676"/>
      <c r="AR5676"/>
    </row>
    <row r="5677" spans="24:44">
      <c r="X5677"/>
      <c r="Y5677"/>
      <c r="Z5677"/>
      <c r="AA5677"/>
      <c r="AC5677"/>
      <c r="AR5677"/>
    </row>
    <row r="5678" spans="24:44">
      <c r="X5678"/>
      <c r="Y5678"/>
      <c r="Z5678"/>
      <c r="AA5678"/>
      <c r="AC5678"/>
      <c r="AR5678"/>
    </row>
    <row r="5679" spans="24:44">
      <c r="X5679"/>
      <c r="Y5679"/>
      <c r="Z5679"/>
      <c r="AA5679"/>
      <c r="AC5679"/>
      <c r="AR5679"/>
    </row>
    <row r="5680" spans="24:44">
      <c r="X5680"/>
      <c r="Y5680"/>
      <c r="Z5680"/>
      <c r="AA5680"/>
      <c r="AC5680"/>
      <c r="AR5680"/>
    </row>
    <row r="5681" spans="24:44">
      <c r="X5681"/>
      <c r="Y5681"/>
      <c r="Z5681"/>
      <c r="AA5681"/>
      <c r="AC5681"/>
      <c r="AR5681"/>
    </row>
    <row r="5682" spans="24:44">
      <c r="X5682"/>
      <c r="Y5682"/>
      <c r="Z5682"/>
      <c r="AA5682"/>
      <c r="AC5682"/>
      <c r="AR5682"/>
    </row>
    <row r="5683" spans="24:44">
      <c r="X5683"/>
      <c r="Y5683"/>
      <c r="Z5683"/>
      <c r="AA5683"/>
      <c r="AC5683"/>
      <c r="AR5683"/>
    </row>
    <row r="5684" spans="24:44">
      <c r="X5684"/>
      <c r="Y5684"/>
      <c r="Z5684"/>
      <c r="AA5684"/>
      <c r="AC5684"/>
      <c r="AR5684"/>
    </row>
    <row r="5685" spans="24:44">
      <c r="X5685"/>
      <c r="Y5685"/>
      <c r="Z5685"/>
      <c r="AA5685"/>
      <c r="AC5685"/>
      <c r="AR5685"/>
    </row>
    <row r="5686" spans="24:44">
      <c r="X5686"/>
      <c r="Y5686"/>
      <c r="Z5686"/>
      <c r="AA5686"/>
      <c r="AC5686"/>
      <c r="AR5686"/>
    </row>
    <row r="5687" spans="24:44">
      <c r="X5687"/>
      <c r="Y5687"/>
      <c r="Z5687"/>
      <c r="AA5687"/>
      <c r="AC5687"/>
      <c r="AR5687"/>
    </row>
    <row r="5688" spans="24:44">
      <c r="X5688"/>
      <c r="Y5688"/>
      <c r="Z5688"/>
      <c r="AA5688"/>
      <c r="AC5688"/>
      <c r="AR5688"/>
    </row>
    <row r="5689" spans="24:44">
      <c r="X5689"/>
      <c r="Y5689"/>
      <c r="Z5689"/>
      <c r="AA5689"/>
      <c r="AC5689"/>
      <c r="AR5689"/>
    </row>
    <row r="5690" spans="24:44">
      <c r="X5690"/>
      <c r="Y5690"/>
      <c r="Z5690"/>
      <c r="AA5690"/>
      <c r="AC5690"/>
      <c r="AR5690"/>
    </row>
    <row r="5691" spans="24:44">
      <c r="X5691"/>
      <c r="Y5691"/>
      <c r="Z5691"/>
      <c r="AA5691"/>
      <c r="AC5691"/>
      <c r="AR5691"/>
    </row>
    <row r="5692" spans="24:44">
      <c r="X5692"/>
      <c r="Y5692"/>
      <c r="Z5692"/>
      <c r="AA5692"/>
      <c r="AC5692"/>
      <c r="AR5692"/>
    </row>
    <row r="5693" spans="24:44">
      <c r="X5693"/>
      <c r="Y5693"/>
      <c r="Z5693"/>
      <c r="AA5693"/>
      <c r="AC5693"/>
      <c r="AR5693"/>
    </row>
    <row r="5694" spans="24:44">
      <c r="X5694"/>
      <c r="Y5694"/>
      <c r="Z5694"/>
      <c r="AA5694"/>
      <c r="AC5694"/>
      <c r="AR5694"/>
    </row>
    <row r="5695" spans="24:44">
      <c r="X5695"/>
      <c r="Y5695"/>
      <c r="Z5695"/>
      <c r="AA5695"/>
      <c r="AC5695"/>
      <c r="AR5695"/>
    </row>
    <row r="5696" spans="24:44">
      <c r="X5696"/>
      <c r="Y5696"/>
      <c r="Z5696"/>
      <c r="AA5696"/>
      <c r="AC5696"/>
      <c r="AR5696"/>
    </row>
    <row r="5697" spans="24:44">
      <c r="X5697"/>
      <c r="Y5697"/>
      <c r="Z5697"/>
      <c r="AA5697"/>
      <c r="AC5697"/>
      <c r="AR5697"/>
    </row>
    <row r="5698" spans="24:44">
      <c r="X5698"/>
      <c r="Y5698"/>
      <c r="Z5698"/>
      <c r="AA5698"/>
      <c r="AC5698"/>
      <c r="AR5698"/>
    </row>
    <row r="5699" spans="24:44">
      <c r="X5699"/>
      <c r="Y5699"/>
      <c r="Z5699"/>
      <c r="AA5699"/>
      <c r="AC5699"/>
      <c r="AR5699"/>
    </row>
    <row r="5700" spans="24:44">
      <c r="X5700"/>
      <c r="Y5700"/>
      <c r="Z5700"/>
      <c r="AA5700"/>
      <c r="AC5700"/>
      <c r="AR5700"/>
    </row>
    <row r="5701" spans="24:44">
      <c r="X5701"/>
      <c r="Y5701"/>
      <c r="Z5701"/>
      <c r="AA5701"/>
      <c r="AC5701"/>
      <c r="AR5701"/>
    </row>
    <row r="5702" spans="24:44">
      <c r="X5702"/>
      <c r="Y5702"/>
      <c r="Z5702"/>
      <c r="AA5702"/>
      <c r="AC5702"/>
      <c r="AR5702"/>
    </row>
    <row r="5703" spans="24:44">
      <c r="X5703"/>
      <c r="Y5703"/>
      <c r="Z5703"/>
      <c r="AA5703"/>
      <c r="AC5703"/>
      <c r="AR5703"/>
    </row>
    <row r="5704" spans="24:44">
      <c r="X5704"/>
      <c r="Y5704"/>
      <c r="Z5704"/>
      <c r="AA5704"/>
      <c r="AC5704"/>
      <c r="AR5704"/>
    </row>
    <row r="5705" spans="24:44">
      <c r="X5705"/>
      <c r="Y5705"/>
      <c r="Z5705"/>
      <c r="AA5705"/>
      <c r="AC5705"/>
      <c r="AR5705"/>
    </row>
    <row r="5706" spans="24:44">
      <c r="X5706"/>
      <c r="Y5706"/>
      <c r="Z5706"/>
      <c r="AA5706"/>
      <c r="AC5706"/>
      <c r="AR5706"/>
    </row>
    <row r="5707" spans="24:44">
      <c r="X5707"/>
      <c r="Y5707"/>
      <c r="Z5707"/>
      <c r="AA5707"/>
      <c r="AC5707"/>
      <c r="AR5707"/>
    </row>
    <row r="5708" spans="24:44">
      <c r="X5708"/>
      <c r="Y5708"/>
      <c r="Z5708"/>
      <c r="AA5708"/>
      <c r="AC5708"/>
      <c r="AR5708"/>
    </row>
    <row r="5709" spans="24:44">
      <c r="X5709"/>
      <c r="Y5709"/>
      <c r="Z5709"/>
      <c r="AA5709"/>
      <c r="AC5709"/>
      <c r="AR5709"/>
    </row>
    <row r="5710" spans="24:44">
      <c r="X5710"/>
      <c r="Y5710"/>
      <c r="Z5710"/>
      <c r="AA5710"/>
      <c r="AC5710"/>
      <c r="AR5710"/>
    </row>
    <row r="5711" spans="24:44">
      <c r="X5711"/>
      <c r="Y5711"/>
      <c r="Z5711"/>
      <c r="AA5711"/>
      <c r="AC5711"/>
      <c r="AR5711"/>
    </row>
    <row r="5712" spans="24:44">
      <c r="X5712"/>
      <c r="Y5712"/>
      <c r="Z5712"/>
      <c r="AA5712"/>
      <c r="AC5712"/>
      <c r="AR5712"/>
    </row>
    <row r="5713" spans="24:44">
      <c r="X5713"/>
      <c r="Y5713"/>
      <c r="Z5713"/>
      <c r="AA5713"/>
      <c r="AC5713"/>
      <c r="AR5713"/>
    </row>
    <row r="5714" spans="24:44">
      <c r="X5714"/>
      <c r="Y5714"/>
      <c r="Z5714"/>
      <c r="AA5714"/>
      <c r="AC5714"/>
      <c r="AR5714"/>
    </row>
    <row r="5715" spans="24:44">
      <c r="X5715"/>
      <c r="Y5715"/>
      <c r="Z5715"/>
      <c r="AA5715"/>
      <c r="AC5715"/>
      <c r="AR5715"/>
    </row>
    <row r="5716" spans="24:44">
      <c r="X5716"/>
      <c r="Y5716"/>
      <c r="Z5716"/>
      <c r="AA5716"/>
      <c r="AC5716"/>
      <c r="AR5716"/>
    </row>
    <row r="5717" spans="24:44">
      <c r="X5717"/>
      <c r="Y5717"/>
      <c r="Z5717"/>
      <c r="AA5717"/>
      <c r="AC5717"/>
      <c r="AR5717"/>
    </row>
    <row r="5718" spans="24:44">
      <c r="X5718"/>
      <c r="Y5718"/>
      <c r="Z5718"/>
      <c r="AA5718"/>
      <c r="AC5718"/>
      <c r="AR5718"/>
    </row>
    <row r="5719" spans="24:44">
      <c r="X5719"/>
      <c r="Y5719"/>
      <c r="Z5719"/>
      <c r="AA5719"/>
      <c r="AC5719"/>
      <c r="AR5719"/>
    </row>
    <row r="5720" spans="24:44">
      <c r="X5720"/>
      <c r="Y5720"/>
      <c r="Z5720"/>
      <c r="AA5720"/>
      <c r="AC5720"/>
      <c r="AR5720"/>
    </row>
    <row r="5721" spans="24:44">
      <c r="X5721"/>
      <c r="Y5721"/>
      <c r="Z5721"/>
      <c r="AA5721"/>
      <c r="AC5721"/>
      <c r="AR5721"/>
    </row>
    <row r="5722" spans="24:44">
      <c r="X5722"/>
      <c r="Y5722"/>
      <c r="Z5722"/>
      <c r="AA5722"/>
      <c r="AC5722"/>
      <c r="AR5722"/>
    </row>
    <row r="5723" spans="24:44">
      <c r="X5723"/>
      <c r="Y5723"/>
      <c r="Z5723"/>
      <c r="AA5723"/>
      <c r="AC5723"/>
      <c r="AR5723"/>
    </row>
    <row r="5724" spans="24:44">
      <c r="X5724"/>
      <c r="Y5724"/>
      <c r="Z5724"/>
      <c r="AA5724"/>
      <c r="AC5724"/>
      <c r="AR5724"/>
    </row>
    <row r="5725" spans="24:44">
      <c r="X5725"/>
      <c r="Y5725"/>
      <c r="Z5725"/>
      <c r="AA5725"/>
      <c r="AC5725"/>
      <c r="AR5725"/>
    </row>
    <row r="5726" spans="24:44">
      <c r="X5726"/>
      <c r="Y5726"/>
      <c r="Z5726"/>
      <c r="AA5726"/>
      <c r="AC5726"/>
      <c r="AR5726"/>
    </row>
    <row r="5727" spans="24:44">
      <c r="X5727"/>
      <c r="Y5727"/>
      <c r="Z5727"/>
      <c r="AA5727"/>
      <c r="AC5727"/>
      <c r="AR5727"/>
    </row>
    <row r="5728" spans="24:44">
      <c r="X5728"/>
      <c r="Y5728"/>
      <c r="Z5728"/>
      <c r="AA5728"/>
      <c r="AC5728"/>
      <c r="AR5728"/>
    </row>
    <row r="5729" spans="24:44">
      <c r="X5729"/>
      <c r="Y5729"/>
      <c r="Z5729"/>
      <c r="AA5729"/>
      <c r="AC5729"/>
      <c r="AR5729"/>
    </row>
    <row r="5730" spans="24:44">
      <c r="X5730"/>
      <c r="Y5730"/>
      <c r="Z5730"/>
      <c r="AA5730"/>
      <c r="AC5730"/>
      <c r="AR5730"/>
    </row>
    <row r="5731" spans="24:44">
      <c r="X5731"/>
      <c r="Y5731"/>
      <c r="Z5731"/>
      <c r="AA5731"/>
      <c r="AC5731"/>
      <c r="AR5731"/>
    </row>
    <row r="5732" spans="24:44">
      <c r="X5732"/>
      <c r="Y5732"/>
      <c r="Z5732"/>
      <c r="AA5732"/>
      <c r="AC5732"/>
      <c r="AR5732"/>
    </row>
    <row r="5733" spans="24:44">
      <c r="X5733"/>
      <c r="Y5733"/>
      <c r="Z5733"/>
      <c r="AA5733"/>
      <c r="AC5733"/>
      <c r="AR5733"/>
    </row>
    <row r="5734" spans="24:44">
      <c r="X5734"/>
      <c r="Y5734"/>
      <c r="Z5734"/>
      <c r="AA5734"/>
      <c r="AC5734"/>
      <c r="AR5734"/>
    </row>
    <row r="5735" spans="24:44">
      <c r="X5735"/>
      <c r="Y5735"/>
      <c r="Z5735"/>
      <c r="AA5735"/>
      <c r="AC5735"/>
      <c r="AR5735"/>
    </row>
    <row r="5736" spans="24:44">
      <c r="X5736"/>
      <c r="Y5736"/>
      <c r="Z5736"/>
      <c r="AA5736"/>
      <c r="AC5736"/>
      <c r="AR5736"/>
    </row>
    <row r="5737" spans="24:44">
      <c r="X5737"/>
      <c r="Y5737"/>
      <c r="Z5737"/>
      <c r="AA5737"/>
      <c r="AC5737"/>
      <c r="AR5737"/>
    </row>
    <row r="5738" spans="24:44">
      <c r="X5738"/>
      <c r="Y5738"/>
      <c r="Z5738"/>
      <c r="AA5738"/>
      <c r="AC5738"/>
      <c r="AR5738"/>
    </row>
    <row r="5739" spans="24:44">
      <c r="X5739"/>
      <c r="Y5739"/>
      <c r="Z5739"/>
      <c r="AA5739"/>
      <c r="AC5739"/>
      <c r="AR5739"/>
    </row>
    <row r="5740" spans="24:44">
      <c r="X5740"/>
      <c r="Y5740"/>
      <c r="Z5740"/>
      <c r="AA5740"/>
      <c r="AC5740"/>
      <c r="AR5740"/>
    </row>
    <row r="5741" spans="24:44">
      <c r="X5741"/>
      <c r="Y5741"/>
      <c r="Z5741"/>
      <c r="AA5741"/>
      <c r="AC5741"/>
      <c r="AR5741"/>
    </row>
    <row r="5742" spans="24:44">
      <c r="X5742"/>
      <c r="Y5742"/>
      <c r="Z5742"/>
      <c r="AA5742"/>
      <c r="AC5742"/>
      <c r="AR5742"/>
    </row>
    <row r="5743" spans="24:44">
      <c r="X5743"/>
      <c r="Y5743"/>
      <c r="Z5743"/>
      <c r="AA5743"/>
      <c r="AC5743"/>
      <c r="AR5743"/>
    </row>
    <row r="5744" spans="24:44">
      <c r="X5744"/>
      <c r="Y5744"/>
      <c r="Z5744"/>
      <c r="AA5744"/>
      <c r="AC5744"/>
      <c r="AR5744"/>
    </row>
    <row r="5745" spans="24:44">
      <c r="X5745"/>
      <c r="Y5745"/>
      <c r="Z5745"/>
      <c r="AA5745"/>
      <c r="AC5745"/>
      <c r="AR5745"/>
    </row>
    <row r="5746" spans="24:44">
      <c r="X5746"/>
      <c r="Y5746"/>
      <c r="Z5746"/>
      <c r="AA5746"/>
      <c r="AC5746"/>
      <c r="AR5746"/>
    </row>
    <row r="5747" spans="24:44">
      <c r="X5747"/>
      <c r="Y5747"/>
      <c r="Z5747"/>
      <c r="AA5747"/>
      <c r="AC5747"/>
      <c r="AR5747"/>
    </row>
    <row r="5748" spans="24:44">
      <c r="X5748"/>
      <c r="Y5748"/>
      <c r="Z5748"/>
      <c r="AA5748"/>
      <c r="AC5748"/>
      <c r="AR5748"/>
    </row>
    <row r="5749" spans="24:44">
      <c r="X5749"/>
      <c r="Y5749"/>
      <c r="Z5749"/>
      <c r="AA5749"/>
      <c r="AC5749"/>
      <c r="AR5749"/>
    </row>
    <row r="5750" spans="24:44">
      <c r="X5750"/>
      <c r="Y5750"/>
      <c r="Z5750"/>
      <c r="AA5750"/>
      <c r="AC5750"/>
      <c r="AR5750"/>
    </row>
    <row r="5751" spans="24:44">
      <c r="X5751"/>
      <c r="Y5751"/>
      <c r="Z5751"/>
      <c r="AA5751"/>
      <c r="AC5751"/>
      <c r="AR5751"/>
    </row>
    <row r="5752" spans="24:44">
      <c r="X5752"/>
      <c r="Y5752"/>
      <c r="Z5752"/>
      <c r="AA5752"/>
      <c r="AC5752"/>
      <c r="AR5752"/>
    </row>
    <row r="5753" spans="24:44">
      <c r="X5753"/>
      <c r="Y5753"/>
      <c r="Z5753"/>
      <c r="AA5753"/>
      <c r="AC5753"/>
      <c r="AR5753"/>
    </row>
    <row r="5754" spans="24:44">
      <c r="X5754"/>
      <c r="Y5754"/>
      <c r="Z5754"/>
      <c r="AA5754"/>
      <c r="AC5754"/>
      <c r="AR5754"/>
    </row>
    <row r="5755" spans="24:44">
      <c r="X5755"/>
      <c r="Y5755"/>
      <c r="Z5755"/>
      <c r="AA5755"/>
      <c r="AC5755"/>
      <c r="AR5755"/>
    </row>
    <row r="5756" spans="24:44">
      <c r="X5756"/>
      <c r="Y5756"/>
      <c r="Z5756"/>
      <c r="AA5756"/>
      <c r="AC5756"/>
      <c r="AR5756"/>
    </row>
    <row r="5757" spans="24:44">
      <c r="X5757"/>
      <c r="Y5757"/>
      <c r="Z5757"/>
      <c r="AA5757"/>
      <c r="AC5757"/>
      <c r="AR5757"/>
    </row>
    <row r="5758" spans="24:44">
      <c r="X5758"/>
      <c r="Y5758"/>
      <c r="Z5758"/>
      <c r="AA5758"/>
      <c r="AC5758"/>
      <c r="AR5758"/>
    </row>
    <row r="5759" spans="24:44">
      <c r="X5759"/>
      <c r="Y5759"/>
      <c r="Z5759"/>
      <c r="AA5759"/>
      <c r="AC5759"/>
      <c r="AR5759"/>
    </row>
    <row r="5760" spans="24:44">
      <c r="X5760"/>
      <c r="Y5760"/>
      <c r="Z5760"/>
      <c r="AA5760"/>
      <c r="AC5760"/>
      <c r="AR5760"/>
    </row>
    <row r="5761" spans="24:44">
      <c r="X5761"/>
      <c r="Y5761"/>
      <c r="Z5761"/>
      <c r="AA5761"/>
      <c r="AC5761"/>
      <c r="AR5761"/>
    </row>
    <row r="5762" spans="24:44">
      <c r="X5762"/>
      <c r="Y5762"/>
      <c r="Z5762"/>
      <c r="AA5762"/>
      <c r="AC5762"/>
      <c r="AR5762"/>
    </row>
    <row r="5763" spans="24:44">
      <c r="X5763"/>
      <c r="Y5763"/>
      <c r="Z5763"/>
      <c r="AA5763"/>
      <c r="AC5763"/>
      <c r="AR5763"/>
    </row>
    <row r="5764" spans="24:44">
      <c r="X5764"/>
      <c r="Y5764"/>
      <c r="Z5764"/>
      <c r="AA5764"/>
      <c r="AC5764"/>
      <c r="AR5764"/>
    </row>
    <row r="5765" spans="24:44">
      <c r="X5765"/>
      <c r="Y5765"/>
      <c r="Z5765"/>
      <c r="AA5765"/>
      <c r="AC5765"/>
      <c r="AR5765"/>
    </row>
    <row r="5766" spans="24:44">
      <c r="X5766"/>
      <c r="Y5766"/>
      <c r="Z5766"/>
      <c r="AA5766"/>
      <c r="AC5766"/>
      <c r="AR5766"/>
    </row>
    <row r="5767" spans="24:44">
      <c r="X5767"/>
      <c r="Y5767"/>
      <c r="Z5767"/>
      <c r="AA5767"/>
      <c r="AC5767"/>
      <c r="AR5767"/>
    </row>
    <row r="5768" spans="24:44">
      <c r="X5768"/>
      <c r="Y5768"/>
      <c r="Z5768"/>
      <c r="AA5768"/>
      <c r="AC5768"/>
      <c r="AR5768"/>
    </row>
    <row r="5769" spans="24:44">
      <c r="X5769"/>
      <c r="Y5769"/>
      <c r="Z5769"/>
      <c r="AA5769"/>
      <c r="AC5769"/>
      <c r="AR5769"/>
    </row>
    <row r="5770" spans="24:44">
      <c r="X5770"/>
      <c r="Y5770"/>
      <c r="Z5770"/>
      <c r="AA5770"/>
      <c r="AC5770"/>
      <c r="AR5770"/>
    </row>
    <row r="5771" spans="24:44">
      <c r="X5771"/>
      <c r="Y5771"/>
      <c r="Z5771"/>
      <c r="AA5771"/>
      <c r="AC5771"/>
      <c r="AR5771"/>
    </row>
    <row r="5772" spans="24:44">
      <c r="X5772"/>
      <c r="Y5772"/>
      <c r="Z5772"/>
      <c r="AA5772"/>
      <c r="AC5772"/>
      <c r="AR5772"/>
    </row>
    <row r="5773" spans="24:44">
      <c r="X5773"/>
      <c r="Y5773"/>
      <c r="Z5773"/>
      <c r="AA5773"/>
      <c r="AC5773"/>
      <c r="AR5773"/>
    </row>
    <row r="5774" spans="24:44">
      <c r="X5774"/>
      <c r="Y5774"/>
      <c r="Z5774"/>
      <c r="AA5774"/>
      <c r="AC5774"/>
      <c r="AR5774"/>
    </row>
    <row r="5775" spans="24:44">
      <c r="X5775"/>
      <c r="Y5775"/>
      <c r="Z5775"/>
      <c r="AA5775"/>
      <c r="AC5775"/>
      <c r="AR5775"/>
    </row>
    <row r="5776" spans="24:44">
      <c r="X5776"/>
      <c r="Y5776"/>
      <c r="Z5776"/>
      <c r="AA5776"/>
      <c r="AC5776"/>
      <c r="AR5776"/>
    </row>
    <row r="5777" spans="24:44">
      <c r="X5777"/>
      <c r="Y5777"/>
      <c r="Z5777"/>
      <c r="AA5777"/>
      <c r="AC5777"/>
      <c r="AR5777"/>
    </row>
    <row r="5778" spans="24:44">
      <c r="X5778"/>
      <c r="Y5778"/>
      <c r="Z5778"/>
      <c r="AA5778"/>
      <c r="AC5778"/>
      <c r="AR5778"/>
    </row>
    <row r="5779" spans="24:44">
      <c r="X5779"/>
      <c r="Y5779"/>
      <c r="Z5779"/>
      <c r="AA5779"/>
      <c r="AC5779"/>
      <c r="AR5779"/>
    </row>
    <row r="5780" spans="24:44">
      <c r="X5780"/>
      <c r="Y5780"/>
      <c r="Z5780"/>
      <c r="AA5780"/>
      <c r="AC5780"/>
      <c r="AR5780"/>
    </row>
    <row r="5781" spans="24:44">
      <c r="X5781"/>
      <c r="Y5781"/>
      <c r="Z5781"/>
      <c r="AA5781"/>
      <c r="AC5781"/>
      <c r="AR5781"/>
    </row>
    <row r="5782" spans="24:44">
      <c r="X5782"/>
      <c r="Y5782"/>
      <c r="Z5782"/>
      <c r="AA5782"/>
      <c r="AC5782"/>
      <c r="AR5782"/>
    </row>
    <row r="5783" spans="24:44">
      <c r="X5783"/>
      <c r="Y5783"/>
      <c r="Z5783"/>
      <c r="AA5783"/>
      <c r="AC5783"/>
      <c r="AR5783"/>
    </row>
    <row r="5784" spans="24:44">
      <c r="X5784"/>
      <c r="Y5784"/>
      <c r="Z5784"/>
      <c r="AA5784"/>
      <c r="AC5784"/>
      <c r="AR5784"/>
    </row>
    <row r="5785" spans="24:44">
      <c r="X5785"/>
      <c r="Y5785"/>
      <c r="Z5785"/>
      <c r="AA5785"/>
      <c r="AC5785"/>
      <c r="AR5785"/>
    </row>
    <row r="5786" spans="24:44">
      <c r="X5786"/>
      <c r="Y5786"/>
      <c r="Z5786"/>
      <c r="AA5786"/>
      <c r="AC5786"/>
      <c r="AR5786"/>
    </row>
    <row r="5787" spans="24:44">
      <c r="X5787"/>
      <c r="Y5787"/>
      <c r="Z5787"/>
      <c r="AA5787"/>
      <c r="AC5787"/>
      <c r="AR5787"/>
    </row>
    <row r="5788" spans="24:44">
      <c r="X5788"/>
      <c r="Y5788"/>
      <c r="Z5788"/>
      <c r="AA5788"/>
      <c r="AC5788"/>
      <c r="AR5788"/>
    </row>
    <row r="5789" spans="24:44">
      <c r="X5789"/>
      <c r="Y5789"/>
      <c r="Z5789"/>
      <c r="AA5789"/>
      <c r="AC5789"/>
      <c r="AR5789"/>
    </row>
    <row r="5790" spans="24:44">
      <c r="X5790"/>
      <c r="Y5790"/>
      <c r="Z5790"/>
      <c r="AA5790"/>
      <c r="AC5790"/>
      <c r="AR5790"/>
    </row>
    <row r="5791" spans="24:44">
      <c r="X5791"/>
      <c r="Y5791"/>
      <c r="Z5791"/>
      <c r="AA5791"/>
      <c r="AC5791"/>
      <c r="AR5791"/>
    </row>
    <row r="5792" spans="24:44">
      <c r="X5792"/>
      <c r="Y5792"/>
      <c r="Z5792"/>
      <c r="AA5792"/>
      <c r="AC5792"/>
      <c r="AR5792"/>
    </row>
    <row r="5793" spans="24:44">
      <c r="X5793"/>
      <c r="Y5793"/>
      <c r="Z5793"/>
      <c r="AA5793"/>
      <c r="AC5793"/>
      <c r="AR5793"/>
    </row>
    <row r="5794" spans="24:44">
      <c r="X5794"/>
      <c r="Y5794"/>
      <c r="Z5794"/>
      <c r="AA5794"/>
      <c r="AC5794"/>
      <c r="AR5794"/>
    </row>
    <row r="5795" spans="24:44">
      <c r="X5795"/>
      <c r="Y5795"/>
      <c r="Z5795"/>
      <c r="AA5795"/>
      <c r="AC5795"/>
      <c r="AR5795"/>
    </row>
    <row r="5796" spans="24:44">
      <c r="X5796"/>
      <c r="Y5796"/>
      <c r="Z5796"/>
      <c r="AA5796"/>
      <c r="AC5796"/>
      <c r="AR5796"/>
    </row>
    <row r="5797" spans="24:44">
      <c r="X5797"/>
      <c r="Y5797"/>
      <c r="Z5797"/>
      <c r="AA5797"/>
      <c r="AC5797"/>
      <c r="AR5797"/>
    </row>
    <row r="5798" spans="24:44">
      <c r="X5798"/>
      <c r="Y5798"/>
      <c r="Z5798"/>
      <c r="AA5798"/>
      <c r="AC5798"/>
      <c r="AR5798"/>
    </row>
    <row r="5799" spans="24:44">
      <c r="X5799"/>
      <c r="Y5799"/>
      <c r="Z5799"/>
      <c r="AA5799"/>
      <c r="AC5799"/>
      <c r="AR5799"/>
    </row>
    <row r="5800" spans="24:44">
      <c r="X5800"/>
      <c r="Y5800"/>
      <c r="Z5800"/>
      <c r="AA5800"/>
      <c r="AC5800"/>
      <c r="AR5800"/>
    </row>
    <row r="5801" spans="24:44">
      <c r="X5801"/>
      <c r="Y5801"/>
      <c r="Z5801"/>
      <c r="AA5801"/>
      <c r="AC5801"/>
      <c r="AR5801"/>
    </row>
    <row r="5802" spans="24:44">
      <c r="X5802"/>
      <c r="Y5802"/>
      <c r="Z5802"/>
      <c r="AA5802"/>
      <c r="AC5802"/>
      <c r="AR5802"/>
    </row>
    <row r="5803" spans="24:44">
      <c r="X5803"/>
      <c r="Y5803"/>
      <c r="Z5803"/>
      <c r="AA5803"/>
      <c r="AC5803"/>
      <c r="AR5803"/>
    </row>
    <row r="5804" spans="24:44">
      <c r="X5804"/>
      <c r="Y5804"/>
      <c r="Z5804"/>
      <c r="AA5804"/>
      <c r="AC5804"/>
      <c r="AR5804"/>
    </row>
    <row r="5805" spans="24:44">
      <c r="X5805"/>
      <c r="Y5805"/>
      <c r="Z5805"/>
      <c r="AA5805"/>
      <c r="AC5805"/>
      <c r="AR5805"/>
    </row>
    <row r="5806" spans="24:44">
      <c r="X5806"/>
      <c r="Y5806"/>
      <c r="Z5806"/>
      <c r="AA5806"/>
      <c r="AC5806"/>
      <c r="AR5806"/>
    </row>
    <row r="5807" spans="24:44">
      <c r="X5807"/>
      <c r="Y5807"/>
      <c r="Z5807"/>
      <c r="AA5807"/>
      <c r="AC5807"/>
      <c r="AR5807"/>
    </row>
    <row r="5808" spans="24:44">
      <c r="X5808"/>
      <c r="Y5808"/>
      <c r="Z5808"/>
      <c r="AA5808"/>
      <c r="AC5808"/>
      <c r="AR5808"/>
    </row>
    <row r="5809" spans="24:44">
      <c r="X5809"/>
      <c r="Y5809"/>
      <c r="Z5809"/>
      <c r="AA5809"/>
      <c r="AC5809"/>
      <c r="AR5809"/>
    </row>
    <row r="5810" spans="24:44">
      <c r="X5810"/>
      <c r="Y5810"/>
      <c r="Z5810"/>
      <c r="AA5810"/>
      <c r="AC5810"/>
      <c r="AR5810"/>
    </row>
    <row r="5811" spans="24:44">
      <c r="X5811"/>
      <c r="Y5811"/>
      <c r="Z5811"/>
      <c r="AA5811"/>
      <c r="AC5811"/>
      <c r="AR5811"/>
    </row>
    <row r="5812" spans="24:44">
      <c r="X5812"/>
      <c r="Y5812"/>
      <c r="Z5812"/>
      <c r="AA5812"/>
      <c r="AC5812"/>
      <c r="AR5812"/>
    </row>
    <row r="5813" spans="24:44">
      <c r="X5813"/>
      <c r="Y5813"/>
      <c r="Z5813"/>
      <c r="AA5813"/>
      <c r="AC5813"/>
      <c r="AR5813"/>
    </row>
    <row r="5814" spans="24:44">
      <c r="X5814"/>
      <c r="Y5814"/>
      <c r="Z5814"/>
      <c r="AA5814"/>
      <c r="AC5814"/>
      <c r="AR5814"/>
    </row>
    <row r="5815" spans="24:44">
      <c r="X5815"/>
      <c r="Y5815"/>
      <c r="Z5815"/>
      <c r="AA5815"/>
      <c r="AC5815"/>
      <c r="AR5815"/>
    </row>
    <row r="5816" spans="24:44">
      <c r="X5816"/>
      <c r="Y5816"/>
      <c r="Z5816"/>
      <c r="AA5816"/>
      <c r="AC5816"/>
      <c r="AR5816"/>
    </row>
    <row r="5817" spans="24:44">
      <c r="X5817"/>
      <c r="Y5817"/>
      <c r="Z5817"/>
      <c r="AA5817"/>
      <c r="AC5817"/>
      <c r="AR5817"/>
    </row>
    <row r="5818" spans="24:44">
      <c r="X5818"/>
      <c r="Y5818"/>
      <c r="Z5818"/>
      <c r="AA5818"/>
      <c r="AC5818"/>
      <c r="AR5818"/>
    </row>
    <row r="5819" spans="24:44">
      <c r="X5819"/>
      <c r="Y5819"/>
      <c r="Z5819"/>
      <c r="AA5819"/>
      <c r="AC5819"/>
      <c r="AR5819"/>
    </row>
    <row r="5820" spans="24:44">
      <c r="X5820"/>
      <c r="Y5820"/>
      <c r="Z5820"/>
      <c r="AA5820"/>
      <c r="AC5820"/>
      <c r="AR5820"/>
    </row>
    <row r="5821" spans="24:44">
      <c r="X5821"/>
      <c r="Y5821"/>
      <c r="Z5821"/>
      <c r="AA5821"/>
      <c r="AC5821"/>
      <c r="AR5821"/>
    </row>
    <row r="5822" spans="24:44">
      <c r="X5822"/>
      <c r="Y5822"/>
      <c r="Z5822"/>
      <c r="AA5822"/>
      <c r="AC5822"/>
      <c r="AR5822"/>
    </row>
    <row r="5823" spans="24:44">
      <c r="X5823"/>
      <c r="Y5823"/>
      <c r="Z5823"/>
      <c r="AA5823"/>
      <c r="AC5823"/>
      <c r="AR5823"/>
    </row>
    <row r="5824" spans="24:44">
      <c r="X5824"/>
      <c r="Y5824"/>
      <c r="Z5824"/>
      <c r="AA5824"/>
      <c r="AC5824"/>
      <c r="AR5824"/>
    </row>
    <row r="5825" spans="24:44">
      <c r="X5825"/>
      <c r="Y5825"/>
      <c r="Z5825"/>
      <c r="AA5825"/>
      <c r="AC5825"/>
      <c r="AR5825"/>
    </row>
    <row r="5826" spans="24:44">
      <c r="X5826"/>
      <c r="Y5826"/>
      <c r="Z5826"/>
      <c r="AA5826"/>
      <c r="AC5826"/>
      <c r="AR5826"/>
    </row>
    <row r="5827" spans="24:44">
      <c r="X5827"/>
      <c r="Y5827"/>
      <c r="Z5827"/>
      <c r="AA5827"/>
      <c r="AC5827"/>
      <c r="AR5827"/>
    </row>
    <row r="5828" spans="24:44">
      <c r="X5828"/>
      <c r="Y5828"/>
      <c r="Z5828"/>
      <c r="AA5828"/>
      <c r="AC5828"/>
      <c r="AR5828"/>
    </row>
    <row r="5829" spans="24:44">
      <c r="X5829"/>
      <c r="Y5829"/>
      <c r="Z5829"/>
      <c r="AA5829"/>
      <c r="AC5829"/>
      <c r="AR5829"/>
    </row>
    <row r="5830" spans="24:44">
      <c r="X5830"/>
      <c r="Y5830"/>
      <c r="Z5830"/>
      <c r="AA5830"/>
      <c r="AC5830"/>
      <c r="AR5830"/>
    </row>
    <row r="5831" spans="24:44">
      <c r="X5831"/>
      <c r="Y5831"/>
      <c r="Z5831"/>
      <c r="AA5831"/>
      <c r="AC5831"/>
      <c r="AR5831"/>
    </row>
    <row r="5832" spans="24:44">
      <c r="X5832"/>
      <c r="Y5832"/>
      <c r="Z5832"/>
      <c r="AA5832"/>
      <c r="AC5832"/>
      <c r="AR5832"/>
    </row>
    <row r="5833" spans="24:44">
      <c r="X5833"/>
      <c r="Y5833"/>
      <c r="Z5833"/>
      <c r="AA5833"/>
      <c r="AC5833"/>
      <c r="AR5833"/>
    </row>
    <row r="5834" spans="24:44">
      <c r="X5834"/>
      <c r="Y5834"/>
      <c r="Z5834"/>
      <c r="AA5834"/>
      <c r="AC5834"/>
      <c r="AR5834"/>
    </row>
    <row r="5835" spans="24:44">
      <c r="X5835"/>
      <c r="Y5835"/>
      <c r="Z5835"/>
      <c r="AA5835"/>
      <c r="AC5835"/>
      <c r="AR5835"/>
    </row>
    <row r="5836" spans="24:44">
      <c r="X5836"/>
      <c r="Y5836"/>
      <c r="Z5836"/>
      <c r="AA5836"/>
      <c r="AC5836"/>
      <c r="AR5836"/>
    </row>
    <row r="5837" spans="24:44">
      <c r="X5837"/>
      <c r="Y5837"/>
      <c r="Z5837"/>
      <c r="AA5837"/>
      <c r="AC5837"/>
      <c r="AR5837"/>
    </row>
    <row r="5838" spans="24:44">
      <c r="X5838"/>
      <c r="Y5838"/>
      <c r="Z5838"/>
      <c r="AA5838"/>
      <c r="AC5838"/>
      <c r="AR5838"/>
    </row>
    <row r="5839" spans="24:44">
      <c r="X5839"/>
      <c r="Y5839"/>
      <c r="Z5839"/>
      <c r="AA5839"/>
      <c r="AC5839"/>
      <c r="AR5839"/>
    </row>
    <row r="5840" spans="24:44">
      <c r="X5840"/>
      <c r="Y5840"/>
      <c r="Z5840"/>
      <c r="AA5840"/>
      <c r="AC5840"/>
      <c r="AR5840"/>
    </row>
    <row r="5841" spans="24:44">
      <c r="X5841"/>
      <c r="Y5841"/>
      <c r="Z5841"/>
      <c r="AA5841"/>
      <c r="AC5841"/>
      <c r="AR5841"/>
    </row>
    <row r="5842" spans="24:44">
      <c r="X5842"/>
      <c r="Y5842"/>
      <c r="Z5842"/>
      <c r="AA5842"/>
      <c r="AC5842"/>
      <c r="AR5842"/>
    </row>
    <row r="5843" spans="24:44">
      <c r="X5843"/>
      <c r="Y5843"/>
      <c r="Z5843"/>
      <c r="AA5843"/>
      <c r="AC5843"/>
      <c r="AR5843"/>
    </row>
    <row r="5844" spans="24:44">
      <c r="X5844"/>
      <c r="Y5844"/>
      <c r="Z5844"/>
      <c r="AA5844"/>
      <c r="AC5844"/>
      <c r="AR5844"/>
    </row>
    <row r="5845" spans="24:44">
      <c r="X5845"/>
      <c r="Y5845"/>
      <c r="Z5845"/>
      <c r="AA5845"/>
      <c r="AC5845"/>
      <c r="AR5845"/>
    </row>
    <row r="5846" spans="24:44">
      <c r="X5846"/>
      <c r="Y5846"/>
      <c r="Z5846"/>
      <c r="AA5846"/>
      <c r="AC5846"/>
      <c r="AR5846"/>
    </row>
    <row r="5847" spans="24:44">
      <c r="X5847"/>
      <c r="Y5847"/>
      <c r="Z5847"/>
      <c r="AA5847"/>
      <c r="AC5847"/>
      <c r="AR5847"/>
    </row>
    <row r="5848" spans="24:44">
      <c r="X5848"/>
      <c r="Y5848"/>
      <c r="Z5848"/>
      <c r="AA5848"/>
      <c r="AC5848"/>
      <c r="AR5848"/>
    </row>
    <row r="5849" spans="24:44">
      <c r="X5849"/>
      <c r="Y5849"/>
      <c r="Z5849"/>
      <c r="AA5849"/>
      <c r="AC5849"/>
      <c r="AR5849"/>
    </row>
    <row r="5850" spans="24:44">
      <c r="X5850"/>
      <c r="Y5850"/>
      <c r="Z5850"/>
      <c r="AA5850"/>
      <c r="AC5850"/>
      <c r="AR5850"/>
    </row>
    <row r="5851" spans="24:44">
      <c r="X5851"/>
      <c r="Y5851"/>
      <c r="Z5851"/>
      <c r="AA5851"/>
      <c r="AC5851"/>
      <c r="AR5851"/>
    </row>
    <row r="5852" spans="24:44">
      <c r="X5852"/>
      <c r="Y5852"/>
      <c r="Z5852"/>
      <c r="AA5852"/>
      <c r="AC5852"/>
      <c r="AR5852"/>
    </row>
    <row r="5853" spans="24:44">
      <c r="X5853"/>
      <c r="Y5853"/>
      <c r="Z5853"/>
      <c r="AA5853"/>
      <c r="AC5853"/>
      <c r="AR5853"/>
    </row>
    <row r="5854" spans="24:44">
      <c r="X5854"/>
      <c r="Y5854"/>
      <c r="Z5854"/>
      <c r="AA5854"/>
      <c r="AC5854"/>
      <c r="AR5854"/>
    </row>
    <row r="5855" spans="24:44">
      <c r="X5855"/>
      <c r="Y5855"/>
      <c r="Z5855"/>
      <c r="AA5855"/>
      <c r="AC5855"/>
      <c r="AR5855"/>
    </row>
    <row r="5856" spans="24:44">
      <c r="X5856"/>
      <c r="Y5856"/>
      <c r="Z5856"/>
      <c r="AA5856"/>
      <c r="AC5856"/>
      <c r="AR5856"/>
    </row>
    <row r="5857" spans="24:44">
      <c r="X5857"/>
      <c r="Y5857"/>
      <c r="Z5857"/>
      <c r="AA5857"/>
      <c r="AC5857"/>
      <c r="AR5857"/>
    </row>
    <row r="5858" spans="24:44">
      <c r="X5858"/>
      <c r="Y5858"/>
      <c r="Z5858"/>
      <c r="AA5858"/>
      <c r="AC5858"/>
      <c r="AR5858"/>
    </row>
    <row r="5859" spans="24:44">
      <c r="X5859"/>
      <c r="Y5859"/>
      <c r="Z5859"/>
      <c r="AA5859"/>
      <c r="AC5859"/>
      <c r="AR5859"/>
    </row>
    <row r="5860" spans="24:44">
      <c r="X5860"/>
      <c r="Y5860"/>
      <c r="Z5860"/>
      <c r="AA5860"/>
      <c r="AC5860"/>
      <c r="AR5860"/>
    </row>
    <row r="5861" spans="24:44">
      <c r="X5861"/>
      <c r="Y5861"/>
      <c r="Z5861"/>
      <c r="AA5861"/>
      <c r="AC5861"/>
      <c r="AR5861"/>
    </row>
    <row r="5862" spans="24:44">
      <c r="X5862"/>
      <c r="Y5862"/>
      <c r="Z5862"/>
      <c r="AA5862"/>
      <c r="AC5862"/>
      <c r="AR5862"/>
    </row>
    <row r="5863" spans="24:44">
      <c r="X5863"/>
      <c r="Y5863"/>
      <c r="Z5863"/>
      <c r="AA5863"/>
      <c r="AC5863"/>
      <c r="AR5863"/>
    </row>
    <row r="5864" spans="24:44">
      <c r="X5864"/>
      <c r="Y5864"/>
      <c r="Z5864"/>
      <c r="AA5864"/>
      <c r="AC5864"/>
      <c r="AR5864"/>
    </row>
    <row r="5865" spans="24:44">
      <c r="X5865"/>
      <c r="Y5865"/>
      <c r="Z5865"/>
      <c r="AA5865"/>
      <c r="AC5865"/>
      <c r="AR5865"/>
    </row>
    <row r="5866" spans="24:44">
      <c r="X5866"/>
      <c r="Y5866"/>
      <c r="Z5866"/>
      <c r="AA5866"/>
      <c r="AC5866"/>
      <c r="AR5866"/>
    </row>
    <row r="5867" spans="24:44">
      <c r="X5867"/>
      <c r="Y5867"/>
      <c r="Z5867"/>
      <c r="AA5867"/>
      <c r="AC5867"/>
      <c r="AR5867"/>
    </row>
    <row r="5868" spans="24:44">
      <c r="X5868"/>
      <c r="Y5868"/>
      <c r="Z5868"/>
      <c r="AA5868"/>
      <c r="AC5868"/>
      <c r="AR5868"/>
    </row>
    <row r="5869" spans="24:44">
      <c r="X5869"/>
      <c r="Y5869"/>
      <c r="Z5869"/>
      <c r="AA5869"/>
      <c r="AC5869"/>
      <c r="AR5869"/>
    </row>
    <row r="5870" spans="24:44">
      <c r="X5870"/>
      <c r="Y5870"/>
      <c r="Z5870"/>
      <c r="AA5870"/>
      <c r="AC5870"/>
      <c r="AR5870"/>
    </row>
    <row r="5871" spans="24:44">
      <c r="X5871"/>
      <c r="Y5871"/>
      <c r="Z5871"/>
      <c r="AA5871"/>
      <c r="AC5871"/>
      <c r="AR5871"/>
    </row>
    <row r="5872" spans="24:44">
      <c r="X5872"/>
      <c r="Y5872"/>
      <c r="Z5872"/>
      <c r="AA5872"/>
      <c r="AC5872"/>
      <c r="AR5872"/>
    </row>
    <row r="5873" spans="24:44">
      <c r="X5873"/>
      <c r="Y5873"/>
      <c r="Z5873"/>
      <c r="AA5873"/>
      <c r="AC5873"/>
      <c r="AR5873"/>
    </row>
    <row r="5874" spans="24:44">
      <c r="X5874"/>
      <c r="Y5874"/>
      <c r="Z5874"/>
      <c r="AA5874"/>
      <c r="AC5874"/>
      <c r="AR5874"/>
    </row>
    <row r="5875" spans="24:44">
      <c r="X5875"/>
      <c r="Y5875"/>
      <c r="Z5875"/>
      <c r="AA5875"/>
      <c r="AC5875"/>
      <c r="AR5875"/>
    </row>
    <row r="5876" spans="24:44">
      <c r="X5876"/>
      <c r="Y5876"/>
      <c r="Z5876"/>
      <c r="AA5876"/>
      <c r="AC5876"/>
      <c r="AR5876"/>
    </row>
    <row r="5877" spans="24:44">
      <c r="X5877"/>
      <c r="Y5877"/>
      <c r="Z5877"/>
      <c r="AA5877"/>
      <c r="AC5877"/>
      <c r="AR5877"/>
    </row>
    <row r="5878" spans="24:44">
      <c r="X5878"/>
      <c r="Y5878"/>
      <c r="Z5878"/>
      <c r="AA5878"/>
      <c r="AC5878"/>
      <c r="AR5878"/>
    </row>
    <row r="5879" spans="24:44">
      <c r="X5879"/>
      <c r="Y5879"/>
      <c r="Z5879"/>
      <c r="AA5879"/>
      <c r="AC5879"/>
      <c r="AR5879"/>
    </row>
    <row r="5880" spans="24:44">
      <c r="X5880"/>
      <c r="Y5880"/>
      <c r="Z5880"/>
      <c r="AA5880"/>
      <c r="AC5880"/>
      <c r="AR5880"/>
    </row>
    <row r="5881" spans="24:44">
      <c r="X5881"/>
      <c r="Y5881"/>
      <c r="Z5881"/>
      <c r="AA5881"/>
      <c r="AC5881"/>
      <c r="AR5881"/>
    </row>
    <row r="5882" spans="24:44">
      <c r="X5882"/>
      <c r="Y5882"/>
      <c r="Z5882"/>
      <c r="AA5882"/>
      <c r="AC5882"/>
      <c r="AR5882"/>
    </row>
    <row r="5883" spans="24:44">
      <c r="X5883"/>
      <c r="Y5883"/>
      <c r="Z5883"/>
      <c r="AA5883"/>
      <c r="AC5883"/>
      <c r="AR5883"/>
    </row>
    <row r="5884" spans="24:44">
      <c r="X5884"/>
      <c r="Y5884"/>
      <c r="Z5884"/>
      <c r="AA5884"/>
      <c r="AC5884"/>
      <c r="AR5884"/>
    </row>
    <row r="5885" spans="24:44">
      <c r="X5885"/>
      <c r="Y5885"/>
      <c r="Z5885"/>
      <c r="AA5885"/>
      <c r="AC5885"/>
      <c r="AR5885"/>
    </row>
    <row r="5886" spans="24:44">
      <c r="X5886"/>
      <c r="Y5886"/>
      <c r="Z5886"/>
      <c r="AA5886"/>
      <c r="AC5886"/>
      <c r="AR5886"/>
    </row>
    <row r="5887" spans="24:44">
      <c r="X5887"/>
      <c r="Y5887"/>
      <c r="Z5887"/>
      <c r="AA5887"/>
      <c r="AC5887"/>
      <c r="AR5887"/>
    </row>
    <row r="5888" spans="24:44">
      <c r="X5888"/>
      <c r="Y5888"/>
      <c r="Z5888"/>
      <c r="AA5888"/>
      <c r="AC5888"/>
      <c r="AR5888"/>
    </row>
    <row r="5889" spans="24:44">
      <c r="X5889"/>
      <c r="Y5889"/>
      <c r="Z5889"/>
      <c r="AA5889"/>
      <c r="AC5889"/>
      <c r="AR5889"/>
    </row>
    <row r="5890" spans="24:44">
      <c r="X5890"/>
      <c r="Y5890"/>
      <c r="Z5890"/>
      <c r="AA5890"/>
      <c r="AC5890"/>
      <c r="AR5890"/>
    </row>
    <row r="5891" spans="24:44">
      <c r="X5891"/>
      <c r="Y5891"/>
      <c r="Z5891"/>
      <c r="AA5891"/>
      <c r="AC5891"/>
      <c r="AR5891"/>
    </row>
    <row r="5892" spans="24:44">
      <c r="X5892"/>
      <c r="Y5892"/>
      <c r="Z5892"/>
      <c r="AA5892"/>
      <c r="AC5892"/>
      <c r="AR5892"/>
    </row>
    <row r="5893" spans="24:44">
      <c r="X5893"/>
      <c r="Y5893"/>
      <c r="Z5893"/>
      <c r="AA5893"/>
      <c r="AC5893"/>
      <c r="AR5893"/>
    </row>
    <row r="5894" spans="24:44">
      <c r="X5894"/>
      <c r="Y5894"/>
      <c r="Z5894"/>
      <c r="AA5894"/>
      <c r="AC5894"/>
      <c r="AR5894"/>
    </row>
    <row r="5895" spans="24:44">
      <c r="X5895"/>
      <c r="Y5895"/>
      <c r="Z5895"/>
      <c r="AA5895"/>
      <c r="AC5895"/>
      <c r="AR5895"/>
    </row>
    <row r="5896" spans="24:44">
      <c r="X5896"/>
      <c r="Y5896"/>
      <c r="Z5896"/>
      <c r="AA5896"/>
      <c r="AC5896"/>
      <c r="AR5896"/>
    </row>
    <row r="5897" spans="24:44">
      <c r="X5897"/>
      <c r="Y5897"/>
      <c r="Z5897"/>
      <c r="AA5897"/>
      <c r="AC5897"/>
      <c r="AR5897"/>
    </row>
    <row r="5898" spans="24:44">
      <c r="X5898"/>
      <c r="Y5898"/>
      <c r="Z5898"/>
      <c r="AA5898"/>
      <c r="AC5898"/>
      <c r="AR5898"/>
    </row>
    <row r="5899" spans="24:44">
      <c r="X5899"/>
      <c r="Y5899"/>
      <c r="Z5899"/>
      <c r="AA5899"/>
      <c r="AC5899"/>
      <c r="AR5899"/>
    </row>
    <row r="5900" spans="24:44">
      <c r="X5900"/>
      <c r="Y5900"/>
      <c r="Z5900"/>
      <c r="AA5900"/>
      <c r="AC5900"/>
      <c r="AR5900"/>
    </row>
    <row r="5901" spans="24:44">
      <c r="X5901"/>
      <c r="Y5901"/>
      <c r="Z5901"/>
      <c r="AA5901"/>
      <c r="AC5901"/>
      <c r="AR5901"/>
    </row>
    <row r="5902" spans="24:44">
      <c r="X5902"/>
      <c r="Y5902"/>
      <c r="Z5902"/>
      <c r="AA5902"/>
      <c r="AC5902"/>
      <c r="AR5902"/>
    </row>
    <row r="5903" spans="24:44">
      <c r="X5903"/>
      <c r="Y5903"/>
      <c r="Z5903"/>
      <c r="AA5903"/>
      <c r="AC5903"/>
      <c r="AR5903"/>
    </row>
    <row r="5904" spans="24:44">
      <c r="X5904"/>
      <c r="Y5904"/>
      <c r="Z5904"/>
      <c r="AA5904"/>
      <c r="AC5904"/>
      <c r="AR5904"/>
    </row>
    <row r="5905" spans="24:44">
      <c r="X5905"/>
      <c r="Y5905"/>
      <c r="Z5905"/>
      <c r="AA5905"/>
      <c r="AC5905"/>
      <c r="AR5905"/>
    </row>
    <row r="5906" spans="24:44">
      <c r="X5906"/>
      <c r="Y5906"/>
      <c r="Z5906"/>
      <c r="AA5906"/>
      <c r="AC5906"/>
      <c r="AR5906"/>
    </row>
    <row r="5907" spans="24:44">
      <c r="X5907"/>
      <c r="Y5907"/>
      <c r="Z5907"/>
      <c r="AA5907"/>
      <c r="AC5907"/>
      <c r="AR5907"/>
    </row>
    <row r="5908" spans="24:44">
      <c r="X5908"/>
      <c r="Y5908"/>
      <c r="Z5908"/>
      <c r="AA5908"/>
      <c r="AC5908"/>
      <c r="AR5908"/>
    </row>
    <row r="5909" spans="24:44">
      <c r="X5909"/>
      <c r="Y5909"/>
      <c r="Z5909"/>
      <c r="AA5909"/>
      <c r="AC5909"/>
      <c r="AR5909"/>
    </row>
    <row r="5910" spans="24:44">
      <c r="X5910"/>
      <c r="Y5910"/>
      <c r="Z5910"/>
      <c r="AA5910"/>
      <c r="AC5910"/>
      <c r="AR5910"/>
    </row>
    <row r="5911" spans="24:44">
      <c r="X5911"/>
      <c r="Y5911"/>
      <c r="Z5911"/>
      <c r="AA5911"/>
      <c r="AC5911"/>
      <c r="AR5911"/>
    </row>
    <row r="5912" spans="24:44">
      <c r="X5912"/>
      <c r="Y5912"/>
      <c r="Z5912"/>
      <c r="AA5912"/>
      <c r="AC5912"/>
      <c r="AR5912"/>
    </row>
    <row r="5913" spans="24:44">
      <c r="X5913"/>
      <c r="Y5913"/>
      <c r="Z5913"/>
      <c r="AA5913"/>
      <c r="AC5913"/>
      <c r="AR5913"/>
    </row>
    <row r="5914" spans="24:44">
      <c r="X5914"/>
      <c r="Y5914"/>
      <c r="Z5914"/>
      <c r="AA5914"/>
      <c r="AC5914"/>
      <c r="AR5914"/>
    </row>
    <row r="5915" spans="24:44">
      <c r="X5915"/>
      <c r="Y5915"/>
      <c r="Z5915"/>
      <c r="AA5915"/>
      <c r="AC5915"/>
      <c r="AR5915"/>
    </row>
    <row r="5916" spans="24:44">
      <c r="X5916"/>
      <c r="Y5916"/>
      <c r="Z5916"/>
      <c r="AA5916"/>
      <c r="AC5916"/>
      <c r="AR5916"/>
    </row>
    <row r="5917" spans="24:44">
      <c r="X5917"/>
      <c r="Y5917"/>
      <c r="Z5917"/>
      <c r="AA5917"/>
      <c r="AC5917"/>
      <c r="AR5917"/>
    </row>
    <row r="5918" spans="24:44">
      <c r="X5918"/>
      <c r="Y5918"/>
      <c r="Z5918"/>
      <c r="AA5918"/>
      <c r="AC5918"/>
      <c r="AR5918"/>
    </row>
    <row r="5919" spans="24:44">
      <c r="X5919"/>
      <c r="Y5919"/>
      <c r="Z5919"/>
      <c r="AA5919"/>
      <c r="AC5919"/>
      <c r="AR5919"/>
    </row>
    <row r="5920" spans="24:44">
      <c r="X5920"/>
      <c r="Y5920"/>
      <c r="Z5920"/>
      <c r="AA5920"/>
      <c r="AC5920"/>
      <c r="AR5920"/>
    </row>
    <row r="5921" spans="24:44">
      <c r="X5921"/>
      <c r="Y5921"/>
      <c r="Z5921"/>
      <c r="AA5921"/>
      <c r="AC5921"/>
      <c r="AR5921"/>
    </row>
    <row r="5922" spans="24:44">
      <c r="X5922"/>
      <c r="Y5922"/>
      <c r="Z5922"/>
      <c r="AA5922"/>
      <c r="AC5922"/>
      <c r="AR5922"/>
    </row>
    <row r="5923" spans="24:44">
      <c r="X5923"/>
      <c r="Y5923"/>
      <c r="Z5923"/>
      <c r="AA5923"/>
      <c r="AC5923"/>
      <c r="AR5923"/>
    </row>
    <row r="5924" spans="24:44">
      <c r="X5924"/>
      <c r="Y5924"/>
      <c r="Z5924"/>
      <c r="AA5924"/>
      <c r="AC5924"/>
      <c r="AR5924"/>
    </row>
    <row r="5925" spans="24:44">
      <c r="X5925"/>
      <c r="Y5925"/>
      <c r="Z5925"/>
      <c r="AA5925"/>
      <c r="AC5925"/>
      <c r="AR5925"/>
    </row>
    <row r="5926" spans="24:44">
      <c r="X5926"/>
      <c r="Y5926"/>
      <c r="Z5926"/>
      <c r="AA5926"/>
      <c r="AC5926"/>
      <c r="AR5926"/>
    </row>
    <row r="5927" spans="24:44">
      <c r="X5927"/>
      <c r="Y5927"/>
      <c r="Z5927"/>
      <c r="AA5927"/>
      <c r="AC5927"/>
      <c r="AR5927"/>
    </row>
    <row r="5928" spans="24:44">
      <c r="X5928"/>
      <c r="Y5928"/>
      <c r="Z5928"/>
      <c r="AA5928"/>
      <c r="AC5928"/>
      <c r="AR5928"/>
    </row>
    <row r="5929" spans="24:44">
      <c r="X5929"/>
      <c r="Y5929"/>
      <c r="Z5929"/>
      <c r="AA5929"/>
      <c r="AC5929"/>
      <c r="AR5929"/>
    </row>
    <row r="5930" spans="24:44">
      <c r="X5930"/>
      <c r="Y5930"/>
      <c r="Z5930"/>
      <c r="AA5930"/>
      <c r="AC5930"/>
      <c r="AR5930"/>
    </row>
    <row r="5931" spans="24:44">
      <c r="X5931"/>
      <c r="Y5931"/>
      <c r="Z5931"/>
      <c r="AA5931"/>
      <c r="AC5931"/>
      <c r="AR5931"/>
    </row>
    <row r="5932" spans="24:44">
      <c r="X5932"/>
      <c r="Y5932"/>
      <c r="Z5932"/>
      <c r="AA5932"/>
      <c r="AC5932"/>
      <c r="AR5932"/>
    </row>
    <row r="5933" spans="24:44">
      <c r="X5933"/>
      <c r="Y5933"/>
      <c r="Z5933"/>
      <c r="AA5933"/>
      <c r="AC5933"/>
      <c r="AR5933"/>
    </row>
    <row r="5934" spans="24:44">
      <c r="X5934"/>
      <c r="Y5934"/>
      <c r="Z5934"/>
      <c r="AA5934"/>
      <c r="AC5934"/>
      <c r="AR5934"/>
    </row>
    <row r="5935" spans="24:44">
      <c r="X5935"/>
      <c r="Y5935"/>
      <c r="Z5935"/>
      <c r="AA5935"/>
      <c r="AC5935"/>
      <c r="AR5935"/>
    </row>
    <row r="5936" spans="24:44">
      <c r="X5936"/>
      <c r="Y5936"/>
      <c r="Z5936"/>
      <c r="AA5936"/>
      <c r="AC5936"/>
      <c r="AR5936"/>
    </row>
    <row r="5937" spans="24:44">
      <c r="X5937"/>
      <c r="Y5937"/>
      <c r="Z5937"/>
      <c r="AA5937"/>
      <c r="AC5937"/>
      <c r="AR5937"/>
    </row>
    <row r="5938" spans="24:44">
      <c r="X5938"/>
      <c r="Y5938"/>
      <c r="Z5938"/>
      <c r="AA5938"/>
      <c r="AC5938"/>
      <c r="AR5938"/>
    </row>
    <row r="5939" spans="24:44">
      <c r="X5939"/>
      <c r="Y5939"/>
      <c r="Z5939"/>
      <c r="AA5939"/>
      <c r="AC5939"/>
      <c r="AR5939"/>
    </row>
    <row r="5940" spans="24:44">
      <c r="X5940"/>
      <c r="Y5940"/>
      <c r="Z5940"/>
      <c r="AA5940"/>
      <c r="AC5940"/>
      <c r="AR5940"/>
    </row>
    <row r="5941" spans="24:44">
      <c r="X5941"/>
      <c r="Y5941"/>
      <c r="Z5941"/>
      <c r="AA5941"/>
      <c r="AC5941"/>
      <c r="AR5941"/>
    </row>
    <row r="5942" spans="24:44">
      <c r="X5942"/>
      <c r="Y5942"/>
      <c r="Z5942"/>
      <c r="AA5942"/>
      <c r="AC5942"/>
      <c r="AR5942"/>
    </row>
    <row r="5943" spans="24:44">
      <c r="X5943"/>
      <c r="Y5943"/>
      <c r="Z5943"/>
      <c r="AA5943"/>
      <c r="AC5943"/>
      <c r="AR5943"/>
    </row>
    <row r="5944" spans="24:44">
      <c r="X5944"/>
      <c r="Y5944"/>
      <c r="Z5944"/>
      <c r="AA5944"/>
      <c r="AC5944"/>
      <c r="AR5944"/>
    </row>
    <row r="5945" spans="24:44">
      <c r="X5945"/>
      <c r="Y5945"/>
      <c r="Z5945"/>
      <c r="AA5945"/>
      <c r="AC5945"/>
      <c r="AR5945"/>
    </row>
    <row r="5946" spans="24:44">
      <c r="X5946"/>
      <c r="Y5946"/>
      <c r="Z5946"/>
      <c r="AA5946"/>
      <c r="AC5946"/>
      <c r="AR5946"/>
    </row>
    <row r="5947" spans="24:44">
      <c r="X5947"/>
      <c r="Y5947"/>
      <c r="Z5947"/>
      <c r="AA5947"/>
      <c r="AC5947"/>
      <c r="AR5947"/>
    </row>
    <row r="5948" spans="24:44">
      <c r="X5948"/>
      <c r="Y5948"/>
      <c r="Z5948"/>
      <c r="AA5948"/>
      <c r="AC5948"/>
      <c r="AR5948"/>
    </row>
    <row r="5949" spans="24:44">
      <c r="X5949"/>
      <c r="Y5949"/>
      <c r="Z5949"/>
      <c r="AA5949"/>
      <c r="AC5949"/>
      <c r="AR5949"/>
    </row>
    <row r="5950" spans="24:44">
      <c r="X5950"/>
      <c r="Y5950"/>
      <c r="Z5950"/>
      <c r="AA5950"/>
      <c r="AC5950"/>
      <c r="AR5950"/>
    </row>
    <row r="5951" spans="24:44">
      <c r="X5951"/>
      <c r="Y5951"/>
      <c r="Z5951"/>
      <c r="AA5951"/>
      <c r="AC5951"/>
      <c r="AR5951"/>
    </row>
    <row r="5952" spans="24:44">
      <c r="X5952"/>
      <c r="Y5952"/>
      <c r="Z5952"/>
      <c r="AA5952"/>
      <c r="AC5952"/>
      <c r="AR5952"/>
    </row>
    <row r="5953" spans="24:44">
      <c r="X5953"/>
      <c r="Y5953"/>
      <c r="Z5953"/>
      <c r="AA5953"/>
      <c r="AC5953"/>
      <c r="AR5953"/>
    </row>
    <row r="5954" spans="24:44">
      <c r="X5954"/>
      <c r="Y5954"/>
      <c r="Z5954"/>
      <c r="AA5954"/>
      <c r="AC5954"/>
      <c r="AR5954"/>
    </row>
    <row r="5955" spans="24:44">
      <c r="X5955"/>
      <c r="Y5955"/>
      <c r="Z5955"/>
      <c r="AA5955"/>
      <c r="AC5955"/>
      <c r="AR5955"/>
    </row>
    <row r="5956" spans="24:44">
      <c r="X5956"/>
      <c r="Y5956"/>
      <c r="Z5956"/>
      <c r="AA5956"/>
      <c r="AC5956"/>
      <c r="AR5956"/>
    </row>
    <row r="5957" spans="24:44">
      <c r="X5957"/>
      <c r="Y5957"/>
      <c r="Z5957"/>
      <c r="AA5957"/>
      <c r="AC5957"/>
      <c r="AR5957"/>
    </row>
    <row r="5958" spans="24:44">
      <c r="X5958"/>
      <c r="Y5958"/>
      <c r="Z5958"/>
      <c r="AA5958"/>
      <c r="AC5958"/>
      <c r="AR5958"/>
    </row>
    <row r="5959" spans="24:44">
      <c r="X5959"/>
      <c r="Y5959"/>
      <c r="Z5959"/>
      <c r="AA5959"/>
      <c r="AC5959"/>
      <c r="AR5959"/>
    </row>
    <row r="5960" spans="24:44">
      <c r="X5960"/>
      <c r="Y5960"/>
      <c r="Z5960"/>
      <c r="AA5960"/>
      <c r="AC5960"/>
      <c r="AR5960"/>
    </row>
    <row r="5961" spans="24:44">
      <c r="X5961"/>
      <c r="Y5961"/>
      <c r="Z5961"/>
      <c r="AA5961"/>
      <c r="AC5961"/>
      <c r="AR5961"/>
    </row>
    <row r="5962" spans="24:44">
      <c r="X5962"/>
      <c r="Y5962"/>
      <c r="Z5962"/>
      <c r="AA5962"/>
      <c r="AC5962"/>
      <c r="AR5962"/>
    </row>
    <row r="5963" spans="24:44">
      <c r="X5963"/>
      <c r="Y5963"/>
      <c r="Z5963"/>
      <c r="AA5963"/>
      <c r="AC5963"/>
      <c r="AR5963"/>
    </row>
    <row r="5964" spans="24:44">
      <c r="X5964"/>
      <c r="Y5964"/>
      <c r="Z5964"/>
      <c r="AA5964"/>
      <c r="AC5964"/>
      <c r="AR5964"/>
    </row>
    <row r="5965" spans="24:44">
      <c r="X5965"/>
      <c r="Y5965"/>
      <c r="Z5965"/>
      <c r="AA5965"/>
      <c r="AC5965"/>
      <c r="AR5965"/>
    </row>
    <row r="5966" spans="24:44">
      <c r="X5966"/>
      <c r="Y5966"/>
      <c r="Z5966"/>
      <c r="AA5966"/>
      <c r="AC5966"/>
      <c r="AR5966"/>
    </row>
    <row r="5967" spans="24:44">
      <c r="X5967"/>
      <c r="Y5967"/>
      <c r="Z5967"/>
      <c r="AA5967"/>
      <c r="AC5967"/>
      <c r="AR5967"/>
    </row>
    <row r="5968" spans="24:44">
      <c r="X5968"/>
      <c r="Y5968"/>
      <c r="Z5968"/>
      <c r="AA5968"/>
      <c r="AC5968"/>
      <c r="AR5968"/>
    </row>
    <row r="5969" spans="24:44">
      <c r="X5969"/>
      <c r="Y5969"/>
      <c r="Z5969"/>
      <c r="AA5969"/>
      <c r="AC5969"/>
      <c r="AR5969"/>
    </row>
    <row r="5970" spans="24:44">
      <c r="X5970"/>
      <c r="Y5970"/>
      <c r="Z5970"/>
      <c r="AA5970"/>
      <c r="AC5970"/>
      <c r="AR5970"/>
    </row>
    <row r="5971" spans="24:44">
      <c r="X5971"/>
      <c r="Y5971"/>
      <c r="Z5971"/>
      <c r="AA5971"/>
      <c r="AC5971"/>
      <c r="AR5971"/>
    </row>
    <row r="5972" spans="24:44">
      <c r="X5972"/>
      <c r="Y5972"/>
      <c r="Z5972"/>
      <c r="AA5972"/>
      <c r="AC5972"/>
      <c r="AR5972"/>
    </row>
    <row r="5973" spans="24:44">
      <c r="X5973"/>
      <c r="Y5973"/>
      <c r="Z5973"/>
      <c r="AA5973"/>
      <c r="AC5973"/>
      <c r="AR5973"/>
    </row>
    <row r="5974" spans="24:44">
      <c r="X5974"/>
      <c r="Y5974"/>
      <c r="Z5974"/>
      <c r="AA5974"/>
      <c r="AC5974"/>
      <c r="AR5974"/>
    </row>
    <row r="5975" spans="24:44">
      <c r="X5975"/>
      <c r="Y5975"/>
      <c r="Z5975"/>
      <c r="AA5975"/>
      <c r="AC5975"/>
      <c r="AR5975"/>
    </row>
    <row r="5976" spans="24:44">
      <c r="X5976"/>
      <c r="Y5976"/>
      <c r="Z5976"/>
      <c r="AA5976"/>
      <c r="AC5976"/>
      <c r="AR5976"/>
    </row>
    <row r="5977" spans="24:44">
      <c r="X5977"/>
      <c r="Y5977"/>
      <c r="Z5977"/>
      <c r="AA5977"/>
      <c r="AC5977"/>
      <c r="AR5977"/>
    </row>
    <row r="5978" spans="24:44">
      <c r="X5978"/>
      <c r="Y5978"/>
      <c r="Z5978"/>
      <c r="AA5978"/>
      <c r="AC5978"/>
      <c r="AR5978"/>
    </row>
    <row r="5979" spans="24:44">
      <c r="X5979"/>
      <c r="Y5979"/>
      <c r="Z5979"/>
      <c r="AA5979"/>
      <c r="AC5979"/>
      <c r="AR5979"/>
    </row>
    <row r="5980" spans="24:44">
      <c r="X5980"/>
      <c r="Y5980"/>
      <c r="Z5980"/>
      <c r="AA5980"/>
      <c r="AC5980"/>
      <c r="AR5980"/>
    </row>
    <row r="5981" spans="24:44">
      <c r="X5981"/>
      <c r="Y5981"/>
      <c r="Z5981"/>
      <c r="AA5981"/>
      <c r="AC5981"/>
      <c r="AR5981"/>
    </row>
    <row r="5982" spans="24:44">
      <c r="X5982"/>
      <c r="Y5982"/>
      <c r="Z5982"/>
      <c r="AA5982"/>
      <c r="AC5982"/>
      <c r="AR5982"/>
    </row>
    <row r="5983" spans="24:44">
      <c r="X5983"/>
      <c r="Y5983"/>
      <c r="Z5983"/>
      <c r="AA5983"/>
      <c r="AC5983"/>
      <c r="AR5983"/>
    </row>
    <row r="5984" spans="24:44">
      <c r="X5984"/>
      <c r="Y5984"/>
      <c r="Z5984"/>
      <c r="AA5984"/>
      <c r="AC5984"/>
      <c r="AR5984"/>
    </row>
    <row r="5985" spans="24:44">
      <c r="X5985"/>
      <c r="Y5985"/>
      <c r="Z5985"/>
      <c r="AA5985"/>
      <c r="AC5985"/>
      <c r="AR5985"/>
    </row>
    <row r="5986" spans="24:44">
      <c r="X5986"/>
      <c r="Y5986"/>
      <c r="Z5986"/>
      <c r="AA5986"/>
      <c r="AC5986"/>
      <c r="AR5986"/>
    </row>
    <row r="5987" spans="24:44">
      <c r="X5987"/>
      <c r="Y5987"/>
      <c r="Z5987"/>
      <c r="AA5987"/>
      <c r="AC5987"/>
      <c r="AR5987"/>
    </row>
    <row r="5988" spans="24:44">
      <c r="X5988"/>
      <c r="Y5988"/>
      <c r="Z5988"/>
      <c r="AA5988"/>
      <c r="AC5988"/>
      <c r="AR5988"/>
    </row>
    <row r="5989" spans="24:44">
      <c r="X5989"/>
      <c r="Y5989"/>
      <c r="Z5989"/>
      <c r="AA5989"/>
      <c r="AC5989"/>
      <c r="AR5989"/>
    </row>
    <row r="5990" spans="24:44">
      <c r="X5990"/>
      <c r="Y5990"/>
      <c r="Z5990"/>
      <c r="AA5990"/>
      <c r="AC5990"/>
      <c r="AR5990"/>
    </row>
    <row r="5991" spans="24:44">
      <c r="X5991"/>
      <c r="Y5991"/>
      <c r="Z5991"/>
      <c r="AA5991"/>
      <c r="AC5991"/>
      <c r="AR5991"/>
    </row>
    <row r="5992" spans="24:44">
      <c r="X5992"/>
      <c r="Y5992"/>
      <c r="Z5992"/>
      <c r="AA5992"/>
      <c r="AC5992"/>
      <c r="AR5992"/>
    </row>
    <row r="5993" spans="24:44">
      <c r="X5993"/>
      <c r="Y5993"/>
      <c r="Z5993"/>
      <c r="AA5993"/>
      <c r="AC5993"/>
      <c r="AR5993"/>
    </row>
    <row r="5994" spans="24:44">
      <c r="X5994"/>
      <c r="Y5994"/>
      <c r="Z5994"/>
      <c r="AA5994"/>
      <c r="AC5994"/>
      <c r="AR5994"/>
    </row>
    <row r="5995" spans="24:44">
      <c r="X5995"/>
      <c r="Y5995"/>
      <c r="Z5995"/>
      <c r="AA5995"/>
      <c r="AC5995"/>
      <c r="AR5995"/>
    </row>
    <row r="5996" spans="24:44">
      <c r="X5996"/>
      <c r="Y5996"/>
      <c r="Z5996"/>
      <c r="AA5996"/>
      <c r="AC5996"/>
      <c r="AR5996"/>
    </row>
    <row r="5997" spans="24:44">
      <c r="X5997"/>
      <c r="Y5997"/>
      <c r="Z5997"/>
      <c r="AA5997"/>
      <c r="AC5997"/>
      <c r="AR5997"/>
    </row>
    <row r="5998" spans="24:44">
      <c r="X5998"/>
      <c r="Y5998"/>
      <c r="Z5998"/>
      <c r="AA5998"/>
      <c r="AC5998"/>
      <c r="AR5998"/>
    </row>
    <row r="5999" spans="24:44">
      <c r="X5999"/>
      <c r="Y5999"/>
      <c r="Z5999"/>
      <c r="AA5999"/>
      <c r="AC5999"/>
      <c r="AR5999"/>
    </row>
    <row r="6000" spans="24:44">
      <c r="X6000"/>
      <c r="Y6000"/>
      <c r="Z6000"/>
      <c r="AA6000"/>
      <c r="AC6000"/>
      <c r="AR6000"/>
    </row>
    <row r="6001" spans="24:44">
      <c r="X6001"/>
      <c r="Y6001"/>
      <c r="Z6001"/>
      <c r="AA6001"/>
      <c r="AC6001"/>
      <c r="AR6001"/>
    </row>
    <row r="6002" spans="24:44">
      <c r="X6002"/>
      <c r="Y6002"/>
      <c r="Z6002"/>
      <c r="AA6002"/>
      <c r="AC6002"/>
      <c r="AR6002"/>
    </row>
    <row r="6003" spans="24:44">
      <c r="X6003"/>
      <c r="Y6003"/>
      <c r="Z6003"/>
      <c r="AA6003"/>
      <c r="AC6003"/>
      <c r="AR6003"/>
    </row>
    <row r="6004" spans="24:44">
      <c r="X6004"/>
      <c r="Y6004"/>
      <c r="Z6004"/>
      <c r="AA6004"/>
      <c r="AC6004"/>
      <c r="AR6004"/>
    </row>
    <row r="6005" spans="24:44">
      <c r="X6005"/>
      <c r="Y6005"/>
      <c r="Z6005"/>
      <c r="AA6005"/>
      <c r="AC6005"/>
      <c r="AR6005"/>
    </row>
    <row r="6006" spans="24:44">
      <c r="X6006"/>
      <c r="Y6006"/>
      <c r="Z6006"/>
      <c r="AA6006"/>
      <c r="AC6006"/>
      <c r="AR6006"/>
    </row>
    <row r="6007" spans="24:44">
      <c r="X6007"/>
      <c r="Y6007"/>
      <c r="Z6007"/>
      <c r="AA6007"/>
      <c r="AC6007"/>
      <c r="AR6007"/>
    </row>
    <row r="6008" spans="24:44">
      <c r="X6008"/>
      <c r="Y6008"/>
      <c r="Z6008"/>
      <c r="AA6008"/>
      <c r="AC6008"/>
      <c r="AR6008"/>
    </row>
    <row r="6009" spans="24:44">
      <c r="X6009"/>
      <c r="Y6009"/>
      <c r="Z6009"/>
      <c r="AA6009"/>
      <c r="AC6009"/>
      <c r="AR6009"/>
    </row>
    <row r="6010" spans="24:44">
      <c r="X6010"/>
      <c r="Y6010"/>
      <c r="Z6010"/>
      <c r="AA6010"/>
      <c r="AC6010"/>
      <c r="AR6010"/>
    </row>
    <row r="6011" spans="24:44">
      <c r="X6011"/>
      <c r="Y6011"/>
      <c r="Z6011"/>
      <c r="AA6011"/>
      <c r="AC6011"/>
      <c r="AR6011"/>
    </row>
    <row r="6012" spans="24:44">
      <c r="X6012"/>
      <c r="Y6012"/>
      <c r="Z6012"/>
      <c r="AA6012"/>
      <c r="AC6012"/>
      <c r="AR6012"/>
    </row>
    <row r="6013" spans="24:44">
      <c r="X6013"/>
      <c r="Y6013"/>
      <c r="Z6013"/>
      <c r="AA6013"/>
      <c r="AC6013"/>
      <c r="AR6013"/>
    </row>
    <row r="6014" spans="24:44">
      <c r="X6014"/>
      <c r="Y6014"/>
      <c r="Z6014"/>
      <c r="AA6014"/>
      <c r="AC6014"/>
      <c r="AR6014"/>
    </row>
    <row r="6015" spans="24:44">
      <c r="X6015"/>
      <c r="Y6015"/>
      <c r="Z6015"/>
      <c r="AA6015"/>
      <c r="AC6015"/>
      <c r="AR6015"/>
    </row>
    <row r="6016" spans="24:44">
      <c r="X6016"/>
      <c r="Y6016"/>
      <c r="Z6016"/>
      <c r="AA6016"/>
      <c r="AC6016"/>
      <c r="AR6016"/>
    </row>
    <row r="6017" spans="24:44">
      <c r="X6017"/>
      <c r="Y6017"/>
      <c r="Z6017"/>
      <c r="AA6017"/>
      <c r="AC6017"/>
      <c r="AR6017"/>
    </row>
    <row r="6018" spans="24:44">
      <c r="X6018"/>
      <c r="Y6018"/>
      <c r="Z6018"/>
      <c r="AA6018"/>
      <c r="AC6018"/>
      <c r="AR6018"/>
    </row>
    <row r="6019" spans="24:44">
      <c r="X6019"/>
      <c r="Y6019"/>
      <c r="Z6019"/>
      <c r="AA6019"/>
      <c r="AC6019"/>
      <c r="AR6019"/>
    </row>
    <row r="6020" spans="24:44">
      <c r="X6020"/>
      <c r="Y6020"/>
      <c r="Z6020"/>
      <c r="AA6020"/>
      <c r="AC6020"/>
      <c r="AR6020"/>
    </row>
    <row r="6021" spans="24:44">
      <c r="X6021"/>
      <c r="Y6021"/>
      <c r="Z6021"/>
      <c r="AA6021"/>
      <c r="AC6021"/>
      <c r="AR6021"/>
    </row>
    <row r="6022" spans="24:44">
      <c r="X6022"/>
      <c r="Y6022"/>
      <c r="Z6022"/>
      <c r="AA6022"/>
      <c r="AC6022"/>
      <c r="AR6022"/>
    </row>
    <row r="6023" spans="24:44">
      <c r="X6023"/>
      <c r="Y6023"/>
      <c r="Z6023"/>
      <c r="AA6023"/>
      <c r="AC6023"/>
      <c r="AR6023"/>
    </row>
    <row r="6024" spans="24:44">
      <c r="X6024"/>
      <c r="Y6024"/>
      <c r="Z6024"/>
      <c r="AA6024"/>
      <c r="AC6024"/>
      <c r="AR6024"/>
    </row>
    <row r="6025" spans="24:44">
      <c r="X6025"/>
      <c r="Y6025"/>
      <c r="Z6025"/>
      <c r="AA6025"/>
      <c r="AC6025"/>
      <c r="AR6025"/>
    </row>
    <row r="6026" spans="24:44">
      <c r="X6026"/>
      <c r="Y6026"/>
      <c r="Z6026"/>
      <c r="AA6026"/>
      <c r="AC6026"/>
      <c r="AR6026"/>
    </row>
    <row r="6027" spans="24:44">
      <c r="X6027"/>
      <c r="Y6027"/>
      <c r="Z6027"/>
      <c r="AA6027"/>
      <c r="AC6027"/>
      <c r="AR6027"/>
    </row>
    <row r="6028" spans="24:44">
      <c r="X6028"/>
      <c r="Y6028"/>
      <c r="Z6028"/>
      <c r="AA6028"/>
      <c r="AC6028"/>
      <c r="AR6028"/>
    </row>
    <row r="6029" spans="24:44">
      <c r="X6029"/>
      <c r="Y6029"/>
      <c r="Z6029"/>
      <c r="AA6029"/>
      <c r="AC6029"/>
      <c r="AR6029"/>
    </row>
    <row r="6030" spans="24:44">
      <c r="X6030"/>
      <c r="Y6030"/>
      <c r="Z6030"/>
      <c r="AA6030"/>
      <c r="AC6030"/>
      <c r="AR6030"/>
    </row>
    <row r="6031" spans="24:44">
      <c r="X6031"/>
      <c r="Y6031"/>
      <c r="Z6031"/>
      <c r="AA6031"/>
      <c r="AC6031"/>
      <c r="AR6031"/>
    </row>
    <row r="6032" spans="24:44">
      <c r="X6032"/>
      <c r="Y6032"/>
      <c r="Z6032"/>
      <c r="AA6032"/>
      <c r="AC6032"/>
      <c r="AR6032"/>
    </row>
    <row r="6033" spans="24:44">
      <c r="X6033"/>
      <c r="Y6033"/>
      <c r="Z6033"/>
      <c r="AA6033"/>
      <c r="AC6033"/>
      <c r="AR6033"/>
    </row>
    <row r="6034" spans="24:44">
      <c r="X6034"/>
      <c r="Y6034"/>
      <c r="Z6034"/>
      <c r="AA6034"/>
      <c r="AC6034"/>
      <c r="AR6034"/>
    </row>
    <row r="6035" spans="24:44">
      <c r="X6035"/>
      <c r="Y6035"/>
      <c r="Z6035"/>
      <c r="AA6035"/>
      <c r="AC6035"/>
      <c r="AR6035"/>
    </row>
    <row r="6036" spans="24:44">
      <c r="X6036"/>
      <c r="Y6036"/>
      <c r="Z6036"/>
      <c r="AA6036"/>
      <c r="AC6036"/>
      <c r="AR6036"/>
    </row>
    <row r="6037" spans="24:44">
      <c r="X6037"/>
      <c r="Y6037"/>
      <c r="Z6037"/>
      <c r="AA6037"/>
      <c r="AC6037"/>
      <c r="AR6037"/>
    </row>
    <row r="6038" spans="24:44">
      <c r="X6038"/>
      <c r="Y6038"/>
      <c r="Z6038"/>
      <c r="AA6038"/>
      <c r="AC6038"/>
      <c r="AR6038"/>
    </row>
    <row r="6039" spans="24:44">
      <c r="X6039"/>
      <c r="Y6039"/>
      <c r="Z6039"/>
      <c r="AA6039"/>
      <c r="AC6039"/>
      <c r="AR6039"/>
    </row>
    <row r="6040" spans="24:44">
      <c r="X6040"/>
      <c r="Y6040"/>
      <c r="Z6040"/>
      <c r="AA6040"/>
      <c r="AC6040"/>
      <c r="AR6040"/>
    </row>
    <row r="6041" spans="24:44">
      <c r="X6041"/>
      <c r="Y6041"/>
      <c r="Z6041"/>
      <c r="AA6041"/>
      <c r="AC6041"/>
      <c r="AR6041"/>
    </row>
    <row r="6042" spans="24:44">
      <c r="X6042"/>
      <c r="Y6042"/>
      <c r="Z6042"/>
      <c r="AA6042"/>
      <c r="AC6042"/>
      <c r="AR6042"/>
    </row>
    <row r="6043" spans="24:44">
      <c r="X6043"/>
      <c r="Y6043"/>
      <c r="Z6043"/>
      <c r="AA6043"/>
      <c r="AC6043"/>
      <c r="AR6043"/>
    </row>
    <row r="6044" spans="24:44">
      <c r="X6044"/>
      <c r="Y6044"/>
      <c r="Z6044"/>
      <c r="AA6044"/>
      <c r="AC6044"/>
      <c r="AR6044"/>
    </row>
    <row r="6045" spans="24:44">
      <c r="X6045"/>
      <c r="Y6045"/>
      <c r="Z6045"/>
      <c r="AA6045"/>
      <c r="AC6045"/>
      <c r="AR6045"/>
    </row>
    <row r="6046" spans="24:44">
      <c r="X6046"/>
      <c r="Y6046"/>
      <c r="Z6046"/>
      <c r="AA6046"/>
      <c r="AC6046"/>
      <c r="AR6046"/>
    </row>
    <row r="6047" spans="24:44">
      <c r="X6047"/>
      <c r="Y6047"/>
      <c r="Z6047"/>
      <c r="AA6047"/>
      <c r="AC6047"/>
      <c r="AR6047"/>
    </row>
    <row r="6048" spans="24:44">
      <c r="X6048"/>
      <c r="Y6048"/>
      <c r="Z6048"/>
      <c r="AA6048"/>
      <c r="AC6048"/>
      <c r="AR6048"/>
    </row>
    <row r="6049" spans="24:44">
      <c r="X6049"/>
      <c r="Y6049"/>
      <c r="Z6049"/>
      <c r="AA6049"/>
      <c r="AC6049"/>
      <c r="AR6049"/>
    </row>
    <row r="6050" spans="24:44">
      <c r="X6050"/>
      <c r="Y6050"/>
      <c r="Z6050"/>
      <c r="AA6050"/>
      <c r="AC6050"/>
      <c r="AR6050"/>
    </row>
    <row r="6051" spans="24:44">
      <c r="X6051"/>
      <c r="Y6051"/>
      <c r="Z6051"/>
      <c r="AA6051"/>
      <c r="AC6051"/>
      <c r="AR6051"/>
    </row>
    <row r="6052" spans="24:44">
      <c r="X6052"/>
      <c r="Y6052"/>
      <c r="Z6052"/>
      <c r="AA6052"/>
      <c r="AC6052"/>
      <c r="AR6052"/>
    </row>
    <row r="6053" spans="24:44">
      <c r="X6053"/>
      <c r="Y6053"/>
      <c r="Z6053"/>
      <c r="AA6053"/>
      <c r="AC6053"/>
      <c r="AR6053"/>
    </row>
    <row r="6054" spans="24:44">
      <c r="X6054"/>
      <c r="Y6054"/>
      <c r="Z6054"/>
      <c r="AA6054"/>
      <c r="AC6054"/>
      <c r="AR6054"/>
    </row>
    <row r="6055" spans="24:44">
      <c r="X6055"/>
      <c r="Y6055"/>
      <c r="Z6055"/>
      <c r="AA6055"/>
      <c r="AC6055"/>
      <c r="AR6055"/>
    </row>
    <row r="6056" spans="24:44">
      <c r="X6056"/>
      <c r="Y6056"/>
      <c r="Z6056"/>
      <c r="AA6056"/>
      <c r="AC6056"/>
      <c r="AR6056"/>
    </row>
    <row r="6057" spans="24:44">
      <c r="X6057"/>
      <c r="Y6057"/>
      <c r="Z6057"/>
      <c r="AA6057"/>
      <c r="AC6057"/>
      <c r="AR6057"/>
    </row>
    <row r="6058" spans="24:44">
      <c r="X6058"/>
      <c r="Y6058"/>
      <c r="Z6058"/>
      <c r="AA6058"/>
      <c r="AC6058"/>
      <c r="AR6058"/>
    </row>
    <row r="6059" spans="24:44">
      <c r="X6059"/>
      <c r="Y6059"/>
      <c r="Z6059"/>
      <c r="AA6059"/>
      <c r="AC6059"/>
      <c r="AR6059"/>
    </row>
    <row r="6060" spans="24:44">
      <c r="X6060"/>
      <c r="Y6060"/>
      <c r="Z6060"/>
      <c r="AA6060"/>
      <c r="AC6060"/>
      <c r="AR6060"/>
    </row>
    <row r="6061" spans="24:44">
      <c r="X6061"/>
      <c r="Y6061"/>
      <c r="Z6061"/>
      <c r="AA6061"/>
      <c r="AC6061"/>
      <c r="AR6061"/>
    </row>
    <row r="6062" spans="24:44">
      <c r="X6062"/>
      <c r="Y6062"/>
      <c r="Z6062"/>
      <c r="AA6062"/>
      <c r="AC6062"/>
      <c r="AR6062"/>
    </row>
    <row r="6063" spans="24:44">
      <c r="X6063"/>
      <c r="Y6063"/>
      <c r="Z6063"/>
      <c r="AA6063"/>
      <c r="AC6063"/>
      <c r="AR6063"/>
    </row>
    <row r="6064" spans="24:44">
      <c r="X6064"/>
      <c r="Y6064"/>
      <c r="Z6064"/>
      <c r="AA6064"/>
      <c r="AC6064"/>
      <c r="AR6064"/>
    </row>
    <row r="6065" spans="24:44">
      <c r="X6065"/>
      <c r="Y6065"/>
      <c r="Z6065"/>
      <c r="AA6065"/>
      <c r="AC6065"/>
      <c r="AR6065"/>
    </row>
    <row r="6066" spans="24:44">
      <c r="X6066"/>
      <c r="Y6066"/>
      <c r="Z6066"/>
      <c r="AA6066"/>
      <c r="AC6066"/>
      <c r="AR6066"/>
    </row>
    <row r="6067" spans="24:44">
      <c r="X6067"/>
      <c r="Y6067"/>
      <c r="Z6067"/>
      <c r="AA6067"/>
      <c r="AC6067"/>
      <c r="AR6067"/>
    </row>
    <row r="6068" spans="24:44">
      <c r="X6068"/>
      <c r="Y6068"/>
      <c r="Z6068"/>
      <c r="AA6068"/>
      <c r="AC6068"/>
      <c r="AR6068"/>
    </row>
    <row r="6069" spans="24:44">
      <c r="X6069"/>
      <c r="Y6069"/>
      <c r="Z6069"/>
      <c r="AA6069"/>
      <c r="AC6069"/>
      <c r="AR6069"/>
    </row>
    <row r="6070" spans="24:44">
      <c r="X6070"/>
      <c r="Y6070"/>
      <c r="Z6070"/>
      <c r="AA6070"/>
      <c r="AC6070"/>
      <c r="AR6070"/>
    </row>
    <row r="6071" spans="24:44">
      <c r="X6071"/>
      <c r="Y6071"/>
      <c r="Z6071"/>
      <c r="AA6071"/>
      <c r="AC6071"/>
      <c r="AR6071"/>
    </row>
    <row r="6072" spans="24:44">
      <c r="X6072"/>
      <c r="Y6072"/>
      <c r="Z6072"/>
      <c r="AA6072"/>
      <c r="AC6072"/>
      <c r="AR6072"/>
    </row>
    <row r="6073" spans="24:44">
      <c r="X6073"/>
      <c r="Y6073"/>
      <c r="Z6073"/>
      <c r="AA6073"/>
      <c r="AC6073"/>
      <c r="AR6073"/>
    </row>
    <row r="6074" spans="24:44">
      <c r="X6074"/>
      <c r="Y6074"/>
      <c r="Z6074"/>
      <c r="AA6074"/>
      <c r="AC6074"/>
      <c r="AR6074"/>
    </row>
    <row r="6075" spans="24:44">
      <c r="X6075"/>
      <c r="Y6075"/>
      <c r="Z6075"/>
      <c r="AA6075"/>
      <c r="AC6075"/>
      <c r="AR6075"/>
    </row>
    <row r="6076" spans="24:44">
      <c r="X6076"/>
      <c r="Y6076"/>
      <c r="Z6076"/>
      <c r="AA6076"/>
      <c r="AC6076"/>
      <c r="AR6076"/>
    </row>
    <row r="6077" spans="24:44">
      <c r="X6077"/>
      <c r="Y6077"/>
      <c r="Z6077"/>
      <c r="AA6077"/>
      <c r="AC6077"/>
      <c r="AR6077"/>
    </row>
    <row r="6078" spans="24:44">
      <c r="X6078"/>
      <c r="Y6078"/>
      <c r="Z6078"/>
      <c r="AA6078"/>
      <c r="AC6078"/>
      <c r="AR6078"/>
    </row>
    <row r="6079" spans="24:44">
      <c r="X6079"/>
      <c r="Y6079"/>
      <c r="Z6079"/>
      <c r="AA6079"/>
      <c r="AC6079"/>
      <c r="AR6079"/>
    </row>
    <row r="6080" spans="24:44">
      <c r="X6080"/>
      <c r="Y6080"/>
      <c r="Z6080"/>
      <c r="AA6080"/>
      <c r="AC6080"/>
      <c r="AR6080"/>
    </row>
    <row r="6081" spans="24:44">
      <c r="X6081"/>
      <c r="Y6081"/>
      <c r="Z6081"/>
      <c r="AA6081"/>
      <c r="AC6081"/>
      <c r="AR6081"/>
    </row>
    <row r="6082" spans="24:44">
      <c r="X6082"/>
      <c r="Y6082"/>
      <c r="Z6082"/>
      <c r="AA6082"/>
      <c r="AC6082"/>
      <c r="AR6082"/>
    </row>
    <row r="6083" spans="24:44">
      <c r="X6083"/>
      <c r="Y6083"/>
      <c r="Z6083"/>
      <c r="AA6083"/>
      <c r="AC6083"/>
      <c r="AR6083"/>
    </row>
    <row r="6084" spans="24:44">
      <c r="X6084"/>
      <c r="Y6084"/>
      <c r="Z6084"/>
      <c r="AA6084"/>
      <c r="AC6084"/>
      <c r="AR6084"/>
    </row>
    <row r="6085" spans="24:44">
      <c r="X6085"/>
      <c r="Y6085"/>
      <c r="Z6085"/>
      <c r="AA6085"/>
      <c r="AC6085"/>
      <c r="AR6085"/>
    </row>
    <row r="6086" spans="24:44">
      <c r="X6086"/>
      <c r="Y6086"/>
      <c r="Z6086"/>
      <c r="AA6086"/>
      <c r="AC6086"/>
      <c r="AR6086"/>
    </row>
    <row r="6087" spans="24:44">
      <c r="X6087"/>
      <c r="Y6087"/>
      <c r="Z6087"/>
      <c r="AA6087"/>
      <c r="AC6087"/>
      <c r="AR6087"/>
    </row>
    <row r="6088" spans="24:44">
      <c r="X6088"/>
      <c r="Y6088"/>
      <c r="Z6088"/>
      <c r="AA6088"/>
      <c r="AC6088"/>
      <c r="AR6088"/>
    </row>
    <row r="6089" spans="24:44">
      <c r="X6089"/>
      <c r="Y6089"/>
      <c r="Z6089"/>
      <c r="AA6089"/>
      <c r="AC6089"/>
      <c r="AR6089"/>
    </row>
    <row r="6090" spans="24:44">
      <c r="X6090"/>
      <c r="Y6090"/>
      <c r="Z6090"/>
      <c r="AA6090"/>
      <c r="AC6090"/>
      <c r="AR6090"/>
    </row>
    <row r="6091" spans="24:44">
      <c r="X6091"/>
      <c r="Y6091"/>
      <c r="Z6091"/>
      <c r="AA6091"/>
      <c r="AC6091"/>
      <c r="AR6091"/>
    </row>
    <row r="6092" spans="24:44">
      <c r="X6092"/>
      <c r="Y6092"/>
      <c r="Z6092"/>
      <c r="AA6092"/>
      <c r="AC6092"/>
      <c r="AR6092"/>
    </row>
    <row r="6093" spans="24:44">
      <c r="X6093"/>
      <c r="Y6093"/>
      <c r="Z6093"/>
      <c r="AA6093"/>
      <c r="AC6093"/>
      <c r="AR6093"/>
    </row>
    <row r="6094" spans="24:44">
      <c r="X6094"/>
      <c r="Y6094"/>
      <c r="Z6094"/>
      <c r="AA6094"/>
      <c r="AC6094"/>
      <c r="AR6094"/>
    </row>
    <row r="6095" spans="24:44">
      <c r="X6095"/>
      <c r="Y6095"/>
      <c r="Z6095"/>
      <c r="AA6095"/>
      <c r="AC6095"/>
      <c r="AR6095"/>
    </row>
    <row r="6096" spans="24:44">
      <c r="X6096"/>
      <c r="Y6096"/>
      <c r="Z6096"/>
      <c r="AA6096"/>
      <c r="AC6096"/>
      <c r="AR6096"/>
    </row>
    <row r="6097" spans="24:44">
      <c r="X6097"/>
      <c r="Y6097"/>
      <c r="Z6097"/>
      <c r="AA6097"/>
      <c r="AC6097"/>
      <c r="AR6097"/>
    </row>
    <row r="6098" spans="24:44">
      <c r="X6098"/>
      <c r="Y6098"/>
      <c r="Z6098"/>
      <c r="AA6098"/>
      <c r="AC6098"/>
      <c r="AR6098"/>
    </row>
    <row r="6099" spans="24:44">
      <c r="X6099"/>
      <c r="Y6099"/>
      <c r="Z6099"/>
      <c r="AA6099"/>
      <c r="AC6099"/>
      <c r="AR6099"/>
    </row>
    <row r="6100" spans="24:44">
      <c r="X6100"/>
      <c r="Y6100"/>
      <c r="Z6100"/>
      <c r="AA6100"/>
      <c r="AC6100"/>
      <c r="AR6100"/>
    </row>
    <row r="6101" spans="24:44">
      <c r="X6101"/>
      <c r="Y6101"/>
      <c r="Z6101"/>
      <c r="AA6101"/>
      <c r="AC6101"/>
      <c r="AR6101"/>
    </row>
    <row r="6102" spans="24:44">
      <c r="X6102"/>
      <c r="Y6102"/>
      <c r="Z6102"/>
      <c r="AA6102"/>
      <c r="AC6102"/>
      <c r="AR6102"/>
    </row>
    <row r="6103" spans="24:44">
      <c r="X6103"/>
      <c r="Y6103"/>
      <c r="Z6103"/>
      <c r="AA6103"/>
      <c r="AC6103"/>
      <c r="AR6103"/>
    </row>
    <row r="6104" spans="24:44">
      <c r="X6104"/>
      <c r="Y6104"/>
      <c r="Z6104"/>
      <c r="AA6104"/>
      <c r="AC6104"/>
      <c r="AR6104"/>
    </row>
    <row r="6105" spans="24:44">
      <c r="X6105"/>
      <c r="Y6105"/>
      <c r="Z6105"/>
      <c r="AA6105"/>
      <c r="AC6105"/>
      <c r="AR6105"/>
    </row>
    <row r="6106" spans="24:44">
      <c r="X6106"/>
      <c r="Y6106"/>
      <c r="Z6106"/>
      <c r="AA6106"/>
      <c r="AC6106"/>
      <c r="AR6106"/>
    </row>
    <row r="6107" spans="24:44">
      <c r="X6107"/>
      <c r="Y6107"/>
      <c r="Z6107"/>
      <c r="AA6107"/>
      <c r="AC6107"/>
      <c r="AR6107"/>
    </row>
    <row r="6108" spans="24:44">
      <c r="X6108"/>
      <c r="Y6108"/>
      <c r="Z6108"/>
      <c r="AA6108"/>
      <c r="AC6108"/>
      <c r="AR6108"/>
    </row>
    <row r="6109" spans="24:44">
      <c r="X6109"/>
      <c r="Y6109"/>
      <c r="Z6109"/>
      <c r="AA6109"/>
      <c r="AC6109"/>
      <c r="AR6109"/>
    </row>
    <row r="6110" spans="24:44">
      <c r="X6110"/>
      <c r="Y6110"/>
      <c r="Z6110"/>
      <c r="AA6110"/>
      <c r="AC6110"/>
      <c r="AR6110"/>
    </row>
    <row r="6111" spans="24:44">
      <c r="X6111"/>
      <c r="Y6111"/>
      <c r="Z6111"/>
      <c r="AA6111"/>
      <c r="AC6111"/>
      <c r="AR6111"/>
    </row>
    <row r="6112" spans="24:44">
      <c r="X6112"/>
      <c r="Y6112"/>
      <c r="Z6112"/>
      <c r="AA6112"/>
      <c r="AC6112"/>
      <c r="AR6112"/>
    </row>
    <row r="6113" spans="24:44">
      <c r="X6113"/>
      <c r="Y6113"/>
      <c r="Z6113"/>
      <c r="AA6113"/>
      <c r="AC6113"/>
      <c r="AR6113"/>
    </row>
    <row r="6114" spans="24:44">
      <c r="X6114"/>
      <c r="Y6114"/>
      <c r="Z6114"/>
      <c r="AA6114"/>
      <c r="AC6114"/>
      <c r="AR6114"/>
    </row>
    <row r="6115" spans="24:44">
      <c r="X6115"/>
      <c r="Y6115"/>
      <c r="Z6115"/>
      <c r="AA6115"/>
      <c r="AC6115"/>
      <c r="AR6115"/>
    </row>
    <row r="6116" spans="24:44">
      <c r="X6116"/>
      <c r="Y6116"/>
      <c r="Z6116"/>
      <c r="AA6116"/>
      <c r="AC6116"/>
      <c r="AR6116"/>
    </row>
    <row r="6117" spans="24:44">
      <c r="X6117"/>
      <c r="Y6117"/>
      <c r="Z6117"/>
      <c r="AA6117"/>
      <c r="AC6117"/>
      <c r="AR6117"/>
    </row>
    <row r="6118" spans="24:44">
      <c r="X6118"/>
      <c r="Y6118"/>
      <c r="Z6118"/>
      <c r="AA6118"/>
      <c r="AC6118"/>
      <c r="AR6118"/>
    </row>
    <row r="6119" spans="24:44">
      <c r="X6119"/>
      <c r="Y6119"/>
      <c r="Z6119"/>
      <c r="AA6119"/>
      <c r="AC6119"/>
      <c r="AR6119"/>
    </row>
    <row r="6120" spans="24:44">
      <c r="X6120"/>
      <c r="Y6120"/>
      <c r="Z6120"/>
      <c r="AA6120"/>
      <c r="AC6120"/>
      <c r="AR6120"/>
    </row>
    <row r="6121" spans="24:44">
      <c r="X6121"/>
      <c r="Y6121"/>
      <c r="Z6121"/>
      <c r="AA6121"/>
      <c r="AC6121"/>
      <c r="AR6121"/>
    </row>
    <row r="6122" spans="24:44">
      <c r="X6122"/>
      <c r="Y6122"/>
      <c r="Z6122"/>
      <c r="AA6122"/>
      <c r="AC6122"/>
      <c r="AR6122"/>
    </row>
    <row r="6123" spans="24:44">
      <c r="X6123"/>
      <c r="Y6123"/>
      <c r="Z6123"/>
      <c r="AA6123"/>
      <c r="AC6123"/>
      <c r="AR6123"/>
    </row>
    <row r="6124" spans="24:44">
      <c r="X6124"/>
      <c r="Y6124"/>
      <c r="Z6124"/>
      <c r="AA6124"/>
      <c r="AC6124"/>
      <c r="AR6124"/>
    </row>
    <row r="6125" spans="24:44">
      <c r="X6125"/>
      <c r="Y6125"/>
      <c r="Z6125"/>
      <c r="AA6125"/>
      <c r="AC6125"/>
      <c r="AR6125"/>
    </row>
    <row r="6126" spans="24:44">
      <c r="X6126"/>
      <c r="Y6126"/>
      <c r="Z6126"/>
      <c r="AA6126"/>
      <c r="AC6126"/>
      <c r="AR6126"/>
    </row>
    <row r="6127" spans="24:44">
      <c r="X6127"/>
      <c r="Y6127"/>
      <c r="Z6127"/>
      <c r="AA6127"/>
      <c r="AC6127"/>
      <c r="AR6127"/>
    </row>
    <row r="6128" spans="24:44">
      <c r="X6128"/>
      <c r="Y6128"/>
      <c r="Z6128"/>
      <c r="AA6128"/>
      <c r="AC6128"/>
      <c r="AR6128"/>
    </row>
    <row r="6129" spans="24:44">
      <c r="X6129"/>
      <c r="Y6129"/>
      <c r="Z6129"/>
      <c r="AA6129"/>
      <c r="AC6129"/>
      <c r="AR6129"/>
    </row>
    <row r="6130" spans="24:44">
      <c r="X6130"/>
      <c r="Y6130"/>
      <c r="Z6130"/>
      <c r="AA6130"/>
      <c r="AC6130"/>
      <c r="AR6130"/>
    </row>
    <row r="6131" spans="24:44">
      <c r="X6131"/>
      <c r="Y6131"/>
      <c r="Z6131"/>
      <c r="AA6131"/>
      <c r="AC6131"/>
      <c r="AR6131"/>
    </row>
    <row r="6132" spans="24:44">
      <c r="X6132"/>
      <c r="Y6132"/>
      <c r="Z6132"/>
      <c r="AA6132"/>
      <c r="AC6132"/>
      <c r="AR6132"/>
    </row>
    <row r="6133" spans="24:44">
      <c r="X6133"/>
      <c r="Y6133"/>
      <c r="Z6133"/>
      <c r="AA6133"/>
      <c r="AC6133"/>
      <c r="AR6133"/>
    </row>
    <row r="6134" spans="24:44">
      <c r="X6134"/>
      <c r="Y6134"/>
      <c r="Z6134"/>
      <c r="AA6134"/>
      <c r="AC6134"/>
      <c r="AR6134"/>
    </row>
    <row r="6135" spans="24:44">
      <c r="X6135"/>
      <c r="Y6135"/>
      <c r="Z6135"/>
      <c r="AA6135"/>
      <c r="AC6135"/>
      <c r="AR6135"/>
    </row>
    <row r="6136" spans="24:44">
      <c r="X6136"/>
      <c r="Y6136"/>
      <c r="Z6136"/>
      <c r="AA6136"/>
      <c r="AC6136"/>
      <c r="AR6136"/>
    </row>
    <row r="6137" spans="24:44">
      <c r="X6137"/>
      <c r="Y6137"/>
      <c r="Z6137"/>
      <c r="AA6137"/>
      <c r="AC6137"/>
      <c r="AR6137"/>
    </row>
    <row r="6138" spans="24:44">
      <c r="X6138"/>
      <c r="Y6138"/>
      <c r="Z6138"/>
      <c r="AA6138"/>
      <c r="AC6138"/>
      <c r="AR6138"/>
    </row>
    <row r="6139" spans="24:44">
      <c r="X6139"/>
      <c r="Y6139"/>
      <c r="Z6139"/>
      <c r="AA6139"/>
      <c r="AC6139"/>
      <c r="AR6139"/>
    </row>
    <row r="6140" spans="24:44">
      <c r="X6140"/>
      <c r="Y6140"/>
      <c r="Z6140"/>
      <c r="AA6140"/>
      <c r="AC6140"/>
      <c r="AR6140"/>
    </row>
    <row r="6141" spans="24:44">
      <c r="X6141"/>
      <c r="Y6141"/>
      <c r="Z6141"/>
      <c r="AA6141"/>
      <c r="AC6141"/>
      <c r="AR6141"/>
    </row>
    <row r="6142" spans="24:44">
      <c r="X6142"/>
      <c r="Y6142"/>
      <c r="Z6142"/>
      <c r="AA6142"/>
      <c r="AC6142"/>
      <c r="AR6142"/>
    </row>
    <row r="6143" spans="24:44">
      <c r="X6143"/>
      <c r="Y6143"/>
      <c r="Z6143"/>
      <c r="AA6143"/>
      <c r="AC6143"/>
      <c r="AR6143"/>
    </row>
    <row r="6144" spans="24:44">
      <c r="X6144"/>
      <c r="Y6144"/>
      <c r="Z6144"/>
      <c r="AA6144"/>
      <c r="AC6144"/>
      <c r="AR6144"/>
    </row>
    <row r="6145" spans="24:44">
      <c r="X6145"/>
      <c r="Y6145"/>
      <c r="Z6145"/>
      <c r="AA6145"/>
      <c r="AC6145"/>
      <c r="AR6145"/>
    </row>
    <row r="6146" spans="24:44">
      <c r="X6146"/>
      <c r="Y6146"/>
      <c r="Z6146"/>
      <c r="AA6146"/>
      <c r="AC6146"/>
      <c r="AR6146"/>
    </row>
    <row r="6147" spans="24:44">
      <c r="X6147"/>
      <c r="Y6147"/>
      <c r="Z6147"/>
      <c r="AA6147"/>
      <c r="AC6147"/>
      <c r="AR6147"/>
    </row>
    <row r="6148" spans="24:44">
      <c r="X6148"/>
      <c r="Y6148"/>
      <c r="Z6148"/>
      <c r="AA6148"/>
      <c r="AC6148"/>
      <c r="AR6148"/>
    </row>
    <row r="6149" spans="24:44">
      <c r="X6149"/>
      <c r="Y6149"/>
      <c r="Z6149"/>
      <c r="AA6149"/>
      <c r="AC6149"/>
      <c r="AR6149"/>
    </row>
    <row r="6150" spans="24:44">
      <c r="X6150"/>
      <c r="Y6150"/>
      <c r="Z6150"/>
      <c r="AA6150"/>
      <c r="AC6150"/>
      <c r="AR6150"/>
    </row>
    <row r="6151" spans="24:44">
      <c r="X6151"/>
      <c r="Y6151"/>
      <c r="Z6151"/>
      <c r="AA6151"/>
      <c r="AC6151"/>
      <c r="AR6151"/>
    </row>
    <row r="6152" spans="24:44">
      <c r="X6152"/>
      <c r="Y6152"/>
      <c r="Z6152"/>
      <c r="AA6152"/>
      <c r="AC6152"/>
      <c r="AR6152"/>
    </row>
    <row r="6153" spans="24:44">
      <c r="X6153"/>
      <c r="Y6153"/>
      <c r="Z6153"/>
      <c r="AA6153"/>
      <c r="AC6153"/>
      <c r="AR6153"/>
    </row>
    <row r="6154" spans="24:44">
      <c r="X6154"/>
      <c r="Y6154"/>
      <c r="Z6154"/>
      <c r="AA6154"/>
      <c r="AC6154"/>
      <c r="AR6154"/>
    </row>
    <row r="6155" spans="24:44">
      <c r="X6155"/>
      <c r="Y6155"/>
      <c r="Z6155"/>
      <c r="AA6155"/>
      <c r="AC6155"/>
      <c r="AR6155"/>
    </row>
    <row r="6156" spans="24:44">
      <c r="X6156"/>
      <c r="Y6156"/>
      <c r="Z6156"/>
      <c r="AA6156"/>
      <c r="AC6156"/>
      <c r="AR6156"/>
    </row>
    <row r="6157" spans="24:44">
      <c r="X6157"/>
      <c r="Y6157"/>
      <c r="Z6157"/>
      <c r="AA6157"/>
      <c r="AC6157"/>
      <c r="AR6157"/>
    </row>
    <row r="6158" spans="24:44">
      <c r="X6158"/>
      <c r="Y6158"/>
      <c r="Z6158"/>
      <c r="AA6158"/>
      <c r="AC6158"/>
      <c r="AR6158"/>
    </row>
    <row r="6159" spans="24:44">
      <c r="X6159"/>
      <c r="Y6159"/>
      <c r="Z6159"/>
      <c r="AA6159"/>
      <c r="AC6159"/>
      <c r="AR6159"/>
    </row>
    <row r="6160" spans="24:44">
      <c r="X6160"/>
      <c r="Y6160"/>
      <c r="Z6160"/>
      <c r="AA6160"/>
      <c r="AC6160"/>
      <c r="AR6160"/>
    </row>
    <row r="6161" spans="24:44">
      <c r="X6161"/>
      <c r="Y6161"/>
      <c r="Z6161"/>
      <c r="AA6161"/>
      <c r="AC6161"/>
      <c r="AR6161"/>
    </row>
    <row r="6162" spans="24:44">
      <c r="X6162"/>
      <c r="Y6162"/>
      <c r="Z6162"/>
      <c r="AA6162"/>
      <c r="AC6162"/>
      <c r="AR6162"/>
    </row>
    <row r="6163" spans="24:44">
      <c r="X6163"/>
      <c r="Y6163"/>
      <c r="Z6163"/>
      <c r="AA6163"/>
      <c r="AC6163"/>
      <c r="AR6163"/>
    </row>
    <row r="6164" spans="24:44">
      <c r="X6164"/>
      <c r="Y6164"/>
      <c r="Z6164"/>
      <c r="AA6164"/>
      <c r="AC6164"/>
      <c r="AR6164"/>
    </row>
    <row r="6165" spans="24:44">
      <c r="X6165"/>
      <c r="Y6165"/>
      <c r="Z6165"/>
      <c r="AA6165"/>
      <c r="AC6165"/>
      <c r="AR6165"/>
    </row>
    <row r="6166" spans="24:44">
      <c r="X6166"/>
      <c r="Y6166"/>
      <c r="Z6166"/>
      <c r="AA6166"/>
      <c r="AC6166"/>
      <c r="AR6166"/>
    </row>
    <row r="6167" spans="24:44">
      <c r="X6167"/>
      <c r="Y6167"/>
      <c r="Z6167"/>
      <c r="AA6167"/>
      <c r="AC6167"/>
      <c r="AR6167"/>
    </row>
    <row r="6168" spans="24:44">
      <c r="X6168"/>
      <c r="Y6168"/>
      <c r="Z6168"/>
      <c r="AA6168"/>
      <c r="AC6168"/>
      <c r="AR6168"/>
    </row>
    <row r="6169" spans="24:44">
      <c r="X6169"/>
      <c r="Y6169"/>
      <c r="Z6169"/>
      <c r="AA6169"/>
      <c r="AC6169"/>
      <c r="AR6169"/>
    </row>
    <row r="6170" spans="24:44">
      <c r="X6170"/>
      <c r="Y6170"/>
      <c r="Z6170"/>
      <c r="AA6170"/>
      <c r="AC6170"/>
      <c r="AR6170"/>
    </row>
    <row r="6171" spans="24:44">
      <c r="X6171"/>
      <c r="Y6171"/>
      <c r="Z6171"/>
      <c r="AA6171"/>
      <c r="AC6171"/>
      <c r="AR6171"/>
    </row>
    <row r="6172" spans="24:44">
      <c r="X6172"/>
      <c r="Y6172"/>
      <c r="Z6172"/>
      <c r="AA6172"/>
      <c r="AC6172"/>
      <c r="AR6172"/>
    </row>
    <row r="6173" spans="24:44">
      <c r="X6173"/>
      <c r="Y6173"/>
      <c r="Z6173"/>
      <c r="AA6173"/>
      <c r="AC6173"/>
      <c r="AR6173"/>
    </row>
    <row r="6174" spans="24:44">
      <c r="X6174"/>
      <c r="Y6174"/>
      <c r="Z6174"/>
      <c r="AA6174"/>
      <c r="AC6174"/>
      <c r="AR6174"/>
    </row>
    <row r="6175" spans="24:44">
      <c r="X6175"/>
      <c r="Y6175"/>
      <c r="Z6175"/>
      <c r="AA6175"/>
      <c r="AC6175"/>
      <c r="AR6175"/>
    </row>
    <row r="6176" spans="24:44">
      <c r="X6176"/>
      <c r="Y6176"/>
      <c r="Z6176"/>
      <c r="AA6176"/>
      <c r="AC6176"/>
      <c r="AR6176"/>
    </row>
    <row r="6177" spans="24:44">
      <c r="X6177"/>
      <c r="Y6177"/>
      <c r="Z6177"/>
      <c r="AA6177"/>
      <c r="AC6177"/>
      <c r="AR6177"/>
    </row>
    <row r="6178" spans="24:44">
      <c r="X6178"/>
      <c r="Y6178"/>
      <c r="Z6178"/>
      <c r="AA6178"/>
      <c r="AC6178"/>
      <c r="AR6178"/>
    </row>
    <row r="6179" spans="24:44">
      <c r="X6179"/>
      <c r="Y6179"/>
      <c r="Z6179"/>
      <c r="AA6179"/>
      <c r="AC6179"/>
      <c r="AR6179"/>
    </row>
    <row r="6180" spans="24:44">
      <c r="X6180"/>
      <c r="Y6180"/>
      <c r="Z6180"/>
      <c r="AA6180"/>
      <c r="AC6180"/>
      <c r="AR6180"/>
    </row>
    <row r="6181" spans="24:44">
      <c r="X6181"/>
      <c r="Y6181"/>
      <c r="Z6181"/>
      <c r="AA6181"/>
      <c r="AC6181"/>
      <c r="AR6181"/>
    </row>
    <row r="6182" spans="24:44">
      <c r="X6182"/>
      <c r="Y6182"/>
      <c r="Z6182"/>
      <c r="AA6182"/>
      <c r="AC6182"/>
      <c r="AR6182"/>
    </row>
    <row r="6183" spans="24:44">
      <c r="X6183"/>
      <c r="Y6183"/>
      <c r="Z6183"/>
      <c r="AA6183"/>
      <c r="AC6183"/>
      <c r="AR6183"/>
    </row>
    <row r="6184" spans="24:44">
      <c r="X6184"/>
      <c r="Y6184"/>
      <c r="Z6184"/>
      <c r="AA6184"/>
      <c r="AC6184"/>
      <c r="AR6184"/>
    </row>
    <row r="6185" spans="24:44">
      <c r="X6185"/>
      <c r="Y6185"/>
      <c r="Z6185"/>
      <c r="AA6185"/>
      <c r="AC6185"/>
      <c r="AR6185"/>
    </row>
    <row r="6186" spans="24:44">
      <c r="X6186"/>
      <c r="Y6186"/>
      <c r="Z6186"/>
      <c r="AA6186"/>
      <c r="AC6186"/>
      <c r="AR6186"/>
    </row>
    <row r="6187" spans="24:44">
      <c r="X6187"/>
      <c r="Y6187"/>
      <c r="Z6187"/>
      <c r="AA6187"/>
      <c r="AC6187"/>
      <c r="AR6187"/>
    </row>
    <row r="6188" spans="24:44">
      <c r="X6188"/>
      <c r="Y6188"/>
      <c r="Z6188"/>
      <c r="AA6188"/>
      <c r="AC6188"/>
      <c r="AR6188"/>
    </row>
    <row r="6189" spans="24:44">
      <c r="X6189"/>
      <c r="Y6189"/>
      <c r="Z6189"/>
      <c r="AA6189"/>
      <c r="AC6189"/>
      <c r="AR6189"/>
    </row>
    <row r="6190" spans="24:44">
      <c r="X6190"/>
      <c r="Y6190"/>
      <c r="Z6190"/>
      <c r="AA6190"/>
      <c r="AC6190"/>
      <c r="AR6190"/>
    </row>
    <row r="6191" spans="24:44">
      <c r="X6191"/>
      <c r="Y6191"/>
      <c r="Z6191"/>
      <c r="AA6191"/>
      <c r="AC6191"/>
      <c r="AR6191"/>
    </row>
    <row r="6192" spans="24:44">
      <c r="X6192"/>
      <c r="Y6192"/>
      <c r="Z6192"/>
      <c r="AA6192"/>
      <c r="AC6192"/>
      <c r="AR6192"/>
    </row>
    <row r="6193" spans="24:44">
      <c r="X6193"/>
      <c r="Y6193"/>
      <c r="Z6193"/>
      <c r="AA6193"/>
      <c r="AC6193"/>
      <c r="AR6193"/>
    </row>
    <row r="6194" spans="24:44">
      <c r="X6194"/>
      <c r="Y6194"/>
      <c r="Z6194"/>
      <c r="AA6194"/>
      <c r="AC6194"/>
      <c r="AR6194"/>
    </row>
    <row r="6195" spans="24:44">
      <c r="X6195"/>
      <c r="Y6195"/>
      <c r="Z6195"/>
      <c r="AA6195"/>
      <c r="AC6195"/>
      <c r="AR6195"/>
    </row>
    <row r="6196" spans="24:44">
      <c r="X6196"/>
      <c r="Y6196"/>
      <c r="Z6196"/>
      <c r="AA6196"/>
      <c r="AC6196"/>
      <c r="AR6196"/>
    </row>
    <row r="6197" spans="24:44">
      <c r="X6197"/>
      <c r="Y6197"/>
      <c r="Z6197"/>
      <c r="AA6197"/>
      <c r="AC6197"/>
      <c r="AR6197"/>
    </row>
    <row r="6198" spans="24:44">
      <c r="X6198"/>
      <c r="Y6198"/>
      <c r="Z6198"/>
      <c r="AA6198"/>
      <c r="AC6198"/>
      <c r="AR6198"/>
    </row>
    <row r="6199" spans="24:44">
      <c r="X6199"/>
      <c r="Y6199"/>
      <c r="Z6199"/>
      <c r="AA6199"/>
      <c r="AC6199"/>
      <c r="AR6199"/>
    </row>
    <row r="6200" spans="24:44">
      <c r="X6200"/>
      <c r="Y6200"/>
      <c r="Z6200"/>
      <c r="AA6200"/>
      <c r="AC6200"/>
      <c r="AR6200"/>
    </row>
    <row r="6201" spans="24:44">
      <c r="X6201"/>
      <c r="Y6201"/>
      <c r="Z6201"/>
      <c r="AA6201"/>
      <c r="AC6201"/>
      <c r="AR6201"/>
    </row>
    <row r="6202" spans="24:44">
      <c r="X6202"/>
      <c r="Y6202"/>
      <c r="Z6202"/>
      <c r="AA6202"/>
      <c r="AC6202"/>
      <c r="AR6202"/>
    </row>
    <row r="6203" spans="24:44">
      <c r="X6203"/>
      <c r="Y6203"/>
      <c r="Z6203"/>
      <c r="AA6203"/>
      <c r="AC6203"/>
      <c r="AR6203"/>
    </row>
    <row r="6204" spans="24:44">
      <c r="X6204"/>
      <c r="Y6204"/>
      <c r="Z6204"/>
      <c r="AA6204"/>
      <c r="AC6204"/>
      <c r="AR6204"/>
    </row>
    <row r="6205" spans="24:44">
      <c r="X6205"/>
      <c r="Y6205"/>
      <c r="Z6205"/>
      <c r="AA6205"/>
      <c r="AC6205"/>
      <c r="AR6205"/>
    </row>
    <row r="6206" spans="24:44">
      <c r="X6206"/>
      <c r="Y6206"/>
      <c r="Z6206"/>
      <c r="AA6206"/>
      <c r="AC6206"/>
      <c r="AR6206"/>
    </row>
    <row r="6207" spans="24:44">
      <c r="X6207"/>
      <c r="Y6207"/>
      <c r="Z6207"/>
      <c r="AA6207"/>
      <c r="AC6207"/>
      <c r="AR6207"/>
    </row>
    <row r="6208" spans="24:44">
      <c r="X6208"/>
      <c r="Y6208"/>
      <c r="Z6208"/>
      <c r="AA6208"/>
      <c r="AC6208"/>
      <c r="AR6208"/>
    </row>
    <row r="6209" spans="24:44">
      <c r="X6209"/>
      <c r="Y6209"/>
      <c r="Z6209"/>
      <c r="AA6209"/>
      <c r="AC6209"/>
      <c r="AR6209"/>
    </row>
    <row r="6210" spans="24:44">
      <c r="X6210"/>
      <c r="Y6210"/>
      <c r="Z6210"/>
      <c r="AA6210"/>
      <c r="AC6210"/>
      <c r="AR6210"/>
    </row>
    <row r="6211" spans="24:44">
      <c r="X6211"/>
      <c r="Y6211"/>
      <c r="Z6211"/>
      <c r="AA6211"/>
      <c r="AC6211"/>
      <c r="AR6211"/>
    </row>
    <row r="6212" spans="24:44">
      <c r="X6212"/>
      <c r="Y6212"/>
      <c r="Z6212"/>
      <c r="AA6212"/>
      <c r="AC6212"/>
      <c r="AR6212"/>
    </row>
    <row r="6213" spans="24:44">
      <c r="X6213"/>
      <c r="Y6213"/>
      <c r="Z6213"/>
      <c r="AA6213"/>
      <c r="AC6213"/>
      <c r="AR6213"/>
    </row>
    <row r="6214" spans="24:44">
      <c r="X6214"/>
      <c r="Y6214"/>
      <c r="Z6214"/>
      <c r="AA6214"/>
      <c r="AC6214"/>
      <c r="AR6214"/>
    </row>
    <row r="6215" spans="24:44">
      <c r="X6215"/>
      <c r="Y6215"/>
      <c r="Z6215"/>
      <c r="AA6215"/>
      <c r="AC6215"/>
      <c r="AR6215"/>
    </row>
    <row r="6216" spans="24:44">
      <c r="X6216"/>
      <c r="Y6216"/>
      <c r="Z6216"/>
      <c r="AA6216"/>
      <c r="AC6216"/>
      <c r="AR6216"/>
    </row>
    <row r="6217" spans="24:44">
      <c r="X6217"/>
      <c r="Y6217"/>
      <c r="Z6217"/>
      <c r="AA6217"/>
      <c r="AC6217"/>
      <c r="AR6217"/>
    </row>
    <row r="6218" spans="24:44">
      <c r="X6218"/>
      <c r="Y6218"/>
      <c r="Z6218"/>
      <c r="AA6218"/>
      <c r="AC6218"/>
      <c r="AR6218"/>
    </row>
    <row r="6219" spans="24:44">
      <c r="X6219"/>
      <c r="Y6219"/>
      <c r="Z6219"/>
      <c r="AA6219"/>
      <c r="AC6219"/>
      <c r="AR6219"/>
    </row>
    <row r="6220" spans="24:44">
      <c r="X6220"/>
      <c r="Y6220"/>
      <c r="Z6220"/>
      <c r="AA6220"/>
      <c r="AC6220"/>
      <c r="AR6220"/>
    </row>
    <row r="6221" spans="24:44">
      <c r="X6221"/>
      <c r="Y6221"/>
      <c r="Z6221"/>
      <c r="AA6221"/>
      <c r="AC6221"/>
      <c r="AR6221"/>
    </row>
    <row r="6222" spans="24:44">
      <c r="X6222"/>
      <c r="Y6222"/>
      <c r="Z6222"/>
      <c r="AA6222"/>
      <c r="AC6222"/>
      <c r="AR6222"/>
    </row>
    <row r="6223" spans="24:44">
      <c r="X6223"/>
      <c r="Y6223"/>
      <c r="Z6223"/>
      <c r="AA6223"/>
      <c r="AC6223"/>
      <c r="AR6223"/>
    </row>
    <row r="6224" spans="24:44">
      <c r="X6224"/>
      <c r="Y6224"/>
      <c r="Z6224"/>
      <c r="AA6224"/>
      <c r="AC6224"/>
      <c r="AR6224"/>
    </row>
    <row r="6225" spans="24:44">
      <c r="X6225"/>
      <c r="Y6225"/>
      <c r="Z6225"/>
      <c r="AA6225"/>
      <c r="AC6225"/>
      <c r="AR6225"/>
    </row>
    <row r="6226" spans="24:44">
      <c r="X6226"/>
      <c r="Y6226"/>
      <c r="Z6226"/>
      <c r="AA6226"/>
      <c r="AC6226"/>
      <c r="AR6226"/>
    </row>
    <row r="6227" spans="24:44">
      <c r="X6227"/>
      <c r="Y6227"/>
      <c r="Z6227"/>
      <c r="AA6227"/>
      <c r="AC6227"/>
      <c r="AR6227"/>
    </row>
    <row r="6228" spans="24:44">
      <c r="X6228"/>
      <c r="Y6228"/>
      <c r="Z6228"/>
      <c r="AA6228"/>
      <c r="AC6228"/>
      <c r="AR6228"/>
    </row>
    <row r="6229" spans="24:44">
      <c r="X6229"/>
      <c r="Y6229"/>
      <c r="Z6229"/>
      <c r="AA6229"/>
      <c r="AC6229"/>
      <c r="AR6229"/>
    </row>
    <row r="6230" spans="24:44">
      <c r="X6230"/>
      <c r="Y6230"/>
      <c r="Z6230"/>
      <c r="AA6230"/>
      <c r="AC6230"/>
      <c r="AR6230"/>
    </row>
    <row r="6231" spans="24:44">
      <c r="X6231"/>
      <c r="Y6231"/>
      <c r="Z6231"/>
      <c r="AA6231"/>
      <c r="AC6231"/>
      <c r="AR6231"/>
    </row>
    <row r="6232" spans="24:44">
      <c r="X6232"/>
      <c r="Y6232"/>
      <c r="Z6232"/>
      <c r="AA6232"/>
      <c r="AC6232"/>
      <c r="AR6232"/>
    </row>
    <row r="6233" spans="24:44">
      <c r="X6233"/>
      <c r="Y6233"/>
      <c r="Z6233"/>
      <c r="AA6233"/>
      <c r="AC6233"/>
      <c r="AR6233"/>
    </row>
    <row r="6234" spans="24:44">
      <c r="X6234"/>
      <c r="Y6234"/>
      <c r="Z6234"/>
      <c r="AA6234"/>
      <c r="AC6234"/>
      <c r="AR6234"/>
    </row>
    <row r="6235" spans="24:44">
      <c r="X6235"/>
      <c r="Y6235"/>
      <c r="Z6235"/>
      <c r="AA6235"/>
      <c r="AC6235"/>
      <c r="AR6235"/>
    </row>
    <row r="6236" spans="24:44">
      <c r="X6236"/>
      <c r="Y6236"/>
      <c r="Z6236"/>
      <c r="AA6236"/>
      <c r="AC6236"/>
      <c r="AR6236"/>
    </row>
    <row r="6237" spans="24:44">
      <c r="X6237"/>
      <c r="Y6237"/>
      <c r="Z6237"/>
      <c r="AA6237"/>
      <c r="AC6237"/>
      <c r="AR6237"/>
    </row>
    <row r="6238" spans="24:44">
      <c r="X6238"/>
      <c r="Y6238"/>
      <c r="Z6238"/>
      <c r="AA6238"/>
      <c r="AC6238"/>
      <c r="AR6238"/>
    </row>
    <row r="6239" spans="24:44">
      <c r="X6239"/>
      <c r="Y6239"/>
      <c r="Z6239"/>
      <c r="AA6239"/>
      <c r="AC6239"/>
      <c r="AR6239"/>
    </row>
    <row r="6240" spans="24:44">
      <c r="X6240"/>
      <c r="Y6240"/>
      <c r="Z6240"/>
      <c r="AA6240"/>
      <c r="AC6240"/>
      <c r="AR6240"/>
    </row>
    <row r="6241" spans="24:44">
      <c r="X6241"/>
      <c r="Y6241"/>
      <c r="Z6241"/>
      <c r="AA6241"/>
      <c r="AC6241"/>
      <c r="AR6241"/>
    </row>
    <row r="6242" spans="24:44">
      <c r="X6242"/>
      <c r="Y6242"/>
      <c r="Z6242"/>
      <c r="AA6242"/>
      <c r="AC6242"/>
      <c r="AR6242"/>
    </row>
    <row r="6243" spans="24:44">
      <c r="X6243"/>
      <c r="Y6243"/>
      <c r="Z6243"/>
      <c r="AA6243"/>
      <c r="AC6243"/>
      <c r="AR6243"/>
    </row>
    <row r="6244" spans="24:44">
      <c r="X6244"/>
      <c r="Y6244"/>
      <c r="Z6244"/>
      <c r="AA6244"/>
      <c r="AC6244"/>
      <c r="AR6244"/>
    </row>
    <row r="6245" spans="24:44">
      <c r="X6245"/>
      <c r="Y6245"/>
      <c r="Z6245"/>
      <c r="AA6245"/>
      <c r="AC6245"/>
      <c r="AR6245"/>
    </row>
    <row r="6246" spans="24:44">
      <c r="X6246"/>
      <c r="Y6246"/>
      <c r="Z6246"/>
      <c r="AA6246"/>
      <c r="AC6246"/>
      <c r="AR6246"/>
    </row>
    <row r="6247" spans="24:44">
      <c r="X6247"/>
      <c r="Y6247"/>
      <c r="Z6247"/>
      <c r="AA6247"/>
      <c r="AC6247"/>
      <c r="AR6247"/>
    </row>
    <row r="6248" spans="24:44">
      <c r="X6248"/>
      <c r="Y6248"/>
      <c r="Z6248"/>
      <c r="AA6248"/>
      <c r="AC6248"/>
      <c r="AR6248"/>
    </row>
    <row r="6249" spans="24:44">
      <c r="X6249"/>
      <c r="Y6249"/>
      <c r="Z6249"/>
      <c r="AA6249"/>
      <c r="AC6249"/>
      <c r="AR6249"/>
    </row>
    <row r="6250" spans="24:44">
      <c r="X6250"/>
      <c r="Y6250"/>
      <c r="Z6250"/>
      <c r="AA6250"/>
      <c r="AC6250"/>
      <c r="AR6250"/>
    </row>
    <row r="6251" spans="24:44">
      <c r="X6251"/>
      <c r="Y6251"/>
      <c r="Z6251"/>
      <c r="AA6251"/>
      <c r="AC6251"/>
      <c r="AR6251"/>
    </row>
    <row r="6252" spans="24:44">
      <c r="X6252"/>
      <c r="Y6252"/>
      <c r="Z6252"/>
      <c r="AA6252"/>
      <c r="AC6252"/>
      <c r="AR6252"/>
    </row>
    <row r="6253" spans="24:44">
      <c r="X6253"/>
      <c r="Y6253"/>
      <c r="Z6253"/>
      <c r="AA6253"/>
      <c r="AC6253"/>
      <c r="AR6253"/>
    </row>
    <row r="6254" spans="24:44">
      <c r="X6254"/>
      <c r="Y6254"/>
      <c r="Z6254"/>
      <c r="AA6254"/>
      <c r="AC6254"/>
      <c r="AR6254"/>
    </row>
    <row r="6255" spans="24:44">
      <c r="X6255"/>
      <c r="Y6255"/>
      <c r="Z6255"/>
      <c r="AA6255"/>
      <c r="AC6255"/>
      <c r="AR6255"/>
    </row>
    <row r="6256" spans="24:44">
      <c r="X6256"/>
      <c r="Y6256"/>
      <c r="Z6256"/>
      <c r="AA6256"/>
      <c r="AC6256"/>
      <c r="AR6256"/>
    </row>
    <row r="6257" spans="24:44">
      <c r="X6257"/>
      <c r="Y6257"/>
      <c r="Z6257"/>
      <c r="AA6257"/>
      <c r="AC6257"/>
      <c r="AR6257"/>
    </row>
    <row r="6258" spans="24:44">
      <c r="X6258"/>
      <c r="Y6258"/>
      <c r="Z6258"/>
      <c r="AA6258"/>
      <c r="AC6258"/>
      <c r="AR6258"/>
    </row>
    <row r="6259" spans="24:44">
      <c r="X6259"/>
      <c r="Y6259"/>
      <c r="Z6259"/>
      <c r="AA6259"/>
      <c r="AC6259"/>
      <c r="AR6259"/>
    </row>
    <row r="6260" spans="24:44">
      <c r="X6260"/>
      <c r="Y6260"/>
      <c r="Z6260"/>
      <c r="AA6260"/>
      <c r="AC6260"/>
      <c r="AR6260"/>
    </row>
    <row r="6261" spans="24:44">
      <c r="X6261"/>
      <c r="Y6261"/>
      <c r="Z6261"/>
      <c r="AA6261"/>
      <c r="AC6261"/>
      <c r="AR6261"/>
    </row>
    <row r="6262" spans="24:44">
      <c r="X6262"/>
      <c r="Y6262"/>
      <c r="Z6262"/>
      <c r="AA6262"/>
      <c r="AC6262"/>
      <c r="AR6262"/>
    </row>
    <row r="6263" spans="24:44">
      <c r="X6263"/>
      <c r="Y6263"/>
      <c r="Z6263"/>
      <c r="AA6263"/>
      <c r="AC6263"/>
      <c r="AR6263"/>
    </row>
    <row r="6264" spans="24:44">
      <c r="X6264"/>
      <c r="Y6264"/>
      <c r="Z6264"/>
      <c r="AA6264"/>
      <c r="AC6264"/>
      <c r="AR6264"/>
    </row>
    <row r="6265" spans="24:44">
      <c r="X6265"/>
      <c r="Y6265"/>
      <c r="Z6265"/>
      <c r="AA6265"/>
      <c r="AC6265"/>
      <c r="AR6265"/>
    </row>
    <row r="6266" spans="24:44">
      <c r="X6266"/>
      <c r="Y6266"/>
      <c r="Z6266"/>
      <c r="AA6266"/>
      <c r="AC6266"/>
      <c r="AR6266"/>
    </row>
    <row r="6267" spans="24:44">
      <c r="X6267"/>
      <c r="Y6267"/>
      <c r="Z6267"/>
      <c r="AA6267"/>
      <c r="AC6267"/>
      <c r="AR6267"/>
    </row>
    <row r="6268" spans="24:44">
      <c r="X6268"/>
      <c r="Y6268"/>
      <c r="Z6268"/>
      <c r="AA6268"/>
      <c r="AC6268"/>
      <c r="AR6268"/>
    </row>
    <row r="6269" spans="24:44">
      <c r="X6269"/>
      <c r="Y6269"/>
      <c r="Z6269"/>
      <c r="AA6269"/>
      <c r="AC6269"/>
      <c r="AR6269"/>
    </row>
    <row r="6270" spans="24:44">
      <c r="X6270"/>
      <c r="Y6270"/>
      <c r="Z6270"/>
      <c r="AA6270"/>
      <c r="AC6270"/>
      <c r="AR6270"/>
    </row>
    <row r="6271" spans="24:44">
      <c r="X6271"/>
      <c r="Y6271"/>
      <c r="Z6271"/>
      <c r="AA6271"/>
      <c r="AC6271"/>
      <c r="AR6271"/>
    </row>
    <row r="6272" spans="24:44">
      <c r="X6272"/>
      <c r="Y6272"/>
      <c r="Z6272"/>
      <c r="AA6272"/>
      <c r="AC6272"/>
      <c r="AR6272"/>
    </row>
    <row r="6273" spans="24:44">
      <c r="X6273"/>
      <c r="Y6273"/>
      <c r="Z6273"/>
      <c r="AA6273"/>
      <c r="AC6273"/>
      <c r="AR6273"/>
    </row>
    <row r="6274" spans="24:44">
      <c r="X6274"/>
      <c r="Y6274"/>
      <c r="Z6274"/>
      <c r="AA6274"/>
      <c r="AC6274"/>
      <c r="AR6274"/>
    </row>
    <row r="6275" spans="24:44">
      <c r="X6275"/>
      <c r="Y6275"/>
      <c r="Z6275"/>
      <c r="AA6275"/>
      <c r="AC6275"/>
      <c r="AR6275"/>
    </row>
    <row r="6276" spans="24:44">
      <c r="X6276"/>
      <c r="Y6276"/>
      <c r="Z6276"/>
      <c r="AA6276"/>
      <c r="AC6276"/>
      <c r="AR6276"/>
    </row>
    <row r="6277" spans="24:44">
      <c r="X6277"/>
      <c r="Y6277"/>
      <c r="Z6277"/>
      <c r="AA6277"/>
      <c r="AC6277"/>
      <c r="AR6277"/>
    </row>
    <row r="6278" spans="24:44">
      <c r="X6278"/>
      <c r="Y6278"/>
      <c r="Z6278"/>
      <c r="AA6278"/>
      <c r="AC6278"/>
      <c r="AR6278"/>
    </row>
    <row r="6279" spans="24:44">
      <c r="X6279"/>
      <c r="Y6279"/>
      <c r="Z6279"/>
      <c r="AA6279"/>
      <c r="AC6279"/>
      <c r="AR6279"/>
    </row>
    <row r="6280" spans="24:44">
      <c r="X6280"/>
      <c r="Y6280"/>
      <c r="Z6280"/>
      <c r="AA6280"/>
      <c r="AC6280"/>
      <c r="AR6280"/>
    </row>
    <row r="6281" spans="24:44">
      <c r="X6281"/>
      <c r="Y6281"/>
      <c r="Z6281"/>
      <c r="AA6281"/>
      <c r="AC6281"/>
      <c r="AR6281"/>
    </row>
    <row r="6282" spans="24:44">
      <c r="X6282"/>
      <c r="Y6282"/>
      <c r="Z6282"/>
      <c r="AA6282"/>
      <c r="AC6282"/>
      <c r="AR6282"/>
    </row>
    <row r="6283" spans="24:44">
      <c r="X6283"/>
      <c r="Y6283"/>
      <c r="Z6283"/>
      <c r="AA6283"/>
      <c r="AC6283"/>
      <c r="AR6283"/>
    </row>
    <row r="6284" spans="24:44">
      <c r="X6284"/>
      <c r="Y6284"/>
      <c r="Z6284"/>
      <c r="AA6284"/>
      <c r="AC6284"/>
      <c r="AR6284"/>
    </row>
    <row r="6285" spans="24:44">
      <c r="X6285"/>
      <c r="Y6285"/>
      <c r="Z6285"/>
      <c r="AA6285"/>
      <c r="AC6285"/>
      <c r="AR6285"/>
    </row>
    <row r="6286" spans="24:44">
      <c r="X6286"/>
      <c r="Y6286"/>
      <c r="Z6286"/>
      <c r="AA6286"/>
      <c r="AC6286"/>
      <c r="AR6286"/>
    </row>
    <row r="6287" spans="24:44">
      <c r="X6287"/>
      <c r="Y6287"/>
      <c r="Z6287"/>
      <c r="AA6287"/>
      <c r="AC6287"/>
      <c r="AR6287"/>
    </row>
    <row r="6288" spans="24:44">
      <c r="X6288"/>
      <c r="Y6288"/>
      <c r="Z6288"/>
      <c r="AA6288"/>
      <c r="AC6288"/>
      <c r="AR6288"/>
    </row>
    <row r="6289" spans="24:44">
      <c r="X6289"/>
      <c r="Y6289"/>
      <c r="Z6289"/>
      <c r="AA6289"/>
      <c r="AC6289"/>
      <c r="AR6289"/>
    </row>
    <row r="6290" spans="24:44">
      <c r="X6290"/>
      <c r="Y6290"/>
      <c r="Z6290"/>
      <c r="AA6290"/>
      <c r="AC6290"/>
      <c r="AR6290"/>
    </row>
    <row r="6291" spans="24:44">
      <c r="X6291"/>
      <c r="Y6291"/>
      <c r="Z6291"/>
      <c r="AA6291"/>
      <c r="AC6291"/>
      <c r="AR6291"/>
    </row>
    <row r="6292" spans="24:44">
      <c r="X6292"/>
      <c r="Y6292"/>
      <c r="Z6292"/>
      <c r="AA6292"/>
      <c r="AC6292"/>
      <c r="AR6292"/>
    </row>
    <row r="6293" spans="24:44">
      <c r="X6293"/>
      <c r="Y6293"/>
      <c r="Z6293"/>
      <c r="AA6293"/>
      <c r="AC6293"/>
      <c r="AR6293"/>
    </row>
    <row r="6294" spans="24:44">
      <c r="X6294"/>
      <c r="Y6294"/>
      <c r="Z6294"/>
      <c r="AA6294"/>
      <c r="AC6294"/>
      <c r="AR6294"/>
    </row>
    <row r="6295" spans="24:44">
      <c r="X6295"/>
      <c r="Y6295"/>
      <c r="Z6295"/>
      <c r="AA6295"/>
      <c r="AC6295"/>
      <c r="AR6295"/>
    </row>
    <row r="6296" spans="24:44">
      <c r="X6296"/>
      <c r="Y6296"/>
      <c r="Z6296"/>
      <c r="AA6296"/>
      <c r="AC6296"/>
      <c r="AR6296"/>
    </row>
    <row r="6297" spans="24:44">
      <c r="X6297"/>
      <c r="Y6297"/>
      <c r="Z6297"/>
      <c r="AA6297"/>
      <c r="AC6297"/>
      <c r="AR6297"/>
    </row>
    <row r="6298" spans="24:44">
      <c r="X6298"/>
      <c r="Y6298"/>
      <c r="Z6298"/>
      <c r="AA6298"/>
      <c r="AC6298"/>
      <c r="AR6298"/>
    </row>
    <row r="6299" spans="24:44">
      <c r="X6299"/>
      <c r="Y6299"/>
      <c r="Z6299"/>
      <c r="AA6299"/>
      <c r="AC6299"/>
      <c r="AR6299"/>
    </row>
    <row r="6300" spans="24:44">
      <c r="X6300"/>
      <c r="Y6300"/>
      <c r="Z6300"/>
      <c r="AA6300"/>
      <c r="AC6300"/>
      <c r="AR6300"/>
    </row>
    <row r="6301" spans="24:44">
      <c r="X6301"/>
      <c r="Y6301"/>
      <c r="Z6301"/>
      <c r="AA6301"/>
      <c r="AC6301"/>
      <c r="AR6301"/>
    </row>
    <row r="6302" spans="24:44">
      <c r="X6302"/>
      <c r="Y6302"/>
      <c r="Z6302"/>
      <c r="AA6302"/>
      <c r="AC6302"/>
      <c r="AR6302"/>
    </row>
    <row r="6303" spans="24:44">
      <c r="X6303"/>
      <c r="Y6303"/>
      <c r="Z6303"/>
      <c r="AA6303"/>
      <c r="AC6303"/>
      <c r="AR6303"/>
    </row>
    <row r="6304" spans="24:44">
      <c r="X6304"/>
      <c r="Y6304"/>
      <c r="Z6304"/>
      <c r="AA6304"/>
      <c r="AC6304"/>
      <c r="AR6304"/>
    </row>
    <row r="6305" spans="24:44">
      <c r="X6305"/>
      <c r="Y6305"/>
      <c r="Z6305"/>
      <c r="AA6305"/>
      <c r="AC6305"/>
      <c r="AR6305"/>
    </row>
    <row r="6306" spans="24:44">
      <c r="X6306"/>
      <c r="Y6306"/>
      <c r="Z6306"/>
      <c r="AA6306"/>
      <c r="AC6306"/>
      <c r="AR6306"/>
    </row>
    <row r="6307" spans="24:44">
      <c r="X6307"/>
      <c r="Y6307"/>
      <c r="Z6307"/>
      <c r="AA6307"/>
      <c r="AC6307"/>
      <c r="AR6307"/>
    </row>
    <row r="6308" spans="24:44">
      <c r="X6308"/>
      <c r="Y6308"/>
      <c r="Z6308"/>
      <c r="AA6308"/>
      <c r="AC6308"/>
      <c r="AR6308"/>
    </row>
    <row r="6309" spans="24:44">
      <c r="X6309"/>
      <c r="Y6309"/>
      <c r="Z6309"/>
      <c r="AA6309"/>
      <c r="AC6309"/>
      <c r="AR6309"/>
    </row>
    <row r="6310" spans="24:44">
      <c r="X6310"/>
      <c r="Y6310"/>
      <c r="Z6310"/>
      <c r="AA6310"/>
      <c r="AC6310"/>
      <c r="AR6310"/>
    </row>
    <row r="6311" spans="24:44">
      <c r="X6311"/>
      <c r="Y6311"/>
      <c r="Z6311"/>
      <c r="AA6311"/>
      <c r="AC6311"/>
      <c r="AR6311"/>
    </row>
    <row r="6312" spans="24:44">
      <c r="X6312"/>
      <c r="Y6312"/>
      <c r="Z6312"/>
      <c r="AA6312"/>
      <c r="AC6312"/>
      <c r="AR6312"/>
    </row>
    <row r="6313" spans="24:44">
      <c r="X6313"/>
      <c r="Y6313"/>
      <c r="Z6313"/>
      <c r="AA6313"/>
      <c r="AC6313"/>
      <c r="AR6313"/>
    </row>
    <row r="6314" spans="24:44">
      <c r="X6314"/>
      <c r="Y6314"/>
      <c r="Z6314"/>
      <c r="AA6314"/>
      <c r="AC6314"/>
      <c r="AR6314"/>
    </row>
    <row r="6315" spans="24:44">
      <c r="X6315"/>
      <c r="Y6315"/>
      <c r="Z6315"/>
      <c r="AA6315"/>
      <c r="AC6315"/>
      <c r="AR6315"/>
    </row>
    <row r="6316" spans="24:44">
      <c r="X6316"/>
      <c r="Y6316"/>
      <c r="Z6316"/>
      <c r="AA6316"/>
      <c r="AC6316"/>
      <c r="AR6316"/>
    </row>
    <row r="6317" spans="24:44">
      <c r="X6317"/>
      <c r="Y6317"/>
      <c r="Z6317"/>
      <c r="AA6317"/>
      <c r="AC6317"/>
      <c r="AR6317"/>
    </row>
    <row r="6318" spans="24:44">
      <c r="X6318"/>
      <c r="Y6318"/>
      <c r="Z6318"/>
      <c r="AA6318"/>
      <c r="AC6318"/>
      <c r="AR6318"/>
    </row>
    <row r="6319" spans="24:44">
      <c r="X6319"/>
      <c r="Y6319"/>
      <c r="Z6319"/>
      <c r="AA6319"/>
      <c r="AC6319"/>
      <c r="AR6319"/>
    </row>
    <row r="6320" spans="24:44">
      <c r="X6320"/>
      <c r="Y6320"/>
      <c r="Z6320"/>
      <c r="AA6320"/>
      <c r="AC6320"/>
      <c r="AR6320"/>
    </row>
    <row r="6321" spans="24:44">
      <c r="X6321"/>
      <c r="Y6321"/>
      <c r="Z6321"/>
      <c r="AA6321"/>
      <c r="AC6321"/>
      <c r="AR6321"/>
    </row>
    <row r="6322" spans="24:44">
      <c r="X6322"/>
      <c r="Y6322"/>
      <c r="Z6322"/>
      <c r="AA6322"/>
      <c r="AC6322"/>
      <c r="AR6322"/>
    </row>
    <row r="6323" spans="24:44">
      <c r="X6323"/>
      <c r="Y6323"/>
      <c r="Z6323"/>
      <c r="AA6323"/>
      <c r="AC6323"/>
      <c r="AR6323"/>
    </row>
    <row r="6324" spans="24:44">
      <c r="X6324"/>
      <c r="Y6324"/>
      <c r="Z6324"/>
      <c r="AA6324"/>
      <c r="AC6324"/>
      <c r="AR6324"/>
    </row>
    <row r="6325" spans="24:44">
      <c r="X6325"/>
      <c r="Y6325"/>
      <c r="Z6325"/>
      <c r="AA6325"/>
      <c r="AC6325"/>
      <c r="AR6325"/>
    </row>
    <row r="6326" spans="24:44">
      <c r="X6326"/>
      <c r="Y6326"/>
      <c r="Z6326"/>
      <c r="AA6326"/>
      <c r="AC6326"/>
      <c r="AR6326"/>
    </row>
    <row r="6327" spans="24:44">
      <c r="X6327"/>
      <c r="Y6327"/>
      <c r="Z6327"/>
      <c r="AA6327"/>
      <c r="AC6327"/>
      <c r="AR6327"/>
    </row>
    <row r="6328" spans="24:44">
      <c r="X6328"/>
      <c r="Y6328"/>
      <c r="Z6328"/>
      <c r="AA6328"/>
      <c r="AC6328"/>
      <c r="AR6328"/>
    </row>
    <row r="6329" spans="24:44">
      <c r="X6329"/>
      <c r="Y6329"/>
      <c r="Z6329"/>
      <c r="AA6329"/>
      <c r="AC6329"/>
      <c r="AR6329"/>
    </row>
    <row r="6330" spans="24:44">
      <c r="X6330"/>
      <c r="Y6330"/>
      <c r="Z6330"/>
      <c r="AA6330"/>
      <c r="AC6330"/>
      <c r="AR6330"/>
    </row>
    <row r="6331" spans="24:44">
      <c r="X6331"/>
      <c r="Y6331"/>
      <c r="Z6331"/>
      <c r="AA6331"/>
      <c r="AC6331"/>
      <c r="AR6331"/>
    </row>
    <row r="6332" spans="24:44">
      <c r="X6332"/>
      <c r="Y6332"/>
      <c r="Z6332"/>
      <c r="AA6332"/>
      <c r="AC6332"/>
      <c r="AR6332"/>
    </row>
    <row r="6333" spans="24:44">
      <c r="X6333"/>
      <c r="Y6333"/>
      <c r="Z6333"/>
      <c r="AA6333"/>
      <c r="AC6333"/>
      <c r="AR6333"/>
    </row>
    <row r="6334" spans="24:44">
      <c r="X6334"/>
      <c r="Y6334"/>
      <c r="Z6334"/>
      <c r="AA6334"/>
      <c r="AC6334"/>
      <c r="AR6334"/>
    </row>
    <row r="6335" spans="24:44">
      <c r="X6335"/>
      <c r="Y6335"/>
      <c r="Z6335"/>
      <c r="AA6335"/>
      <c r="AC6335"/>
      <c r="AR6335"/>
    </row>
    <row r="6336" spans="24:44">
      <c r="X6336"/>
      <c r="Y6336"/>
      <c r="Z6336"/>
      <c r="AA6336"/>
      <c r="AC6336"/>
      <c r="AR6336"/>
    </row>
    <row r="6337" spans="24:44">
      <c r="X6337"/>
      <c r="Y6337"/>
      <c r="Z6337"/>
      <c r="AA6337"/>
      <c r="AC6337"/>
      <c r="AR6337"/>
    </row>
    <row r="6338" spans="24:44">
      <c r="X6338"/>
      <c r="Y6338"/>
      <c r="Z6338"/>
      <c r="AA6338"/>
      <c r="AC6338"/>
      <c r="AR6338"/>
    </row>
    <row r="6339" spans="24:44">
      <c r="X6339"/>
      <c r="Y6339"/>
      <c r="Z6339"/>
      <c r="AA6339"/>
      <c r="AC6339"/>
      <c r="AR6339"/>
    </row>
    <row r="6340" spans="24:44">
      <c r="X6340"/>
      <c r="Y6340"/>
      <c r="Z6340"/>
      <c r="AA6340"/>
      <c r="AC6340"/>
      <c r="AR6340"/>
    </row>
    <row r="6341" spans="24:44">
      <c r="X6341"/>
      <c r="Y6341"/>
      <c r="Z6341"/>
      <c r="AA6341"/>
      <c r="AC6341"/>
      <c r="AR6341"/>
    </row>
    <row r="6342" spans="24:44">
      <c r="X6342"/>
      <c r="Y6342"/>
      <c r="Z6342"/>
      <c r="AA6342"/>
      <c r="AC6342"/>
      <c r="AR6342"/>
    </row>
    <row r="6343" spans="24:44">
      <c r="X6343"/>
      <c r="Y6343"/>
      <c r="Z6343"/>
      <c r="AA6343"/>
      <c r="AC6343"/>
      <c r="AR6343"/>
    </row>
    <row r="6344" spans="24:44">
      <c r="X6344"/>
      <c r="Y6344"/>
      <c r="Z6344"/>
      <c r="AA6344"/>
      <c r="AC6344"/>
      <c r="AR6344"/>
    </row>
    <row r="6345" spans="24:44">
      <c r="X6345"/>
      <c r="Y6345"/>
      <c r="Z6345"/>
      <c r="AA6345"/>
      <c r="AC6345"/>
      <c r="AR6345"/>
    </row>
    <row r="6346" spans="24:44">
      <c r="X6346"/>
      <c r="Y6346"/>
      <c r="Z6346"/>
      <c r="AA6346"/>
      <c r="AC6346"/>
      <c r="AR6346"/>
    </row>
    <row r="6347" spans="24:44">
      <c r="X6347"/>
      <c r="Y6347"/>
      <c r="Z6347"/>
      <c r="AA6347"/>
      <c r="AC6347"/>
      <c r="AR6347"/>
    </row>
    <row r="6348" spans="24:44">
      <c r="X6348"/>
      <c r="Y6348"/>
      <c r="Z6348"/>
      <c r="AA6348"/>
      <c r="AC6348"/>
      <c r="AR6348"/>
    </row>
    <row r="6349" spans="24:44">
      <c r="X6349"/>
      <c r="Y6349"/>
      <c r="Z6349"/>
      <c r="AA6349"/>
      <c r="AC6349"/>
      <c r="AR6349"/>
    </row>
    <row r="6350" spans="24:44">
      <c r="X6350"/>
      <c r="Y6350"/>
      <c r="Z6350"/>
      <c r="AA6350"/>
      <c r="AC6350"/>
      <c r="AR6350"/>
    </row>
    <row r="6351" spans="24:44">
      <c r="X6351"/>
      <c r="Y6351"/>
      <c r="Z6351"/>
      <c r="AA6351"/>
      <c r="AC6351"/>
      <c r="AR6351"/>
    </row>
    <row r="6352" spans="24:44">
      <c r="X6352"/>
      <c r="Y6352"/>
      <c r="Z6352"/>
      <c r="AA6352"/>
      <c r="AC6352"/>
      <c r="AR6352"/>
    </row>
    <row r="6353" spans="24:44">
      <c r="X6353"/>
      <c r="Y6353"/>
      <c r="Z6353"/>
      <c r="AA6353"/>
      <c r="AC6353"/>
      <c r="AR6353"/>
    </row>
    <row r="6354" spans="24:44">
      <c r="X6354"/>
      <c r="Y6354"/>
      <c r="Z6354"/>
      <c r="AA6354"/>
      <c r="AC6354"/>
      <c r="AR6354"/>
    </row>
    <row r="6355" spans="24:44">
      <c r="X6355"/>
      <c r="Y6355"/>
      <c r="Z6355"/>
      <c r="AA6355"/>
      <c r="AC6355"/>
      <c r="AR6355"/>
    </row>
    <row r="6356" spans="24:44">
      <c r="X6356"/>
      <c r="Y6356"/>
      <c r="Z6356"/>
      <c r="AA6356"/>
      <c r="AC6356"/>
      <c r="AR6356"/>
    </row>
    <row r="6357" spans="24:44">
      <c r="X6357"/>
      <c r="Y6357"/>
      <c r="Z6357"/>
      <c r="AA6357"/>
      <c r="AC6357"/>
      <c r="AR6357"/>
    </row>
    <row r="6358" spans="24:44">
      <c r="X6358"/>
      <c r="Y6358"/>
      <c r="Z6358"/>
      <c r="AA6358"/>
      <c r="AC6358"/>
      <c r="AR6358"/>
    </row>
    <row r="6359" spans="24:44">
      <c r="X6359"/>
      <c r="Y6359"/>
      <c r="Z6359"/>
      <c r="AA6359"/>
      <c r="AC6359"/>
      <c r="AR6359"/>
    </row>
    <row r="6360" spans="24:44">
      <c r="X6360"/>
      <c r="Y6360"/>
      <c r="Z6360"/>
      <c r="AA6360"/>
      <c r="AC6360"/>
      <c r="AR6360"/>
    </row>
    <row r="6361" spans="24:44">
      <c r="X6361"/>
      <c r="Y6361"/>
      <c r="Z6361"/>
      <c r="AA6361"/>
      <c r="AC6361"/>
      <c r="AR6361"/>
    </row>
    <row r="6362" spans="24:44">
      <c r="X6362"/>
      <c r="Y6362"/>
      <c r="Z6362"/>
      <c r="AA6362"/>
      <c r="AC6362"/>
      <c r="AR6362"/>
    </row>
    <row r="6363" spans="24:44">
      <c r="X6363"/>
      <c r="Y6363"/>
      <c r="Z6363"/>
      <c r="AA6363"/>
      <c r="AC6363"/>
      <c r="AR6363"/>
    </row>
    <row r="6364" spans="24:44">
      <c r="X6364"/>
      <c r="Y6364"/>
      <c r="Z6364"/>
      <c r="AA6364"/>
      <c r="AC6364"/>
      <c r="AR6364"/>
    </row>
    <row r="6365" spans="24:44">
      <c r="X6365"/>
      <c r="Y6365"/>
      <c r="Z6365"/>
      <c r="AA6365"/>
      <c r="AC6365"/>
      <c r="AR6365"/>
    </row>
    <row r="6366" spans="24:44">
      <c r="X6366"/>
      <c r="Y6366"/>
      <c r="Z6366"/>
      <c r="AA6366"/>
      <c r="AC6366"/>
      <c r="AR6366"/>
    </row>
    <row r="6367" spans="24:44">
      <c r="X6367"/>
      <c r="Y6367"/>
      <c r="Z6367"/>
      <c r="AA6367"/>
      <c r="AC6367"/>
      <c r="AR6367"/>
    </row>
    <row r="6368" spans="24:44">
      <c r="X6368"/>
      <c r="Y6368"/>
      <c r="Z6368"/>
      <c r="AA6368"/>
      <c r="AC6368"/>
      <c r="AR6368"/>
    </row>
    <row r="6369" spans="24:44">
      <c r="X6369"/>
      <c r="Y6369"/>
      <c r="Z6369"/>
      <c r="AA6369"/>
      <c r="AC6369"/>
      <c r="AR6369"/>
    </row>
    <row r="6370" spans="24:44">
      <c r="X6370"/>
      <c r="Y6370"/>
      <c r="Z6370"/>
      <c r="AA6370"/>
      <c r="AC6370"/>
      <c r="AR6370"/>
    </row>
    <row r="6371" spans="24:44">
      <c r="X6371"/>
      <c r="Y6371"/>
      <c r="Z6371"/>
      <c r="AA6371"/>
      <c r="AC6371"/>
      <c r="AR6371"/>
    </row>
    <row r="6372" spans="24:44">
      <c r="X6372"/>
      <c r="Y6372"/>
      <c r="Z6372"/>
      <c r="AA6372"/>
      <c r="AC6372"/>
      <c r="AR6372"/>
    </row>
    <row r="6373" spans="24:44">
      <c r="X6373"/>
      <c r="Y6373"/>
      <c r="Z6373"/>
      <c r="AA6373"/>
      <c r="AC6373"/>
      <c r="AR6373"/>
    </row>
    <row r="6374" spans="24:44">
      <c r="X6374"/>
      <c r="Y6374"/>
      <c r="Z6374"/>
      <c r="AA6374"/>
      <c r="AC6374"/>
      <c r="AR6374"/>
    </row>
    <row r="6375" spans="24:44">
      <c r="X6375"/>
      <c r="Y6375"/>
      <c r="Z6375"/>
      <c r="AA6375"/>
      <c r="AC6375"/>
      <c r="AR6375"/>
    </row>
    <row r="6376" spans="24:44">
      <c r="X6376"/>
      <c r="Y6376"/>
      <c r="Z6376"/>
      <c r="AA6376"/>
      <c r="AC6376"/>
      <c r="AR6376"/>
    </row>
    <row r="6377" spans="24:44">
      <c r="X6377"/>
      <c r="Y6377"/>
      <c r="Z6377"/>
      <c r="AA6377"/>
      <c r="AC6377"/>
      <c r="AR6377"/>
    </row>
    <row r="6378" spans="24:44">
      <c r="X6378"/>
      <c r="Y6378"/>
      <c r="Z6378"/>
      <c r="AA6378"/>
      <c r="AC6378"/>
      <c r="AR6378"/>
    </row>
    <row r="6379" spans="24:44">
      <c r="X6379"/>
      <c r="Y6379"/>
      <c r="Z6379"/>
      <c r="AA6379"/>
      <c r="AC6379"/>
      <c r="AR6379"/>
    </row>
    <row r="6380" spans="24:44">
      <c r="X6380"/>
      <c r="Y6380"/>
      <c r="Z6380"/>
      <c r="AA6380"/>
      <c r="AC6380"/>
      <c r="AR6380"/>
    </row>
    <row r="6381" spans="24:44">
      <c r="X6381"/>
      <c r="Y6381"/>
      <c r="Z6381"/>
      <c r="AA6381"/>
      <c r="AC6381"/>
      <c r="AR6381"/>
    </row>
    <row r="6382" spans="24:44">
      <c r="X6382"/>
      <c r="Y6382"/>
      <c r="Z6382"/>
      <c r="AA6382"/>
      <c r="AC6382"/>
      <c r="AR6382"/>
    </row>
    <row r="6383" spans="24:44">
      <c r="X6383"/>
      <c r="Y6383"/>
      <c r="Z6383"/>
      <c r="AA6383"/>
      <c r="AC6383"/>
      <c r="AR6383"/>
    </row>
    <row r="6384" spans="24:44">
      <c r="X6384"/>
      <c r="Y6384"/>
      <c r="Z6384"/>
      <c r="AA6384"/>
      <c r="AC6384"/>
      <c r="AR6384"/>
    </row>
    <row r="6385" spans="24:44">
      <c r="X6385"/>
      <c r="Y6385"/>
      <c r="Z6385"/>
      <c r="AA6385"/>
      <c r="AC6385"/>
      <c r="AR6385"/>
    </row>
    <row r="6386" spans="24:44">
      <c r="X6386"/>
      <c r="Y6386"/>
      <c r="Z6386"/>
      <c r="AA6386"/>
      <c r="AC6386"/>
      <c r="AR6386"/>
    </row>
    <row r="6387" spans="24:44">
      <c r="X6387"/>
      <c r="Y6387"/>
      <c r="Z6387"/>
      <c r="AA6387"/>
      <c r="AC6387"/>
      <c r="AR6387"/>
    </row>
    <row r="6388" spans="24:44">
      <c r="X6388"/>
      <c r="Y6388"/>
      <c r="Z6388"/>
      <c r="AA6388"/>
      <c r="AC6388"/>
      <c r="AR6388"/>
    </row>
    <row r="6389" spans="24:44">
      <c r="X6389"/>
      <c r="Y6389"/>
      <c r="Z6389"/>
      <c r="AA6389"/>
      <c r="AC6389"/>
      <c r="AR6389"/>
    </row>
    <row r="6390" spans="24:44">
      <c r="X6390"/>
      <c r="Y6390"/>
      <c r="Z6390"/>
      <c r="AA6390"/>
      <c r="AC6390"/>
      <c r="AR6390"/>
    </row>
    <row r="6391" spans="24:44">
      <c r="X6391"/>
      <c r="Y6391"/>
      <c r="Z6391"/>
      <c r="AA6391"/>
      <c r="AC6391"/>
      <c r="AR6391"/>
    </row>
    <row r="6392" spans="24:44">
      <c r="X6392"/>
      <c r="Y6392"/>
      <c r="Z6392"/>
      <c r="AA6392"/>
      <c r="AC6392"/>
      <c r="AR6392"/>
    </row>
    <row r="6393" spans="24:44">
      <c r="X6393"/>
      <c r="Y6393"/>
      <c r="Z6393"/>
      <c r="AA6393"/>
      <c r="AC6393"/>
      <c r="AR6393"/>
    </row>
    <row r="6394" spans="24:44">
      <c r="X6394"/>
      <c r="Y6394"/>
      <c r="Z6394"/>
      <c r="AA6394"/>
      <c r="AC6394"/>
      <c r="AR6394"/>
    </row>
    <row r="6395" spans="24:44">
      <c r="X6395"/>
      <c r="Y6395"/>
      <c r="Z6395"/>
      <c r="AA6395"/>
      <c r="AC6395"/>
      <c r="AR6395"/>
    </row>
    <row r="6396" spans="24:44">
      <c r="X6396"/>
      <c r="Y6396"/>
      <c r="Z6396"/>
      <c r="AA6396"/>
      <c r="AC6396"/>
      <c r="AR6396"/>
    </row>
    <row r="6397" spans="24:44">
      <c r="X6397"/>
      <c r="Y6397"/>
      <c r="Z6397"/>
      <c r="AA6397"/>
      <c r="AC6397"/>
      <c r="AR6397"/>
    </row>
    <row r="6398" spans="24:44">
      <c r="X6398"/>
      <c r="Y6398"/>
      <c r="Z6398"/>
      <c r="AA6398"/>
      <c r="AC6398"/>
      <c r="AR6398"/>
    </row>
    <row r="6399" spans="24:44">
      <c r="X6399"/>
      <c r="Y6399"/>
      <c r="Z6399"/>
      <c r="AA6399"/>
      <c r="AC6399"/>
      <c r="AR6399"/>
    </row>
    <row r="6400" spans="24:44">
      <c r="X6400"/>
      <c r="Y6400"/>
      <c r="Z6400"/>
      <c r="AA6400"/>
      <c r="AC6400"/>
      <c r="AR6400"/>
    </row>
    <row r="6401" spans="24:44">
      <c r="X6401"/>
      <c r="Y6401"/>
      <c r="Z6401"/>
      <c r="AA6401"/>
      <c r="AC6401"/>
      <c r="AR6401"/>
    </row>
    <row r="6402" spans="24:44">
      <c r="X6402"/>
      <c r="Y6402"/>
      <c r="Z6402"/>
      <c r="AA6402"/>
      <c r="AC6402"/>
      <c r="AR6402"/>
    </row>
    <row r="6403" spans="24:44">
      <c r="X6403"/>
      <c r="Y6403"/>
      <c r="Z6403"/>
      <c r="AA6403"/>
      <c r="AC6403"/>
      <c r="AR6403"/>
    </row>
    <row r="6404" spans="24:44">
      <c r="X6404"/>
      <c r="Y6404"/>
      <c r="Z6404"/>
      <c r="AA6404"/>
      <c r="AC6404"/>
      <c r="AR6404"/>
    </row>
    <row r="6405" spans="24:44">
      <c r="X6405"/>
      <c r="Y6405"/>
      <c r="Z6405"/>
      <c r="AA6405"/>
      <c r="AC6405"/>
      <c r="AR6405"/>
    </row>
    <row r="6406" spans="24:44">
      <c r="X6406"/>
      <c r="Y6406"/>
      <c r="Z6406"/>
      <c r="AA6406"/>
      <c r="AC6406"/>
      <c r="AR6406"/>
    </row>
    <row r="6407" spans="24:44">
      <c r="X6407"/>
      <c r="Y6407"/>
      <c r="Z6407"/>
      <c r="AA6407"/>
      <c r="AC6407"/>
      <c r="AR6407"/>
    </row>
    <row r="6408" spans="24:44">
      <c r="X6408"/>
      <c r="Y6408"/>
      <c r="Z6408"/>
      <c r="AA6408"/>
      <c r="AC6408"/>
      <c r="AR6408"/>
    </row>
    <row r="6409" spans="24:44">
      <c r="X6409"/>
      <c r="Y6409"/>
      <c r="Z6409"/>
      <c r="AA6409"/>
      <c r="AC6409"/>
      <c r="AR6409"/>
    </row>
    <row r="6410" spans="24:44">
      <c r="X6410"/>
      <c r="Y6410"/>
      <c r="Z6410"/>
      <c r="AA6410"/>
      <c r="AC6410"/>
      <c r="AR6410"/>
    </row>
    <row r="6411" spans="24:44">
      <c r="X6411"/>
      <c r="Y6411"/>
      <c r="Z6411"/>
      <c r="AA6411"/>
      <c r="AC6411"/>
      <c r="AR6411"/>
    </row>
    <row r="6412" spans="24:44">
      <c r="X6412"/>
      <c r="Y6412"/>
      <c r="Z6412"/>
      <c r="AA6412"/>
      <c r="AC6412"/>
      <c r="AR6412"/>
    </row>
    <row r="6413" spans="24:44">
      <c r="X6413"/>
      <c r="Y6413"/>
      <c r="Z6413"/>
      <c r="AA6413"/>
      <c r="AC6413"/>
      <c r="AR6413"/>
    </row>
    <row r="6414" spans="24:44">
      <c r="X6414"/>
      <c r="Y6414"/>
      <c r="Z6414"/>
      <c r="AA6414"/>
      <c r="AC6414"/>
      <c r="AR6414"/>
    </row>
    <row r="6415" spans="24:44">
      <c r="X6415"/>
      <c r="Y6415"/>
      <c r="Z6415"/>
      <c r="AA6415"/>
      <c r="AC6415"/>
      <c r="AR6415"/>
    </row>
    <row r="6416" spans="24:44">
      <c r="X6416"/>
      <c r="Y6416"/>
      <c r="Z6416"/>
      <c r="AA6416"/>
      <c r="AC6416"/>
      <c r="AR6416"/>
    </row>
    <row r="6417" spans="24:44">
      <c r="X6417"/>
      <c r="Y6417"/>
      <c r="Z6417"/>
      <c r="AA6417"/>
      <c r="AC6417"/>
      <c r="AR6417"/>
    </row>
    <row r="6418" spans="24:44">
      <c r="X6418"/>
      <c r="Y6418"/>
      <c r="Z6418"/>
      <c r="AA6418"/>
      <c r="AC6418"/>
      <c r="AR6418"/>
    </row>
    <row r="6419" spans="24:44">
      <c r="X6419"/>
      <c r="Y6419"/>
      <c r="Z6419"/>
      <c r="AA6419"/>
      <c r="AC6419"/>
      <c r="AR6419"/>
    </row>
    <row r="6420" spans="24:44">
      <c r="X6420"/>
      <c r="Y6420"/>
      <c r="Z6420"/>
      <c r="AA6420"/>
      <c r="AC6420"/>
      <c r="AR6420"/>
    </row>
    <row r="6421" spans="24:44">
      <c r="X6421"/>
      <c r="Y6421"/>
      <c r="Z6421"/>
      <c r="AA6421"/>
      <c r="AC6421"/>
      <c r="AR6421"/>
    </row>
    <row r="6422" spans="24:44">
      <c r="X6422"/>
      <c r="Y6422"/>
      <c r="Z6422"/>
      <c r="AA6422"/>
      <c r="AC6422"/>
      <c r="AR6422"/>
    </row>
    <row r="6423" spans="24:44">
      <c r="X6423"/>
      <c r="Y6423"/>
      <c r="Z6423"/>
      <c r="AA6423"/>
      <c r="AC6423"/>
      <c r="AR6423"/>
    </row>
    <row r="6424" spans="24:44">
      <c r="X6424"/>
      <c r="Y6424"/>
      <c r="Z6424"/>
      <c r="AA6424"/>
      <c r="AC6424"/>
      <c r="AR6424"/>
    </row>
    <row r="6425" spans="24:44">
      <c r="X6425"/>
      <c r="Y6425"/>
      <c r="Z6425"/>
      <c r="AA6425"/>
      <c r="AC6425"/>
      <c r="AR6425"/>
    </row>
    <row r="6426" spans="24:44">
      <c r="X6426"/>
      <c r="Y6426"/>
      <c r="Z6426"/>
      <c r="AA6426"/>
      <c r="AC6426"/>
      <c r="AR6426"/>
    </row>
    <row r="6427" spans="24:44">
      <c r="X6427"/>
      <c r="Y6427"/>
      <c r="Z6427"/>
      <c r="AA6427"/>
      <c r="AC6427"/>
      <c r="AR6427"/>
    </row>
    <row r="6428" spans="24:44">
      <c r="X6428"/>
      <c r="Y6428"/>
      <c r="Z6428"/>
      <c r="AA6428"/>
      <c r="AC6428"/>
      <c r="AR6428"/>
    </row>
    <row r="6429" spans="24:44">
      <c r="X6429"/>
      <c r="Y6429"/>
      <c r="Z6429"/>
      <c r="AA6429"/>
      <c r="AC6429"/>
      <c r="AR6429"/>
    </row>
    <row r="6430" spans="24:44">
      <c r="X6430"/>
      <c r="Y6430"/>
      <c r="Z6430"/>
      <c r="AA6430"/>
      <c r="AC6430"/>
      <c r="AR6430"/>
    </row>
    <row r="6431" spans="24:44">
      <c r="X6431"/>
      <c r="Y6431"/>
      <c r="Z6431"/>
      <c r="AA6431"/>
      <c r="AC6431"/>
      <c r="AR6431"/>
    </row>
    <row r="6432" spans="24:44">
      <c r="X6432"/>
      <c r="Y6432"/>
      <c r="Z6432"/>
      <c r="AA6432"/>
      <c r="AC6432"/>
      <c r="AR6432"/>
    </row>
    <row r="6433" spans="24:44">
      <c r="X6433"/>
      <c r="Y6433"/>
      <c r="Z6433"/>
      <c r="AA6433"/>
      <c r="AC6433"/>
      <c r="AR6433"/>
    </row>
    <row r="6434" spans="24:44">
      <c r="X6434"/>
      <c r="Y6434"/>
      <c r="Z6434"/>
      <c r="AA6434"/>
      <c r="AC6434"/>
      <c r="AR6434"/>
    </row>
    <row r="6435" spans="24:44">
      <c r="X6435"/>
      <c r="Y6435"/>
      <c r="Z6435"/>
      <c r="AA6435"/>
      <c r="AC6435"/>
      <c r="AR6435"/>
    </row>
    <row r="6436" spans="24:44">
      <c r="X6436"/>
      <c r="Y6436"/>
      <c r="Z6436"/>
      <c r="AA6436"/>
      <c r="AC6436"/>
      <c r="AR6436"/>
    </row>
    <row r="6437" spans="24:44">
      <c r="X6437"/>
      <c r="Y6437"/>
      <c r="Z6437"/>
      <c r="AA6437"/>
      <c r="AC6437"/>
      <c r="AR6437"/>
    </row>
    <row r="6438" spans="24:44">
      <c r="X6438"/>
      <c r="Y6438"/>
      <c r="Z6438"/>
      <c r="AA6438"/>
      <c r="AC6438"/>
      <c r="AR6438"/>
    </row>
    <row r="6439" spans="24:44">
      <c r="X6439"/>
      <c r="Y6439"/>
      <c r="Z6439"/>
      <c r="AA6439"/>
      <c r="AC6439"/>
      <c r="AR6439"/>
    </row>
    <row r="6440" spans="24:44">
      <c r="X6440"/>
      <c r="Y6440"/>
      <c r="Z6440"/>
      <c r="AA6440"/>
      <c r="AC6440"/>
      <c r="AR6440"/>
    </row>
    <row r="6441" spans="24:44">
      <c r="X6441"/>
      <c r="Y6441"/>
      <c r="Z6441"/>
      <c r="AA6441"/>
      <c r="AC6441"/>
      <c r="AR6441"/>
    </row>
    <row r="6442" spans="24:44">
      <c r="X6442"/>
      <c r="Y6442"/>
      <c r="Z6442"/>
      <c r="AA6442"/>
      <c r="AC6442"/>
      <c r="AR6442"/>
    </row>
    <row r="6443" spans="24:44">
      <c r="X6443"/>
      <c r="Y6443"/>
      <c r="Z6443"/>
      <c r="AA6443"/>
      <c r="AC6443"/>
      <c r="AR6443"/>
    </row>
    <row r="6444" spans="24:44">
      <c r="X6444"/>
      <c r="Y6444"/>
      <c r="Z6444"/>
      <c r="AA6444"/>
      <c r="AC6444"/>
      <c r="AR6444"/>
    </row>
    <row r="6445" spans="24:44">
      <c r="X6445"/>
      <c r="Y6445"/>
      <c r="Z6445"/>
      <c r="AA6445"/>
      <c r="AC6445"/>
      <c r="AR6445"/>
    </row>
    <row r="6446" spans="24:44">
      <c r="X6446"/>
      <c r="Y6446"/>
      <c r="Z6446"/>
      <c r="AA6446"/>
      <c r="AC6446"/>
      <c r="AR6446"/>
    </row>
    <row r="6447" spans="24:44">
      <c r="X6447"/>
      <c r="Y6447"/>
      <c r="Z6447"/>
      <c r="AA6447"/>
      <c r="AC6447"/>
      <c r="AR6447"/>
    </row>
    <row r="6448" spans="24:44">
      <c r="X6448"/>
      <c r="Y6448"/>
      <c r="Z6448"/>
      <c r="AA6448"/>
      <c r="AC6448"/>
      <c r="AR6448"/>
    </row>
    <row r="6449" spans="24:44">
      <c r="X6449"/>
      <c r="Y6449"/>
      <c r="Z6449"/>
      <c r="AA6449"/>
      <c r="AC6449"/>
      <c r="AR6449"/>
    </row>
    <row r="6450" spans="24:44">
      <c r="X6450"/>
      <c r="Y6450"/>
      <c r="Z6450"/>
      <c r="AA6450"/>
      <c r="AC6450"/>
      <c r="AR6450"/>
    </row>
    <row r="6451" spans="24:44">
      <c r="X6451"/>
      <c r="Y6451"/>
      <c r="Z6451"/>
      <c r="AA6451"/>
      <c r="AC6451"/>
      <c r="AR6451"/>
    </row>
    <row r="6452" spans="24:44">
      <c r="X6452"/>
      <c r="Y6452"/>
      <c r="Z6452"/>
      <c r="AA6452"/>
      <c r="AC6452"/>
      <c r="AR6452"/>
    </row>
    <row r="6453" spans="24:44">
      <c r="X6453"/>
      <c r="Y6453"/>
      <c r="Z6453"/>
      <c r="AA6453"/>
      <c r="AC6453"/>
      <c r="AR6453"/>
    </row>
    <row r="6454" spans="24:44">
      <c r="X6454"/>
      <c r="Y6454"/>
      <c r="Z6454"/>
      <c r="AA6454"/>
      <c r="AC6454"/>
      <c r="AR6454"/>
    </row>
    <row r="6455" spans="24:44">
      <c r="X6455"/>
      <c r="Y6455"/>
      <c r="Z6455"/>
      <c r="AA6455"/>
      <c r="AC6455"/>
      <c r="AR6455"/>
    </row>
    <row r="6456" spans="24:44">
      <c r="X6456"/>
      <c r="Y6456"/>
      <c r="Z6456"/>
      <c r="AA6456"/>
      <c r="AC6456"/>
      <c r="AR6456"/>
    </row>
    <row r="6457" spans="24:44">
      <c r="X6457"/>
      <c r="Y6457"/>
      <c r="Z6457"/>
      <c r="AA6457"/>
      <c r="AC6457"/>
      <c r="AR6457"/>
    </row>
    <row r="6458" spans="24:44">
      <c r="X6458"/>
      <c r="Y6458"/>
      <c r="Z6458"/>
      <c r="AA6458"/>
      <c r="AC6458"/>
      <c r="AR6458"/>
    </row>
    <row r="6459" spans="24:44">
      <c r="X6459"/>
      <c r="Y6459"/>
      <c r="Z6459"/>
      <c r="AA6459"/>
      <c r="AC6459"/>
      <c r="AR6459"/>
    </row>
    <row r="6460" spans="24:44">
      <c r="X6460"/>
      <c r="Y6460"/>
      <c r="Z6460"/>
      <c r="AA6460"/>
      <c r="AC6460"/>
      <c r="AR6460"/>
    </row>
    <row r="6461" spans="24:44">
      <c r="X6461"/>
      <c r="Y6461"/>
      <c r="Z6461"/>
      <c r="AA6461"/>
      <c r="AC6461"/>
      <c r="AR6461"/>
    </row>
    <row r="6462" spans="24:44">
      <c r="X6462"/>
      <c r="Y6462"/>
      <c r="Z6462"/>
      <c r="AA6462"/>
      <c r="AC6462"/>
      <c r="AR6462"/>
    </row>
    <row r="6463" spans="24:44">
      <c r="X6463"/>
      <c r="Y6463"/>
      <c r="Z6463"/>
      <c r="AA6463"/>
      <c r="AC6463"/>
      <c r="AR6463"/>
    </row>
    <row r="6464" spans="24:44">
      <c r="X6464"/>
      <c r="Y6464"/>
      <c r="Z6464"/>
      <c r="AA6464"/>
      <c r="AC6464"/>
      <c r="AR6464"/>
    </row>
    <row r="6465" spans="24:44">
      <c r="X6465"/>
      <c r="Y6465"/>
      <c r="Z6465"/>
      <c r="AA6465"/>
      <c r="AC6465"/>
      <c r="AR6465"/>
    </row>
    <row r="6466" spans="24:44">
      <c r="X6466"/>
      <c r="Y6466"/>
      <c r="Z6466"/>
      <c r="AA6466"/>
      <c r="AC6466"/>
      <c r="AR6466"/>
    </row>
    <row r="6467" spans="24:44">
      <c r="X6467"/>
      <c r="Y6467"/>
      <c r="Z6467"/>
      <c r="AA6467"/>
      <c r="AC6467"/>
      <c r="AR6467"/>
    </row>
    <row r="6468" spans="24:44">
      <c r="X6468"/>
      <c r="Y6468"/>
      <c r="Z6468"/>
      <c r="AA6468"/>
      <c r="AC6468"/>
      <c r="AR6468"/>
    </row>
    <row r="6469" spans="24:44">
      <c r="X6469"/>
      <c r="Y6469"/>
      <c r="Z6469"/>
      <c r="AA6469"/>
      <c r="AC6469"/>
      <c r="AR6469"/>
    </row>
    <row r="6470" spans="24:44">
      <c r="X6470"/>
      <c r="Y6470"/>
      <c r="Z6470"/>
      <c r="AA6470"/>
      <c r="AC6470"/>
      <c r="AR6470"/>
    </row>
    <row r="6471" spans="24:44">
      <c r="X6471"/>
      <c r="Y6471"/>
      <c r="Z6471"/>
      <c r="AA6471"/>
      <c r="AC6471"/>
      <c r="AR6471"/>
    </row>
    <row r="6472" spans="24:44">
      <c r="X6472"/>
      <c r="Y6472"/>
      <c r="Z6472"/>
      <c r="AA6472"/>
      <c r="AC6472"/>
      <c r="AR6472"/>
    </row>
    <row r="6473" spans="24:44">
      <c r="X6473"/>
      <c r="Y6473"/>
      <c r="Z6473"/>
      <c r="AA6473"/>
      <c r="AC6473"/>
      <c r="AR6473"/>
    </row>
    <row r="6474" spans="24:44">
      <c r="X6474"/>
      <c r="Y6474"/>
      <c r="Z6474"/>
      <c r="AA6474"/>
      <c r="AC6474"/>
      <c r="AR6474"/>
    </row>
    <row r="6475" spans="24:44">
      <c r="X6475"/>
      <c r="Y6475"/>
      <c r="Z6475"/>
      <c r="AA6475"/>
      <c r="AC6475"/>
      <c r="AR6475"/>
    </row>
    <row r="6476" spans="24:44">
      <c r="X6476"/>
      <c r="Y6476"/>
      <c r="Z6476"/>
      <c r="AA6476"/>
      <c r="AC6476"/>
      <c r="AR6476"/>
    </row>
    <row r="6477" spans="24:44">
      <c r="X6477"/>
      <c r="Y6477"/>
      <c r="Z6477"/>
      <c r="AA6477"/>
      <c r="AC6477"/>
      <c r="AR6477"/>
    </row>
    <row r="6478" spans="24:44">
      <c r="X6478"/>
      <c r="Y6478"/>
      <c r="Z6478"/>
      <c r="AA6478"/>
      <c r="AC6478"/>
      <c r="AR6478"/>
    </row>
    <row r="6479" spans="24:44">
      <c r="X6479"/>
      <c r="Y6479"/>
      <c r="Z6479"/>
      <c r="AA6479"/>
      <c r="AC6479"/>
      <c r="AR6479"/>
    </row>
    <row r="6480" spans="24:44">
      <c r="X6480"/>
      <c r="Y6480"/>
      <c r="Z6480"/>
      <c r="AA6480"/>
      <c r="AC6480"/>
      <c r="AR6480"/>
    </row>
    <row r="6481" spans="24:44">
      <c r="X6481"/>
      <c r="Y6481"/>
      <c r="Z6481"/>
      <c r="AA6481"/>
      <c r="AC6481"/>
      <c r="AR6481"/>
    </row>
    <row r="6482" spans="24:44">
      <c r="X6482"/>
      <c r="Y6482"/>
      <c r="Z6482"/>
      <c r="AA6482"/>
      <c r="AC6482"/>
      <c r="AR6482"/>
    </row>
    <row r="6483" spans="24:44">
      <c r="X6483"/>
      <c r="Y6483"/>
      <c r="Z6483"/>
      <c r="AA6483"/>
      <c r="AC6483"/>
      <c r="AR6483"/>
    </row>
    <row r="6484" spans="24:44">
      <c r="X6484"/>
      <c r="Y6484"/>
      <c r="Z6484"/>
      <c r="AA6484"/>
      <c r="AC6484"/>
      <c r="AR6484"/>
    </row>
    <row r="6485" spans="24:44">
      <c r="X6485"/>
      <c r="Y6485"/>
      <c r="Z6485"/>
      <c r="AA6485"/>
      <c r="AC6485"/>
      <c r="AR6485"/>
    </row>
    <row r="6486" spans="24:44">
      <c r="X6486"/>
      <c r="Y6486"/>
      <c r="Z6486"/>
      <c r="AA6486"/>
      <c r="AC6486"/>
      <c r="AR6486"/>
    </row>
    <row r="6487" spans="24:44">
      <c r="X6487"/>
      <c r="Y6487"/>
      <c r="Z6487"/>
      <c r="AA6487"/>
      <c r="AC6487"/>
      <c r="AR6487"/>
    </row>
    <row r="6488" spans="24:44">
      <c r="X6488"/>
      <c r="Y6488"/>
      <c r="Z6488"/>
      <c r="AA6488"/>
      <c r="AC6488"/>
      <c r="AR6488"/>
    </row>
    <row r="6489" spans="24:44">
      <c r="X6489"/>
      <c r="Y6489"/>
      <c r="Z6489"/>
      <c r="AA6489"/>
      <c r="AC6489"/>
      <c r="AR6489"/>
    </row>
    <row r="6490" spans="24:44">
      <c r="X6490"/>
      <c r="Y6490"/>
      <c r="Z6490"/>
      <c r="AA6490"/>
      <c r="AC6490"/>
      <c r="AR6490"/>
    </row>
    <row r="6491" spans="24:44">
      <c r="X6491"/>
      <c r="Y6491"/>
      <c r="Z6491"/>
      <c r="AA6491"/>
      <c r="AC6491"/>
      <c r="AR6491"/>
    </row>
    <row r="6492" spans="24:44">
      <c r="X6492"/>
      <c r="Y6492"/>
      <c r="Z6492"/>
      <c r="AA6492"/>
      <c r="AC6492"/>
      <c r="AR6492"/>
    </row>
    <row r="6493" spans="24:44">
      <c r="X6493"/>
      <c r="Y6493"/>
      <c r="Z6493"/>
      <c r="AA6493"/>
      <c r="AC6493"/>
      <c r="AR6493"/>
    </row>
    <row r="6494" spans="24:44">
      <c r="X6494"/>
      <c r="Y6494"/>
      <c r="Z6494"/>
      <c r="AA6494"/>
      <c r="AC6494"/>
      <c r="AR6494"/>
    </row>
    <row r="6495" spans="24:44">
      <c r="X6495"/>
      <c r="Y6495"/>
      <c r="Z6495"/>
      <c r="AA6495"/>
      <c r="AC6495"/>
      <c r="AR6495"/>
    </row>
    <row r="6496" spans="24:44">
      <c r="X6496"/>
      <c r="Y6496"/>
      <c r="Z6496"/>
      <c r="AA6496"/>
      <c r="AC6496"/>
      <c r="AR6496"/>
    </row>
    <row r="6497" spans="24:44">
      <c r="X6497"/>
      <c r="Y6497"/>
      <c r="Z6497"/>
      <c r="AA6497"/>
      <c r="AC6497"/>
      <c r="AR6497"/>
    </row>
    <row r="6498" spans="24:44">
      <c r="X6498"/>
      <c r="Y6498"/>
      <c r="Z6498"/>
      <c r="AA6498"/>
      <c r="AC6498"/>
      <c r="AR6498"/>
    </row>
    <row r="6499" spans="24:44">
      <c r="X6499"/>
      <c r="Y6499"/>
      <c r="Z6499"/>
      <c r="AA6499"/>
      <c r="AC6499"/>
      <c r="AR6499"/>
    </row>
    <row r="6500" spans="24:44">
      <c r="X6500"/>
      <c r="Y6500"/>
      <c r="Z6500"/>
      <c r="AA6500"/>
      <c r="AC6500"/>
      <c r="AR6500"/>
    </row>
    <row r="6501" spans="24:44">
      <c r="X6501"/>
      <c r="Y6501"/>
      <c r="Z6501"/>
      <c r="AA6501"/>
      <c r="AC6501"/>
      <c r="AR6501"/>
    </row>
    <row r="6502" spans="24:44">
      <c r="X6502"/>
      <c r="Y6502"/>
      <c r="Z6502"/>
      <c r="AA6502"/>
      <c r="AC6502"/>
      <c r="AR6502"/>
    </row>
    <row r="6503" spans="24:44">
      <c r="X6503"/>
      <c r="Y6503"/>
      <c r="Z6503"/>
      <c r="AA6503"/>
      <c r="AC6503"/>
      <c r="AR6503"/>
    </row>
    <row r="6504" spans="24:44">
      <c r="X6504"/>
      <c r="Y6504"/>
      <c r="Z6504"/>
      <c r="AA6504"/>
      <c r="AC6504"/>
      <c r="AR6504"/>
    </row>
    <row r="6505" spans="24:44">
      <c r="X6505"/>
      <c r="Y6505"/>
      <c r="Z6505"/>
      <c r="AA6505"/>
      <c r="AC6505"/>
      <c r="AR6505"/>
    </row>
    <row r="6506" spans="24:44">
      <c r="X6506"/>
      <c r="Y6506"/>
      <c r="Z6506"/>
      <c r="AA6506"/>
      <c r="AC6506"/>
      <c r="AR6506"/>
    </row>
    <row r="6507" spans="24:44">
      <c r="X6507"/>
      <c r="Y6507"/>
      <c r="Z6507"/>
      <c r="AA6507"/>
      <c r="AC6507"/>
      <c r="AR6507"/>
    </row>
    <row r="6508" spans="24:44">
      <c r="X6508"/>
      <c r="Y6508"/>
      <c r="Z6508"/>
      <c r="AA6508"/>
      <c r="AC6508"/>
      <c r="AR6508"/>
    </row>
    <row r="6509" spans="24:44">
      <c r="X6509"/>
      <c r="Y6509"/>
      <c r="Z6509"/>
      <c r="AA6509"/>
      <c r="AC6509"/>
      <c r="AR6509"/>
    </row>
    <row r="6510" spans="24:44">
      <c r="X6510"/>
      <c r="Y6510"/>
      <c r="Z6510"/>
      <c r="AA6510"/>
      <c r="AC6510"/>
      <c r="AR6510"/>
    </row>
    <row r="6511" spans="24:44">
      <c r="X6511"/>
      <c r="Y6511"/>
      <c r="Z6511"/>
      <c r="AA6511"/>
      <c r="AC6511"/>
      <c r="AR6511"/>
    </row>
    <row r="6512" spans="24:44">
      <c r="X6512"/>
      <c r="Y6512"/>
      <c r="Z6512"/>
      <c r="AA6512"/>
      <c r="AC6512"/>
      <c r="AR6512"/>
    </row>
    <row r="6513" spans="24:44">
      <c r="X6513"/>
      <c r="Y6513"/>
      <c r="Z6513"/>
      <c r="AA6513"/>
      <c r="AC6513"/>
      <c r="AR6513"/>
    </row>
    <row r="6514" spans="24:44">
      <c r="X6514"/>
      <c r="Y6514"/>
      <c r="Z6514"/>
      <c r="AA6514"/>
      <c r="AC6514"/>
      <c r="AR6514"/>
    </row>
    <row r="6515" spans="24:44">
      <c r="X6515"/>
      <c r="Y6515"/>
      <c r="Z6515"/>
      <c r="AA6515"/>
      <c r="AC6515"/>
      <c r="AR6515"/>
    </row>
    <row r="6516" spans="24:44">
      <c r="X6516"/>
      <c r="Y6516"/>
      <c r="Z6516"/>
      <c r="AA6516"/>
      <c r="AC6516"/>
      <c r="AR6516"/>
    </row>
    <row r="6517" spans="24:44">
      <c r="X6517"/>
      <c r="Y6517"/>
      <c r="Z6517"/>
      <c r="AA6517"/>
      <c r="AC6517"/>
      <c r="AR6517"/>
    </row>
    <row r="6518" spans="24:44">
      <c r="X6518"/>
      <c r="Y6518"/>
      <c r="Z6518"/>
      <c r="AA6518"/>
      <c r="AC6518"/>
      <c r="AR6518"/>
    </row>
    <row r="6519" spans="24:44">
      <c r="X6519"/>
      <c r="Y6519"/>
      <c r="Z6519"/>
      <c r="AA6519"/>
      <c r="AC6519"/>
      <c r="AR6519"/>
    </row>
    <row r="6520" spans="24:44">
      <c r="X6520"/>
      <c r="Y6520"/>
      <c r="Z6520"/>
      <c r="AA6520"/>
      <c r="AC6520"/>
      <c r="AR6520"/>
    </row>
    <row r="6521" spans="24:44">
      <c r="X6521"/>
      <c r="Y6521"/>
      <c r="Z6521"/>
      <c r="AA6521"/>
      <c r="AC6521"/>
      <c r="AR6521"/>
    </row>
    <row r="6522" spans="24:44">
      <c r="X6522"/>
      <c r="Y6522"/>
      <c r="Z6522"/>
      <c r="AA6522"/>
      <c r="AC6522"/>
      <c r="AR6522"/>
    </row>
    <row r="6523" spans="24:44">
      <c r="X6523"/>
      <c r="Y6523"/>
      <c r="Z6523"/>
      <c r="AA6523"/>
      <c r="AC6523"/>
      <c r="AR6523"/>
    </row>
    <row r="6524" spans="24:44">
      <c r="X6524"/>
      <c r="Y6524"/>
      <c r="Z6524"/>
      <c r="AA6524"/>
      <c r="AC6524"/>
      <c r="AR6524"/>
    </row>
    <row r="6525" spans="24:44">
      <c r="X6525"/>
      <c r="Y6525"/>
      <c r="Z6525"/>
      <c r="AA6525"/>
      <c r="AC6525"/>
      <c r="AR6525"/>
    </row>
    <row r="6526" spans="24:44">
      <c r="X6526"/>
      <c r="Y6526"/>
      <c r="Z6526"/>
      <c r="AA6526"/>
      <c r="AC6526"/>
      <c r="AR6526"/>
    </row>
    <row r="6527" spans="24:44">
      <c r="X6527"/>
      <c r="Y6527"/>
      <c r="Z6527"/>
      <c r="AA6527"/>
      <c r="AC6527"/>
      <c r="AR6527"/>
    </row>
    <row r="6528" spans="24:44">
      <c r="X6528"/>
      <c r="Y6528"/>
      <c r="Z6528"/>
      <c r="AA6528"/>
      <c r="AC6528"/>
      <c r="AR6528"/>
    </row>
    <row r="6529" spans="24:44">
      <c r="X6529"/>
      <c r="Y6529"/>
      <c r="Z6529"/>
      <c r="AA6529"/>
      <c r="AC6529"/>
      <c r="AR6529"/>
    </row>
    <row r="6530" spans="24:44">
      <c r="X6530"/>
      <c r="Y6530"/>
      <c r="Z6530"/>
      <c r="AA6530"/>
      <c r="AC6530"/>
      <c r="AR6530"/>
    </row>
    <row r="6531" spans="24:44">
      <c r="X6531"/>
      <c r="Y6531"/>
      <c r="Z6531"/>
      <c r="AA6531"/>
      <c r="AC6531"/>
      <c r="AR6531"/>
    </row>
    <row r="6532" spans="24:44">
      <c r="X6532"/>
      <c r="Y6532"/>
      <c r="Z6532"/>
      <c r="AA6532"/>
      <c r="AC6532"/>
      <c r="AR6532"/>
    </row>
    <row r="6533" spans="24:44">
      <c r="X6533"/>
      <c r="Y6533"/>
      <c r="Z6533"/>
      <c r="AA6533"/>
      <c r="AC6533"/>
      <c r="AR6533"/>
    </row>
    <row r="6534" spans="24:44">
      <c r="X6534"/>
      <c r="Y6534"/>
      <c r="Z6534"/>
      <c r="AA6534"/>
      <c r="AC6534"/>
      <c r="AR6534"/>
    </row>
    <row r="6535" spans="24:44">
      <c r="X6535"/>
      <c r="Y6535"/>
      <c r="Z6535"/>
      <c r="AA6535"/>
      <c r="AC6535"/>
      <c r="AR6535"/>
    </row>
    <row r="6536" spans="24:44">
      <c r="X6536"/>
      <c r="Y6536"/>
      <c r="Z6536"/>
      <c r="AA6536"/>
      <c r="AC6536"/>
      <c r="AR6536"/>
    </row>
    <row r="6537" spans="24:44">
      <c r="X6537"/>
      <c r="Y6537"/>
      <c r="Z6537"/>
      <c r="AA6537"/>
      <c r="AC6537"/>
      <c r="AR6537"/>
    </row>
    <row r="6538" spans="24:44">
      <c r="X6538"/>
      <c r="Y6538"/>
      <c r="Z6538"/>
      <c r="AA6538"/>
      <c r="AC6538"/>
      <c r="AR6538"/>
    </row>
    <row r="6539" spans="24:44">
      <c r="X6539"/>
      <c r="Y6539"/>
      <c r="Z6539"/>
      <c r="AA6539"/>
      <c r="AC6539"/>
      <c r="AR6539"/>
    </row>
    <row r="6540" spans="24:44">
      <c r="X6540"/>
      <c r="Y6540"/>
      <c r="Z6540"/>
      <c r="AA6540"/>
      <c r="AC6540"/>
      <c r="AR6540"/>
    </row>
    <row r="6541" spans="24:44">
      <c r="X6541"/>
      <c r="Y6541"/>
      <c r="Z6541"/>
      <c r="AA6541"/>
      <c r="AC6541"/>
      <c r="AR6541"/>
    </row>
    <row r="6542" spans="24:44">
      <c r="X6542"/>
      <c r="Y6542"/>
      <c r="Z6542"/>
      <c r="AA6542"/>
      <c r="AC6542"/>
      <c r="AR6542"/>
    </row>
    <row r="6543" spans="24:44">
      <c r="X6543"/>
      <c r="Y6543"/>
      <c r="Z6543"/>
      <c r="AA6543"/>
      <c r="AC6543"/>
      <c r="AR6543"/>
    </row>
    <row r="6544" spans="24:44">
      <c r="X6544"/>
      <c r="Y6544"/>
      <c r="Z6544"/>
      <c r="AA6544"/>
      <c r="AC6544"/>
      <c r="AR6544"/>
    </row>
    <row r="6545" spans="24:44">
      <c r="X6545"/>
      <c r="Y6545"/>
      <c r="Z6545"/>
      <c r="AA6545"/>
      <c r="AC6545"/>
      <c r="AR6545"/>
    </row>
    <row r="6546" spans="24:44">
      <c r="X6546"/>
      <c r="Y6546"/>
      <c r="Z6546"/>
      <c r="AA6546"/>
      <c r="AC6546"/>
      <c r="AR6546"/>
    </row>
    <row r="6547" spans="24:44">
      <c r="X6547"/>
      <c r="Y6547"/>
      <c r="Z6547"/>
      <c r="AA6547"/>
      <c r="AC6547"/>
      <c r="AR6547"/>
    </row>
    <row r="6548" spans="24:44">
      <c r="X6548"/>
      <c r="Y6548"/>
      <c r="Z6548"/>
      <c r="AA6548"/>
      <c r="AC6548"/>
      <c r="AR6548"/>
    </row>
    <row r="6549" spans="24:44">
      <c r="X6549"/>
      <c r="Y6549"/>
      <c r="Z6549"/>
      <c r="AA6549"/>
      <c r="AC6549"/>
      <c r="AR6549"/>
    </row>
    <row r="6550" spans="24:44">
      <c r="X6550"/>
      <c r="Y6550"/>
      <c r="Z6550"/>
      <c r="AA6550"/>
      <c r="AC6550"/>
      <c r="AR6550"/>
    </row>
    <row r="6551" spans="24:44">
      <c r="X6551"/>
      <c r="Y6551"/>
      <c r="Z6551"/>
      <c r="AA6551"/>
      <c r="AC6551"/>
      <c r="AR6551"/>
    </row>
    <row r="6552" spans="24:44">
      <c r="X6552"/>
      <c r="Y6552"/>
      <c r="Z6552"/>
      <c r="AA6552"/>
      <c r="AC6552"/>
      <c r="AR6552"/>
    </row>
    <row r="6553" spans="24:44">
      <c r="X6553"/>
      <c r="Y6553"/>
      <c r="Z6553"/>
      <c r="AA6553"/>
      <c r="AC6553"/>
      <c r="AR6553"/>
    </row>
    <row r="6554" spans="24:44">
      <c r="X6554"/>
      <c r="Y6554"/>
      <c r="Z6554"/>
      <c r="AA6554"/>
      <c r="AC6554"/>
      <c r="AR6554"/>
    </row>
    <row r="6555" spans="24:44">
      <c r="X6555"/>
      <c r="Y6555"/>
      <c r="Z6555"/>
      <c r="AA6555"/>
      <c r="AC6555"/>
      <c r="AR6555"/>
    </row>
    <row r="6556" spans="24:44">
      <c r="X6556"/>
      <c r="Y6556"/>
      <c r="Z6556"/>
      <c r="AA6556"/>
      <c r="AC6556"/>
      <c r="AR6556"/>
    </row>
    <row r="6557" spans="24:44">
      <c r="X6557"/>
      <c r="Y6557"/>
      <c r="Z6557"/>
      <c r="AA6557"/>
      <c r="AC6557"/>
      <c r="AR6557"/>
    </row>
    <row r="6558" spans="24:44">
      <c r="X6558"/>
      <c r="Y6558"/>
      <c r="Z6558"/>
      <c r="AA6558"/>
      <c r="AC6558"/>
      <c r="AR6558"/>
    </row>
    <row r="6559" spans="24:44">
      <c r="X6559"/>
      <c r="Y6559"/>
      <c r="Z6559"/>
      <c r="AA6559"/>
      <c r="AC6559"/>
      <c r="AR6559"/>
    </row>
    <row r="6560" spans="24:44">
      <c r="X6560"/>
      <c r="Y6560"/>
      <c r="Z6560"/>
      <c r="AA6560"/>
      <c r="AC6560"/>
      <c r="AR6560"/>
    </row>
    <row r="6561" spans="24:44">
      <c r="X6561"/>
      <c r="Y6561"/>
      <c r="Z6561"/>
      <c r="AA6561"/>
      <c r="AC6561"/>
      <c r="AR6561"/>
    </row>
    <row r="6562" spans="24:44">
      <c r="X6562"/>
      <c r="Y6562"/>
      <c r="Z6562"/>
      <c r="AA6562"/>
      <c r="AC6562"/>
      <c r="AR6562"/>
    </row>
    <row r="6563" spans="24:44">
      <c r="X6563"/>
      <c r="Y6563"/>
      <c r="Z6563"/>
      <c r="AA6563"/>
      <c r="AC6563"/>
      <c r="AR6563"/>
    </row>
    <row r="6564" spans="24:44">
      <c r="X6564"/>
      <c r="Y6564"/>
      <c r="Z6564"/>
      <c r="AA6564"/>
      <c r="AC6564"/>
      <c r="AR6564"/>
    </row>
    <row r="6565" spans="24:44">
      <c r="X6565"/>
      <c r="Y6565"/>
      <c r="Z6565"/>
      <c r="AA6565"/>
      <c r="AC6565"/>
      <c r="AR6565"/>
    </row>
    <row r="6566" spans="24:44">
      <c r="X6566"/>
      <c r="Y6566"/>
      <c r="Z6566"/>
      <c r="AA6566"/>
      <c r="AC6566"/>
      <c r="AR6566"/>
    </row>
    <row r="6567" spans="24:44">
      <c r="X6567"/>
      <c r="Y6567"/>
      <c r="Z6567"/>
      <c r="AA6567"/>
      <c r="AC6567"/>
      <c r="AR6567"/>
    </row>
    <row r="6568" spans="24:44">
      <c r="X6568"/>
      <c r="Y6568"/>
      <c r="Z6568"/>
      <c r="AA6568"/>
      <c r="AC6568"/>
      <c r="AR6568"/>
    </row>
    <row r="6569" spans="24:44">
      <c r="X6569"/>
      <c r="Y6569"/>
      <c r="Z6569"/>
      <c r="AA6569"/>
      <c r="AC6569"/>
      <c r="AR6569"/>
    </row>
    <row r="6570" spans="24:44">
      <c r="X6570"/>
      <c r="Y6570"/>
      <c r="Z6570"/>
      <c r="AA6570"/>
      <c r="AC6570"/>
      <c r="AR6570"/>
    </row>
    <row r="6571" spans="24:44">
      <c r="X6571"/>
      <c r="Y6571"/>
      <c r="Z6571"/>
      <c r="AA6571"/>
      <c r="AC6571"/>
      <c r="AR6571"/>
    </row>
    <row r="6572" spans="24:44">
      <c r="X6572"/>
      <c r="Y6572"/>
      <c r="Z6572"/>
      <c r="AA6572"/>
      <c r="AC6572"/>
      <c r="AR6572"/>
    </row>
    <row r="6573" spans="24:44">
      <c r="X6573"/>
      <c r="Y6573"/>
      <c r="Z6573"/>
      <c r="AA6573"/>
      <c r="AC6573"/>
      <c r="AR6573"/>
    </row>
    <row r="6574" spans="24:44">
      <c r="X6574"/>
      <c r="Y6574"/>
      <c r="Z6574"/>
      <c r="AA6574"/>
      <c r="AC6574"/>
      <c r="AR6574"/>
    </row>
    <row r="6575" spans="24:44">
      <c r="X6575"/>
      <c r="Y6575"/>
      <c r="Z6575"/>
      <c r="AA6575"/>
      <c r="AC6575"/>
      <c r="AR6575"/>
    </row>
    <row r="6576" spans="24:44">
      <c r="X6576"/>
      <c r="Y6576"/>
      <c r="Z6576"/>
      <c r="AA6576"/>
      <c r="AC6576"/>
      <c r="AR6576"/>
    </row>
    <row r="6577" spans="24:44">
      <c r="X6577"/>
      <c r="Y6577"/>
      <c r="Z6577"/>
      <c r="AA6577"/>
      <c r="AC6577"/>
      <c r="AR6577"/>
    </row>
    <row r="6578" spans="24:44">
      <c r="X6578"/>
      <c r="Y6578"/>
      <c r="Z6578"/>
      <c r="AA6578"/>
      <c r="AC6578"/>
      <c r="AR6578"/>
    </row>
    <row r="6579" spans="24:44">
      <c r="X6579"/>
      <c r="Y6579"/>
      <c r="Z6579"/>
      <c r="AA6579"/>
      <c r="AC6579"/>
      <c r="AR6579"/>
    </row>
    <row r="6580" spans="24:44">
      <c r="X6580"/>
      <c r="Y6580"/>
      <c r="Z6580"/>
      <c r="AA6580"/>
      <c r="AC6580"/>
      <c r="AR6580"/>
    </row>
    <row r="6581" spans="24:44">
      <c r="X6581"/>
      <c r="Y6581"/>
      <c r="Z6581"/>
      <c r="AA6581"/>
      <c r="AC6581"/>
      <c r="AR6581"/>
    </row>
    <row r="6582" spans="24:44">
      <c r="X6582"/>
      <c r="Y6582"/>
      <c r="Z6582"/>
      <c r="AA6582"/>
      <c r="AC6582"/>
      <c r="AR6582"/>
    </row>
    <row r="6583" spans="24:44">
      <c r="X6583"/>
      <c r="Y6583"/>
      <c r="Z6583"/>
      <c r="AA6583"/>
      <c r="AC6583"/>
      <c r="AR6583"/>
    </row>
    <row r="6584" spans="24:44">
      <c r="X6584"/>
      <c r="Y6584"/>
      <c r="Z6584"/>
      <c r="AA6584"/>
      <c r="AC6584"/>
      <c r="AR6584"/>
    </row>
    <row r="6585" spans="24:44">
      <c r="X6585"/>
      <c r="Y6585"/>
      <c r="Z6585"/>
      <c r="AA6585"/>
      <c r="AC6585"/>
      <c r="AR6585"/>
    </row>
    <row r="6586" spans="24:44">
      <c r="X6586"/>
      <c r="Y6586"/>
      <c r="Z6586"/>
      <c r="AA6586"/>
      <c r="AC6586"/>
      <c r="AR6586"/>
    </row>
    <row r="6587" spans="24:44">
      <c r="X6587"/>
      <c r="Y6587"/>
      <c r="Z6587"/>
      <c r="AA6587"/>
      <c r="AC6587"/>
      <c r="AR6587"/>
    </row>
    <row r="6588" spans="24:44">
      <c r="X6588"/>
      <c r="Y6588"/>
      <c r="Z6588"/>
      <c r="AA6588"/>
      <c r="AC6588"/>
      <c r="AR6588"/>
    </row>
    <row r="6589" spans="24:44">
      <c r="X6589"/>
      <c r="Y6589"/>
      <c r="Z6589"/>
      <c r="AA6589"/>
      <c r="AC6589"/>
      <c r="AR6589"/>
    </row>
    <row r="6590" spans="24:44">
      <c r="X6590"/>
      <c r="Y6590"/>
      <c r="Z6590"/>
      <c r="AA6590"/>
      <c r="AC6590"/>
      <c r="AR6590"/>
    </row>
    <row r="6591" spans="24:44">
      <c r="X6591"/>
      <c r="Y6591"/>
      <c r="Z6591"/>
      <c r="AA6591"/>
      <c r="AC6591"/>
      <c r="AR6591"/>
    </row>
    <row r="6592" spans="24:44">
      <c r="X6592"/>
      <c r="Y6592"/>
      <c r="Z6592"/>
      <c r="AA6592"/>
      <c r="AC6592"/>
      <c r="AR6592"/>
    </row>
    <row r="6593" spans="24:44">
      <c r="X6593"/>
      <c r="Y6593"/>
      <c r="Z6593"/>
      <c r="AA6593"/>
      <c r="AC6593"/>
      <c r="AR6593"/>
    </row>
    <row r="6594" spans="24:44">
      <c r="X6594"/>
      <c r="Y6594"/>
      <c r="Z6594"/>
      <c r="AA6594"/>
      <c r="AC6594"/>
      <c r="AR6594"/>
    </row>
    <row r="6595" spans="24:44">
      <c r="X6595"/>
      <c r="Y6595"/>
      <c r="Z6595"/>
      <c r="AA6595"/>
      <c r="AC6595"/>
      <c r="AR6595"/>
    </row>
    <row r="6596" spans="24:44">
      <c r="X6596"/>
      <c r="Y6596"/>
      <c r="Z6596"/>
      <c r="AA6596"/>
      <c r="AC6596"/>
      <c r="AR6596"/>
    </row>
    <row r="6597" spans="24:44">
      <c r="X6597"/>
      <c r="Y6597"/>
      <c r="Z6597"/>
      <c r="AA6597"/>
      <c r="AC6597"/>
      <c r="AR6597"/>
    </row>
    <row r="6598" spans="24:44">
      <c r="X6598"/>
      <c r="Y6598"/>
      <c r="Z6598"/>
      <c r="AA6598"/>
      <c r="AC6598"/>
      <c r="AR6598"/>
    </row>
    <row r="6599" spans="24:44">
      <c r="X6599"/>
      <c r="Y6599"/>
      <c r="Z6599"/>
      <c r="AA6599"/>
      <c r="AC6599"/>
      <c r="AR6599"/>
    </row>
    <row r="6600" spans="24:44">
      <c r="X6600"/>
      <c r="Y6600"/>
      <c r="Z6600"/>
      <c r="AA6600"/>
      <c r="AC6600"/>
      <c r="AR6600"/>
    </row>
    <row r="6601" spans="24:44">
      <c r="X6601"/>
      <c r="Y6601"/>
      <c r="Z6601"/>
      <c r="AA6601"/>
      <c r="AC6601"/>
      <c r="AR6601"/>
    </row>
    <row r="6602" spans="24:44">
      <c r="X6602"/>
      <c r="Y6602"/>
      <c r="Z6602"/>
      <c r="AA6602"/>
      <c r="AC6602"/>
      <c r="AR6602"/>
    </row>
    <row r="6603" spans="24:44">
      <c r="X6603"/>
      <c r="Y6603"/>
      <c r="Z6603"/>
      <c r="AA6603"/>
      <c r="AC6603"/>
      <c r="AR6603"/>
    </row>
    <row r="6604" spans="24:44">
      <c r="X6604"/>
      <c r="Y6604"/>
      <c r="Z6604"/>
      <c r="AA6604"/>
      <c r="AC6604"/>
      <c r="AR6604"/>
    </row>
    <row r="6605" spans="24:44">
      <c r="X6605"/>
      <c r="Y6605"/>
      <c r="Z6605"/>
      <c r="AA6605"/>
      <c r="AC6605"/>
      <c r="AR6605"/>
    </row>
    <row r="6606" spans="24:44">
      <c r="X6606"/>
      <c r="Y6606"/>
      <c r="Z6606"/>
      <c r="AA6606"/>
      <c r="AC6606"/>
      <c r="AR6606"/>
    </row>
    <row r="6607" spans="24:44">
      <c r="X6607"/>
      <c r="Y6607"/>
      <c r="Z6607"/>
      <c r="AA6607"/>
      <c r="AC6607"/>
      <c r="AR6607"/>
    </row>
    <row r="6608" spans="24:44">
      <c r="X6608"/>
      <c r="Y6608"/>
      <c r="Z6608"/>
      <c r="AA6608"/>
      <c r="AC6608"/>
      <c r="AR6608"/>
    </row>
    <row r="6609" spans="24:44">
      <c r="X6609"/>
      <c r="Y6609"/>
      <c r="Z6609"/>
      <c r="AA6609"/>
      <c r="AC6609"/>
      <c r="AR6609"/>
    </row>
    <row r="6610" spans="24:44">
      <c r="X6610"/>
      <c r="Y6610"/>
      <c r="Z6610"/>
      <c r="AA6610"/>
      <c r="AC6610"/>
      <c r="AR6610"/>
    </row>
    <row r="6611" spans="24:44">
      <c r="X6611"/>
      <c r="Y6611"/>
      <c r="Z6611"/>
      <c r="AA6611"/>
      <c r="AC6611"/>
      <c r="AR6611"/>
    </row>
    <row r="6612" spans="24:44">
      <c r="X6612"/>
      <c r="Y6612"/>
      <c r="Z6612"/>
      <c r="AA6612"/>
      <c r="AC6612"/>
      <c r="AR6612"/>
    </row>
    <row r="6613" spans="24:44">
      <c r="X6613"/>
      <c r="Y6613"/>
      <c r="Z6613"/>
      <c r="AA6613"/>
      <c r="AC6613"/>
      <c r="AR6613"/>
    </row>
    <row r="6614" spans="24:44">
      <c r="X6614"/>
      <c r="Y6614"/>
      <c r="Z6614"/>
      <c r="AA6614"/>
      <c r="AC6614"/>
      <c r="AR6614"/>
    </row>
    <row r="6615" spans="24:44">
      <c r="X6615"/>
      <c r="Y6615"/>
      <c r="Z6615"/>
      <c r="AA6615"/>
      <c r="AC6615"/>
      <c r="AR6615"/>
    </row>
    <row r="6616" spans="24:44">
      <c r="X6616"/>
      <c r="Y6616"/>
      <c r="Z6616"/>
      <c r="AA6616"/>
      <c r="AC6616"/>
      <c r="AR6616"/>
    </row>
    <row r="6617" spans="24:44">
      <c r="X6617"/>
      <c r="Y6617"/>
      <c r="Z6617"/>
      <c r="AA6617"/>
      <c r="AC6617"/>
      <c r="AR6617"/>
    </row>
    <row r="6618" spans="24:44">
      <c r="X6618"/>
      <c r="Y6618"/>
      <c r="Z6618"/>
      <c r="AA6618"/>
      <c r="AC6618"/>
      <c r="AR6618"/>
    </row>
    <row r="6619" spans="24:44">
      <c r="X6619"/>
      <c r="Y6619"/>
      <c r="Z6619"/>
      <c r="AA6619"/>
      <c r="AC6619"/>
      <c r="AR6619"/>
    </row>
    <row r="6620" spans="24:44">
      <c r="X6620"/>
      <c r="Y6620"/>
      <c r="Z6620"/>
      <c r="AA6620"/>
      <c r="AC6620"/>
      <c r="AR6620"/>
    </row>
    <row r="6621" spans="24:44">
      <c r="X6621"/>
      <c r="Y6621"/>
      <c r="Z6621"/>
      <c r="AA6621"/>
      <c r="AC6621"/>
      <c r="AR6621"/>
    </row>
    <row r="6622" spans="24:44">
      <c r="X6622"/>
      <c r="Y6622"/>
      <c r="Z6622"/>
      <c r="AA6622"/>
      <c r="AC6622"/>
      <c r="AR6622"/>
    </row>
    <row r="6623" spans="24:44">
      <c r="X6623"/>
      <c r="Y6623"/>
      <c r="Z6623"/>
      <c r="AA6623"/>
      <c r="AC6623"/>
      <c r="AR6623"/>
    </row>
    <row r="6624" spans="24:44">
      <c r="X6624"/>
      <c r="Y6624"/>
      <c r="Z6624"/>
      <c r="AA6624"/>
      <c r="AC6624"/>
      <c r="AR6624"/>
    </row>
    <row r="6625" spans="24:44">
      <c r="X6625"/>
      <c r="Y6625"/>
      <c r="Z6625"/>
      <c r="AA6625"/>
      <c r="AC6625"/>
      <c r="AR6625"/>
    </row>
    <row r="6626" spans="24:44">
      <c r="X6626"/>
      <c r="Y6626"/>
      <c r="Z6626"/>
      <c r="AA6626"/>
      <c r="AC6626"/>
      <c r="AR6626"/>
    </row>
    <row r="6627" spans="24:44">
      <c r="X6627"/>
      <c r="Y6627"/>
      <c r="Z6627"/>
      <c r="AA6627"/>
      <c r="AC6627"/>
      <c r="AR6627"/>
    </row>
    <row r="6628" spans="24:44">
      <c r="X6628"/>
      <c r="Y6628"/>
      <c r="Z6628"/>
      <c r="AA6628"/>
      <c r="AC6628"/>
      <c r="AR6628"/>
    </row>
    <row r="6629" spans="24:44">
      <c r="X6629"/>
      <c r="Y6629"/>
      <c r="Z6629"/>
      <c r="AA6629"/>
      <c r="AC6629"/>
      <c r="AR6629"/>
    </row>
    <row r="6630" spans="24:44">
      <c r="X6630"/>
      <c r="Y6630"/>
      <c r="Z6630"/>
      <c r="AA6630"/>
      <c r="AC6630"/>
      <c r="AR6630"/>
    </row>
    <row r="6631" spans="24:44">
      <c r="X6631"/>
      <c r="Y6631"/>
      <c r="Z6631"/>
      <c r="AA6631"/>
      <c r="AC6631"/>
      <c r="AR6631"/>
    </row>
    <row r="6632" spans="24:44">
      <c r="X6632"/>
      <c r="Y6632"/>
      <c r="Z6632"/>
      <c r="AA6632"/>
      <c r="AC6632"/>
      <c r="AR6632"/>
    </row>
    <row r="6633" spans="24:44">
      <c r="X6633"/>
      <c r="Y6633"/>
      <c r="Z6633"/>
      <c r="AA6633"/>
      <c r="AC6633"/>
      <c r="AR6633"/>
    </row>
    <row r="6634" spans="24:44">
      <c r="X6634"/>
      <c r="Y6634"/>
      <c r="Z6634"/>
      <c r="AA6634"/>
      <c r="AC6634"/>
      <c r="AR6634"/>
    </row>
    <row r="6635" spans="24:44">
      <c r="X6635"/>
      <c r="Y6635"/>
      <c r="Z6635"/>
      <c r="AA6635"/>
      <c r="AC6635"/>
      <c r="AR6635"/>
    </row>
    <row r="6636" spans="24:44">
      <c r="X6636"/>
      <c r="Y6636"/>
      <c r="Z6636"/>
      <c r="AA6636"/>
      <c r="AC6636"/>
      <c r="AR6636"/>
    </row>
    <row r="6637" spans="24:44">
      <c r="X6637"/>
      <c r="Y6637"/>
      <c r="Z6637"/>
      <c r="AA6637"/>
      <c r="AC6637"/>
      <c r="AR6637"/>
    </row>
    <row r="6638" spans="24:44">
      <c r="X6638"/>
      <c r="Y6638"/>
      <c r="Z6638"/>
      <c r="AA6638"/>
      <c r="AC6638"/>
      <c r="AR6638"/>
    </row>
    <row r="6639" spans="24:44">
      <c r="X6639"/>
      <c r="Y6639"/>
      <c r="Z6639"/>
      <c r="AA6639"/>
      <c r="AC6639"/>
      <c r="AR6639"/>
    </row>
    <row r="6640" spans="24:44">
      <c r="X6640"/>
      <c r="Y6640"/>
      <c r="Z6640"/>
      <c r="AA6640"/>
      <c r="AC6640"/>
      <c r="AR6640"/>
    </row>
    <row r="6641" spans="24:44">
      <c r="X6641"/>
      <c r="Y6641"/>
      <c r="Z6641"/>
      <c r="AA6641"/>
      <c r="AC6641"/>
      <c r="AR6641"/>
    </row>
    <row r="6642" spans="24:44">
      <c r="X6642"/>
      <c r="Y6642"/>
      <c r="Z6642"/>
      <c r="AA6642"/>
      <c r="AC6642"/>
      <c r="AR6642"/>
    </row>
    <row r="6643" spans="24:44">
      <c r="X6643"/>
      <c r="Y6643"/>
      <c r="Z6643"/>
      <c r="AA6643"/>
      <c r="AC6643"/>
      <c r="AR6643"/>
    </row>
    <row r="6644" spans="24:44">
      <c r="X6644"/>
      <c r="Y6644"/>
      <c r="Z6644"/>
      <c r="AA6644"/>
      <c r="AC6644"/>
      <c r="AR6644"/>
    </row>
    <row r="6645" spans="24:44">
      <c r="X6645"/>
      <c r="Y6645"/>
      <c r="Z6645"/>
      <c r="AA6645"/>
      <c r="AC6645"/>
      <c r="AR6645"/>
    </row>
    <row r="6646" spans="24:44">
      <c r="X6646"/>
      <c r="Y6646"/>
      <c r="Z6646"/>
      <c r="AA6646"/>
      <c r="AC6646"/>
      <c r="AR6646"/>
    </row>
    <row r="6647" spans="24:44">
      <c r="X6647"/>
      <c r="Y6647"/>
      <c r="Z6647"/>
      <c r="AA6647"/>
      <c r="AC6647"/>
      <c r="AR6647"/>
    </row>
    <row r="6648" spans="24:44">
      <c r="X6648"/>
      <c r="Y6648"/>
      <c r="Z6648"/>
      <c r="AA6648"/>
      <c r="AC6648"/>
      <c r="AR6648"/>
    </row>
    <row r="6649" spans="24:44">
      <c r="X6649"/>
      <c r="Y6649"/>
      <c r="Z6649"/>
      <c r="AA6649"/>
      <c r="AC6649"/>
      <c r="AR6649"/>
    </row>
    <row r="6650" spans="24:44">
      <c r="X6650"/>
      <c r="Y6650"/>
      <c r="Z6650"/>
      <c r="AA6650"/>
      <c r="AC6650"/>
      <c r="AR6650"/>
    </row>
    <row r="6651" spans="24:44">
      <c r="X6651"/>
      <c r="Y6651"/>
      <c r="Z6651"/>
      <c r="AA6651"/>
      <c r="AC6651"/>
      <c r="AR6651"/>
    </row>
    <row r="6652" spans="24:44">
      <c r="X6652"/>
      <c r="Y6652"/>
      <c r="Z6652"/>
      <c r="AA6652"/>
      <c r="AC6652"/>
      <c r="AR6652"/>
    </row>
    <row r="6653" spans="24:44">
      <c r="X6653"/>
      <c r="Y6653"/>
      <c r="Z6653"/>
      <c r="AA6653"/>
      <c r="AC6653"/>
      <c r="AR6653"/>
    </row>
    <row r="6654" spans="24:44">
      <c r="X6654"/>
      <c r="Y6654"/>
      <c r="Z6654"/>
      <c r="AA6654"/>
      <c r="AC6654"/>
      <c r="AR6654"/>
    </row>
    <row r="6655" spans="24:44">
      <c r="X6655"/>
      <c r="Y6655"/>
      <c r="Z6655"/>
      <c r="AA6655"/>
      <c r="AC6655"/>
      <c r="AR6655"/>
    </row>
    <row r="6656" spans="24:44">
      <c r="X6656"/>
      <c r="Y6656"/>
      <c r="Z6656"/>
      <c r="AA6656"/>
      <c r="AC6656"/>
      <c r="AR6656"/>
    </row>
    <row r="6657" spans="24:44">
      <c r="X6657"/>
      <c r="Y6657"/>
      <c r="Z6657"/>
      <c r="AA6657"/>
      <c r="AC6657"/>
      <c r="AR6657"/>
    </row>
    <row r="6658" spans="24:44">
      <c r="X6658"/>
      <c r="Y6658"/>
      <c r="Z6658"/>
      <c r="AA6658"/>
      <c r="AC6658"/>
      <c r="AR6658"/>
    </row>
    <row r="6659" spans="24:44">
      <c r="X6659"/>
      <c r="Y6659"/>
      <c r="Z6659"/>
      <c r="AA6659"/>
      <c r="AC6659"/>
      <c r="AR6659"/>
    </row>
    <row r="6660" spans="24:44">
      <c r="X6660"/>
      <c r="Y6660"/>
      <c r="Z6660"/>
      <c r="AA6660"/>
      <c r="AC6660"/>
      <c r="AR6660"/>
    </row>
    <row r="6661" spans="24:44">
      <c r="X6661"/>
      <c r="Y6661"/>
      <c r="Z6661"/>
      <c r="AA6661"/>
      <c r="AC6661"/>
      <c r="AR6661"/>
    </row>
    <row r="6662" spans="24:44">
      <c r="X6662"/>
      <c r="Y6662"/>
      <c r="Z6662"/>
      <c r="AA6662"/>
      <c r="AC6662"/>
      <c r="AR6662"/>
    </row>
    <row r="6663" spans="24:44">
      <c r="X6663"/>
      <c r="Y6663"/>
      <c r="Z6663"/>
      <c r="AA6663"/>
      <c r="AC6663"/>
      <c r="AR6663"/>
    </row>
    <row r="6664" spans="24:44">
      <c r="X6664"/>
      <c r="Y6664"/>
      <c r="Z6664"/>
      <c r="AA6664"/>
      <c r="AC6664"/>
      <c r="AR6664"/>
    </row>
    <row r="6665" spans="24:44">
      <c r="X6665"/>
      <c r="Y6665"/>
      <c r="Z6665"/>
      <c r="AA6665"/>
      <c r="AC6665"/>
      <c r="AR6665"/>
    </row>
    <row r="6666" spans="24:44">
      <c r="X6666"/>
      <c r="Y6666"/>
      <c r="Z6666"/>
      <c r="AA6666"/>
      <c r="AC6666"/>
      <c r="AR6666"/>
    </row>
    <row r="6667" spans="24:44">
      <c r="X6667"/>
      <c r="Y6667"/>
      <c r="Z6667"/>
      <c r="AA6667"/>
      <c r="AC6667"/>
      <c r="AR6667"/>
    </row>
    <row r="6668" spans="24:44">
      <c r="X6668"/>
      <c r="Y6668"/>
      <c r="Z6668"/>
      <c r="AA6668"/>
      <c r="AC6668"/>
      <c r="AR6668"/>
    </row>
    <row r="6669" spans="24:44">
      <c r="X6669"/>
      <c r="Y6669"/>
      <c r="Z6669"/>
      <c r="AA6669"/>
      <c r="AC6669"/>
      <c r="AR6669"/>
    </row>
    <row r="6670" spans="24:44">
      <c r="X6670"/>
      <c r="Y6670"/>
      <c r="Z6670"/>
      <c r="AA6670"/>
      <c r="AC6670"/>
      <c r="AR6670"/>
    </row>
    <row r="6671" spans="24:44">
      <c r="X6671"/>
      <c r="Y6671"/>
      <c r="Z6671"/>
      <c r="AA6671"/>
      <c r="AC6671"/>
      <c r="AR6671"/>
    </row>
    <row r="6672" spans="24:44">
      <c r="X6672"/>
      <c r="Y6672"/>
      <c r="Z6672"/>
      <c r="AA6672"/>
      <c r="AC6672"/>
      <c r="AR6672"/>
    </row>
    <row r="6673" spans="24:44">
      <c r="X6673"/>
      <c r="Y6673"/>
      <c r="Z6673"/>
      <c r="AA6673"/>
      <c r="AC6673"/>
      <c r="AR6673"/>
    </row>
    <row r="6674" spans="24:44">
      <c r="X6674"/>
      <c r="Y6674"/>
      <c r="Z6674"/>
      <c r="AA6674"/>
      <c r="AC6674"/>
      <c r="AR6674"/>
    </row>
    <row r="6675" spans="24:44">
      <c r="X6675"/>
      <c r="Y6675"/>
      <c r="Z6675"/>
      <c r="AA6675"/>
      <c r="AC6675"/>
      <c r="AR6675"/>
    </row>
    <row r="6676" spans="24:44">
      <c r="X6676"/>
      <c r="Y6676"/>
      <c r="Z6676"/>
      <c r="AA6676"/>
      <c r="AC6676"/>
      <c r="AR6676"/>
    </row>
    <row r="6677" spans="24:44">
      <c r="X6677"/>
      <c r="Y6677"/>
      <c r="Z6677"/>
      <c r="AA6677"/>
      <c r="AC6677"/>
      <c r="AR6677"/>
    </row>
    <row r="6678" spans="24:44">
      <c r="X6678"/>
      <c r="Y6678"/>
      <c r="Z6678"/>
      <c r="AA6678"/>
      <c r="AC6678"/>
      <c r="AR6678"/>
    </row>
    <row r="6679" spans="24:44">
      <c r="X6679"/>
      <c r="Y6679"/>
      <c r="Z6679"/>
      <c r="AA6679"/>
      <c r="AC6679"/>
      <c r="AR6679"/>
    </row>
    <row r="6680" spans="24:44">
      <c r="X6680"/>
      <c r="Y6680"/>
      <c r="Z6680"/>
      <c r="AA6680"/>
      <c r="AC6680"/>
      <c r="AR6680"/>
    </row>
    <row r="6681" spans="24:44">
      <c r="X6681"/>
      <c r="Y6681"/>
      <c r="Z6681"/>
      <c r="AA6681"/>
      <c r="AC6681"/>
      <c r="AR6681"/>
    </row>
    <row r="6682" spans="24:44">
      <c r="X6682"/>
      <c r="Y6682"/>
      <c r="Z6682"/>
      <c r="AA6682"/>
      <c r="AC6682"/>
      <c r="AR6682"/>
    </row>
    <row r="6683" spans="24:44">
      <c r="X6683"/>
      <c r="Y6683"/>
      <c r="Z6683"/>
      <c r="AA6683"/>
      <c r="AC6683"/>
      <c r="AR6683"/>
    </row>
    <row r="6684" spans="24:44">
      <c r="X6684"/>
      <c r="Y6684"/>
      <c r="Z6684"/>
      <c r="AA6684"/>
      <c r="AC6684"/>
      <c r="AR6684"/>
    </row>
    <row r="6685" spans="24:44">
      <c r="X6685"/>
      <c r="Y6685"/>
      <c r="Z6685"/>
      <c r="AA6685"/>
      <c r="AC6685"/>
      <c r="AR6685"/>
    </row>
    <row r="6686" spans="24:44">
      <c r="X6686"/>
      <c r="Y6686"/>
      <c r="Z6686"/>
      <c r="AA6686"/>
      <c r="AC6686"/>
      <c r="AR6686"/>
    </row>
    <row r="6687" spans="24:44">
      <c r="X6687"/>
      <c r="Y6687"/>
      <c r="Z6687"/>
      <c r="AA6687"/>
      <c r="AC6687"/>
      <c r="AR6687"/>
    </row>
    <row r="6688" spans="24:44">
      <c r="X6688"/>
      <c r="Y6688"/>
      <c r="Z6688"/>
      <c r="AA6688"/>
      <c r="AC6688"/>
      <c r="AR6688"/>
    </row>
    <row r="6689" spans="24:44">
      <c r="X6689"/>
      <c r="Y6689"/>
      <c r="Z6689"/>
      <c r="AA6689"/>
      <c r="AC6689"/>
      <c r="AR6689"/>
    </row>
    <row r="6690" spans="24:44">
      <c r="X6690"/>
      <c r="Y6690"/>
      <c r="Z6690"/>
      <c r="AA6690"/>
      <c r="AC6690"/>
      <c r="AR6690"/>
    </row>
    <row r="6691" spans="24:44">
      <c r="X6691"/>
      <c r="Y6691"/>
      <c r="Z6691"/>
      <c r="AA6691"/>
      <c r="AC6691"/>
      <c r="AR6691"/>
    </row>
    <row r="6692" spans="24:44">
      <c r="X6692"/>
      <c r="Y6692"/>
      <c r="Z6692"/>
      <c r="AA6692"/>
      <c r="AC6692"/>
      <c r="AR6692"/>
    </row>
    <row r="6693" spans="24:44">
      <c r="X6693"/>
      <c r="Y6693"/>
      <c r="Z6693"/>
      <c r="AA6693"/>
      <c r="AC6693"/>
      <c r="AR6693"/>
    </row>
    <row r="6694" spans="24:44">
      <c r="X6694"/>
      <c r="Y6694"/>
      <c r="Z6694"/>
      <c r="AA6694"/>
      <c r="AC6694"/>
      <c r="AR6694"/>
    </row>
    <row r="6695" spans="24:44">
      <c r="X6695"/>
      <c r="Y6695"/>
      <c r="Z6695"/>
      <c r="AA6695"/>
      <c r="AC6695"/>
      <c r="AR6695"/>
    </row>
    <row r="6696" spans="24:44">
      <c r="X6696"/>
      <c r="Y6696"/>
      <c r="Z6696"/>
      <c r="AA6696"/>
      <c r="AC6696"/>
      <c r="AR6696"/>
    </row>
    <row r="6697" spans="24:44">
      <c r="X6697"/>
      <c r="Y6697"/>
      <c r="Z6697"/>
      <c r="AA6697"/>
      <c r="AC6697"/>
      <c r="AR6697"/>
    </row>
    <row r="6698" spans="24:44">
      <c r="X6698"/>
      <c r="Y6698"/>
      <c r="Z6698"/>
      <c r="AA6698"/>
      <c r="AC6698"/>
      <c r="AR6698"/>
    </row>
    <row r="6699" spans="24:44">
      <c r="X6699"/>
      <c r="Y6699"/>
      <c r="Z6699"/>
      <c r="AA6699"/>
      <c r="AC6699"/>
      <c r="AR6699"/>
    </row>
    <row r="6700" spans="24:44">
      <c r="X6700"/>
      <c r="Y6700"/>
      <c r="Z6700"/>
      <c r="AA6700"/>
      <c r="AC6700"/>
      <c r="AR6700"/>
    </row>
    <row r="6701" spans="24:44">
      <c r="X6701"/>
      <c r="Y6701"/>
      <c r="Z6701"/>
      <c r="AA6701"/>
      <c r="AC6701"/>
      <c r="AR6701"/>
    </row>
    <row r="6702" spans="24:44">
      <c r="X6702"/>
      <c r="Y6702"/>
      <c r="Z6702"/>
      <c r="AA6702"/>
      <c r="AC6702"/>
      <c r="AR6702"/>
    </row>
    <row r="6703" spans="24:44">
      <c r="X6703"/>
      <c r="Y6703"/>
      <c r="Z6703"/>
      <c r="AA6703"/>
      <c r="AC6703"/>
      <c r="AR6703"/>
    </row>
    <row r="6704" spans="24:44">
      <c r="X6704"/>
      <c r="Y6704"/>
      <c r="Z6704"/>
      <c r="AA6704"/>
      <c r="AC6704"/>
      <c r="AR6704"/>
    </row>
    <row r="6705" spans="24:44">
      <c r="X6705"/>
      <c r="Y6705"/>
      <c r="Z6705"/>
      <c r="AA6705"/>
      <c r="AC6705"/>
      <c r="AR6705"/>
    </row>
    <row r="6706" spans="24:44">
      <c r="X6706"/>
      <c r="Y6706"/>
      <c r="Z6706"/>
      <c r="AA6706"/>
      <c r="AC6706"/>
      <c r="AR6706"/>
    </row>
    <row r="6707" spans="24:44">
      <c r="X6707"/>
      <c r="Y6707"/>
      <c r="Z6707"/>
      <c r="AA6707"/>
      <c r="AC6707"/>
      <c r="AR6707"/>
    </row>
    <row r="6708" spans="24:44">
      <c r="X6708"/>
      <c r="Y6708"/>
      <c r="Z6708"/>
      <c r="AA6708"/>
      <c r="AC6708"/>
      <c r="AR6708"/>
    </row>
    <row r="6709" spans="24:44">
      <c r="X6709"/>
      <c r="Y6709"/>
      <c r="Z6709"/>
      <c r="AA6709"/>
      <c r="AC6709"/>
      <c r="AR6709"/>
    </row>
    <row r="6710" spans="24:44">
      <c r="X6710"/>
      <c r="Y6710"/>
      <c r="Z6710"/>
      <c r="AA6710"/>
      <c r="AC6710"/>
      <c r="AR6710"/>
    </row>
    <row r="6711" spans="24:44">
      <c r="X6711"/>
      <c r="Y6711"/>
      <c r="Z6711"/>
      <c r="AA6711"/>
      <c r="AC6711"/>
      <c r="AR6711"/>
    </row>
    <row r="6712" spans="24:44">
      <c r="X6712"/>
      <c r="Y6712"/>
      <c r="Z6712"/>
      <c r="AA6712"/>
      <c r="AC6712"/>
      <c r="AR6712"/>
    </row>
    <row r="6713" spans="24:44">
      <c r="X6713"/>
      <c r="Y6713"/>
      <c r="Z6713"/>
      <c r="AA6713"/>
      <c r="AC6713"/>
      <c r="AR6713"/>
    </row>
    <row r="6714" spans="24:44">
      <c r="X6714"/>
      <c r="Y6714"/>
      <c r="Z6714"/>
      <c r="AA6714"/>
      <c r="AC6714"/>
      <c r="AR6714"/>
    </row>
    <row r="6715" spans="24:44">
      <c r="X6715"/>
      <c r="Y6715"/>
      <c r="Z6715"/>
      <c r="AA6715"/>
      <c r="AC6715"/>
      <c r="AR6715"/>
    </row>
    <row r="6716" spans="24:44">
      <c r="X6716"/>
      <c r="Y6716"/>
      <c r="Z6716"/>
      <c r="AA6716"/>
      <c r="AC6716"/>
      <c r="AR6716"/>
    </row>
    <row r="6717" spans="24:44">
      <c r="X6717"/>
      <c r="Y6717"/>
      <c r="Z6717"/>
      <c r="AA6717"/>
      <c r="AC6717"/>
      <c r="AR6717"/>
    </row>
    <row r="6718" spans="24:44">
      <c r="X6718"/>
      <c r="Y6718"/>
      <c r="Z6718"/>
      <c r="AA6718"/>
      <c r="AC6718"/>
      <c r="AR6718"/>
    </row>
    <row r="6719" spans="24:44">
      <c r="X6719"/>
      <c r="Y6719"/>
      <c r="Z6719"/>
      <c r="AA6719"/>
      <c r="AC6719"/>
      <c r="AR6719"/>
    </row>
    <row r="6720" spans="24:44">
      <c r="X6720"/>
      <c r="Y6720"/>
      <c r="Z6720"/>
      <c r="AA6720"/>
      <c r="AC6720"/>
      <c r="AR6720"/>
    </row>
    <row r="6721" spans="24:44">
      <c r="X6721"/>
      <c r="Y6721"/>
      <c r="Z6721"/>
      <c r="AA6721"/>
      <c r="AC6721"/>
      <c r="AR6721"/>
    </row>
    <row r="6722" spans="24:44">
      <c r="X6722"/>
      <c r="Y6722"/>
      <c r="Z6722"/>
      <c r="AA6722"/>
      <c r="AC6722"/>
      <c r="AR6722"/>
    </row>
    <row r="6723" spans="24:44">
      <c r="X6723"/>
      <c r="Y6723"/>
      <c r="Z6723"/>
      <c r="AA6723"/>
      <c r="AC6723"/>
      <c r="AR6723"/>
    </row>
    <row r="6724" spans="24:44">
      <c r="X6724"/>
      <c r="Y6724"/>
      <c r="Z6724"/>
      <c r="AA6724"/>
      <c r="AC6724"/>
      <c r="AR6724"/>
    </row>
    <row r="6725" spans="24:44">
      <c r="X6725"/>
      <c r="Y6725"/>
      <c r="Z6725"/>
      <c r="AA6725"/>
      <c r="AC6725"/>
      <c r="AR6725"/>
    </row>
    <row r="6726" spans="24:44">
      <c r="X6726"/>
      <c r="Y6726"/>
      <c r="Z6726"/>
      <c r="AA6726"/>
      <c r="AC6726"/>
      <c r="AR6726"/>
    </row>
    <row r="6727" spans="24:44">
      <c r="X6727"/>
      <c r="Y6727"/>
      <c r="Z6727"/>
      <c r="AA6727"/>
      <c r="AC6727"/>
      <c r="AR6727"/>
    </row>
    <row r="6728" spans="24:44">
      <c r="X6728"/>
      <c r="Y6728"/>
      <c r="Z6728"/>
      <c r="AA6728"/>
      <c r="AC6728"/>
      <c r="AR6728"/>
    </row>
    <row r="6729" spans="24:44">
      <c r="X6729"/>
      <c r="Y6729"/>
      <c r="Z6729"/>
      <c r="AA6729"/>
      <c r="AC6729"/>
      <c r="AR6729"/>
    </row>
    <row r="6730" spans="24:44">
      <c r="X6730"/>
      <c r="Y6730"/>
      <c r="Z6730"/>
      <c r="AA6730"/>
      <c r="AC6730"/>
      <c r="AR6730"/>
    </row>
    <row r="6731" spans="24:44">
      <c r="X6731"/>
      <c r="Y6731"/>
      <c r="Z6731"/>
      <c r="AA6731"/>
      <c r="AC6731"/>
      <c r="AR6731"/>
    </row>
    <row r="6732" spans="24:44">
      <c r="X6732"/>
      <c r="Y6732"/>
      <c r="Z6732"/>
      <c r="AA6732"/>
      <c r="AC6732"/>
      <c r="AR6732"/>
    </row>
    <row r="6733" spans="24:44">
      <c r="X6733"/>
      <c r="Y6733"/>
      <c r="Z6733"/>
      <c r="AA6733"/>
      <c r="AC6733"/>
      <c r="AR6733"/>
    </row>
    <row r="6734" spans="24:44">
      <c r="X6734"/>
      <c r="Y6734"/>
      <c r="Z6734"/>
      <c r="AA6734"/>
      <c r="AC6734"/>
      <c r="AR6734"/>
    </row>
    <row r="6735" spans="24:44">
      <c r="X6735"/>
      <c r="Y6735"/>
      <c r="Z6735"/>
      <c r="AA6735"/>
      <c r="AC6735"/>
      <c r="AR6735"/>
    </row>
    <row r="6736" spans="24:44">
      <c r="X6736"/>
      <c r="Y6736"/>
      <c r="Z6736"/>
      <c r="AA6736"/>
      <c r="AC6736"/>
      <c r="AR6736"/>
    </row>
    <row r="6737" spans="24:44">
      <c r="X6737"/>
      <c r="Y6737"/>
      <c r="Z6737"/>
      <c r="AA6737"/>
      <c r="AC6737"/>
      <c r="AR6737"/>
    </row>
    <row r="6738" spans="24:44">
      <c r="X6738"/>
      <c r="Y6738"/>
      <c r="Z6738"/>
      <c r="AA6738"/>
      <c r="AC6738"/>
      <c r="AR6738"/>
    </row>
    <row r="6739" spans="24:44">
      <c r="X6739"/>
      <c r="Y6739"/>
      <c r="Z6739"/>
      <c r="AA6739"/>
      <c r="AC6739"/>
      <c r="AR6739"/>
    </row>
    <row r="6740" spans="24:44">
      <c r="X6740"/>
      <c r="Y6740"/>
      <c r="Z6740"/>
      <c r="AA6740"/>
      <c r="AC6740"/>
      <c r="AR6740"/>
    </row>
    <row r="6741" spans="24:44">
      <c r="X6741"/>
      <c r="Y6741"/>
      <c r="Z6741"/>
      <c r="AA6741"/>
      <c r="AC6741"/>
      <c r="AR6741"/>
    </row>
    <row r="6742" spans="24:44">
      <c r="X6742"/>
      <c r="Y6742"/>
      <c r="Z6742"/>
      <c r="AA6742"/>
      <c r="AC6742"/>
      <c r="AR6742"/>
    </row>
    <row r="6743" spans="24:44">
      <c r="X6743"/>
      <c r="Y6743"/>
      <c r="Z6743"/>
      <c r="AA6743"/>
      <c r="AC6743"/>
      <c r="AR6743"/>
    </row>
    <row r="6744" spans="24:44">
      <c r="X6744"/>
      <c r="Y6744"/>
      <c r="Z6744"/>
      <c r="AA6744"/>
      <c r="AC6744"/>
      <c r="AR6744"/>
    </row>
    <row r="6745" spans="24:44">
      <c r="X6745"/>
      <c r="Y6745"/>
      <c r="Z6745"/>
      <c r="AA6745"/>
      <c r="AC6745"/>
      <c r="AR6745"/>
    </row>
    <row r="6746" spans="24:44">
      <c r="X6746"/>
      <c r="Y6746"/>
      <c r="Z6746"/>
      <c r="AA6746"/>
      <c r="AC6746"/>
      <c r="AR6746"/>
    </row>
    <row r="6747" spans="24:44">
      <c r="X6747"/>
      <c r="Y6747"/>
      <c r="Z6747"/>
      <c r="AA6747"/>
      <c r="AC6747"/>
      <c r="AR6747"/>
    </row>
    <row r="6748" spans="24:44">
      <c r="X6748"/>
      <c r="Y6748"/>
      <c r="Z6748"/>
      <c r="AA6748"/>
      <c r="AC6748"/>
      <c r="AR6748"/>
    </row>
    <row r="6749" spans="24:44">
      <c r="X6749"/>
      <c r="Y6749"/>
      <c r="Z6749"/>
      <c r="AA6749"/>
      <c r="AC6749"/>
      <c r="AR6749"/>
    </row>
    <row r="6750" spans="24:44">
      <c r="X6750"/>
      <c r="Y6750"/>
      <c r="Z6750"/>
      <c r="AA6750"/>
      <c r="AC6750"/>
      <c r="AR6750"/>
    </row>
    <row r="6751" spans="24:44">
      <c r="X6751"/>
      <c r="Y6751"/>
      <c r="Z6751"/>
      <c r="AA6751"/>
      <c r="AC6751"/>
      <c r="AR6751"/>
    </row>
    <row r="6752" spans="24:44">
      <c r="X6752"/>
      <c r="Y6752"/>
      <c r="Z6752"/>
      <c r="AA6752"/>
      <c r="AC6752"/>
      <c r="AR6752"/>
    </row>
    <row r="6753" spans="24:44">
      <c r="X6753"/>
      <c r="Y6753"/>
      <c r="Z6753"/>
      <c r="AA6753"/>
      <c r="AC6753"/>
      <c r="AR6753"/>
    </row>
    <row r="6754" spans="24:44">
      <c r="X6754"/>
      <c r="Y6754"/>
      <c r="Z6754"/>
      <c r="AA6754"/>
      <c r="AC6754"/>
      <c r="AR6754"/>
    </row>
    <row r="6755" spans="24:44">
      <c r="X6755"/>
      <c r="Y6755"/>
      <c r="Z6755"/>
      <c r="AA6755"/>
      <c r="AC6755"/>
      <c r="AR6755"/>
    </row>
    <row r="6756" spans="24:44">
      <c r="X6756"/>
      <c r="Y6756"/>
      <c r="Z6756"/>
      <c r="AA6756"/>
      <c r="AC6756"/>
      <c r="AR6756"/>
    </row>
    <row r="6757" spans="24:44">
      <c r="X6757"/>
      <c r="Y6757"/>
      <c r="Z6757"/>
      <c r="AA6757"/>
      <c r="AC6757"/>
      <c r="AR6757"/>
    </row>
    <row r="6758" spans="24:44">
      <c r="X6758"/>
      <c r="Y6758"/>
      <c r="Z6758"/>
      <c r="AA6758"/>
      <c r="AC6758"/>
      <c r="AR6758"/>
    </row>
    <row r="6759" spans="24:44">
      <c r="X6759"/>
      <c r="Y6759"/>
      <c r="Z6759"/>
      <c r="AA6759"/>
      <c r="AC6759"/>
      <c r="AR6759"/>
    </row>
    <row r="6760" spans="24:44">
      <c r="X6760"/>
      <c r="Y6760"/>
      <c r="Z6760"/>
      <c r="AA6760"/>
      <c r="AC6760"/>
      <c r="AR6760"/>
    </row>
    <row r="6761" spans="24:44">
      <c r="X6761"/>
      <c r="Y6761"/>
      <c r="Z6761"/>
      <c r="AA6761"/>
      <c r="AC6761"/>
      <c r="AR6761"/>
    </row>
    <row r="6762" spans="24:44">
      <c r="X6762"/>
      <c r="Y6762"/>
      <c r="Z6762"/>
      <c r="AA6762"/>
      <c r="AC6762"/>
      <c r="AR6762"/>
    </row>
    <row r="6763" spans="24:44">
      <c r="X6763"/>
      <c r="Y6763"/>
      <c r="Z6763"/>
      <c r="AA6763"/>
      <c r="AC6763"/>
      <c r="AR6763"/>
    </row>
    <row r="6764" spans="24:44">
      <c r="X6764"/>
      <c r="Y6764"/>
      <c r="Z6764"/>
      <c r="AA6764"/>
      <c r="AC6764"/>
      <c r="AR6764"/>
    </row>
    <row r="6765" spans="24:44">
      <c r="X6765"/>
      <c r="Y6765"/>
      <c r="Z6765"/>
      <c r="AA6765"/>
      <c r="AC6765"/>
      <c r="AR6765"/>
    </row>
    <row r="6766" spans="24:44">
      <c r="X6766"/>
      <c r="Y6766"/>
      <c r="Z6766"/>
      <c r="AA6766"/>
      <c r="AC6766"/>
      <c r="AR6766"/>
    </row>
    <row r="6767" spans="24:44">
      <c r="X6767"/>
      <c r="Y6767"/>
      <c r="Z6767"/>
      <c r="AA6767"/>
      <c r="AC6767"/>
      <c r="AR6767"/>
    </row>
    <row r="6768" spans="24:44">
      <c r="X6768"/>
      <c r="Y6768"/>
      <c r="Z6768"/>
      <c r="AA6768"/>
      <c r="AC6768"/>
      <c r="AR6768"/>
    </row>
    <row r="6769" spans="24:44">
      <c r="X6769"/>
      <c r="Y6769"/>
      <c r="Z6769"/>
      <c r="AA6769"/>
      <c r="AC6769"/>
      <c r="AR6769"/>
    </row>
    <row r="6770" spans="24:44">
      <c r="X6770"/>
      <c r="Y6770"/>
      <c r="Z6770"/>
      <c r="AA6770"/>
      <c r="AC6770"/>
      <c r="AR6770"/>
    </row>
    <row r="6771" spans="24:44">
      <c r="X6771"/>
      <c r="Y6771"/>
      <c r="Z6771"/>
      <c r="AA6771"/>
      <c r="AC6771"/>
      <c r="AR6771"/>
    </row>
    <row r="6772" spans="24:44">
      <c r="X6772"/>
      <c r="Y6772"/>
      <c r="Z6772"/>
      <c r="AA6772"/>
      <c r="AC6772"/>
      <c r="AR6772"/>
    </row>
    <row r="6773" spans="24:44">
      <c r="X6773"/>
      <c r="Y6773"/>
      <c r="Z6773"/>
      <c r="AA6773"/>
      <c r="AC6773"/>
      <c r="AR6773"/>
    </row>
    <row r="6774" spans="24:44">
      <c r="X6774"/>
      <c r="Y6774"/>
      <c r="Z6774"/>
      <c r="AA6774"/>
      <c r="AC6774"/>
      <c r="AR6774"/>
    </row>
    <row r="6775" spans="24:44">
      <c r="X6775"/>
      <c r="Y6775"/>
      <c r="Z6775"/>
      <c r="AA6775"/>
      <c r="AC6775"/>
      <c r="AR6775"/>
    </row>
    <row r="6776" spans="24:44">
      <c r="X6776"/>
      <c r="Y6776"/>
      <c r="Z6776"/>
      <c r="AA6776"/>
      <c r="AC6776"/>
      <c r="AR6776"/>
    </row>
    <row r="6777" spans="24:44">
      <c r="X6777"/>
      <c r="Y6777"/>
      <c r="Z6777"/>
      <c r="AA6777"/>
      <c r="AC6777"/>
      <c r="AR6777"/>
    </row>
    <row r="6778" spans="24:44">
      <c r="X6778"/>
      <c r="Y6778"/>
      <c r="Z6778"/>
      <c r="AA6778"/>
      <c r="AC6778"/>
      <c r="AR6778"/>
    </row>
    <row r="6779" spans="24:44">
      <c r="X6779"/>
      <c r="Y6779"/>
      <c r="Z6779"/>
      <c r="AA6779"/>
      <c r="AC6779"/>
      <c r="AR6779"/>
    </row>
    <row r="6780" spans="24:44">
      <c r="X6780"/>
      <c r="Y6780"/>
      <c r="Z6780"/>
      <c r="AA6780"/>
      <c r="AC6780"/>
      <c r="AR6780"/>
    </row>
    <row r="6781" spans="24:44">
      <c r="X6781"/>
      <c r="Y6781"/>
      <c r="Z6781"/>
      <c r="AA6781"/>
      <c r="AC6781"/>
      <c r="AR6781"/>
    </row>
    <row r="6782" spans="24:44">
      <c r="X6782"/>
      <c r="Y6782"/>
      <c r="Z6782"/>
      <c r="AA6782"/>
      <c r="AC6782"/>
      <c r="AR6782"/>
    </row>
    <row r="6783" spans="24:44">
      <c r="X6783"/>
      <c r="Y6783"/>
      <c r="Z6783"/>
      <c r="AA6783"/>
      <c r="AC6783"/>
      <c r="AR6783"/>
    </row>
    <row r="6784" spans="24:44">
      <c r="X6784"/>
      <c r="Y6784"/>
      <c r="Z6784"/>
      <c r="AA6784"/>
      <c r="AC6784"/>
      <c r="AR6784"/>
    </row>
    <row r="6785" spans="24:44">
      <c r="X6785"/>
      <c r="Y6785"/>
      <c r="Z6785"/>
      <c r="AA6785"/>
      <c r="AC6785"/>
      <c r="AR6785"/>
    </row>
    <row r="6786" spans="24:44">
      <c r="X6786"/>
      <c r="Y6786"/>
      <c r="Z6786"/>
      <c r="AA6786"/>
      <c r="AC6786"/>
      <c r="AR6786"/>
    </row>
    <row r="6787" spans="24:44">
      <c r="X6787"/>
      <c r="Y6787"/>
      <c r="Z6787"/>
      <c r="AA6787"/>
      <c r="AC6787"/>
      <c r="AR6787"/>
    </row>
    <row r="6788" spans="24:44">
      <c r="X6788"/>
      <c r="Y6788"/>
      <c r="Z6788"/>
      <c r="AA6788"/>
      <c r="AC6788"/>
      <c r="AR6788"/>
    </row>
    <row r="6789" spans="24:44">
      <c r="X6789"/>
      <c r="Y6789"/>
      <c r="Z6789"/>
      <c r="AA6789"/>
      <c r="AC6789"/>
      <c r="AR6789"/>
    </row>
    <row r="6790" spans="24:44">
      <c r="X6790"/>
      <c r="Y6790"/>
      <c r="Z6790"/>
      <c r="AA6790"/>
      <c r="AC6790"/>
      <c r="AR6790"/>
    </row>
    <row r="6791" spans="24:44">
      <c r="X6791"/>
      <c r="Y6791"/>
      <c r="Z6791"/>
      <c r="AA6791"/>
      <c r="AC6791"/>
      <c r="AR6791"/>
    </row>
    <row r="6792" spans="24:44">
      <c r="X6792"/>
      <c r="Y6792"/>
      <c r="Z6792"/>
      <c r="AA6792"/>
      <c r="AC6792"/>
      <c r="AR6792"/>
    </row>
    <row r="6793" spans="24:44">
      <c r="X6793"/>
      <c r="Y6793"/>
      <c r="Z6793"/>
      <c r="AA6793"/>
      <c r="AC6793"/>
      <c r="AR6793"/>
    </row>
    <row r="6794" spans="24:44">
      <c r="X6794"/>
      <c r="Y6794"/>
      <c r="Z6794"/>
      <c r="AA6794"/>
      <c r="AC6794"/>
      <c r="AR6794"/>
    </row>
    <row r="6795" spans="24:44">
      <c r="X6795"/>
      <c r="Y6795"/>
      <c r="Z6795"/>
      <c r="AA6795"/>
      <c r="AC6795"/>
      <c r="AR6795"/>
    </row>
    <row r="6796" spans="24:44">
      <c r="X6796"/>
      <c r="Y6796"/>
      <c r="Z6796"/>
      <c r="AA6796"/>
      <c r="AC6796"/>
      <c r="AR6796"/>
    </row>
    <row r="6797" spans="24:44">
      <c r="X6797"/>
      <c r="Y6797"/>
      <c r="Z6797"/>
      <c r="AA6797"/>
      <c r="AC6797"/>
      <c r="AR6797"/>
    </row>
    <row r="6798" spans="24:44">
      <c r="X6798"/>
      <c r="Y6798"/>
      <c r="Z6798"/>
      <c r="AA6798"/>
      <c r="AC6798"/>
      <c r="AR6798"/>
    </row>
    <row r="6799" spans="24:44">
      <c r="X6799"/>
      <c r="Y6799"/>
      <c r="Z6799"/>
      <c r="AA6799"/>
      <c r="AC6799"/>
      <c r="AR6799"/>
    </row>
    <row r="6800" spans="24:44">
      <c r="X6800"/>
      <c r="Y6800"/>
      <c r="Z6800"/>
      <c r="AA6800"/>
      <c r="AC6800"/>
      <c r="AR6800"/>
    </row>
    <row r="6801" spans="24:44">
      <c r="X6801"/>
      <c r="Y6801"/>
      <c r="Z6801"/>
      <c r="AA6801"/>
      <c r="AC6801"/>
      <c r="AR6801"/>
    </row>
    <row r="6802" spans="24:44">
      <c r="X6802"/>
      <c r="Y6802"/>
      <c r="Z6802"/>
      <c r="AA6802"/>
      <c r="AC6802"/>
      <c r="AR6802"/>
    </row>
    <row r="6803" spans="24:44">
      <c r="X6803"/>
      <c r="Y6803"/>
      <c r="Z6803"/>
      <c r="AA6803"/>
      <c r="AC6803"/>
      <c r="AR6803"/>
    </row>
    <row r="6804" spans="24:44">
      <c r="X6804"/>
      <c r="Y6804"/>
      <c r="Z6804"/>
      <c r="AA6804"/>
      <c r="AC6804"/>
      <c r="AR6804"/>
    </row>
    <row r="6805" spans="24:44">
      <c r="X6805"/>
      <c r="Y6805"/>
      <c r="Z6805"/>
      <c r="AA6805"/>
      <c r="AC6805"/>
      <c r="AR6805"/>
    </row>
    <row r="6806" spans="24:44">
      <c r="X6806"/>
      <c r="Y6806"/>
      <c r="Z6806"/>
      <c r="AA6806"/>
      <c r="AC6806"/>
      <c r="AR6806"/>
    </row>
    <row r="6807" spans="24:44">
      <c r="X6807"/>
      <c r="Y6807"/>
      <c r="Z6807"/>
      <c r="AA6807"/>
      <c r="AC6807"/>
      <c r="AR6807"/>
    </row>
    <row r="6808" spans="24:44">
      <c r="X6808"/>
      <c r="Y6808"/>
      <c r="Z6808"/>
      <c r="AA6808"/>
      <c r="AC6808"/>
      <c r="AR6808"/>
    </row>
    <row r="6809" spans="24:44">
      <c r="X6809"/>
      <c r="Y6809"/>
      <c r="Z6809"/>
      <c r="AA6809"/>
      <c r="AC6809"/>
      <c r="AR6809"/>
    </row>
    <row r="6810" spans="24:44">
      <c r="X6810"/>
      <c r="Y6810"/>
      <c r="Z6810"/>
      <c r="AA6810"/>
      <c r="AC6810"/>
      <c r="AR6810"/>
    </row>
    <row r="6811" spans="24:44">
      <c r="X6811"/>
      <c r="Y6811"/>
      <c r="Z6811"/>
      <c r="AA6811"/>
      <c r="AC6811"/>
      <c r="AR6811"/>
    </row>
    <row r="6812" spans="24:44">
      <c r="X6812"/>
      <c r="Y6812"/>
      <c r="Z6812"/>
      <c r="AA6812"/>
      <c r="AC6812"/>
      <c r="AR6812"/>
    </row>
    <row r="6813" spans="24:44">
      <c r="X6813"/>
      <c r="Y6813"/>
      <c r="Z6813"/>
      <c r="AA6813"/>
      <c r="AC6813"/>
      <c r="AR6813"/>
    </row>
    <row r="6814" spans="24:44">
      <c r="X6814"/>
      <c r="Y6814"/>
      <c r="Z6814"/>
      <c r="AA6814"/>
      <c r="AC6814"/>
      <c r="AR6814"/>
    </row>
    <row r="6815" spans="24:44">
      <c r="X6815"/>
      <c r="Y6815"/>
      <c r="Z6815"/>
      <c r="AA6815"/>
      <c r="AC6815"/>
      <c r="AR6815"/>
    </row>
    <row r="6816" spans="24:44">
      <c r="X6816"/>
      <c r="Y6816"/>
      <c r="Z6816"/>
      <c r="AA6816"/>
      <c r="AC6816"/>
      <c r="AR6816"/>
    </row>
    <row r="6817" spans="24:44">
      <c r="X6817"/>
      <c r="Y6817"/>
      <c r="Z6817"/>
      <c r="AA6817"/>
      <c r="AC6817"/>
      <c r="AR6817"/>
    </row>
    <row r="6818" spans="24:44">
      <c r="X6818"/>
      <c r="Y6818"/>
      <c r="Z6818"/>
      <c r="AA6818"/>
      <c r="AC6818"/>
      <c r="AR6818"/>
    </row>
    <row r="6819" spans="24:44">
      <c r="X6819"/>
      <c r="Y6819"/>
      <c r="Z6819"/>
      <c r="AA6819"/>
      <c r="AC6819"/>
      <c r="AR6819"/>
    </row>
    <row r="6820" spans="24:44">
      <c r="X6820"/>
      <c r="Y6820"/>
      <c r="Z6820"/>
      <c r="AA6820"/>
      <c r="AC6820"/>
      <c r="AR6820"/>
    </row>
    <row r="6821" spans="24:44">
      <c r="X6821"/>
      <c r="Y6821"/>
      <c r="Z6821"/>
      <c r="AA6821"/>
      <c r="AC6821"/>
      <c r="AR6821"/>
    </row>
    <row r="6822" spans="24:44">
      <c r="X6822"/>
      <c r="Y6822"/>
      <c r="Z6822"/>
      <c r="AA6822"/>
      <c r="AC6822"/>
      <c r="AR6822"/>
    </row>
    <row r="6823" spans="24:44">
      <c r="X6823"/>
      <c r="Y6823"/>
      <c r="Z6823"/>
      <c r="AA6823"/>
      <c r="AC6823"/>
      <c r="AR6823"/>
    </row>
    <row r="6824" spans="24:44">
      <c r="X6824"/>
      <c r="Y6824"/>
      <c r="Z6824"/>
      <c r="AA6824"/>
      <c r="AC6824"/>
      <c r="AR6824"/>
    </row>
    <row r="6825" spans="24:44">
      <c r="X6825"/>
      <c r="Y6825"/>
      <c r="Z6825"/>
      <c r="AA6825"/>
      <c r="AC6825"/>
      <c r="AR6825"/>
    </row>
    <row r="6826" spans="24:44">
      <c r="X6826"/>
      <c r="Y6826"/>
      <c r="Z6826"/>
      <c r="AA6826"/>
      <c r="AC6826"/>
      <c r="AR6826"/>
    </row>
    <row r="6827" spans="24:44">
      <c r="X6827"/>
      <c r="Y6827"/>
      <c r="Z6827"/>
      <c r="AA6827"/>
      <c r="AC6827"/>
      <c r="AR6827"/>
    </row>
    <row r="6828" spans="24:44">
      <c r="X6828"/>
      <c r="Y6828"/>
      <c r="Z6828"/>
      <c r="AA6828"/>
      <c r="AC6828"/>
      <c r="AR6828"/>
    </row>
    <row r="6829" spans="24:44">
      <c r="X6829"/>
      <c r="Y6829"/>
      <c r="Z6829"/>
      <c r="AA6829"/>
      <c r="AC6829"/>
      <c r="AR6829"/>
    </row>
    <row r="6830" spans="24:44">
      <c r="X6830"/>
      <c r="Y6830"/>
      <c r="Z6830"/>
      <c r="AA6830"/>
      <c r="AC6830"/>
      <c r="AR6830"/>
    </row>
    <row r="6831" spans="24:44">
      <c r="X6831"/>
      <c r="Y6831"/>
      <c r="Z6831"/>
      <c r="AA6831"/>
      <c r="AC6831"/>
      <c r="AR6831"/>
    </row>
    <row r="6832" spans="24:44">
      <c r="X6832"/>
      <c r="Y6832"/>
      <c r="Z6832"/>
      <c r="AA6832"/>
      <c r="AC6832"/>
      <c r="AR6832"/>
    </row>
    <row r="6833" spans="24:44">
      <c r="X6833"/>
      <c r="Y6833"/>
      <c r="Z6833"/>
      <c r="AA6833"/>
      <c r="AC6833"/>
      <c r="AR6833"/>
    </row>
    <row r="6834" spans="24:44">
      <c r="X6834"/>
      <c r="Y6834"/>
      <c r="Z6834"/>
      <c r="AA6834"/>
      <c r="AC6834"/>
      <c r="AR6834"/>
    </row>
    <row r="6835" spans="24:44">
      <c r="X6835"/>
      <c r="Y6835"/>
      <c r="Z6835"/>
      <c r="AA6835"/>
      <c r="AC6835"/>
      <c r="AR6835"/>
    </row>
    <row r="6836" spans="24:44">
      <c r="X6836"/>
      <c r="Y6836"/>
      <c r="Z6836"/>
      <c r="AA6836"/>
      <c r="AC6836"/>
      <c r="AR6836"/>
    </row>
    <row r="6837" spans="24:44">
      <c r="X6837"/>
      <c r="Y6837"/>
      <c r="Z6837"/>
      <c r="AA6837"/>
      <c r="AC6837"/>
      <c r="AR6837"/>
    </row>
    <row r="6838" spans="24:44">
      <c r="X6838"/>
      <c r="Y6838"/>
      <c r="Z6838"/>
      <c r="AA6838"/>
      <c r="AC6838"/>
      <c r="AR6838"/>
    </row>
    <row r="6839" spans="24:44">
      <c r="X6839"/>
      <c r="Y6839"/>
      <c r="Z6839"/>
      <c r="AA6839"/>
      <c r="AC6839"/>
      <c r="AR6839"/>
    </row>
    <row r="6840" spans="24:44">
      <c r="X6840"/>
      <c r="Y6840"/>
      <c r="Z6840"/>
      <c r="AA6840"/>
      <c r="AC6840"/>
      <c r="AR6840"/>
    </row>
    <row r="6841" spans="24:44">
      <c r="X6841"/>
      <c r="Y6841"/>
      <c r="Z6841"/>
      <c r="AA6841"/>
      <c r="AC6841"/>
      <c r="AR6841"/>
    </row>
    <row r="6842" spans="24:44">
      <c r="X6842"/>
      <c r="Y6842"/>
      <c r="Z6842"/>
      <c r="AA6842"/>
      <c r="AC6842"/>
      <c r="AR6842"/>
    </row>
    <row r="6843" spans="24:44">
      <c r="X6843"/>
      <c r="Y6843"/>
      <c r="Z6843"/>
      <c r="AA6843"/>
      <c r="AC6843"/>
      <c r="AR6843"/>
    </row>
    <row r="6844" spans="24:44">
      <c r="X6844"/>
      <c r="Y6844"/>
      <c r="Z6844"/>
      <c r="AA6844"/>
      <c r="AC6844"/>
      <c r="AR6844"/>
    </row>
    <row r="6845" spans="24:44">
      <c r="X6845"/>
      <c r="Y6845"/>
      <c r="Z6845"/>
      <c r="AA6845"/>
      <c r="AC6845"/>
      <c r="AR6845"/>
    </row>
    <row r="6846" spans="24:44">
      <c r="X6846"/>
      <c r="Y6846"/>
      <c r="Z6846"/>
      <c r="AA6846"/>
      <c r="AC6846"/>
      <c r="AR6846"/>
    </row>
    <row r="6847" spans="24:44">
      <c r="X6847"/>
      <c r="Y6847"/>
      <c r="Z6847"/>
      <c r="AA6847"/>
      <c r="AC6847"/>
      <c r="AR6847"/>
    </row>
    <row r="6848" spans="24:44">
      <c r="X6848"/>
      <c r="Y6848"/>
      <c r="Z6848"/>
      <c r="AA6848"/>
      <c r="AC6848"/>
      <c r="AR6848"/>
    </row>
    <row r="6849" spans="24:44">
      <c r="X6849"/>
      <c r="Y6849"/>
      <c r="Z6849"/>
      <c r="AA6849"/>
      <c r="AC6849"/>
      <c r="AR6849"/>
    </row>
    <row r="6850" spans="24:44">
      <c r="X6850"/>
      <c r="Y6850"/>
      <c r="Z6850"/>
      <c r="AA6850"/>
      <c r="AC6850"/>
      <c r="AR6850"/>
    </row>
    <row r="6851" spans="24:44">
      <c r="X6851"/>
      <c r="Y6851"/>
      <c r="Z6851"/>
      <c r="AA6851"/>
      <c r="AC6851"/>
      <c r="AR6851"/>
    </row>
    <row r="6852" spans="24:44">
      <c r="X6852"/>
      <c r="Y6852"/>
      <c r="Z6852"/>
      <c r="AA6852"/>
      <c r="AC6852"/>
      <c r="AR6852"/>
    </row>
    <row r="6853" spans="24:44">
      <c r="X6853"/>
      <c r="Y6853"/>
      <c r="Z6853"/>
      <c r="AA6853"/>
      <c r="AC6853"/>
      <c r="AR6853"/>
    </row>
    <row r="6854" spans="24:44">
      <c r="X6854"/>
      <c r="Y6854"/>
      <c r="Z6854"/>
      <c r="AA6854"/>
      <c r="AC6854"/>
      <c r="AR6854"/>
    </row>
    <row r="6855" spans="24:44">
      <c r="X6855"/>
      <c r="Y6855"/>
      <c r="Z6855"/>
      <c r="AA6855"/>
      <c r="AC6855"/>
      <c r="AR6855"/>
    </row>
    <row r="6856" spans="24:44">
      <c r="X6856"/>
      <c r="Y6856"/>
      <c r="Z6856"/>
      <c r="AA6856"/>
      <c r="AC6856"/>
      <c r="AR6856"/>
    </row>
    <row r="6857" spans="24:44">
      <c r="X6857"/>
      <c r="Y6857"/>
      <c r="Z6857"/>
      <c r="AA6857"/>
      <c r="AC6857"/>
      <c r="AR6857"/>
    </row>
    <row r="6858" spans="24:44">
      <c r="X6858"/>
      <c r="Y6858"/>
      <c r="Z6858"/>
      <c r="AA6858"/>
      <c r="AC6858"/>
      <c r="AR6858"/>
    </row>
    <row r="6859" spans="24:44">
      <c r="X6859"/>
      <c r="Y6859"/>
      <c r="Z6859"/>
      <c r="AA6859"/>
      <c r="AC6859"/>
      <c r="AR6859"/>
    </row>
    <row r="6860" spans="24:44">
      <c r="X6860"/>
      <c r="Y6860"/>
      <c r="Z6860"/>
      <c r="AA6860"/>
      <c r="AC6860"/>
      <c r="AR6860"/>
    </row>
    <row r="6861" spans="24:44">
      <c r="X6861"/>
      <c r="Y6861"/>
      <c r="Z6861"/>
      <c r="AA6861"/>
      <c r="AC6861"/>
      <c r="AR6861"/>
    </row>
    <row r="6862" spans="24:44">
      <c r="X6862"/>
      <c r="Y6862"/>
      <c r="Z6862"/>
      <c r="AA6862"/>
      <c r="AC6862"/>
      <c r="AR6862"/>
    </row>
    <row r="6863" spans="24:44">
      <c r="X6863"/>
      <c r="Y6863"/>
      <c r="Z6863"/>
      <c r="AA6863"/>
      <c r="AC6863"/>
      <c r="AR6863"/>
    </row>
    <row r="6864" spans="24:44">
      <c r="X6864"/>
      <c r="Y6864"/>
      <c r="Z6864"/>
      <c r="AA6864"/>
      <c r="AC6864"/>
      <c r="AR6864"/>
    </row>
    <row r="6865" spans="24:44">
      <c r="X6865"/>
      <c r="Y6865"/>
      <c r="Z6865"/>
      <c r="AA6865"/>
      <c r="AC6865"/>
      <c r="AR6865"/>
    </row>
    <row r="6866" spans="24:44">
      <c r="X6866"/>
      <c r="Y6866"/>
      <c r="Z6866"/>
      <c r="AA6866"/>
      <c r="AC6866"/>
      <c r="AR6866"/>
    </row>
    <row r="6867" spans="24:44">
      <c r="X6867"/>
      <c r="Y6867"/>
      <c r="Z6867"/>
      <c r="AA6867"/>
      <c r="AC6867"/>
      <c r="AR6867"/>
    </row>
    <row r="6868" spans="24:44">
      <c r="X6868"/>
      <c r="Y6868"/>
      <c r="Z6868"/>
      <c r="AA6868"/>
      <c r="AC6868"/>
      <c r="AR6868"/>
    </row>
    <row r="6869" spans="24:44">
      <c r="X6869"/>
      <c r="Y6869"/>
      <c r="Z6869"/>
      <c r="AA6869"/>
      <c r="AC6869"/>
      <c r="AR6869"/>
    </row>
    <row r="6870" spans="24:44">
      <c r="X6870"/>
      <c r="Y6870"/>
      <c r="Z6870"/>
      <c r="AA6870"/>
      <c r="AC6870"/>
      <c r="AR6870"/>
    </row>
    <row r="6871" spans="24:44">
      <c r="X6871"/>
      <c r="Y6871"/>
      <c r="Z6871"/>
      <c r="AA6871"/>
      <c r="AC6871"/>
      <c r="AR6871"/>
    </row>
    <row r="6872" spans="24:44">
      <c r="X6872"/>
      <c r="Y6872"/>
      <c r="Z6872"/>
      <c r="AA6872"/>
      <c r="AC6872"/>
      <c r="AR6872"/>
    </row>
    <row r="6873" spans="24:44">
      <c r="X6873"/>
      <c r="Y6873"/>
      <c r="Z6873"/>
      <c r="AA6873"/>
      <c r="AC6873"/>
      <c r="AR6873"/>
    </row>
    <row r="6874" spans="24:44">
      <c r="X6874"/>
      <c r="Y6874"/>
      <c r="Z6874"/>
      <c r="AA6874"/>
      <c r="AC6874"/>
      <c r="AR6874"/>
    </row>
    <row r="6875" spans="24:44">
      <c r="X6875"/>
      <c r="Y6875"/>
      <c r="Z6875"/>
      <c r="AA6875"/>
      <c r="AC6875"/>
      <c r="AR6875"/>
    </row>
    <row r="6876" spans="24:44">
      <c r="X6876"/>
      <c r="Y6876"/>
      <c r="Z6876"/>
      <c r="AA6876"/>
      <c r="AC6876"/>
      <c r="AR6876"/>
    </row>
    <row r="6877" spans="24:44">
      <c r="X6877"/>
      <c r="Y6877"/>
      <c r="Z6877"/>
      <c r="AA6877"/>
      <c r="AC6877"/>
      <c r="AR6877"/>
    </row>
    <row r="6878" spans="24:44">
      <c r="X6878"/>
      <c r="Y6878"/>
      <c r="Z6878"/>
      <c r="AA6878"/>
      <c r="AC6878"/>
      <c r="AR6878"/>
    </row>
    <row r="6879" spans="24:44">
      <c r="X6879"/>
      <c r="Y6879"/>
      <c r="Z6879"/>
      <c r="AA6879"/>
      <c r="AC6879"/>
      <c r="AR6879"/>
    </row>
    <row r="6880" spans="24:44">
      <c r="X6880"/>
      <c r="Y6880"/>
      <c r="Z6880"/>
      <c r="AA6880"/>
      <c r="AC6880"/>
      <c r="AR6880"/>
    </row>
    <row r="6881" spans="24:44">
      <c r="X6881"/>
      <c r="Y6881"/>
      <c r="Z6881"/>
      <c r="AA6881"/>
      <c r="AC6881"/>
      <c r="AR6881"/>
    </row>
    <row r="6882" spans="24:44">
      <c r="X6882"/>
      <c r="Y6882"/>
      <c r="Z6882"/>
      <c r="AA6882"/>
      <c r="AC6882"/>
      <c r="AR6882"/>
    </row>
    <row r="6883" spans="24:44">
      <c r="X6883"/>
      <c r="Y6883"/>
      <c r="Z6883"/>
      <c r="AA6883"/>
      <c r="AC6883"/>
      <c r="AR6883"/>
    </row>
    <row r="6884" spans="24:44">
      <c r="X6884"/>
      <c r="Y6884"/>
      <c r="Z6884"/>
      <c r="AA6884"/>
      <c r="AC6884"/>
      <c r="AR6884"/>
    </row>
    <row r="6885" spans="24:44">
      <c r="X6885"/>
      <c r="Y6885"/>
      <c r="Z6885"/>
      <c r="AA6885"/>
      <c r="AC6885"/>
      <c r="AR6885"/>
    </row>
    <row r="6886" spans="24:44">
      <c r="X6886"/>
      <c r="Y6886"/>
      <c r="Z6886"/>
      <c r="AA6886"/>
      <c r="AC6886"/>
      <c r="AR6886"/>
    </row>
    <row r="6887" spans="24:44">
      <c r="X6887"/>
      <c r="Y6887"/>
      <c r="Z6887"/>
      <c r="AA6887"/>
      <c r="AC6887"/>
      <c r="AR6887"/>
    </row>
    <row r="6888" spans="24:44">
      <c r="X6888"/>
      <c r="Y6888"/>
      <c r="Z6888"/>
      <c r="AA6888"/>
      <c r="AC6888"/>
      <c r="AR6888"/>
    </row>
    <row r="6889" spans="24:44">
      <c r="X6889"/>
      <c r="Y6889"/>
      <c r="Z6889"/>
      <c r="AA6889"/>
      <c r="AC6889"/>
      <c r="AR6889"/>
    </row>
    <row r="6890" spans="24:44">
      <c r="X6890"/>
      <c r="Y6890"/>
      <c r="Z6890"/>
      <c r="AA6890"/>
      <c r="AC6890"/>
      <c r="AR6890"/>
    </row>
    <row r="6891" spans="24:44">
      <c r="X6891"/>
      <c r="Y6891"/>
      <c r="Z6891"/>
      <c r="AA6891"/>
      <c r="AC6891"/>
      <c r="AR6891"/>
    </row>
    <row r="6892" spans="24:44">
      <c r="X6892"/>
      <c r="Y6892"/>
      <c r="Z6892"/>
      <c r="AA6892"/>
      <c r="AC6892"/>
      <c r="AR6892"/>
    </row>
    <row r="6893" spans="24:44">
      <c r="X6893"/>
      <c r="Y6893"/>
      <c r="Z6893"/>
      <c r="AA6893"/>
      <c r="AC6893"/>
      <c r="AR6893"/>
    </row>
    <row r="6894" spans="24:44">
      <c r="X6894"/>
      <c r="Y6894"/>
      <c r="Z6894"/>
      <c r="AA6894"/>
      <c r="AC6894"/>
      <c r="AR6894"/>
    </row>
    <row r="6895" spans="24:44">
      <c r="X6895"/>
      <c r="Y6895"/>
      <c r="Z6895"/>
      <c r="AA6895"/>
      <c r="AC6895"/>
      <c r="AR6895"/>
    </row>
    <row r="6896" spans="24:44">
      <c r="X6896"/>
      <c r="Y6896"/>
      <c r="Z6896"/>
      <c r="AA6896"/>
      <c r="AC6896"/>
      <c r="AR6896"/>
    </row>
    <row r="6897" spans="24:44">
      <c r="X6897"/>
      <c r="Y6897"/>
      <c r="Z6897"/>
      <c r="AA6897"/>
      <c r="AC6897"/>
      <c r="AR6897"/>
    </row>
    <row r="6898" spans="24:44">
      <c r="X6898"/>
      <c r="Y6898"/>
      <c r="Z6898"/>
      <c r="AA6898"/>
      <c r="AC6898"/>
      <c r="AR6898"/>
    </row>
    <row r="6899" spans="24:44">
      <c r="X6899"/>
      <c r="Y6899"/>
      <c r="Z6899"/>
      <c r="AA6899"/>
      <c r="AC6899"/>
      <c r="AR6899"/>
    </row>
    <row r="6900" spans="24:44">
      <c r="X6900"/>
      <c r="Y6900"/>
      <c r="Z6900"/>
      <c r="AA6900"/>
      <c r="AC6900"/>
      <c r="AR6900"/>
    </row>
    <row r="6901" spans="24:44">
      <c r="X6901"/>
      <c r="Y6901"/>
      <c r="Z6901"/>
      <c r="AA6901"/>
      <c r="AC6901"/>
      <c r="AR6901"/>
    </row>
    <row r="6902" spans="24:44">
      <c r="X6902"/>
      <c r="Y6902"/>
      <c r="Z6902"/>
      <c r="AA6902"/>
      <c r="AC6902"/>
      <c r="AR6902"/>
    </row>
    <row r="6903" spans="24:44">
      <c r="X6903"/>
      <c r="Y6903"/>
      <c r="Z6903"/>
      <c r="AA6903"/>
      <c r="AC6903"/>
      <c r="AR6903"/>
    </row>
    <row r="6904" spans="24:44">
      <c r="X6904"/>
      <c r="Y6904"/>
      <c r="Z6904"/>
      <c r="AA6904"/>
      <c r="AC6904"/>
      <c r="AR6904"/>
    </row>
    <row r="6905" spans="24:44">
      <c r="X6905"/>
      <c r="Y6905"/>
      <c r="Z6905"/>
      <c r="AA6905"/>
      <c r="AC6905"/>
      <c r="AR6905"/>
    </row>
    <row r="6906" spans="24:44">
      <c r="X6906"/>
      <c r="Y6906"/>
      <c r="Z6906"/>
      <c r="AA6906"/>
      <c r="AC6906"/>
      <c r="AR6906"/>
    </row>
    <row r="6907" spans="24:44">
      <c r="X6907"/>
      <c r="Y6907"/>
      <c r="Z6907"/>
      <c r="AA6907"/>
      <c r="AC6907"/>
      <c r="AR6907"/>
    </row>
    <row r="6908" spans="24:44">
      <c r="X6908"/>
      <c r="Y6908"/>
      <c r="Z6908"/>
      <c r="AA6908"/>
      <c r="AC6908"/>
      <c r="AR6908"/>
    </row>
    <row r="6909" spans="24:44">
      <c r="X6909"/>
      <c r="Y6909"/>
      <c r="Z6909"/>
      <c r="AA6909"/>
      <c r="AC6909"/>
      <c r="AR6909"/>
    </row>
    <row r="6910" spans="24:44">
      <c r="X6910"/>
      <c r="Y6910"/>
      <c r="Z6910"/>
      <c r="AA6910"/>
      <c r="AC6910"/>
      <c r="AR6910"/>
    </row>
    <row r="6911" spans="24:44">
      <c r="X6911"/>
      <c r="Y6911"/>
      <c r="Z6911"/>
      <c r="AA6911"/>
      <c r="AC6911"/>
      <c r="AR6911"/>
    </row>
    <row r="6912" spans="24:44">
      <c r="X6912"/>
      <c r="Y6912"/>
      <c r="Z6912"/>
      <c r="AA6912"/>
      <c r="AC6912"/>
      <c r="AR6912"/>
    </row>
    <row r="6913" spans="24:44">
      <c r="X6913"/>
      <c r="Y6913"/>
      <c r="Z6913"/>
      <c r="AA6913"/>
      <c r="AC6913"/>
      <c r="AR6913"/>
    </row>
    <row r="6914" spans="24:44">
      <c r="X6914"/>
      <c r="Y6914"/>
      <c r="Z6914"/>
      <c r="AA6914"/>
      <c r="AC6914"/>
      <c r="AR6914"/>
    </row>
    <row r="6915" spans="24:44">
      <c r="X6915"/>
      <c r="Y6915"/>
      <c r="Z6915"/>
      <c r="AA6915"/>
      <c r="AC6915"/>
      <c r="AR6915"/>
    </row>
    <row r="6916" spans="24:44">
      <c r="X6916"/>
      <c r="Y6916"/>
      <c r="Z6916"/>
      <c r="AA6916"/>
      <c r="AC6916"/>
      <c r="AR6916"/>
    </row>
    <row r="6917" spans="24:44">
      <c r="X6917"/>
      <c r="Y6917"/>
      <c r="Z6917"/>
      <c r="AA6917"/>
      <c r="AC6917"/>
      <c r="AR6917"/>
    </row>
    <row r="6918" spans="24:44">
      <c r="X6918"/>
      <c r="Y6918"/>
      <c r="Z6918"/>
      <c r="AA6918"/>
      <c r="AC6918"/>
      <c r="AR6918"/>
    </row>
    <row r="6919" spans="24:44">
      <c r="X6919"/>
      <c r="Y6919"/>
      <c r="Z6919"/>
      <c r="AA6919"/>
      <c r="AC6919"/>
      <c r="AR6919"/>
    </row>
    <row r="6920" spans="24:44">
      <c r="X6920"/>
      <c r="Y6920"/>
      <c r="Z6920"/>
      <c r="AA6920"/>
      <c r="AC6920"/>
      <c r="AR6920"/>
    </row>
    <row r="6921" spans="24:44">
      <c r="X6921"/>
      <c r="Y6921"/>
      <c r="Z6921"/>
      <c r="AA6921"/>
      <c r="AC6921"/>
      <c r="AR6921"/>
    </row>
    <row r="6922" spans="24:44">
      <c r="X6922"/>
      <c r="Y6922"/>
      <c r="Z6922"/>
      <c r="AA6922"/>
      <c r="AC6922"/>
      <c r="AR6922"/>
    </row>
    <row r="6923" spans="24:44">
      <c r="X6923"/>
      <c r="Y6923"/>
      <c r="Z6923"/>
      <c r="AA6923"/>
      <c r="AC6923"/>
      <c r="AR6923"/>
    </row>
    <row r="6924" spans="24:44">
      <c r="X6924"/>
      <c r="Y6924"/>
      <c r="Z6924"/>
      <c r="AA6924"/>
      <c r="AC6924"/>
      <c r="AR6924"/>
    </row>
    <row r="6925" spans="24:44">
      <c r="X6925"/>
      <c r="Y6925"/>
      <c r="Z6925"/>
      <c r="AA6925"/>
      <c r="AC6925"/>
      <c r="AR6925"/>
    </row>
    <row r="6926" spans="24:44">
      <c r="X6926"/>
      <c r="Y6926"/>
      <c r="Z6926"/>
      <c r="AA6926"/>
      <c r="AC6926"/>
      <c r="AR6926"/>
    </row>
    <row r="6927" spans="24:44">
      <c r="X6927"/>
      <c r="Y6927"/>
      <c r="Z6927"/>
      <c r="AA6927"/>
      <c r="AC6927"/>
      <c r="AR6927"/>
    </row>
    <row r="6928" spans="24:44">
      <c r="X6928"/>
      <c r="Y6928"/>
      <c r="Z6928"/>
      <c r="AA6928"/>
      <c r="AC6928"/>
      <c r="AR6928"/>
    </row>
    <row r="6929" spans="24:44">
      <c r="X6929"/>
      <c r="Y6929"/>
      <c r="Z6929"/>
      <c r="AA6929"/>
      <c r="AC6929"/>
      <c r="AR6929"/>
    </row>
    <row r="6930" spans="24:44">
      <c r="X6930"/>
      <c r="Y6930"/>
      <c r="Z6930"/>
      <c r="AA6930"/>
      <c r="AC6930"/>
      <c r="AR6930"/>
    </row>
    <row r="6931" spans="24:44">
      <c r="X6931"/>
      <c r="Y6931"/>
      <c r="Z6931"/>
      <c r="AA6931"/>
      <c r="AC6931"/>
      <c r="AR6931"/>
    </row>
    <row r="6932" spans="24:44">
      <c r="X6932"/>
      <c r="Y6932"/>
      <c r="Z6932"/>
      <c r="AA6932"/>
      <c r="AC6932"/>
      <c r="AR6932"/>
    </row>
    <row r="6933" spans="24:44">
      <c r="X6933"/>
      <c r="Y6933"/>
      <c r="Z6933"/>
      <c r="AA6933"/>
      <c r="AC6933"/>
      <c r="AR6933"/>
    </row>
    <row r="6934" spans="24:44">
      <c r="X6934"/>
      <c r="Y6934"/>
      <c r="Z6934"/>
      <c r="AA6934"/>
      <c r="AC6934"/>
      <c r="AR6934"/>
    </row>
    <row r="6935" spans="24:44">
      <c r="X6935"/>
      <c r="Y6935"/>
      <c r="Z6935"/>
      <c r="AA6935"/>
      <c r="AC6935"/>
      <c r="AR6935"/>
    </row>
    <row r="6936" spans="24:44">
      <c r="X6936"/>
      <c r="Y6936"/>
      <c r="Z6936"/>
      <c r="AA6936"/>
      <c r="AC6936"/>
      <c r="AR6936"/>
    </row>
    <row r="6937" spans="24:44">
      <c r="X6937"/>
      <c r="Y6937"/>
      <c r="Z6937"/>
      <c r="AA6937"/>
      <c r="AC6937"/>
      <c r="AR6937"/>
    </row>
    <row r="6938" spans="24:44">
      <c r="X6938"/>
      <c r="Y6938"/>
      <c r="Z6938"/>
      <c r="AA6938"/>
      <c r="AC6938"/>
      <c r="AR6938"/>
    </row>
    <row r="6939" spans="24:44">
      <c r="X6939"/>
      <c r="Y6939"/>
      <c r="Z6939"/>
      <c r="AA6939"/>
      <c r="AC6939"/>
      <c r="AR6939"/>
    </row>
    <row r="6940" spans="24:44">
      <c r="X6940"/>
      <c r="Y6940"/>
      <c r="Z6940"/>
      <c r="AA6940"/>
      <c r="AC6940"/>
      <c r="AR6940"/>
    </row>
    <row r="6941" spans="24:44">
      <c r="X6941"/>
      <c r="Y6941"/>
      <c r="Z6941"/>
      <c r="AA6941"/>
      <c r="AC6941"/>
      <c r="AR6941"/>
    </row>
    <row r="6942" spans="24:44">
      <c r="X6942"/>
      <c r="Y6942"/>
      <c r="Z6942"/>
      <c r="AA6942"/>
      <c r="AC6942"/>
      <c r="AR6942"/>
    </row>
    <row r="6943" spans="24:44">
      <c r="X6943"/>
      <c r="Y6943"/>
      <c r="Z6943"/>
      <c r="AA6943"/>
      <c r="AC6943"/>
      <c r="AR6943"/>
    </row>
    <row r="6944" spans="24:44">
      <c r="X6944"/>
      <c r="Y6944"/>
      <c r="Z6944"/>
      <c r="AA6944"/>
      <c r="AC6944"/>
      <c r="AR6944"/>
    </row>
    <row r="6945" spans="24:44">
      <c r="X6945"/>
      <c r="Y6945"/>
      <c r="Z6945"/>
      <c r="AA6945"/>
      <c r="AC6945"/>
      <c r="AR6945"/>
    </row>
    <row r="6946" spans="24:44">
      <c r="X6946"/>
      <c r="Y6946"/>
      <c r="Z6946"/>
      <c r="AA6946"/>
      <c r="AC6946"/>
      <c r="AR6946"/>
    </row>
    <row r="6947" spans="24:44">
      <c r="X6947"/>
      <c r="Y6947"/>
      <c r="Z6947"/>
      <c r="AA6947"/>
      <c r="AC6947"/>
      <c r="AR6947"/>
    </row>
    <row r="6948" spans="24:44">
      <c r="X6948"/>
      <c r="Y6948"/>
      <c r="Z6948"/>
      <c r="AA6948"/>
      <c r="AC6948"/>
      <c r="AR6948"/>
    </row>
    <row r="6949" spans="24:44">
      <c r="X6949"/>
      <c r="Y6949"/>
      <c r="Z6949"/>
      <c r="AA6949"/>
      <c r="AC6949"/>
      <c r="AR6949"/>
    </row>
    <row r="6950" spans="24:44">
      <c r="X6950"/>
      <c r="Y6950"/>
      <c r="Z6950"/>
      <c r="AA6950"/>
      <c r="AC6950"/>
      <c r="AR6950"/>
    </row>
    <row r="6951" spans="24:44">
      <c r="X6951"/>
      <c r="Y6951"/>
      <c r="Z6951"/>
      <c r="AA6951"/>
      <c r="AC6951"/>
      <c r="AR6951"/>
    </row>
    <row r="6952" spans="24:44">
      <c r="X6952"/>
      <c r="Y6952"/>
      <c r="Z6952"/>
      <c r="AA6952"/>
      <c r="AC6952"/>
      <c r="AR6952"/>
    </row>
    <row r="6953" spans="24:44">
      <c r="X6953"/>
      <c r="Y6953"/>
      <c r="Z6953"/>
      <c r="AA6953"/>
      <c r="AC6953"/>
      <c r="AR6953"/>
    </row>
    <row r="6954" spans="24:44">
      <c r="X6954"/>
      <c r="Y6954"/>
      <c r="Z6954"/>
      <c r="AA6954"/>
      <c r="AC6954"/>
      <c r="AR6954"/>
    </row>
    <row r="6955" spans="24:44">
      <c r="X6955"/>
      <c r="Y6955"/>
      <c r="Z6955"/>
      <c r="AA6955"/>
      <c r="AC6955"/>
      <c r="AR6955"/>
    </row>
    <row r="6956" spans="24:44">
      <c r="X6956"/>
      <c r="Y6956"/>
      <c r="Z6956"/>
      <c r="AA6956"/>
      <c r="AC6956"/>
      <c r="AR6956"/>
    </row>
    <row r="6957" spans="24:44">
      <c r="X6957"/>
      <c r="Y6957"/>
      <c r="Z6957"/>
      <c r="AA6957"/>
      <c r="AC6957"/>
      <c r="AR6957"/>
    </row>
    <row r="6958" spans="24:44">
      <c r="X6958"/>
      <c r="Y6958"/>
      <c r="Z6958"/>
      <c r="AA6958"/>
      <c r="AC6958"/>
      <c r="AR6958"/>
    </row>
    <row r="6959" spans="24:44">
      <c r="X6959"/>
      <c r="Y6959"/>
      <c r="Z6959"/>
      <c r="AA6959"/>
      <c r="AC6959"/>
      <c r="AR6959"/>
    </row>
    <row r="6960" spans="24:44">
      <c r="X6960"/>
      <c r="Y6960"/>
      <c r="Z6960"/>
      <c r="AA6960"/>
      <c r="AC6960"/>
      <c r="AR6960"/>
    </row>
    <row r="6961" spans="24:44">
      <c r="X6961"/>
      <c r="Y6961"/>
      <c r="Z6961"/>
      <c r="AA6961"/>
      <c r="AC6961"/>
      <c r="AR6961"/>
    </row>
    <row r="6962" spans="24:44">
      <c r="X6962"/>
      <c r="Y6962"/>
      <c r="Z6962"/>
      <c r="AA6962"/>
      <c r="AC6962"/>
      <c r="AR6962"/>
    </row>
    <row r="6963" spans="24:44">
      <c r="X6963"/>
      <c r="Y6963"/>
      <c r="Z6963"/>
      <c r="AA6963"/>
      <c r="AC6963"/>
      <c r="AR6963"/>
    </row>
    <row r="6964" spans="24:44">
      <c r="X6964"/>
      <c r="Y6964"/>
      <c r="Z6964"/>
      <c r="AA6964"/>
      <c r="AC6964"/>
      <c r="AR6964"/>
    </row>
    <row r="6965" spans="24:44">
      <c r="X6965"/>
      <c r="Y6965"/>
      <c r="Z6965"/>
      <c r="AA6965"/>
      <c r="AC6965"/>
      <c r="AR6965"/>
    </row>
    <row r="6966" spans="24:44">
      <c r="X6966"/>
      <c r="Y6966"/>
      <c r="Z6966"/>
      <c r="AA6966"/>
      <c r="AC6966"/>
      <c r="AR6966"/>
    </row>
    <row r="6967" spans="24:44">
      <c r="X6967"/>
      <c r="Y6967"/>
      <c r="Z6967"/>
      <c r="AA6967"/>
      <c r="AC6967"/>
      <c r="AR6967"/>
    </row>
    <row r="6968" spans="24:44">
      <c r="X6968"/>
      <c r="Y6968"/>
      <c r="Z6968"/>
      <c r="AA6968"/>
      <c r="AC6968"/>
      <c r="AR6968"/>
    </row>
    <row r="6969" spans="24:44">
      <c r="X6969"/>
      <c r="Y6969"/>
      <c r="Z6969"/>
      <c r="AA6969"/>
      <c r="AC6969"/>
      <c r="AR6969"/>
    </row>
    <row r="6970" spans="24:44">
      <c r="X6970"/>
      <c r="Y6970"/>
      <c r="Z6970"/>
      <c r="AA6970"/>
      <c r="AC6970"/>
      <c r="AR6970"/>
    </row>
    <row r="6971" spans="24:44">
      <c r="X6971"/>
      <c r="Y6971"/>
      <c r="Z6971"/>
      <c r="AA6971"/>
      <c r="AC6971"/>
      <c r="AR6971"/>
    </row>
    <row r="6972" spans="24:44">
      <c r="X6972"/>
      <c r="Y6972"/>
      <c r="Z6972"/>
      <c r="AA6972"/>
      <c r="AC6972"/>
      <c r="AR6972"/>
    </row>
    <row r="6973" spans="24:44">
      <c r="X6973"/>
      <c r="Y6973"/>
      <c r="Z6973"/>
      <c r="AA6973"/>
      <c r="AC6973"/>
      <c r="AR6973"/>
    </row>
    <row r="6974" spans="24:44">
      <c r="X6974"/>
      <c r="Y6974"/>
      <c r="Z6974"/>
      <c r="AA6974"/>
      <c r="AC6974"/>
      <c r="AR6974"/>
    </row>
    <row r="6975" spans="24:44">
      <c r="X6975"/>
      <c r="Y6975"/>
      <c r="Z6975"/>
      <c r="AA6975"/>
      <c r="AC6975"/>
      <c r="AR6975"/>
    </row>
    <row r="6976" spans="24:44">
      <c r="X6976"/>
      <c r="Y6976"/>
      <c r="Z6976"/>
      <c r="AA6976"/>
      <c r="AC6976"/>
      <c r="AR6976"/>
    </row>
    <row r="6977" spans="24:44">
      <c r="X6977"/>
      <c r="Y6977"/>
      <c r="Z6977"/>
      <c r="AA6977"/>
      <c r="AC6977"/>
      <c r="AR6977"/>
    </row>
    <row r="6978" spans="24:44">
      <c r="X6978"/>
      <c r="Y6978"/>
      <c r="Z6978"/>
      <c r="AA6978"/>
      <c r="AC6978"/>
      <c r="AR6978"/>
    </row>
    <row r="6979" spans="24:44">
      <c r="X6979"/>
      <c r="Y6979"/>
      <c r="Z6979"/>
      <c r="AA6979"/>
      <c r="AC6979"/>
      <c r="AR6979"/>
    </row>
    <row r="6980" spans="24:44">
      <c r="X6980"/>
      <c r="Y6980"/>
      <c r="Z6980"/>
      <c r="AA6980"/>
      <c r="AC6980"/>
      <c r="AR6980"/>
    </row>
    <row r="6981" spans="24:44">
      <c r="X6981"/>
      <c r="Y6981"/>
      <c r="Z6981"/>
      <c r="AA6981"/>
      <c r="AC6981"/>
      <c r="AR6981"/>
    </row>
    <row r="6982" spans="24:44">
      <c r="X6982"/>
      <c r="Y6982"/>
      <c r="Z6982"/>
      <c r="AA6982"/>
      <c r="AC6982"/>
      <c r="AR6982"/>
    </row>
    <row r="6983" spans="24:44">
      <c r="X6983"/>
      <c r="Y6983"/>
      <c r="Z6983"/>
      <c r="AA6983"/>
      <c r="AC6983"/>
      <c r="AR6983"/>
    </row>
    <row r="6984" spans="24:44">
      <c r="X6984"/>
      <c r="Y6984"/>
      <c r="Z6984"/>
      <c r="AA6984"/>
      <c r="AC6984"/>
      <c r="AR6984"/>
    </row>
    <row r="6985" spans="24:44">
      <c r="X6985"/>
      <c r="Y6985"/>
      <c r="Z6985"/>
      <c r="AA6985"/>
      <c r="AC6985"/>
      <c r="AR6985"/>
    </row>
    <row r="6986" spans="24:44">
      <c r="X6986"/>
      <c r="Y6986"/>
      <c r="Z6986"/>
      <c r="AA6986"/>
      <c r="AC6986"/>
      <c r="AR6986"/>
    </row>
    <row r="6987" spans="24:44">
      <c r="X6987"/>
      <c r="Y6987"/>
      <c r="Z6987"/>
      <c r="AA6987"/>
      <c r="AC6987"/>
      <c r="AR6987"/>
    </row>
    <row r="6988" spans="24:44">
      <c r="X6988"/>
      <c r="Y6988"/>
      <c r="Z6988"/>
      <c r="AA6988"/>
      <c r="AC6988"/>
      <c r="AR6988"/>
    </row>
    <row r="6989" spans="24:44">
      <c r="X6989"/>
      <c r="Y6989"/>
      <c r="Z6989"/>
      <c r="AA6989"/>
      <c r="AC6989"/>
      <c r="AR6989"/>
    </row>
    <row r="6990" spans="24:44">
      <c r="X6990"/>
      <c r="Y6990"/>
      <c r="Z6990"/>
      <c r="AA6990"/>
      <c r="AC6990"/>
      <c r="AR6990"/>
    </row>
    <row r="6991" spans="24:44">
      <c r="X6991"/>
      <c r="Y6991"/>
      <c r="Z6991"/>
      <c r="AA6991"/>
      <c r="AC6991"/>
      <c r="AR6991"/>
    </row>
    <row r="6992" spans="24:44">
      <c r="X6992"/>
      <c r="Y6992"/>
      <c r="Z6992"/>
      <c r="AA6992"/>
      <c r="AC6992"/>
      <c r="AR6992"/>
    </row>
    <row r="6993" spans="24:44">
      <c r="X6993"/>
      <c r="Y6993"/>
      <c r="Z6993"/>
      <c r="AA6993"/>
      <c r="AC6993"/>
      <c r="AR6993"/>
    </row>
    <row r="6994" spans="24:44">
      <c r="X6994"/>
      <c r="Y6994"/>
      <c r="Z6994"/>
      <c r="AA6994"/>
      <c r="AC6994"/>
      <c r="AR6994"/>
    </row>
    <row r="6995" spans="24:44">
      <c r="X6995"/>
      <c r="Y6995"/>
      <c r="Z6995"/>
      <c r="AA6995"/>
      <c r="AC6995"/>
      <c r="AR6995"/>
    </row>
    <row r="6996" spans="24:44">
      <c r="X6996"/>
      <c r="Y6996"/>
      <c r="Z6996"/>
      <c r="AA6996"/>
      <c r="AC6996"/>
      <c r="AR6996"/>
    </row>
    <row r="6997" spans="24:44">
      <c r="X6997"/>
      <c r="Y6997"/>
      <c r="Z6997"/>
      <c r="AA6997"/>
      <c r="AC6997"/>
      <c r="AR6997"/>
    </row>
    <row r="6998" spans="24:44">
      <c r="X6998"/>
      <c r="Y6998"/>
      <c r="Z6998"/>
      <c r="AA6998"/>
      <c r="AC6998"/>
      <c r="AR6998"/>
    </row>
    <row r="6999" spans="24:44">
      <c r="X6999"/>
      <c r="Y6999"/>
      <c r="Z6999"/>
      <c r="AA6999"/>
      <c r="AC6999"/>
      <c r="AR6999"/>
    </row>
    <row r="7000" spans="24:44">
      <c r="X7000"/>
      <c r="Y7000"/>
      <c r="Z7000"/>
      <c r="AA7000"/>
      <c r="AC7000"/>
      <c r="AR7000"/>
    </row>
    <row r="7001" spans="24:44">
      <c r="X7001"/>
      <c r="Y7001"/>
      <c r="Z7001"/>
      <c r="AA7001"/>
      <c r="AC7001"/>
      <c r="AR7001"/>
    </row>
    <row r="7002" spans="24:44">
      <c r="X7002"/>
      <c r="Y7002"/>
      <c r="Z7002"/>
      <c r="AA7002"/>
      <c r="AC7002"/>
      <c r="AR7002"/>
    </row>
    <row r="7003" spans="24:44">
      <c r="X7003"/>
      <c r="Y7003"/>
      <c r="Z7003"/>
      <c r="AA7003"/>
      <c r="AC7003"/>
      <c r="AR7003"/>
    </row>
    <row r="7004" spans="24:44">
      <c r="X7004"/>
      <c r="Y7004"/>
      <c r="Z7004"/>
      <c r="AA7004"/>
      <c r="AC7004"/>
      <c r="AR7004"/>
    </row>
    <row r="7005" spans="24:44">
      <c r="X7005"/>
      <c r="Y7005"/>
      <c r="Z7005"/>
      <c r="AA7005"/>
      <c r="AC7005"/>
      <c r="AR7005"/>
    </row>
    <row r="7006" spans="24:44">
      <c r="X7006"/>
      <c r="Y7006"/>
      <c r="Z7006"/>
      <c r="AA7006"/>
      <c r="AC7006"/>
      <c r="AR7006"/>
    </row>
    <row r="7007" spans="24:44">
      <c r="X7007"/>
      <c r="Y7007"/>
      <c r="Z7007"/>
      <c r="AA7007"/>
      <c r="AC7007"/>
      <c r="AR7007"/>
    </row>
    <row r="7008" spans="24:44">
      <c r="X7008"/>
      <c r="Y7008"/>
      <c r="Z7008"/>
      <c r="AA7008"/>
      <c r="AC7008"/>
      <c r="AR7008"/>
    </row>
    <row r="7009" spans="24:44">
      <c r="X7009"/>
      <c r="Y7009"/>
      <c r="Z7009"/>
      <c r="AA7009"/>
      <c r="AC7009"/>
      <c r="AR7009"/>
    </row>
    <row r="7010" spans="24:44">
      <c r="X7010"/>
      <c r="Y7010"/>
      <c r="Z7010"/>
      <c r="AA7010"/>
      <c r="AC7010"/>
      <c r="AR7010"/>
    </row>
    <row r="7011" spans="24:44">
      <c r="X7011"/>
      <c r="Y7011"/>
      <c r="Z7011"/>
      <c r="AA7011"/>
      <c r="AC7011"/>
      <c r="AR7011"/>
    </row>
    <row r="7012" spans="24:44">
      <c r="X7012"/>
      <c r="Y7012"/>
      <c r="Z7012"/>
      <c r="AA7012"/>
      <c r="AC7012"/>
      <c r="AR7012"/>
    </row>
    <row r="7013" spans="24:44">
      <c r="X7013"/>
      <c r="Y7013"/>
      <c r="Z7013"/>
      <c r="AA7013"/>
      <c r="AC7013"/>
      <c r="AR7013"/>
    </row>
    <row r="7014" spans="24:44">
      <c r="X7014"/>
      <c r="Y7014"/>
      <c r="Z7014"/>
      <c r="AA7014"/>
      <c r="AC7014"/>
      <c r="AR7014"/>
    </row>
    <row r="7015" spans="24:44">
      <c r="X7015"/>
      <c r="Y7015"/>
      <c r="Z7015"/>
      <c r="AA7015"/>
      <c r="AC7015"/>
      <c r="AR7015"/>
    </row>
    <row r="7016" spans="24:44">
      <c r="X7016"/>
      <c r="Y7016"/>
      <c r="Z7016"/>
      <c r="AA7016"/>
      <c r="AC7016"/>
      <c r="AR7016"/>
    </row>
    <row r="7017" spans="24:44">
      <c r="X7017"/>
      <c r="Y7017"/>
      <c r="Z7017"/>
      <c r="AA7017"/>
      <c r="AC7017"/>
      <c r="AR7017"/>
    </row>
    <row r="7018" spans="24:44">
      <c r="X7018"/>
      <c r="Y7018"/>
      <c r="Z7018"/>
      <c r="AA7018"/>
      <c r="AC7018"/>
      <c r="AR7018"/>
    </row>
    <row r="7019" spans="24:44">
      <c r="X7019"/>
      <c r="Y7019"/>
      <c r="Z7019"/>
      <c r="AA7019"/>
      <c r="AC7019"/>
      <c r="AR7019"/>
    </row>
    <row r="7020" spans="24:44">
      <c r="X7020"/>
      <c r="Y7020"/>
      <c r="Z7020"/>
      <c r="AA7020"/>
      <c r="AC7020"/>
      <c r="AR7020"/>
    </row>
    <row r="7021" spans="24:44">
      <c r="X7021"/>
      <c r="Y7021"/>
      <c r="Z7021"/>
      <c r="AA7021"/>
      <c r="AC7021"/>
      <c r="AR7021"/>
    </row>
    <row r="7022" spans="24:44">
      <c r="X7022"/>
      <c r="Y7022"/>
      <c r="Z7022"/>
      <c r="AA7022"/>
      <c r="AC7022"/>
      <c r="AR7022"/>
    </row>
    <row r="7023" spans="24:44">
      <c r="X7023"/>
      <c r="Y7023"/>
      <c r="Z7023"/>
      <c r="AA7023"/>
      <c r="AC7023"/>
      <c r="AR7023"/>
    </row>
    <row r="7024" spans="24:44">
      <c r="X7024"/>
      <c r="Y7024"/>
      <c r="Z7024"/>
      <c r="AA7024"/>
      <c r="AC7024"/>
      <c r="AR7024"/>
    </row>
    <row r="7025" spans="24:44">
      <c r="X7025"/>
      <c r="Y7025"/>
      <c r="Z7025"/>
      <c r="AA7025"/>
      <c r="AC7025"/>
      <c r="AR7025"/>
    </row>
    <row r="7026" spans="24:44">
      <c r="X7026"/>
      <c r="Y7026"/>
      <c r="Z7026"/>
      <c r="AA7026"/>
      <c r="AC7026"/>
      <c r="AR7026"/>
    </row>
    <row r="7027" spans="24:44">
      <c r="X7027"/>
      <c r="Y7027"/>
      <c r="Z7027"/>
      <c r="AA7027"/>
      <c r="AC7027"/>
      <c r="AR7027"/>
    </row>
    <row r="7028" spans="24:44">
      <c r="X7028"/>
      <c r="Y7028"/>
      <c r="Z7028"/>
      <c r="AA7028"/>
      <c r="AC7028"/>
      <c r="AR7028"/>
    </row>
    <row r="7029" spans="24:44">
      <c r="X7029"/>
      <c r="Y7029"/>
      <c r="Z7029"/>
      <c r="AA7029"/>
      <c r="AC7029"/>
      <c r="AR7029"/>
    </row>
    <row r="7030" spans="24:44">
      <c r="X7030"/>
      <c r="Y7030"/>
      <c r="Z7030"/>
      <c r="AA7030"/>
      <c r="AC7030"/>
      <c r="AR7030"/>
    </row>
    <row r="7031" spans="24:44">
      <c r="X7031"/>
      <c r="Y7031"/>
      <c r="Z7031"/>
      <c r="AA7031"/>
      <c r="AC7031"/>
      <c r="AR7031"/>
    </row>
    <row r="7032" spans="24:44">
      <c r="X7032"/>
      <c r="Y7032"/>
      <c r="Z7032"/>
      <c r="AA7032"/>
      <c r="AC7032"/>
      <c r="AR7032"/>
    </row>
    <row r="7033" spans="24:44">
      <c r="X7033"/>
      <c r="Y7033"/>
      <c r="Z7033"/>
      <c r="AA7033"/>
      <c r="AC7033"/>
      <c r="AR7033"/>
    </row>
    <row r="7034" spans="24:44">
      <c r="X7034"/>
      <c r="Y7034"/>
      <c r="Z7034"/>
      <c r="AA7034"/>
      <c r="AC7034"/>
      <c r="AR7034"/>
    </row>
    <row r="7035" spans="24:44">
      <c r="X7035"/>
      <c r="Y7035"/>
      <c r="Z7035"/>
      <c r="AA7035"/>
      <c r="AC7035"/>
      <c r="AR7035"/>
    </row>
    <row r="7036" spans="24:44">
      <c r="X7036"/>
      <c r="Y7036"/>
      <c r="Z7036"/>
      <c r="AA7036"/>
      <c r="AC7036"/>
      <c r="AR7036"/>
    </row>
    <row r="7037" spans="24:44">
      <c r="X7037"/>
      <c r="Y7037"/>
      <c r="Z7037"/>
      <c r="AA7037"/>
      <c r="AC7037"/>
      <c r="AR7037"/>
    </row>
    <row r="7038" spans="24:44">
      <c r="X7038"/>
      <c r="Y7038"/>
      <c r="Z7038"/>
      <c r="AA7038"/>
      <c r="AC7038"/>
      <c r="AR7038"/>
    </row>
    <row r="7039" spans="24:44">
      <c r="X7039"/>
      <c r="Y7039"/>
      <c r="Z7039"/>
      <c r="AA7039"/>
      <c r="AC7039"/>
      <c r="AR7039"/>
    </row>
    <row r="7040" spans="24:44">
      <c r="X7040"/>
      <c r="Y7040"/>
      <c r="Z7040"/>
      <c r="AA7040"/>
      <c r="AC7040"/>
      <c r="AR7040"/>
    </row>
    <row r="7041" spans="24:44">
      <c r="X7041"/>
      <c r="Y7041"/>
      <c r="Z7041"/>
      <c r="AA7041"/>
      <c r="AC7041"/>
      <c r="AR7041"/>
    </row>
    <row r="7042" spans="24:44">
      <c r="X7042"/>
      <c r="Y7042"/>
      <c r="Z7042"/>
      <c r="AA7042"/>
      <c r="AC7042"/>
      <c r="AR7042"/>
    </row>
    <row r="7043" spans="24:44">
      <c r="X7043"/>
      <c r="Y7043"/>
      <c r="Z7043"/>
      <c r="AA7043"/>
      <c r="AC7043"/>
      <c r="AR7043"/>
    </row>
    <row r="7044" spans="24:44">
      <c r="X7044"/>
      <c r="Y7044"/>
      <c r="Z7044"/>
      <c r="AA7044"/>
      <c r="AC7044"/>
      <c r="AR7044"/>
    </row>
    <row r="7045" spans="24:44">
      <c r="X7045"/>
      <c r="Y7045"/>
      <c r="Z7045"/>
      <c r="AA7045"/>
      <c r="AC7045"/>
      <c r="AR7045"/>
    </row>
    <row r="7046" spans="24:44">
      <c r="X7046"/>
      <c r="Y7046"/>
      <c r="Z7046"/>
      <c r="AA7046"/>
      <c r="AC7046"/>
      <c r="AR7046"/>
    </row>
    <row r="7047" spans="24:44">
      <c r="X7047"/>
      <c r="Y7047"/>
      <c r="Z7047"/>
      <c r="AA7047"/>
      <c r="AC7047"/>
      <c r="AR7047"/>
    </row>
    <row r="7048" spans="24:44">
      <c r="X7048"/>
      <c r="Y7048"/>
      <c r="Z7048"/>
      <c r="AA7048"/>
      <c r="AC7048"/>
      <c r="AR7048"/>
    </row>
    <row r="7049" spans="24:44">
      <c r="X7049"/>
      <c r="Y7049"/>
      <c r="Z7049"/>
      <c r="AA7049"/>
      <c r="AC7049"/>
      <c r="AR7049"/>
    </row>
    <row r="7050" spans="24:44">
      <c r="X7050"/>
      <c r="Y7050"/>
      <c r="Z7050"/>
      <c r="AA7050"/>
      <c r="AC7050"/>
      <c r="AR7050"/>
    </row>
    <row r="7051" spans="24:44">
      <c r="X7051"/>
      <c r="Y7051"/>
      <c r="Z7051"/>
      <c r="AA7051"/>
      <c r="AC7051"/>
      <c r="AR7051"/>
    </row>
    <row r="7052" spans="24:44">
      <c r="X7052"/>
      <c r="Y7052"/>
      <c r="Z7052"/>
      <c r="AA7052"/>
      <c r="AC7052"/>
      <c r="AR7052"/>
    </row>
    <row r="7053" spans="24:44">
      <c r="X7053"/>
      <c r="Y7053"/>
      <c r="Z7053"/>
      <c r="AA7053"/>
      <c r="AC7053"/>
      <c r="AR7053"/>
    </row>
    <row r="7054" spans="24:44">
      <c r="X7054"/>
      <c r="Y7054"/>
      <c r="Z7054"/>
      <c r="AA7054"/>
      <c r="AC7054"/>
      <c r="AR7054"/>
    </row>
    <row r="7055" spans="24:44">
      <c r="X7055"/>
      <c r="Y7055"/>
      <c r="Z7055"/>
      <c r="AA7055"/>
      <c r="AC7055"/>
      <c r="AR7055"/>
    </row>
    <row r="7056" spans="24:44">
      <c r="X7056"/>
      <c r="Y7056"/>
      <c r="Z7056"/>
      <c r="AA7056"/>
      <c r="AC7056"/>
      <c r="AR7056"/>
    </row>
    <row r="7057" spans="24:44">
      <c r="X7057"/>
      <c r="Y7057"/>
      <c r="Z7057"/>
      <c r="AA7057"/>
      <c r="AC7057"/>
      <c r="AR7057"/>
    </row>
    <row r="7058" spans="24:44">
      <c r="X7058"/>
      <c r="Y7058"/>
      <c r="Z7058"/>
      <c r="AA7058"/>
      <c r="AC7058"/>
      <c r="AR7058"/>
    </row>
    <row r="7059" spans="24:44">
      <c r="X7059"/>
      <c r="Y7059"/>
      <c r="Z7059"/>
      <c r="AA7059"/>
      <c r="AC7059"/>
      <c r="AR7059"/>
    </row>
    <row r="7060" spans="24:44">
      <c r="X7060"/>
      <c r="Y7060"/>
      <c r="Z7060"/>
      <c r="AA7060"/>
      <c r="AC7060"/>
      <c r="AR7060"/>
    </row>
    <row r="7061" spans="24:44">
      <c r="X7061"/>
      <c r="Y7061"/>
      <c r="Z7061"/>
      <c r="AA7061"/>
      <c r="AC7061"/>
      <c r="AR7061"/>
    </row>
    <row r="7062" spans="24:44">
      <c r="X7062"/>
      <c r="Y7062"/>
      <c r="Z7062"/>
      <c r="AA7062"/>
      <c r="AC7062"/>
      <c r="AR7062"/>
    </row>
    <row r="7063" spans="24:44">
      <c r="X7063"/>
      <c r="Y7063"/>
      <c r="Z7063"/>
      <c r="AA7063"/>
      <c r="AC7063"/>
      <c r="AR7063"/>
    </row>
    <row r="7064" spans="24:44">
      <c r="X7064"/>
      <c r="Y7064"/>
      <c r="Z7064"/>
      <c r="AA7064"/>
      <c r="AC7064"/>
      <c r="AR7064"/>
    </row>
    <row r="7065" spans="24:44">
      <c r="X7065"/>
      <c r="Y7065"/>
      <c r="Z7065"/>
      <c r="AA7065"/>
      <c r="AC7065"/>
      <c r="AR7065"/>
    </row>
    <row r="7066" spans="24:44">
      <c r="X7066"/>
      <c r="Y7066"/>
      <c r="Z7066"/>
      <c r="AA7066"/>
      <c r="AC7066"/>
      <c r="AR7066"/>
    </row>
    <row r="7067" spans="24:44">
      <c r="X7067"/>
      <c r="Y7067"/>
      <c r="Z7067"/>
      <c r="AA7067"/>
      <c r="AC7067"/>
      <c r="AR7067"/>
    </row>
    <row r="7068" spans="24:44">
      <c r="X7068"/>
      <c r="Y7068"/>
      <c r="Z7068"/>
      <c r="AA7068"/>
      <c r="AC7068"/>
      <c r="AR7068"/>
    </row>
    <row r="7069" spans="24:44">
      <c r="X7069"/>
      <c r="Y7069"/>
      <c r="Z7069"/>
      <c r="AA7069"/>
      <c r="AC7069"/>
      <c r="AR7069"/>
    </row>
    <row r="7070" spans="24:44">
      <c r="X7070"/>
      <c r="Y7070"/>
      <c r="Z7070"/>
      <c r="AA7070"/>
      <c r="AC7070"/>
      <c r="AR7070"/>
    </row>
    <row r="7071" spans="24:44">
      <c r="X7071"/>
      <c r="Y7071"/>
      <c r="Z7071"/>
      <c r="AA7071"/>
      <c r="AC7071"/>
      <c r="AR7071"/>
    </row>
    <row r="7072" spans="24:44">
      <c r="X7072"/>
      <c r="Y7072"/>
      <c r="Z7072"/>
      <c r="AA7072"/>
      <c r="AC7072"/>
      <c r="AR7072"/>
    </row>
    <row r="7073" spans="24:44">
      <c r="X7073"/>
      <c r="Y7073"/>
      <c r="Z7073"/>
      <c r="AA7073"/>
      <c r="AC7073"/>
      <c r="AR7073"/>
    </row>
    <row r="7074" spans="24:44">
      <c r="X7074"/>
      <c r="Y7074"/>
      <c r="Z7074"/>
      <c r="AA7074"/>
      <c r="AC7074"/>
      <c r="AR7074"/>
    </row>
    <row r="7075" spans="24:44">
      <c r="X7075"/>
      <c r="Y7075"/>
      <c r="Z7075"/>
      <c r="AA7075"/>
      <c r="AC7075"/>
      <c r="AR7075"/>
    </row>
    <row r="7076" spans="24:44">
      <c r="X7076"/>
      <c r="Y7076"/>
      <c r="Z7076"/>
      <c r="AA7076"/>
      <c r="AC7076"/>
      <c r="AR7076"/>
    </row>
    <row r="7077" spans="24:44">
      <c r="X7077"/>
      <c r="Y7077"/>
      <c r="Z7077"/>
      <c r="AA7077"/>
      <c r="AC7077"/>
      <c r="AR7077"/>
    </row>
    <row r="7078" spans="24:44">
      <c r="X7078"/>
      <c r="Y7078"/>
      <c r="Z7078"/>
      <c r="AA7078"/>
      <c r="AC7078"/>
      <c r="AR7078"/>
    </row>
    <row r="7079" spans="24:44">
      <c r="X7079"/>
      <c r="Y7079"/>
      <c r="Z7079"/>
      <c r="AA7079"/>
      <c r="AC7079"/>
      <c r="AR7079"/>
    </row>
    <row r="7080" spans="24:44">
      <c r="X7080"/>
      <c r="Y7080"/>
      <c r="Z7080"/>
      <c r="AA7080"/>
      <c r="AC7080"/>
      <c r="AR7080"/>
    </row>
    <row r="7081" spans="24:44">
      <c r="X7081"/>
      <c r="Y7081"/>
      <c r="Z7081"/>
      <c r="AA7081"/>
      <c r="AC7081"/>
      <c r="AR7081"/>
    </row>
    <row r="7082" spans="24:44">
      <c r="X7082"/>
      <c r="Y7082"/>
      <c r="Z7082"/>
      <c r="AA7082"/>
      <c r="AC7082"/>
      <c r="AR7082"/>
    </row>
    <row r="7083" spans="24:44">
      <c r="X7083"/>
      <c r="Y7083"/>
      <c r="Z7083"/>
      <c r="AA7083"/>
      <c r="AC7083"/>
      <c r="AR7083"/>
    </row>
    <row r="7084" spans="24:44">
      <c r="X7084"/>
      <c r="Y7084"/>
      <c r="Z7084"/>
      <c r="AA7084"/>
      <c r="AC7084"/>
      <c r="AR7084"/>
    </row>
    <row r="7085" spans="24:44">
      <c r="X7085"/>
      <c r="Y7085"/>
      <c r="Z7085"/>
      <c r="AA7085"/>
      <c r="AC7085"/>
      <c r="AR7085"/>
    </row>
    <row r="7086" spans="24:44">
      <c r="X7086"/>
      <c r="Y7086"/>
      <c r="Z7086"/>
      <c r="AA7086"/>
      <c r="AC7086"/>
      <c r="AR7086"/>
    </row>
    <row r="7087" spans="24:44">
      <c r="X7087"/>
      <c r="Y7087"/>
      <c r="Z7087"/>
      <c r="AA7087"/>
      <c r="AC7087"/>
      <c r="AR7087"/>
    </row>
    <row r="7088" spans="24:44">
      <c r="X7088"/>
      <c r="Y7088"/>
      <c r="Z7088"/>
      <c r="AA7088"/>
      <c r="AC7088"/>
      <c r="AR7088"/>
    </row>
    <row r="7089" spans="24:44">
      <c r="X7089"/>
      <c r="Y7089"/>
      <c r="Z7089"/>
      <c r="AA7089"/>
      <c r="AC7089"/>
      <c r="AR7089"/>
    </row>
    <row r="7090" spans="24:44">
      <c r="X7090"/>
      <c r="Y7090"/>
      <c r="Z7090"/>
      <c r="AA7090"/>
      <c r="AC7090"/>
      <c r="AR7090"/>
    </row>
    <row r="7091" spans="24:44">
      <c r="X7091"/>
      <c r="Y7091"/>
      <c r="Z7091"/>
      <c r="AA7091"/>
      <c r="AC7091"/>
      <c r="AR7091"/>
    </row>
    <row r="7092" spans="24:44">
      <c r="X7092"/>
      <c r="Y7092"/>
      <c r="Z7092"/>
      <c r="AA7092"/>
      <c r="AC7092"/>
      <c r="AR7092"/>
    </row>
    <row r="7093" spans="24:44">
      <c r="X7093"/>
      <c r="Y7093"/>
      <c r="Z7093"/>
      <c r="AA7093"/>
      <c r="AC7093"/>
      <c r="AR7093"/>
    </row>
    <row r="7094" spans="24:44">
      <c r="X7094"/>
      <c r="Y7094"/>
      <c r="Z7094"/>
      <c r="AA7094"/>
      <c r="AC7094"/>
      <c r="AR7094"/>
    </row>
    <row r="7095" spans="24:44">
      <c r="X7095"/>
      <c r="Y7095"/>
      <c r="Z7095"/>
      <c r="AA7095"/>
      <c r="AC7095"/>
      <c r="AR7095"/>
    </row>
    <row r="7096" spans="24:44">
      <c r="X7096"/>
      <c r="Y7096"/>
      <c r="Z7096"/>
      <c r="AA7096"/>
      <c r="AC7096"/>
      <c r="AR7096"/>
    </row>
    <row r="7097" spans="24:44">
      <c r="X7097"/>
      <c r="Y7097"/>
      <c r="Z7097"/>
      <c r="AA7097"/>
      <c r="AC7097"/>
      <c r="AR7097"/>
    </row>
    <row r="7098" spans="24:44">
      <c r="X7098"/>
      <c r="Y7098"/>
      <c r="Z7098"/>
      <c r="AA7098"/>
      <c r="AC7098"/>
      <c r="AR7098"/>
    </row>
    <row r="7099" spans="24:44">
      <c r="X7099"/>
      <c r="Y7099"/>
      <c r="Z7099"/>
      <c r="AA7099"/>
      <c r="AC7099"/>
      <c r="AR7099"/>
    </row>
    <row r="7100" spans="24:44">
      <c r="X7100"/>
      <c r="Y7100"/>
      <c r="Z7100"/>
      <c r="AA7100"/>
      <c r="AC7100"/>
      <c r="AR7100"/>
    </row>
    <row r="7101" spans="24:44">
      <c r="X7101"/>
      <c r="Y7101"/>
      <c r="Z7101"/>
      <c r="AA7101"/>
      <c r="AC7101"/>
      <c r="AR7101"/>
    </row>
    <row r="7102" spans="24:44">
      <c r="X7102"/>
      <c r="Y7102"/>
      <c r="Z7102"/>
      <c r="AA7102"/>
      <c r="AC7102"/>
      <c r="AR7102"/>
    </row>
    <row r="7103" spans="24:44">
      <c r="X7103"/>
      <c r="Y7103"/>
      <c r="Z7103"/>
      <c r="AA7103"/>
      <c r="AC7103"/>
      <c r="AR7103"/>
    </row>
    <row r="7104" spans="24:44">
      <c r="X7104"/>
      <c r="Y7104"/>
      <c r="Z7104"/>
      <c r="AA7104"/>
      <c r="AC7104"/>
      <c r="AR7104"/>
    </row>
    <row r="7105" spans="24:44">
      <c r="X7105"/>
      <c r="Y7105"/>
      <c r="Z7105"/>
      <c r="AA7105"/>
      <c r="AC7105"/>
      <c r="AR7105"/>
    </row>
    <row r="7106" spans="24:44">
      <c r="X7106"/>
      <c r="Y7106"/>
      <c r="Z7106"/>
      <c r="AA7106"/>
      <c r="AC7106"/>
      <c r="AR7106"/>
    </row>
    <row r="7107" spans="24:44">
      <c r="X7107"/>
      <c r="Y7107"/>
      <c r="Z7107"/>
      <c r="AA7107"/>
      <c r="AC7107"/>
      <c r="AR7107"/>
    </row>
    <row r="7108" spans="24:44">
      <c r="X7108"/>
      <c r="Y7108"/>
      <c r="Z7108"/>
      <c r="AA7108"/>
      <c r="AC7108"/>
      <c r="AR7108"/>
    </row>
    <row r="7109" spans="24:44">
      <c r="X7109"/>
      <c r="Y7109"/>
      <c r="Z7109"/>
      <c r="AA7109"/>
      <c r="AC7109"/>
      <c r="AR7109"/>
    </row>
    <row r="7110" spans="24:44">
      <c r="X7110"/>
      <c r="Y7110"/>
      <c r="Z7110"/>
      <c r="AA7110"/>
      <c r="AC7110"/>
      <c r="AR7110"/>
    </row>
    <row r="7111" spans="24:44">
      <c r="X7111"/>
      <c r="Y7111"/>
      <c r="Z7111"/>
      <c r="AA7111"/>
      <c r="AC7111"/>
      <c r="AR7111"/>
    </row>
    <row r="7112" spans="24:44">
      <c r="X7112"/>
      <c r="Y7112"/>
      <c r="Z7112"/>
      <c r="AA7112"/>
      <c r="AC7112"/>
      <c r="AR7112"/>
    </row>
    <row r="7113" spans="24:44">
      <c r="X7113"/>
      <c r="Y7113"/>
      <c r="Z7113"/>
      <c r="AA7113"/>
      <c r="AC7113"/>
      <c r="AR7113"/>
    </row>
    <row r="7114" spans="24:44">
      <c r="X7114"/>
      <c r="Y7114"/>
      <c r="Z7114"/>
      <c r="AA7114"/>
      <c r="AC7114"/>
      <c r="AR7114"/>
    </row>
    <row r="7115" spans="24:44">
      <c r="X7115"/>
      <c r="Y7115"/>
      <c r="Z7115"/>
      <c r="AA7115"/>
      <c r="AC7115"/>
      <c r="AR7115"/>
    </row>
    <row r="7116" spans="24:44">
      <c r="X7116"/>
      <c r="Y7116"/>
      <c r="Z7116"/>
      <c r="AA7116"/>
      <c r="AC7116"/>
      <c r="AR7116"/>
    </row>
    <row r="7117" spans="24:44">
      <c r="X7117"/>
      <c r="Y7117"/>
      <c r="Z7117"/>
      <c r="AA7117"/>
      <c r="AC7117"/>
      <c r="AR7117"/>
    </row>
    <row r="7118" spans="24:44">
      <c r="X7118"/>
      <c r="Y7118"/>
      <c r="Z7118"/>
      <c r="AA7118"/>
      <c r="AC7118"/>
      <c r="AR7118"/>
    </row>
    <row r="7119" spans="24:44">
      <c r="X7119"/>
      <c r="Y7119"/>
      <c r="Z7119"/>
      <c r="AA7119"/>
      <c r="AC7119"/>
      <c r="AR7119"/>
    </row>
    <row r="7120" spans="24:44">
      <c r="X7120"/>
      <c r="Y7120"/>
      <c r="Z7120"/>
      <c r="AA7120"/>
      <c r="AC7120"/>
      <c r="AR7120"/>
    </row>
    <row r="7121" spans="24:44">
      <c r="X7121"/>
      <c r="Y7121"/>
      <c r="Z7121"/>
      <c r="AA7121"/>
      <c r="AC7121"/>
      <c r="AR7121"/>
    </row>
    <row r="7122" spans="24:44">
      <c r="X7122"/>
      <c r="Y7122"/>
      <c r="Z7122"/>
      <c r="AA7122"/>
      <c r="AC7122"/>
      <c r="AR7122"/>
    </row>
    <row r="7123" spans="24:44">
      <c r="X7123"/>
      <c r="Y7123"/>
      <c r="Z7123"/>
      <c r="AA7123"/>
      <c r="AC7123"/>
      <c r="AR7123"/>
    </row>
    <row r="7124" spans="24:44">
      <c r="X7124"/>
      <c r="Y7124"/>
      <c r="Z7124"/>
      <c r="AA7124"/>
      <c r="AC7124"/>
      <c r="AR7124"/>
    </row>
    <row r="7125" spans="24:44">
      <c r="X7125"/>
      <c r="Y7125"/>
      <c r="Z7125"/>
      <c r="AA7125"/>
      <c r="AC7125"/>
      <c r="AR7125"/>
    </row>
    <row r="7126" spans="24:44">
      <c r="X7126"/>
      <c r="Y7126"/>
      <c r="Z7126"/>
      <c r="AA7126"/>
      <c r="AC7126"/>
      <c r="AR7126"/>
    </row>
    <row r="7127" spans="24:44">
      <c r="X7127"/>
      <c r="Y7127"/>
      <c r="Z7127"/>
      <c r="AA7127"/>
      <c r="AC7127"/>
      <c r="AR7127"/>
    </row>
    <row r="7128" spans="24:44">
      <c r="X7128"/>
      <c r="Y7128"/>
      <c r="Z7128"/>
      <c r="AA7128"/>
      <c r="AC7128"/>
      <c r="AR7128"/>
    </row>
    <row r="7129" spans="24:44">
      <c r="X7129"/>
      <c r="Y7129"/>
      <c r="Z7129"/>
      <c r="AA7129"/>
      <c r="AC7129"/>
      <c r="AR7129"/>
    </row>
    <row r="7130" spans="24:44">
      <c r="X7130"/>
      <c r="Y7130"/>
      <c r="Z7130"/>
      <c r="AA7130"/>
      <c r="AC7130"/>
      <c r="AR7130"/>
    </row>
    <row r="7131" spans="24:44">
      <c r="X7131"/>
      <c r="Y7131"/>
      <c r="Z7131"/>
      <c r="AA7131"/>
      <c r="AC7131"/>
      <c r="AR7131"/>
    </row>
    <row r="7132" spans="24:44">
      <c r="X7132"/>
      <c r="Y7132"/>
      <c r="Z7132"/>
      <c r="AA7132"/>
      <c r="AC7132"/>
      <c r="AR7132"/>
    </row>
    <row r="7133" spans="24:44">
      <c r="X7133"/>
      <c r="Y7133"/>
      <c r="Z7133"/>
      <c r="AA7133"/>
      <c r="AC7133"/>
      <c r="AR7133"/>
    </row>
    <row r="7134" spans="24:44">
      <c r="X7134"/>
      <c r="Y7134"/>
      <c r="Z7134"/>
      <c r="AA7134"/>
      <c r="AC7134"/>
      <c r="AR7134"/>
    </row>
    <row r="7135" spans="24:44">
      <c r="X7135"/>
      <c r="Y7135"/>
      <c r="Z7135"/>
      <c r="AA7135"/>
      <c r="AC7135"/>
      <c r="AR7135"/>
    </row>
    <row r="7136" spans="24:44">
      <c r="X7136"/>
      <c r="Y7136"/>
      <c r="Z7136"/>
      <c r="AA7136"/>
      <c r="AC7136"/>
      <c r="AR7136"/>
    </row>
    <row r="7137" spans="24:44">
      <c r="X7137"/>
      <c r="Y7137"/>
      <c r="Z7137"/>
      <c r="AA7137"/>
      <c r="AC7137"/>
      <c r="AR7137"/>
    </row>
    <row r="7138" spans="24:44">
      <c r="X7138"/>
      <c r="Y7138"/>
      <c r="Z7138"/>
      <c r="AA7138"/>
      <c r="AC7138"/>
      <c r="AR7138"/>
    </row>
    <row r="7139" spans="24:44">
      <c r="X7139"/>
      <c r="Y7139"/>
      <c r="Z7139"/>
      <c r="AA7139"/>
      <c r="AC7139"/>
      <c r="AR7139"/>
    </row>
    <row r="7140" spans="24:44">
      <c r="X7140"/>
      <c r="Y7140"/>
      <c r="Z7140"/>
      <c r="AA7140"/>
      <c r="AC7140"/>
      <c r="AR7140"/>
    </row>
    <row r="7141" spans="24:44">
      <c r="X7141"/>
      <c r="Y7141"/>
      <c r="Z7141"/>
      <c r="AA7141"/>
      <c r="AC7141"/>
      <c r="AR7141"/>
    </row>
    <row r="7142" spans="24:44">
      <c r="X7142"/>
      <c r="Y7142"/>
      <c r="Z7142"/>
      <c r="AA7142"/>
      <c r="AC7142"/>
      <c r="AR7142"/>
    </row>
    <row r="7143" spans="24:44">
      <c r="X7143"/>
      <c r="Y7143"/>
      <c r="Z7143"/>
      <c r="AA7143"/>
      <c r="AC7143"/>
      <c r="AR7143"/>
    </row>
    <row r="7144" spans="24:44">
      <c r="X7144"/>
      <c r="Y7144"/>
      <c r="Z7144"/>
      <c r="AA7144"/>
      <c r="AC7144"/>
      <c r="AR7144"/>
    </row>
    <row r="7145" spans="24:44">
      <c r="X7145"/>
      <c r="Y7145"/>
      <c r="Z7145"/>
      <c r="AA7145"/>
      <c r="AC7145"/>
      <c r="AR7145"/>
    </row>
    <row r="7146" spans="24:44">
      <c r="X7146"/>
      <c r="Y7146"/>
      <c r="Z7146"/>
      <c r="AA7146"/>
      <c r="AC7146"/>
      <c r="AR7146"/>
    </row>
    <row r="7147" spans="24:44">
      <c r="X7147"/>
      <c r="Y7147"/>
      <c r="Z7147"/>
      <c r="AA7147"/>
      <c r="AC7147"/>
      <c r="AR7147"/>
    </row>
    <row r="7148" spans="24:44">
      <c r="X7148"/>
      <c r="Y7148"/>
      <c r="Z7148"/>
      <c r="AA7148"/>
      <c r="AC7148"/>
      <c r="AR7148"/>
    </row>
    <row r="7149" spans="24:44">
      <c r="X7149"/>
      <c r="Y7149"/>
      <c r="Z7149"/>
      <c r="AA7149"/>
      <c r="AC7149"/>
      <c r="AR7149"/>
    </row>
    <row r="7150" spans="24:44">
      <c r="X7150"/>
      <c r="Y7150"/>
      <c r="Z7150"/>
      <c r="AA7150"/>
      <c r="AC7150"/>
      <c r="AR7150"/>
    </row>
    <row r="7151" spans="24:44">
      <c r="X7151"/>
      <c r="Y7151"/>
      <c r="Z7151"/>
      <c r="AA7151"/>
      <c r="AC7151"/>
      <c r="AR7151"/>
    </row>
    <row r="7152" spans="24:44">
      <c r="X7152"/>
      <c r="Y7152"/>
      <c r="Z7152"/>
      <c r="AA7152"/>
      <c r="AC7152"/>
      <c r="AR7152"/>
    </row>
    <row r="7153" spans="24:44">
      <c r="X7153"/>
      <c r="Y7153"/>
      <c r="Z7153"/>
      <c r="AA7153"/>
      <c r="AC7153"/>
      <c r="AR7153"/>
    </row>
    <row r="7154" spans="24:44">
      <c r="X7154"/>
      <c r="Y7154"/>
      <c r="Z7154"/>
      <c r="AA7154"/>
      <c r="AC7154"/>
      <c r="AR7154"/>
    </row>
    <row r="7155" spans="24:44">
      <c r="X7155"/>
      <c r="Y7155"/>
      <c r="Z7155"/>
      <c r="AA7155"/>
      <c r="AC7155"/>
      <c r="AR7155"/>
    </row>
    <row r="7156" spans="24:44">
      <c r="X7156"/>
      <c r="Y7156"/>
      <c r="Z7156"/>
      <c r="AA7156"/>
      <c r="AC7156"/>
      <c r="AR7156"/>
    </row>
    <row r="7157" spans="24:44">
      <c r="X7157"/>
      <c r="Y7157"/>
      <c r="Z7157"/>
      <c r="AA7157"/>
      <c r="AC7157"/>
      <c r="AR7157"/>
    </row>
    <row r="7158" spans="24:44">
      <c r="X7158"/>
      <c r="Y7158"/>
      <c r="Z7158"/>
      <c r="AA7158"/>
      <c r="AC7158"/>
      <c r="AR7158"/>
    </row>
    <row r="7159" spans="24:44">
      <c r="X7159"/>
      <c r="Y7159"/>
      <c r="Z7159"/>
      <c r="AA7159"/>
      <c r="AC7159"/>
      <c r="AR7159"/>
    </row>
    <row r="7160" spans="24:44">
      <c r="X7160"/>
      <c r="Y7160"/>
      <c r="Z7160"/>
      <c r="AA7160"/>
      <c r="AC7160"/>
      <c r="AR7160"/>
    </row>
    <row r="7161" spans="24:44">
      <c r="X7161"/>
      <c r="Y7161"/>
      <c r="Z7161"/>
      <c r="AA7161"/>
      <c r="AC7161"/>
      <c r="AR7161"/>
    </row>
    <row r="7162" spans="24:44">
      <c r="X7162"/>
      <c r="Y7162"/>
      <c r="Z7162"/>
      <c r="AA7162"/>
      <c r="AC7162"/>
      <c r="AR7162"/>
    </row>
    <row r="7163" spans="24:44">
      <c r="X7163"/>
      <c r="Y7163"/>
      <c r="Z7163"/>
      <c r="AA7163"/>
      <c r="AC7163"/>
      <c r="AR7163"/>
    </row>
    <row r="7164" spans="24:44">
      <c r="X7164"/>
      <c r="Y7164"/>
      <c r="Z7164"/>
      <c r="AA7164"/>
      <c r="AC7164"/>
      <c r="AR7164"/>
    </row>
    <row r="7165" spans="24:44">
      <c r="X7165"/>
      <c r="Y7165"/>
      <c r="Z7165"/>
      <c r="AA7165"/>
      <c r="AC7165"/>
      <c r="AR7165"/>
    </row>
    <row r="7166" spans="24:44">
      <c r="X7166"/>
      <c r="Y7166"/>
      <c r="Z7166"/>
      <c r="AA7166"/>
      <c r="AC7166"/>
      <c r="AR7166"/>
    </row>
    <row r="7167" spans="24:44">
      <c r="X7167"/>
      <c r="Y7167"/>
      <c r="Z7167"/>
      <c r="AA7167"/>
      <c r="AC7167"/>
      <c r="AR7167"/>
    </row>
    <row r="7168" spans="24:44">
      <c r="X7168"/>
      <c r="Y7168"/>
      <c r="Z7168"/>
      <c r="AA7168"/>
      <c r="AC7168"/>
      <c r="AR7168"/>
    </row>
    <row r="7169" spans="24:44">
      <c r="X7169"/>
      <c r="Y7169"/>
      <c r="Z7169"/>
      <c r="AA7169"/>
      <c r="AC7169"/>
      <c r="AR7169"/>
    </row>
    <row r="7170" spans="24:44">
      <c r="X7170"/>
      <c r="Y7170"/>
      <c r="Z7170"/>
      <c r="AA7170"/>
      <c r="AC7170"/>
      <c r="AR7170"/>
    </row>
    <row r="7171" spans="24:44">
      <c r="X7171"/>
      <c r="Y7171"/>
      <c r="Z7171"/>
      <c r="AA7171"/>
      <c r="AC7171"/>
      <c r="AR7171"/>
    </row>
    <row r="7172" spans="24:44">
      <c r="X7172"/>
      <c r="Y7172"/>
      <c r="Z7172"/>
      <c r="AA7172"/>
      <c r="AC7172"/>
      <c r="AR7172"/>
    </row>
    <row r="7173" spans="24:44">
      <c r="X7173"/>
      <c r="Y7173"/>
      <c r="Z7173"/>
      <c r="AA7173"/>
      <c r="AC7173"/>
      <c r="AR7173"/>
    </row>
    <row r="7174" spans="24:44">
      <c r="X7174"/>
      <c r="Y7174"/>
      <c r="Z7174"/>
      <c r="AA7174"/>
      <c r="AC7174"/>
      <c r="AR7174"/>
    </row>
    <row r="7175" spans="24:44">
      <c r="X7175"/>
      <c r="Y7175"/>
      <c r="Z7175"/>
      <c r="AA7175"/>
      <c r="AC7175"/>
      <c r="AR7175"/>
    </row>
    <row r="7176" spans="24:44">
      <c r="X7176"/>
      <c r="Y7176"/>
      <c r="Z7176"/>
      <c r="AA7176"/>
      <c r="AC7176"/>
      <c r="AR7176"/>
    </row>
    <row r="7177" spans="24:44">
      <c r="X7177"/>
      <c r="Y7177"/>
      <c r="Z7177"/>
      <c r="AA7177"/>
      <c r="AC7177"/>
      <c r="AR7177"/>
    </row>
    <row r="7178" spans="24:44">
      <c r="X7178"/>
      <c r="Y7178"/>
      <c r="Z7178"/>
      <c r="AA7178"/>
      <c r="AC7178"/>
      <c r="AR7178"/>
    </row>
    <row r="7179" spans="24:44">
      <c r="X7179"/>
      <c r="Y7179"/>
      <c r="Z7179"/>
      <c r="AA7179"/>
      <c r="AC7179"/>
      <c r="AR7179"/>
    </row>
    <row r="7180" spans="24:44">
      <c r="X7180"/>
      <c r="Y7180"/>
      <c r="Z7180"/>
      <c r="AA7180"/>
      <c r="AC7180"/>
      <c r="AR7180"/>
    </row>
    <row r="7181" spans="24:44">
      <c r="X7181"/>
      <c r="Y7181"/>
      <c r="Z7181"/>
      <c r="AA7181"/>
      <c r="AC7181"/>
      <c r="AR7181"/>
    </row>
    <row r="7182" spans="24:44">
      <c r="X7182"/>
      <c r="Y7182"/>
      <c r="Z7182"/>
      <c r="AA7182"/>
      <c r="AC7182"/>
      <c r="AR7182"/>
    </row>
    <row r="7183" spans="24:44">
      <c r="X7183"/>
      <c r="Y7183"/>
      <c r="Z7183"/>
      <c r="AA7183"/>
      <c r="AC7183"/>
      <c r="AR7183"/>
    </row>
    <row r="7184" spans="24:44">
      <c r="X7184"/>
      <c r="Y7184"/>
      <c r="Z7184"/>
      <c r="AA7184"/>
      <c r="AC7184"/>
      <c r="AR7184"/>
    </row>
    <row r="7185" spans="24:44">
      <c r="X7185"/>
      <c r="Y7185"/>
      <c r="Z7185"/>
      <c r="AA7185"/>
      <c r="AC7185"/>
      <c r="AR7185"/>
    </row>
    <row r="7186" spans="24:44">
      <c r="X7186"/>
      <c r="Y7186"/>
      <c r="Z7186"/>
      <c r="AA7186"/>
      <c r="AC7186"/>
      <c r="AR7186"/>
    </row>
    <row r="7187" spans="24:44">
      <c r="X7187"/>
      <c r="Y7187"/>
      <c r="Z7187"/>
      <c r="AA7187"/>
      <c r="AC7187"/>
      <c r="AR7187"/>
    </row>
    <row r="7188" spans="24:44">
      <c r="X7188"/>
      <c r="Y7188"/>
      <c r="Z7188"/>
      <c r="AA7188"/>
      <c r="AC7188"/>
      <c r="AR7188"/>
    </row>
    <row r="7189" spans="24:44">
      <c r="X7189"/>
      <c r="Y7189"/>
      <c r="Z7189"/>
      <c r="AA7189"/>
      <c r="AC7189"/>
      <c r="AR7189"/>
    </row>
    <row r="7190" spans="24:44">
      <c r="X7190"/>
      <c r="Y7190"/>
      <c r="Z7190"/>
      <c r="AA7190"/>
      <c r="AC7190"/>
      <c r="AR7190"/>
    </row>
    <row r="7191" spans="24:44">
      <c r="X7191"/>
      <c r="Y7191"/>
      <c r="Z7191"/>
      <c r="AA7191"/>
      <c r="AC7191"/>
      <c r="AR7191"/>
    </row>
    <row r="7192" spans="24:44">
      <c r="X7192"/>
      <c r="Y7192"/>
      <c r="Z7192"/>
      <c r="AA7192"/>
      <c r="AC7192"/>
      <c r="AR7192"/>
    </row>
    <row r="7193" spans="24:44">
      <c r="X7193"/>
      <c r="Y7193"/>
      <c r="Z7193"/>
      <c r="AA7193"/>
      <c r="AC7193"/>
      <c r="AR7193"/>
    </row>
    <row r="7194" spans="24:44">
      <c r="X7194"/>
      <c r="Y7194"/>
      <c r="Z7194"/>
      <c r="AA7194"/>
      <c r="AC7194"/>
      <c r="AR7194"/>
    </row>
    <row r="7195" spans="24:44">
      <c r="X7195"/>
      <c r="Y7195"/>
      <c r="Z7195"/>
      <c r="AA7195"/>
      <c r="AC7195"/>
      <c r="AR7195"/>
    </row>
    <row r="7196" spans="24:44">
      <c r="X7196"/>
      <c r="Y7196"/>
      <c r="Z7196"/>
      <c r="AA7196"/>
      <c r="AC7196"/>
      <c r="AR7196"/>
    </row>
    <row r="7197" spans="24:44">
      <c r="X7197"/>
      <c r="Y7197"/>
      <c r="Z7197"/>
      <c r="AA7197"/>
      <c r="AC7197"/>
      <c r="AR7197"/>
    </row>
    <row r="7198" spans="24:44">
      <c r="X7198"/>
      <c r="Y7198"/>
      <c r="Z7198"/>
      <c r="AA7198"/>
      <c r="AC7198"/>
      <c r="AR7198"/>
    </row>
    <row r="7199" spans="24:44">
      <c r="X7199"/>
      <c r="Y7199"/>
      <c r="Z7199"/>
      <c r="AA7199"/>
      <c r="AC7199"/>
      <c r="AR7199"/>
    </row>
    <row r="7200" spans="24:44">
      <c r="X7200"/>
      <c r="Y7200"/>
      <c r="Z7200"/>
      <c r="AA7200"/>
      <c r="AC7200"/>
      <c r="AR7200"/>
    </row>
    <row r="7201" spans="24:44">
      <c r="X7201"/>
      <c r="Y7201"/>
      <c r="Z7201"/>
      <c r="AA7201"/>
      <c r="AC7201"/>
      <c r="AR7201"/>
    </row>
    <row r="7202" spans="24:44">
      <c r="X7202"/>
      <c r="Y7202"/>
      <c r="Z7202"/>
      <c r="AA7202"/>
      <c r="AC7202"/>
      <c r="AR7202"/>
    </row>
    <row r="7203" spans="24:44">
      <c r="X7203"/>
      <c r="Y7203"/>
      <c r="Z7203"/>
      <c r="AA7203"/>
      <c r="AC7203"/>
      <c r="AR7203"/>
    </row>
    <row r="7204" spans="24:44">
      <c r="X7204"/>
      <c r="Y7204"/>
      <c r="Z7204"/>
      <c r="AA7204"/>
      <c r="AC7204"/>
      <c r="AR7204"/>
    </row>
    <row r="7205" spans="24:44">
      <c r="X7205"/>
      <c r="Y7205"/>
      <c r="Z7205"/>
      <c r="AA7205"/>
      <c r="AC7205"/>
      <c r="AR7205"/>
    </row>
    <row r="7206" spans="24:44">
      <c r="X7206"/>
      <c r="Y7206"/>
      <c r="Z7206"/>
      <c r="AA7206"/>
      <c r="AC7206"/>
      <c r="AR7206"/>
    </row>
    <row r="7207" spans="24:44">
      <c r="X7207"/>
      <c r="Y7207"/>
      <c r="Z7207"/>
      <c r="AA7207"/>
      <c r="AC7207"/>
      <c r="AR7207"/>
    </row>
    <row r="7208" spans="24:44">
      <c r="X7208"/>
      <c r="Y7208"/>
      <c r="Z7208"/>
      <c r="AA7208"/>
      <c r="AC7208"/>
      <c r="AR7208"/>
    </row>
    <row r="7209" spans="24:44">
      <c r="X7209"/>
      <c r="Y7209"/>
      <c r="Z7209"/>
      <c r="AA7209"/>
      <c r="AC7209"/>
      <c r="AR7209"/>
    </row>
    <row r="7210" spans="24:44">
      <c r="X7210"/>
      <c r="Y7210"/>
      <c r="Z7210"/>
      <c r="AA7210"/>
      <c r="AC7210"/>
      <c r="AR7210"/>
    </row>
    <row r="7211" spans="24:44">
      <c r="X7211"/>
      <c r="Y7211"/>
      <c r="Z7211"/>
      <c r="AA7211"/>
      <c r="AC7211"/>
      <c r="AR7211"/>
    </row>
    <row r="7212" spans="24:44">
      <c r="X7212"/>
      <c r="Y7212"/>
      <c r="Z7212"/>
      <c r="AA7212"/>
      <c r="AC7212"/>
      <c r="AR7212"/>
    </row>
    <row r="7213" spans="24:44">
      <c r="X7213"/>
      <c r="Y7213"/>
      <c r="Z7213"/>
      <c r="AA7213"/>
      <c r="AC7213"/>
      <c r="AR7213"/>
    </row>
    <row r="7214" spans="24:44">
      <c r="X7214"/>
      <c r="Y7214"/>
      <c r="Z7214"/>
      <c r="AA7214"/>
      <c r="AC7214"/>
      <c r="AR7214"/>
    </row>
    <row r="7215" spans="24:44">
      <c r="X7215"/>
      <c r="Y7215"/>
      <c r="Z7215"/>
      <c r="AA7215"/>
      <c r="AC7215"/>
      <c r="AR7215"/>
    </row>
    <row r="7216" spans="24:44">
      <c r="X7216"/>
      <c r="Y7216"/>
      <c r="Z7216"/>
      <c r="AA7216"/>
      <c r="AC7216"/>
      <c r="AR7216"/>
    </row>
    <row r="7217" spans="24:44">
      <c r="X7217"/>
      <c r="Y7217"/>
      <c r="Z7217"/>
      <c r="AA7217"/>
      <c r="AC7217"/>
      <c r="AR7217"/>
    </row>
    <row r="7218" spans="24:44">
      <c r="X7218"/>
      <c r="Y7218"/>
      <c r="Z7218"/>
      <c r="AA7218"/>
      <c r="AC7218"/>
      <c r="AR7218"/>
    </row>
    <row r="7219" spans="24:44">
      <c r="X7219"/>
      <c r="Y7219"/>
      <c r="Z7219"/>
      <c r="AA7219"/>
      <c r="AC7219"/>
      <c r="AR7219"/>
    </row>
    <row r="7220" spans="24:44">
      <c r="X7220"/>
      <c r="Y7220"/>
      <c r="Z7220"/>
      <c r="AA7220"/>
      <c r="AC7220"/>
      <c r="AR7220"/>
    </row>
    <row r="7221" spans="24:44">
      <c r="X7221"/>
      <c r="Y7221"/>
      <c r="Z7221"/>
      <c r="AA7221"/>
      <c r="AC7221"/>
      <c r="AR7221"/>
    </row>
    <row r="7222" spans="24:44">
      <c r="X7222"/>
      <c r="Y7222"/>
      <c r="Z7222"/>
      <c r="AA7222"/>
      <c r="AC7222"/>
      <c r="AR7222"/>
    </row>
    <row r="7223" spans="24:44">
      <c r="X7223"/>
      <c r="Y7223"/>
      <c r="Z7223"/>
      <c r="AA7223"/>
      <c r="AC7223"/>
      <c r="AR7223"/>
    </row>
    <row r="7224" spans="24:44">
      <c r="X7224"/>
      <c r="Y7224"/>
      <c r="Z7224"/>
      <c r="AA7224"/>
      <c r="AC7224"/>
      <c r="AR7224"/>
    </row>
    <row r="7225" spans="24:44">
      <c r="X7225"/>
      <c r="Y7225"/>
      <c r="Z7225"/>
      <c r="AA7225"/>
      <c r="AC7225"/>
      <c r="AR7225"/>
    </row>
    <row r="7226" spans="24:44">
      <c r="X7226"/>
      <c r="Y7226"/>
      <c r="Z7226"/>
      <c r="AA7226"/>
      <c r="AC7226"/>
      <c r="AR7226"/>
    </row>
    <row r="7227" spans="24:44">
      <c r="X7227"/>
      <c r="Y7227"/>
      <c r="Z7227"/>
      <c r="AA7227"/>
      <c r="AC7227"/>
      <c r="AR7227"/>
    </row>
    <row r="7228" spans="24:44">
      <c r="X7228"/>
      <c r="Y7228"/>
      <c r="Z7228"/>
      <c r="AA7228"/>
      <c r="AC7228"/>
      <c r="AR7228"/>
    </row>
    <row r="7229" spans="24:44">
      <c r="X7229"/>
      <c r="Y7229"/>
      <c r="Z7229"/>
      <c r="AA7229"/>
      <c r="AC7229"/>
      <c r="AR7229"/>
    </row>
    <row r="7230" spans="24:44">
      <c r="X7230"/>
      <c r="Y7230"/>
      <c r="Z7230"/>
      <c r="AA7230"/>
      <c r="AC7230"/>
      <c r="AR7230"/>
    </row>
    <row r="7231" spans="24:44">
      <c r="X7231"/>
      <c r="Y7231"/>
      <c r="Z7231"/>
      <c r="AA7231"/>
      <c r="AC7231"/>
      <c r="AR7231"/>
    </row>
    <row r="7232" spans="24:44">
      <c r="X7232"/>
      <c r="Y7232"/>
      <c r="Z7232"/>
      <c r="AA7232"/>
      <c r="AC7232"/>
      <c r="AR7232"/>
    </row>
    <row r="7233" spans="24:44">
      <c r="X7233"/>
      <c r="Y7233"/>
      <c r="Z7233"/>
      <c r="AA7233"/>
      <c r="AC7233"/>
      <c r="AR7233"/>
    </row>
    <row r="7234" spans="24:44">
      <c r="X7234"/>
      <c r="Y7234"/>
      <c r="Z7234"/>
      <c r="AA7234"/>
      <c r="AC7234"/>
      <c r="AR7234"/>
    </row>
    <row r="7235" spans="24:44">
      <c r="X7235"/>
      <c r="Y7235"/>
      <c r="Z7235"/>
      <c r="AA7235"/>
      <c r="AC7235"/>
      <c r="AR7235"/>
    </row>
    <row r="7236" spans="24:44">
      <c r="X7236"/>
      <c r="Y7236"/>
      <c r="Z7236"/>
      <c r="AA7236"/>
      <c r="AC7236"/>
      <c r="AR7236"/>
    </row>
    <row r="7237" spans="24:44">
      <c r="X7237"/>
      <c r="Y7237"/>
      <c r="Z7237"/>
      <c r="AA7237"/>
      <c r="AC7237"/>
      <c r="AR7237"/>
    </row>
    <row r="7238" spans="24:44">
      <c r="X7238"/>
      <c r="Y7238"/>
      <c r="Z7238"/>
      <c r="AA7238"/>
      <c r="AC7238"/>
      <c r="AR7238"/>
    </row>
    <row r="7239" spans="24:44">
      <c r="X7239"/>
      <c r="Y7239"/>
      <c r="Z7239"/>
      <c r="AA7239"/>
      <c r="AC7239"/>
      <c r="AR7239"/>
    </row>
    <row r="7240" spans="24:44">
      <c r="X7240"/>
      <c r="Y7240"/>
      <c r="Z7240"/>
      <c r="AA7240"/>
      <c r="AC7240"/>
      <c r="AR7240"/>
    </row>
    <row r="7241" spans="24:44">
      <c r="X7241"/>
      <c r="Y7241"/>
      <c r="Z7241"/>
      <c r="AA7241"/>
      <c r="AC7241"/>
      <c r="AR7241"/>
    </row>
    <row r="7242" spans="24:44">
      <c r="X7242"/>
      <c r="Y7242"/>
      <c r="Z7242"/>
      <c r="AA7242"/>
      <c r="AC7242"/>
      <c r="AR7242"/>
    </row>
    <row r="7243" spans="24:44">
      <c r="X7243"/>
      <c r="Y7243"/>
      <c r="Z7243"/>
      <c r="AA7243"/>
      <c r="AC7243"/>
      <c r="AR7243"/>
    </row>
    <row r="7244" spans="24:44">
      <c r="X7244"/>
      <c r="Y7244"/>
      <c r="Z7244"/>
      <c r="AA7244"/>
      <c r="AC7244"/>
      <c r="AR7244"/>
    </row>
    <row r="7245" spans="24:44">
      <c r="X7245"/>
      <c r="Y7245"/>
      <c r="Z7245"/>
      <c r="AA7245"/>
      <c r="AC7245"/>
      <c r="AR7245"/>
    </row>
    <row r="7246" spans="24:44">
      <c r="X7246"/>
      <c r="Y7246"/>
      <c r="Z7246"/>
      <c r="AA7246"/>
      <c r="AC7246"/>
      <c r="AR7246"/>
    </row>
    <row r="7247" spans="24:44">
      <c r="X7247"/>
      <c r="Y7247"/>
      <c r="Z7247"/>
      <c r="AA7247"/>
      <c r="AC7247"/>
      <c r="AR7247"/>
    </row>
    <row r="7248" spans="24:44">
      <c r="X7248"/>
      <c r="Y7248"/>
      <c r="Z7248"/>
      <c r="AA7248"/>
      <c r="AC7248"/>
      <c r="AR7248"/>
    </row>
    <row r="7249" spans="24:44">
      <c r="X7249"/>
      <c r="Y7249"/>
      <c r="Z7249"/>
      <c r="AA7249"/>
      <c r="AC7249"/>
      <c r="AR7249"/>
    </row>
    <row r="7250" spans="24:44">
      <c r="X7250"/>
      <c r="Y7250"/>
      <c r="Z7250"/>
      <c r="AA7250"/>
      <c r="AC7250"/>
      <c r="AR7250"/>
    </row>
    <row r="7251" spans="24:44">
      <c r="X7251"/>
      <c r="Y7251"/>
      <c r="Z7251"/>
      <c r="AA7251"/>
      <c r="AC7251"/>
      <c r="AR7251"/>
    </row>
    <row r="7252" spans="24:44">
      <c r="X7252"/>
      <c r="Y7252"/>
      <c r="Z7252"/>
      <c r="AA7252"/>
      <c r="AC7252"/>
      <c r="AR7252"/>
    </row>
    <row r="7253" spans="24:44">
      <c r="X7253"/>
      <c r="Y7253"/>
      <c r="Z7253"/>
      <c r="AA7253"/>
      <c r="AC7253"/>
      <c r="AR7253"/>
    </row>
    <row r="7254" spans="24:44">
      <c r="X7254"/>
      <c r="Y7254"/>
      <c r="Z7254"/>
      <c r="AA7254"/>
      <c r="AC7254"/>
      <c r="AR7254"/>
    </row>
    <row r="7255" spans="24:44">
      <c r="X7255"/>
      <c r="Y7255"/>
      <c r="Z7255"/>
      <c r="AA7255"/>
      <c r="AC7255"/>
      <c r="AR7255"/>
    </row>
    <row r="7256" spans="24:44">
      <c r="X7256"/>
      <c r="Y7256"/>
      <c r="Z7256"/>
      <c r="AA7256"/>
      <c r="AC7256"/>
      <c r="AR7256"/>
    </row>
    <row r="7257" spans="24:44">
      <c r="X7257"/>
      <c r="Y7257"/>
      <c r="Z7257"/>
      <c r="AA7257"/>
      <c r="AC7257"/>
      <c r="AR7257"/>
    </row>
    <row r="7258" spans="24:44">
      <c r="X7258"/>
      <c r="Y7258"/>
      <c r="Z7258"/>
      <c r="AA7258"/>
      <c r="AC7258"/>
      <c r="AR7258"/>
    </row>
    <row r="7259" spans="24:44">
      <c r="X7259"/>
      <c r="Y7259"/>
      <c r="Z7259"/>
      <c r="AA7259"/>
      <c r="AC7259"/>
      <c r="AR7259"/>
    </row>
    <row r="7260" spans="24:44">
      <c r="X7260"/>
      <c r="Y7260"/>
      <c r="Z7260"/>
      <c r="AA7260"/>
      <c r="AC7260"/>
      <c r="AR7260"/>
    </row>
    <row r="7261" spans="24:44">
      <c r="X7261"/>
      <c r="Y7261"/>
      <c r="Z7261"/>
      <c r="AA7261"/>
      <c r="AC7261"/>
      <c r="AR7261"/>
    </row>
    <row r="7262" spans="24:44">
      <c r="X7262"/>
      <c r="Y7262"/>
      <c r="Z7262"/>
      <c r="AA7262"/>
      <c r="AC7262"/>
      <c r="AR7262"/>
    </row>
    <row r="7263" spans="24:44">
      <c r="X7263"/>
      <c r="Y7263"/>
      <c r="Z7263"/>
      <c r="AA7263"/>
      <c r="AC7263"/>
      <c r="AR7263"/>
    </row>
    <row r="7264" spans="24:44">
      <c r="X7264"/>
      <c r="Y7264"/>
      <c r="Z7264"/>
      <c r="AA7264"/>
      <c r="AC7264"/>
      <c r="AR7264"/>
    </row>
    <row r="7265" spans="24:44">
      <c r="X7265"/>
      <c r="Y7265"/>
      <c r="Z7265"/>
      <c r="AA7265"/>
      <c r="AC7265"/>
      <c r="AR7265"/>
    </row>
    <row r="7266" spans="24:44">
      <c r="X7266"/>
      <c r="Y7266"/>
      <c r="Z7266"/>
      <c r="AA7266"/>
      <c r="AC7266"/>
      <c r="AR7266"/>
    </row>
    <row r="7267" spans="24:44">
      <c r="X7267"/>
      <c r="Y7267"/>
      <c r="Z7267"/>
      <c r="AA7267"/>
      <c r="AC7267"/>
      <c r="AR7267"/>
    </row>
    <row r="7268" spans="24:44">
      <c r="X7268"/>
      <c r="Y7268"/>
      <c r="Z7268"/>
      <c r="AA7268"/>
      <c r="AC7268"/>
      <c r="AR7268"/>
    </row>
    <row r="7269" spans="24:44">
      <c r="X7269"/>
      <c r="Y7269"/>
      <c r="Z7269"/>
      <c r="AA7269"/>
      <c r="AC7269"/>
      <c r="AR7269"/>
    </row>
    <row r="7270" spans="24:44">
      <c r="X7270"/>
      <c r="Y7270"/>
      <c r="Z7270"/>
      <c r="AA7270"/>
      <c r="AC7270"/>
      <c r="AR7270"/>
    </row>
    <row r="7271" spans="24:44">
      <c r="X7271"/>
      <c r="Y7271"/>
      <c r="Z7271"/>
      <c r="AA7271"/>
      <c r="AC7271"/>
      <c r="AR7271"/>
    </row>
    <row r="7272" spans="24:44">
      <c r="X7272"/>
      <c r="Y7272"/>
      <c r="Z7272"/>
      <c r="AA7272"/>
      <c r="AC7272"/>
      <c r="AR7272"/>
    </row>
    <row r="7273" spans="24:44">
      <c r="X7273"/>
      <c r="Y7273"/>
      <c r="Z7273"/>
      <c r="AA7273"/>
      <c r="AC7273"/>
      <c r="AR7273"/>
    </row>
    <row r="7274" spans="24:44">
      <c r="X7274"/>
      <c r="Y7274"/>
      <c r="Z7274"/>
      <c r="AA7274"/>
      <c r="AC7274"/>
      <c r="AR7274"/>
    </row>
    <row r="7275" spans="24:44">
      <c r="X7275"/>
      <c r="Y7275"/>
      <c r="Z7275"/>
      <c r="AA7275"/>
      <c r="AC7275"/>
      <c r="AR7275"/>
    </row>
    <row r="7276" spans="24:44">
      <c r="X7276"/>
      <c r="Y7276"/>
      <c r="Z7276"/>
      <c r="AA7276"/>
      <c r="AC7276"/>
      <c r="AR7276"/>
    </row>
    <row r="7277" spans="24:44">
      <c r="X7277"/>
      <c r="Y7277"/>
      <c r="Z7277"/>
      <c r="AA7277"/>
      <c r="AC7277"/>
      <c r="AR7277"/>
    </row>
    <row r="7278" spans="24:44">
      <c r="X7278"/>
      <c r="Y7278"/>
      <c r="Z7278"/>
      <c r="AA7278"/>
      <c r="AC7278"/>
      <c r="AR7278"/>
    </row>
    <row r="7279" spans="24:44">
      <c r="X7279"/>
      <c r="Y7279"/>
      <c r="Z7279"/>
      <c r="AA7279"/>
      <c r="AC7279"/>
      <c r="AR7279"/>
    </row>
    <row r="7280" spans="24:44">
      <c r="X7280"/>
      <c r="Y7280"/>
      <c r="Z7280"/>
      <c r="AA7280"/>
      <c r="AC7280"/>
      <c r="AR7280"/>
    </row>
    <row r="7281" spans="24:44">
      <c r="X7281"/>
      <c r="Y7281"/>
      <c r="Z7281"/>
      <c r="AA7281"/>
      <c r="AC7281"/>
      <c r="AR7281"/>
    </row>
    <row r="7282" spans="24:44">
      <c r="X7282"/>
      <c r="Y7282"/>
      <c r="Z7282"/>
      <c r="AA7282"/>
      <c r="AC7282"/>
      <c r="AR7282"/>
    </row>
    <row r="7283" spans="24:44">
      <c r="X7283"/>
      <c r="Y7283"/>
      <c r="Z7283"/>
      <c r="AA7283"/>
      <c r="AC7283"/>
      <c r="AR7283"/>
    </row>
    <row r="7284" spans="24:44">
      <c r="X7284"/>
      <c r="Y7284"/>
      <c r="Z7284"/>
      <c r="AA7284"/>
      <c r="AC7284"/>
      <c r="AR7284"/>
    </row>
    <row r="7285" spans="24:44">
      <c r="X7285"/>
      <c r="Y7285"/>
      <c r="Z7285"/>
      <c r="AA7285"/>
      <c r="AC7285"/>
      <c r="AR7285"/>
    </row>
    <row r="7286" spans="24:44">
      <c r="X7286"/>
      <c r="Y7286"/>
      <c r="Z7286"/>
      <c r="AA7286"/>
      <c r="AC7286"/>
      <c r="AR7286"/>
    </row>
    <row r="7287" spans="24:44">
      <c r="X7287"/>
      <c r="Y7287"/>
      <c r="Z7287"/>
      <c r="AA7287"/>
      <c r="AC7287"/>
      <c r="AR7287"/>
    </row>
    <row r="7288" spans="24:44">
      <c r="X7288"/>
      <c r="Y7288"/>
      <c r="Z7288"/>
      <c r="AA7288"/>
      <c r="AC7288"/>
      <c r="AR7288"/>
    </row>
    <row r="7289" spans="24:44">
      <c r="X7289"/>
      <c r="Y7289"/>
      <c r="Z7289"/>
      <c r="AA7289"/>
      <c r="AC7289"/>
      <c r="AR7289"/>
    </row>
    <row r="7290" spans="24:44">
      <c r="X7290"/>
      <c r="Y7290"/>
      <c r="Z7290"/>
      <c r="AA7290"/>
      <c r="AC7290"/>
      <c r="AR7290"/>
    </row>
    <row r="7291" spans="24:44">
      <c r="X7291"/>
      <c r="Y7291"/>
      <c r="Z7291"/>
      <c r="AA7291"/>
      <c r="AC7291"/>
      <c r="AR7291"/>
    </row>
    <row r="7292" spans="24:44">
      <c r="X7292"/>
      <c r="Y7292"/>
      <c r="Z7292"/>
      <c r="AA7292"/>
      <c r="AC7292"/>
      <c r="AR7292"/>
    </row>
    <row r="7293" spans="24:44">
      <c r="X7293"/>
      <c r="Y7293"/>
      <c r="Z7293"/>
      <c r="AA7293"/>
      <c r="AC7293"/>
      <c r="AR7293"/>
    </row>
    <row r="7294" spans="24:44">
      <c r="X7294"/>
      <c r="Y7294"/>
      <c r="Z7294"/>
      <c r="AA7294"/>
      <c r="AC7294"/>
      <c r="AR7294"/>
    </row>
    <row r="7295" spans="24:44">
      <c r="X7295"/>
      <c r="Y7295"/>
      <c r="Z7295"/>
      <c r="AA7295"/>
      <c r="AC7295"/>
      <c r="AR7295"/>
    </row>
    <row r="7296" spans="24:44">
      <c r="X7296"/>
      <c r="Y7296"/>
      <c r="Z7296"/>
      <c r="AA7296"/>
      <c r="AC7296"/>
      <c r="AR7296"/>
    </row>
    <row r="7297" spans="24:44">
      <c r="X7297"/>
      <c r="Y7297"/>
      <c r="Z7297"/>
      <c r="AA7297"/>
      <c r="AC7297"/>
      <c r="AR7297"/>
    </row>
    <row r="7298" spans="24:44">
      <c r="X7298"/>
      <c r="Y7298"/>
      <c r="Z7298"/>
      <c r="AA7298"/>
      <c r="AC7298"/>
      <c r="AR7298"/>
    </row>
    <row r="7299" spans="24:44">
      <c r="X7299"/>
      <c r="Y7299"/>
      <c r="Z7299"/>
      <c r="AA7299"/>
      <c r="AC7299"/>
      <c r="AR7299"/>
    </row>
    <row r="7300" spans="24:44">
      <c r="X7300"/>
      <c r="Y7300"/>
      <c r="Z7300"/>
      <c r="AA7300"/>
      <c r="AC7300"/>
      <c r="AR7300"/>
    </row>
    <row r="7301" spans="24:44">
      <c r="X7301"/>
      <c r="Y7301"/>
      <c r="Z7301"/>
      <c r="AA7301"/>
      <c r="AC7301"/>
      <c r="AR7301"/>
    </row>
    <row r="7302" spans="24:44">
      <c r="X7302"/>
      <c r="Y7302"/>
      <c r="Z7302"/>
      <c r="AA7302"/>
      <c r="AC7302"/>
      <c r="AR7302"/>
    </row>
    <row r="7303" spans="24:44">
      <c r="X7303"/>
      <c r="Y7303"/>
      <c r="Z7303"/>
      <c r="AA7303"/>
      <c r="AC7303"/>
      <c r="AR7303"/>
    </row>
    <row r="7304" spans="24:44">
      <c r="X7304"/>
      <c r="Y7304"/>
      <c r="Z7304"/>
      <c r="AA7304"/>
      <c r="AC7304"/>
      <c r="AR7304"/>
    </row>
    <row r="7305" spans="24:44">
      <c r="X7305"/>
      <c r="Y7305"/>
      <c r="Z7305"/>
      <c r="AA7305"/>
      <c r="AC7305"/>
      <c r="AR7305"/>
    </row>
    <row r="7306" spans="24:44">
      <c r="X7306"/>
      <c r="Y7306"/>
      <c r="Z7306"/>
      <c r="AA7306"/>
      <c r="AC7306"/>
      <c r="AR7306"/>
    </row>
    <row r="7307" spans="24:44">
      <c r="X7307"/>
      <c r="Y7307"/>
      <c r="Z7307"/>
      <c r="AA7307"/>
      <c r="AC7307"/>
      <c r="AR7307"/>
    </row>
    <row r="7308" spans="24:44">
      <c r="X7308"/>
      <c r="Y7308"/>
      <c r="Z7308"/>
      <c r="AA7308"/>
      <c r="AC7308"/>
      <c r="AR7308"/>
    </row>
    <row r="7309" spans="24:44">
      <c r="X7309"/>
      <c r="Y7309"/>
      <c r="Z7309"/>
      <c r="AA7309"/>
      <c r="AC7309"/>
      <c r="AR7309"/>
    </row>
    <row r="7310" spans="24:44">
      <c r="X7310"/>
      <c r="Y7310"/>
      <c r="Z7310"/>
      <c r="AA7310"/>
      <c r="AC7310"/>
      <c r="AR7310"/>
    </row>
    <row r="7311" spans="24:44">
      <c r="X7311"/>
      <c r="Y7311"/>
      <c r="Z7311"/>
      <c r="AA7311"/>
      <c r="AC7311"/>
      <c r="AR7311"/>
    </row>
    <row r="7312" spans="24:44">
      <c r="X7312"/>
      <c r="Y7312"/>
      <c r="Z7312"/>
      <c r="AA7312"/>
      <c r="AC7312"/>
      <c r="AR7312"/>
    </row>
    <row r="7313" spans="24:44">
      <c r="X7313"/>
      <c r="Y7313"/>
      <c r="Z7313"/>
      <c r="AA7313"/>
      <c r="AC7313"/>
      <c r="AR7313"/>
    </row>
    <row r="7314" spans="24:44">
      <c r="X7314"/>
      <c r="Y7314"/>
      <c r="Z7314"/>
      <c r="AA7314"/>
      <c r="AC7314"/>
      <c r="AR7314"/>
    </row>
    <row r="7315" spans="24:44">
      <c r="X7315"/>
      <c r="Y7315"/>
      <c r="Z7315"/>
      <c r="AA7315"/>
      <c r="AC7315"/>
      <c r="AR7315"/>
    </row>
    <row r="7316" spans="24:44">
      <c r="X7316"/>
      <c r="Y7316"/>
      <c r="Z7316"/>
      <c r="AA7316"/>
      <c r="AC7316"/>
      <c r="AR7316"/>
    </row>
    <row r="7317" spans="24:44">
      <c r="X7317"/>
      <c r="Y7317"/>
      <c r="Z7317"/>
      <c r="AA7317"/>
      <c r="AC7317"/>
      <c r="AR7317"/>
    </row>
    <row r="7318" spans="24:44">
      <c r="X7318"/>
      <c r="Y7318"/>
      <c r="Z7318"/>
      <c r="AA7318"/>
      <c r="AC7318"/>
      <c r="AR7318"/>
    </row>
    <row r="7319" spans="24:44">
      <c r="X7319"/>
      <c r="Y7319"/>
      <c r="Z7319"/>
      <c r="AA7319"/>
      <c r="AC7319"/>
      <c r="AR7319"/>
    </row>
    <row r="7320" spans="24:44">
      <c r="X7320"/>
      <c r="Y7320"/>
      <c r="Z7320"/>
      <c r="AA7320"/>
      <c r="AC7320"/>
      <c r="AR7320"/>
    </row>
    <row r="7321" spans="24:44">
      <c r="X7321"/>
      <c r="Y7321"/>
      <c r="Z7321"/>
      <c r="AA7321"/>
      <c r="AC7321"/>
      <c r="AR7321"/>
    </row>
    <row r="7322" spans="24:44">
      <c r="X7322"/>
      <c r="Y7322"/>
      <c r="Z7322"/>
      <c r="AA7322"/>
      <c r="AC7322"/>
      <c r="AR7322"/>
    </row>
    <row r="7323" spans="24:44">
      <c r="X7323"/>
      <c r="Y7323"/>
      <c r="Z7323"/>
      <c r="AA7323"/>
      <c r="AC7323"/>
      <c r="AR7323"/>
    </row>
    <row r="7324" spans="24:44">
      <c r="X7324"/>
      <c r="Y7324"/>
      <c r="Z7324"/>
      <c r="AA7324"/>
      <c r="AC7324"/>
      <c r="AR7324"/>
    </row>
    <row r="7325" spans="24:44">
      <c r="X7325"/>
      <c r="Y7325"/>
      <c r="Z7325"/>
      <c r="AA7325"/>
      <c r="AC7325"/>
      <c r="AR7325"/>
    </row>
    <row r="7326" spans="24:44">
      <c r="X7326"/>
      <c r="Y7326"/>
      <c r="Z7326"/>
      <c r="AA7326"/>
      <c r="AC7326"/>
      <c r="AR7326"/>
    </row>
    <row r="7327" spans="24:44">
      <c r="X7327"/>
      <c r="Y7327"/>
      <c r="Z7327"/>
      <c r="AA7327"/>
      <c r="AC7327"/>
      <c r="AR7327"/>
    </row>
    <row r="7328" spans="24:44">
      <c r="X7328"/>
      <c r="Y7328"/>
      <c r="Z7328"/>
      <c r="AA7328"/>
      <c r="AC7328"/>
      <c r="AR7328"/>
    </row>
    <row r="7329" spans="24:44">
      <c r="X7329"/>
      <c r="Y7329"/>
      <c r="Z7329"/>
      <c r="AA7329"/>
      <c r="AC7329"/>
      <c r="AR7329"/>
    </row>
    <row r="7330" spans="24:44">
      <c r="X7330"/>
      <c r="Y7330"/>
      <c r="Z7330"/>
      <c r="AA7330"/>
      <c r="AC7330"/>
      <c r="AR7330"/>
    </row>
    <row r="7331" spans="24:44">
      <c r="X7331"/>
      <c r="Y7331"/>
      <c r="Z7331"/>
      <c r="AA7331"/>
      <c r="AC7331"/>
      <c r="AR7331"/>
    </row>
    <row r="7332" spans="24:44">
      <c r="X7332"/>
      <c r="Y7332"/>
      <c r="Z7332"/>
      <c r="AA7332"/>
      <c r="AC7332"/>
      <c r="AR7332"/>
    </row>
    <row r="7333" spans="24:44">
      <c r="X7333"/>
      <c r="Y7333"/>
      <c r="Z7333"/>
      <c r="AA7333"/>
      <c r="AC7333"/>
      <c r="AR7333"/>
    </row>
    <row r="7334" spans="24:44">
      <c r="X7334"/>
      <c r="Y7334"/>
      <c r="Z7334"/>
      <c r="AA7334"/>
      <c r="AC7334"/>
      <c r="AR7334"/>
    </row>
    <row r="7335" spans="24:44">
      <c r="X7335"/>
      <c r="Y7335"/>
      <c r="Z7335"/>
      <c r="AA7335"/>
      <c r="AC7335"/>
      <c r="AR7335"/>
    </row>
    <row r="7336" spans="24:44">
      <c r="X7336"/>
      <c r="Y7336"/>
      <c r="Z7336"/>
      <c r="AA7336"/>
      <c r="AC7336"/>
      <c r="AR7336"/>
    </row>
    <row r="7337" spans="24:44">
      <c r="X7337"/>
      <c r="Y7337"/>
      <c r="Z7337"/>
      <c r="AA7337"/>
      <c r="AC7337"/>
      <c r="AR7337"/>
    </row>
    <row r="7338" spans="24:44">
      <c r="X7338"/>
      <c r="Y7338"/>
      <c r="Z7338"/>
      <c r="AA7338"/>
      <c r="AC7338"/>
      <c r="AR7338"/>
    </row>
    <row r="7339" spans="24:44">
      <c r="X7339"/>
      <c r="Y7339"/>
      <c r="Z7339"/>
      <c r="AA7339"/>
      <c r="AC7339"/>
      <c r="AR7339"/>
    </row>
    <row r="7340" spans="24:44">
      <c r="X7340"/>
      <c r="Y7340"/>
      <c r="Z7340"/>
      <c r="AA7340"/>
      <c r="AC7340"/>
      <c r="AR7340"/>
    </row>
    <row r="7341" spans="24:44">
      <c r="X7341"/>
      <c r="Y7341"/>
      <c r="Z7341"/>
      <c r="AA7341"/>
      <c r="AC7341"/>
      <c r="AR7341"/>
    </row>
    <row r="7342" spans="24:44">
      <c r="X7342"/>
      <c r="Y7342"/>
      <c r="Z7342"/>
      <c r="AA7342"/>
      <c r="AC7342"/>
      <c r="AR7342"/>
    </row>
    <row r="7343" spans="24:44">
      <c r="X7343"/>
      <c r="Y7343"/>
      <c r="Z7343"/>
      <c r="AA7343"/>
      <c r="AC7343"/>
      <c r="AR7343"/>
    </row>
    <row r="7344" spans="24:44">
      <c r="X7344"/>
      <c r="Y7344"/>
      <c r="Z7344"/>
      <c r="AA7344"/>
      <c r="AC7344"/>
      <c r="AR7344"/>
    </row>
    <row r="7345" spans="24:44">
      <c r="X7345"/>
      <c r="Y7345"/>
      <c r="Z7345"/>
      <c r="AA7345"/>
      <c r="AC7345"/>
      <c r="AR7345"/>
    </row>
    <row r="7346" spans="24:44">
      <c r="X7346"/>
      <c r="Y7346"/>
      <c r="Z7346"/>
      <c r="AA7346"/>
      <c r="AC7346"/>
      <c r="AR7346"/>
    </row>
    <row r="7347" spans="24:44">
      <c r="X7347"/>
      <c r="Y7347"/>
      <c r="Z7347"/>
      <c r="AA7347"/>
      <c r="AC7347"/>
      <c r="AR7347"/>
    </row>
    <row r="7348" spans="24:44">
      <c r="X7348"/>
      <c r="Y7348"/>
      <c r="Z7348"/>
      <c r="AA7348"/>
      <c r="AC7348"/>
      <c r="AR7348"/>
    </row>
    <row r="7349" spans="24:44">
      <c r="X7349"/>
      <c r="Y7349"/>
      <c r="Z7349"/>
      <c r="AA7349"/>
      <c r="AC7349"/>
      <c r="AR7349"/>
    </row>
    <row r="7350" spans="24:44">
      <c r="X7350"/>
      <c r="Y7350"/>
      <c r="Z7350"/>
      <c r="AA7350"/>
      <c r="AC7350"/>
      <c r="AR7350"/>
    </row>
    <row r="7351" spans="24:44">
      <c r="X7351"/>
      <c r="Y7351"/>
      <c r="Z7351"/>
      <c r="AA7351"/>
      <c r="AC7351"/>
      <c r="AR7351"/>
    </row>
    <row r="7352" spans="24:44">
      <c r="X7352"/>
      <c r="Y7352"/>
      <c r="Z7352"/>
      <c r="AA7352"/>
      <c r="AC7352"/>
      <c r="AR7352"/>
    </row>
    <row r="7353" spans="24:44">
      <c r="X7353"/>
      <c r="Y7353"/>
      <c r="Z7353"/>
      <c r="AA7353"/>
      <c r="AC7353"/>
      <c r="AR7353"/>
    </row>
    <row r="7354" spans="24:44">
      <c r="X7354"/>
      <c r="Y7354"/>
      <c r="Z7354"/>
      <c r="AA7354"/>
      <c r="AC7354"/>
      <c r="AR7354"/>
    </row>
    <row r="7355" spans="24:44">
      <c r="X7355"/>
      <c r="Y7355"/>
      <c r="Z7355"/>
      <c r="AA7355"/>
      <c r="AC7355"/>
      <c r="AR7355"/>
    </row>
    <row r="7356" spans="24:44">
      <c r="X7356"/>
      <c r="Y7356"/>
      <c r="Z7356"/>
      <c r="AA7356"/>
      <c r="AC7356"/>
      <c r="AR7356"/>
    </row>
    <row r="7357" spans="24:44">
      <c r="X7357"/>
      <c r="Y7357"/>
      <c r="Z7357"/>
      <c r="AA7357"/>
      <c r="AC7357"/>
      <c r="AR7357"/>
    </row>
    <row r="7358" spans="24:44">
      <c r="X7358"/>
      <c r="Y7358"/>
      <c r="Z7358"/>
      <c r="AA7358"/>
      <c r="AC7358"/>
      <c r="AR7358"/>
    </row>
    <row r="7359" spans="24:44">
      <c r="X7359"/>
      <c r="Y7359"/>
      <c r="Z7359"/>
      <c r="AA7359"/>
      <c r="AC7359"/>
      <c r="AR7359"/>
    </row>
    <row r="7360" spans="24:44">
      <c r="X7360"/>
      <c r="Y7360"/>
      <c r="Z7360"/>
      <c r="AA7360"/>
      <c r="AC7360"/>
      <c r="AR7360"/>
    </row>
    <row r="7361" spans="24:44">
      <c r="X7361"/>
      <c r="Y7361"/>
      <c r="Z7361"/>
      <c r="AA7361"/>
      <c r="AC7361"/>
      <c r="AR7361"/>
    </row>
    <row r="7362" spans="24:44">
      <c r="X7362"/>
      <c r="Y7362"/>
      <c r="Z7362"/>
      <c r="AA7362"/>
      <c r="AC7362"/>
      <c r="AR7362"/>
    </row>
    <row r="7363" spans="24:44">
      <c r="X7363"/>
      <c r="Y7363"/>
      <c r="Z7363"/>
      <c r="AA7363"/>
      <c r="AC7363"/>
      <c r="AR7363"/>
    </row>
    <row r="7364" spans="24:44">
      <c r="X7364"/>
      <c r="Y7364"/>
      <c r="Z7364"/>
      <c r="AA7364"/>
      <c r="AC7364"/>
      <c r="AR7364"/>
    </row>
    <row r="7365" spans="24:44">
      <c r="X7365"/>
      <c r="Y7365"/>
      <c r="Z7365"/>
      <c r="AA7365"/>
      <c r="AC7365"/>
      <c r="AR7365"/>
    </row>
    <row r="7366" spans="24:44">
      <c r="X7366"/>
      <c r="Y7366"/>
      <c r="Z7366"/>
      <c r="AA7366"/>
      <c r="AC7366"/>
      <c r="AR7366"/>
    </row>
    <row r="7367" spans="24:44">
      <c r="X7367"/>
      <c r="Y7367"/>
      <c r="Z7367"/>
      <c r="AA7367"/>
      <c r="AC7367"/>
      <c r="AR7367"/>
    </row>
    <row r="7368" spans="24:44">
      <c r="X7368"/>
      <c r="Y7368"/>
      <c r="Z7368"/>
      <c r="AA7368"/>
      <c r="AC7368"/>
      <c r="AR7368"/>
    </row>
    <row r="7369" spans="24:44">
      <c r="X7369"/>
      <c r="Y7369"/>
      <c r="Z7369"/>
      <c r="AA7369"/>
      <c r="AC7369"/>
      <c r="AR7369"/>
    </row>
    <row r="7370" spans="24:44">
      <c r="X7370"/>
      <c r="Y7370"/>
      <c r="Z7370"/>
      <c r="AA7370"/>
      <c r="AC7370"/>
      <c r="AR7370"/>
    </row>
    <row r="7371" spans="24:44">
      <c r="X7371"/>
      <c r="Y7371"/>
      <c r="Z7371"/>
      <c r="AA7371"/>
      <c r="AC7371"/>
      <c r="AR7371"/>
    </row>
    <row r="7372" spans="24:44">
      <c r="X7372"/>
      <c r="Y7372"/>
      <c r="Z7372"/>
      <c r="AA7372"/>
      <c r="AC7372"/>
      <c r="AR7372"/>
    </row>
    <row r="7373" spans="24:44">
      <c r="X7373"/>
      <c r="Y7373"/>
      <c r="Z7373"/>
      <c r="AA7373"/>
      <c r="AC7373"/>
      <c r="AR7373"/>
    </row>
    <row r="7374" spans="24:44">
      <c r="X7374"/>
      <c r="Y7374"/>
      <c r="Z7374"/>
      <c r="AA7374"/>
      <c r="AC7374"/>
      <c r="AR7374"/>
    </row>
    <row r="7375" spans="24:44">
      <c r="X7375"/>
      <c r="Y7375"/>
      <c r="Z7375"/>
      <c r="AA7375"/>
      <c r="AC7375"/>
      <c r="AR7375"/>
    </row>
    <row r="7376" spans="24:44">
      <c r="X7376"/>
      <c r="Y7376"/>
      <c r="Z7376"/>
      <c r="AA7376"/>
      <c r="AC7376"/>
      <c r="AR7376"/>
    </row>
    <row r="7377" spans="24:44">
      <c r="X7377"/>
      <c r="Y7377"/>
      <c r="Z7377"/>
      <c r="AA7377"/>
      <c r="AC7377"/>
      <c r="AR7377"/>
    </row>
    <row r="7378" spans="24:44">
      <c r="X7378"/>
      <c r="Y7378"/>
      <c r="Z7378"/>
      <c r="AA7378"/>
      <c r="AC7378"/>
      <c r="AR7378"/>
    </row>
    <row r="7379" spans="24:44">
      <c r="X7379"/>
      <c r="Y7379"/>
      <c r="Z7379"/>
      <c r="AA7379"/>
      <c r="AC7379"/>
      <c r="AR7379"/>
    </row>
    <row r="7380" spans="24:44">
      <c r="X7380"/>
      <c r="Y7380"/>
      <c r="Z7380"/>
      <c r="AA7380"/>
      <c r="AC7380"/>
      <c r="AR7380"/>
    </row>
    <row r="7381" spans="24:44">
      <c r="X7381"/>
      <c r="Y7381"/>
      <c r="Z7381"/>
      <c r="AA7381"/>
      <c r="AC7381"/>
      <c r="AR7381"/>
    </row>
    <row r="7382" spans="24:44">
      <c r="X7382"/>
      <c r="Y7382"/>
      <c r="Z7382"/>
      <c r="AA7382"/>
      <c r="AC7382"/>
      <c r="AR7382"/>
    </row>
    <row r="7383" spans="24:44">
      <c r="X7383"/>
      <c r="Y7383"/>
      <c r="Z7383"/>
      <c r="AA7383"/>
      <c r="AC7383"/>
      <c r="AR7383"/>
    </row>
    <row r="7384" spans="24:44">
      <c r="X7384"/>
      <c r="Y7384"/>
      <c r="Z7384"/>
      <c r="AA7384"/>
      <c r="AC7384"/>
      <c r="AR7384"/>
    </row>
    <row r="7385" spans="24:44">
      <c r="X7385"/>
      <c r="Y7385"/>
      <c r="Z7385"/>
      <c r="AA7385"/>
      <c r="AC7385"/>
      <c r="AR7385"/>
    </row>
    <row r="7386" spans="24:44">
      <c r="X7386"/>
      <c r="Y7386"/>
      <c r="Z7386"/>
      <c r="AA7386"/>
      <c r="AC7386"/>
      <c r="AR7386"/>
    </row>
    <row r="7387" spans="24:44">
      <c r="X7387"/>
      <c r="Y7387"/>
      <c r="Z7387"/>
      <c r="AA7387"/>
      <c r="AC7387"/>
      <c r="AR7387"/>
    </row>
    <row r="7388" spans="24:44">
      <c r="X7388"/>
      <c r="Y7388"/>
      <c r="Z7388"/>
      <c r="AA7388"/>
      <c r="AC7388"/>
      <c r="AR7388"/>
    </row>
    <row r="7389" spans="24:44">
      <c r="X7389"/>
      <c r="Y7389"/>
      <c r="Z7389"/>
      <c r="AA7389"/>
      <c r="AC7389"/>
      <c r="AR7389"/>
    </row>
    <row r="7390" spans="24:44">
      <c r="X7390"/>
      <c r="Y7390"/>
      <c r="Z7390"/>
      <c r="AA7390"/>
      <c r="AC7390"/>
      <c r="AR7390"/>
    </row>
    <row r="7391" spans="24:44">
      <c r="X7391"/>
      <c r="Y7391"/>
      <c r="Z7391"/>
      <c r="AA7391"/>
      <c r="AC7391"/>
      <c r="AR7391"/>
    </row>
    <row r="7392" spans="24:44">
      <c r="X7392"/>
      <c r="Y7392"/>
      <c r="Z7392"/>
      <c r="AA7392"/>
      <c r="AC7392"/>
      <c r="AR7392"/>
    </row>
    <row r="7393" spans="24:44">
      <c r="X7393"/>
      <c r="Y7393"/>
      <c r="Z7393"/>
      <c r="AA7393"/>
      <c r="AC7393"/>
      <c r="AR7393"/>
    </row>
    <row r="7394" spans="24:44">
      <c r="X7394"/>
      <c r="Y7394"/>
      <c r="Z7394"/>
      <c r="AA7394"/>
      <c r="AC7394"/>
      <c r="AR7394"/>
    </row>
    <row r="7395" spans="24:44">
      <c r="X7395"/>
      <c r="Y7395"/>
      <c r="Z7395"/>
      <c r="AA7395"/>
      <c r="AC7395"/>
      <c r="AR7395"/>
    </row>
    <row r="7396" spans="24:44">
      <c r="X7396"/>
      <c r="Y7396"/>
      <c r="Z7396"/>
      <c r="AA7396"/>
      <c r="AC7396"/>
      <c r="AR7396"/>
    </row>
    <row r="7397" spans="24:44">
      <c r="X7397"/>
      <c r="Y7397"/>
      <c r="Z7397"/>
      <c r="AA7397"/>
      <c r="AC7397"/>
      <c r="AR7397"/>
    </row>
    <row r="7398" spans="24:44">
      <c r="X7398"/>
      <c r="Y7398"/>
      <c r="Z7398"/>
      <c r="AA7398"/>
      <c r="AC7398"/>
      <c r="AR7398"/>
    </row>
    <row r="7399" spans="24:44">
      <c r="X7399"/>
      <c r="Y7399"/>
      <c r="Z7399"/>
      <c r="AA7399"/>
      <c r="AC7399"/>
      <c r="AR7399"/>
    </row>
    <row r="7400" spans="24:44">
      <c r="X7400"/>
      <c r="Y7400"/>
      <c r="Z7400"/>
      <c r="AA7400"/>
      <c r="AC7400"/>
      <c r="AR7400"/>
    </row>
    <row r="7401" spans="24:44">
      <c r="X7401"/>
      <c r="Y7401"/>
      <c r="Z7401"/>
      <c r="AA7401"/>
      <c r="AC7401"/>
      <c r="AR7401"/>
    </row>
    <row r="7402" spans="24:44">
      <c r="X7402"/>
      <c r="Y7402"/>
      <c r="Z7402"/>
      <c r="AA7402"/>
      <c r="AC7402"/>
      <c r="AR7402"/>
    </row>
    <row r="7403" spans="24:44">
      <c r="X7403"/>
      <c r="Y7403"/>
      <c r="Z7403"/>
      <c r="AA7403"/>
      <c r="AC7403"/>
      <c r="AR7403"/>
    </row>
    <row r="7404" spans="24:44">
      <c r="X7404"/>
      <c r="Y7404"/>
      <c r="Z7404"/>
      <c r="AA7404"/>
      <c r="AC7404"/>
      <c r="AR7404"/>
    </row>
    <row r="7405" spans="24:44">
      <c r="X7405"/>
      <c r="Y7405"/>
      <c r="Z7405"/>
      <c r="AA7405"/>
      <c r="AC7405"/>
      <c r="AR7405"/>
    </row>
    <row r="7406" spans="24:44">
      <c r="X7406"/>
      <c r="Y7406"/>
      <c r="Z7406"/>
      <c r="AA7406"/>
      <c r="AC7406"/>
      <c r="AR7406"/>
    </row>
    <row r="7407" spans="24:44">
      <c r="X7407"/>
      <c r="Y7407"/>
      <c r="Z7407"/>
      <c r="AA7407"/>
      <c r="AC7407"/>
      <c r="AR7407"/>
    </row>
    <row r="7408" spans="24:44">
      <c r="X7408"/>
      <c r="Y7408"/>
      <c r="Z7408"/>
      <c r="AA7408"/>
      <c r="AC7408"/>
      <c r="AR7408"/>
    </row>
    <row r="7409" spans="24:44">
      <c r="X7409"/>
      <c r="Y7409"/>
      <c r="Z7409"/>
      <c r="AA7409"/>
      <c r="AC7409"/>
      <c r="AR7409"/>
    </row>
    <row r="7410" spans="24:44">
      <c r="X7410"/>
      <c r="Y7410"/>
      <c r="Z7410"/>
      <c r="AA7410"/>
      <c r="AC7410"/>
      <c r="AR7410"/>
    </row>
    <row r="7411" spans="24:44">
      <c r="X7411"/>
      <c r="Y7411"/>
      <c r="Z7411"/>
      <c r="AA7411"/>
      <c r="AC7411"/>
      <c r="AR7411"/>
    </row>
    <row r="7412" spans="24:44">
      <c r="X7412"/>
      <c r="Y7412"/>
      <c r="Z7412"/>
      <c r="AA7412"/>
      <c r="AC7412"/>
      <c r="AR7412"/>
    </row>
    <row r="7413" spans="24:44">
      <c r="X7413"/>
      <c r="Y7413"/>
      <c r="Z7413"/>
      <c r="AA7413"/>
      <c r="AC7413"/>
      <c r="AR7413"/>
    </row>
    <row r="7414" spans="24:44">
      <c r="X7414"/>
      <c r="Y7414"/>
      <c r="Z7414"/>
      <c r="AA7414"/>
      <c r="AC7414"/>
      <c r="AR7414"/>
    </row>
    <row r="7415" spans="24:44">
      <c r="X7415"/>
      <c r="Y7415"/>
      <c r="Z7415"/>
      <c r="AA7415"/>
      <c r="AC7415"/>
      <c r="AR7415"/>
    </row>
    <row r="7416" spans="24:44">
      <c r="X7416"/>
      <c r="Y7416"/>
      <c r="Z7416"/>
      <c r="AA7416"/>
      <c r="AC7416"/>
      <c r="AR7416"/>
    </row>
    <row r="7417" spans="24:44">
      <c r="X7417"/>
      <c r="Y7417"/>
      <c r="Z7417"/>
      <c r="AA7417"/>
      <c r="AC7417"/>
      <c r="AR7417"/>
    </row>
    <row r="7418" spans="24:44">
      <c r="X7418"/>
      <c r="Y7418"/>
      <c r="Z7418"/>
      <c r="AA7418"/>
      <c r="AC7418"/>
      <c r="AR7418"/>
    </row>
    <row r="7419" spans="24:44">
      <c r="X7419"/>
      <c r="Y7419"/>
      <c r="Z7419"/>
      <c r="AA7419"/>
      <c r="AC7419"/>
      <c r="AR7419"/>
    </row>
    <row r="7420" spans="24:44">
      <c r="X7420"/>
      <c r="Y7420"/>
      <c r="Z7420"/>
      <c r="AA7420"/>
      <c r="AC7420"/>
      <c r="AR7420"/>
    </row>
    <row r="7421" spans="24:44">
      <c r="X7421"/>
      <c r="Y7421"/>
      <c r="Z7421"/>
      <c r="AA7421"/>
      <c r="AC7421"/>
      <c r="AR7421"/>
    </row>
    <row r="7422" spans="24:44">
      <c r="X7422"/>
      <c r="Y7422"/>
      <c r="Z7422"/>
      <c r="AA7422"/>
      <c r="AC7422"/>
      <c r="AR7422"/>
    </row>
    <row r="7423" spans="24:44">
      <c r="X7423"/>
      <c r="Y7423"/>
      <c r="Z7423"/>
      <c r="AA7423"/>
      <c r="AC7423"/>
      <c r="AR7423"/>
    </row>
    <row r="7424" spans="24:44">
      <c r="X7424"/>
      <c r="Y7424"/>
      <c r="Z7424"/>
      <c r="AA7424"/>
      <c r="AC7424"/>
      <c r="AR7424"/>
    </row>
    <row r="7425" spans="24:44">
      <c r="X7425"/>
      <c r="Y7425"/>
      <c r="Z7425"/>
      <c r="AA7425"/>
      <c r="AC7425"/>
      <c r="AR7425"/>
    </row>
    <row r="7426" spans="24:44">
      <c r="X7426"/>
      <c r="Y7426"/>
      <c r="Z7426"/>
      <c r="AA7426"/>
      <c r="AC7426"/>
      <c r="AR7426"/>
    </row>
    <row r="7427" spans="24:44">
      <c r="X7427"/>
      <c r="Y7427"/>
      <c r="Z7427"/>
      <c r="AA7427"/>
      <c r="AC7427"/>
      <c r="AR7427"/>
    </row>
    <row r="7428" spans="24:44">
      <c r="X7428"/>
      <c r="Y7428"/>
      <c r="Z7428"/>
      <c r="AA7428"/>
      <c r="AC7428"/>
      <c r="AR7428"/>
    </row>
    <row r="7429" spans="24:44">
      <c r="X7429"/>
      <c r="Y7429"/>
      <c r="Z7429"/>
      <c r="AA7429"/>
      <c r="AC7429"/>
      <c r="AR7429"/>
    </row>
    <row r="7430" spans="24:44">
      <c r="X7430"/>
      <c r="Y7430"/>
      <c r="Z7430"/>
      <c r="AA7430"/>
      <c r="AC7430"/>
      <c r="AR7430"/>
    </row>
    <row r="7431" spans="24:44">
      <c r="X7431"/>
      <c r="Y7431"/>
      <c r="Z7431"/>
      <c r="AA7431"/>
      <c r="AC7431"/>
      <c r="AR7431"/>
    </row>
    <row r="7432" spans="24:44">
      <c r="X7432"/>
      <c r="Y7432"/>
      <c r="Z7432"/>
      <c r="AA7432"/>
      <c r="AC7432"/>
      <c r="AR7432"/>
    </row>
    <row r="7433" spans="24:44">
      <c r="X7433"/>
      <c r="Y7433"/>
      <c r="Z7433"/>
      <c r="AA7433"/>
      <c r="AC7433"/>
      <c r="AR7433"/>
    </row>
    <row r="7434" spans="24:44">
      <c r="X7434"/>
      <c r="Y7434"/>
      <c r="Z7434"/>
      <c r="AA7434"/>
      <c r="AC7434"/>
      <c r="AR7434"/>
    </row>
    <row r="7435" spans="24:44">
      <c r="X7435"/>
      <c r="Y7435"/>
      <c r="Z7435"/>
      <c r="AA7435"/>
      <c r="AC7435"/>
      <c r="AR7435"/>
    </row>
    <row r="7436" spans="24:44">
      <c r="X7436"/>
      <c r="Y7436"/>
      <c r="Z7436"/>
      <c r="AA7436"/>
      <c r="AC7436"/>
      <c r="AR7436"/>
    </row>
    <row r="7437" spans="24:44">
      <c r="X7437"/>
      <c r="Y7437"/>
      <c r="Z7437"/>
      <c r="AA7437"/>
      <c r="AC7437"/>
      <c r="AR7437"/>
    </row>
    <row r="7438" spans="24:44">
      <c r="X7438"/>
      <c r="Y7438"/>
      <c r="Z7438"/>
      <c r="AA7438"/>
      <c r="AC7438"/>
      <c r="AR7438"/>
    </row>
    <row r="7439" spans="24:44">
      <c r="X7439"/>
      <c r="Y7439"/>
      <c r="Z7439"/>
      <c r="AA7439"/>
      <c r="AC7439"/>
      <c r="AR7439"/>
    </row>
    <row r="7440" spans="24:44">
      <c r="X7440"/>
      <c r="Y7440"/>
      <c r="Z7440"/>
      <c r="AA7440"/>
      <c r="AC7440"/>
      <c r="AR7440"/>
    </row>
    <row r="7441" spans="24:44">
      <c r="X7441"/>
      <c r="Y7441"/>
      <c r="Z7441"/>
      <c r="AA7441"/>
      <c r="AC7441"/>
      <c r="AR7441"/>
    </row>
    <row r="7442" spans="24:44">
      <c r="X7442"/>
      <c r="Y7442"/>
      <c r="Z7442"/>
      <c r="AA7442"/>
      <c r="AC7442"/>
      <c r="AR7442"/>
    </row>
    <row r="7443" spans="24:44">
      <c r="X7443"/>
      <c r="Y7443"/>
      <c r="Z7443"/>
      <c r="AA7443"/>
      <c r="AC7443"/>
      <c r="AR7443"/>
    </row>
    <row r="7444" spans="24:44">
      <c r="X7444"/>
      <c r="Y7444"/>
      <c r="Z7444"/>
      <c r="AA7444"/>
      <c r="AC7444"/>
      <c r="AR7444"/>
    </row>
    <row r="7445" spans="24:44">
      <c r="X7445"/>
      <c r="Y7445"/>
      <c r="Z7445"/>
      <c r="AA7445"/>
      <c r="AC7445"/>
      <c r="AR7445"/>
    </row>
    <row r="7446" spans="24:44">
      <c r="X7446"/>
      <c r="Y7446"/>
      <c r="Z7446"/>
      <c r="AA7446"/>
      <c r="AC7446"/>
      <c r="AR7446"/>
    </row>
    <row r="7447" spans="24:44">
      <c r="X7447"/>
      <c r="Y7447"/>
      <c r="Z7447"/>
      <c r="AA7447"/>
      <c r="AC7447"/>
      <c r="AR7447"/>
    </row>
    <row r="7448" spans="24:44">
      <c r="X7448"/>
      <c r="Y7448"/>
      <c r="Z7448"/>
      <c r="AA7448"/>
      <c r="AC7448"/>
      <c r="AR7448"/>
    </row>
    <row r="7449" spans="24:44">
      <c r="X7449"/>
      <c r="Y7449"/>
      <c r="Z7449"/>
      <c r="AA7449"/>
      <c r="AC7449"/>
      <c r="AR7449"/>
    </row>
    <row r="7450" spans="24:44">
      <c r="X7450"/>
      <c r="Y7450"/>
      <c r="Z7450"/>
      <c r="AA7450"/>
      <c r="AC7450"/>
      <c r="AR7450"/>
    </row>
    <row r="7451" spans="24:44">
      <c r="X7451"/>
      <c r="Y7451"/>
      <c r="Z7451"/>
      <c r="AA7451"/>
      <c r="AC7451"/>
      <c r="AR7451"/>
    </row>
    <row r="7452" spans="24:44">
      <c r="X7452"/>
      <c r="Y7452"/>
      <c r="Z7452"/>
      <c r="AA7452"/>
      <c r="AC7452"/>
      <c r="AR7452"/>
    </row>
    <row r="7453" spans="24:44">
      <c r="X7453"/>
      <c r="Y7453"/>
      <c r="Z7453"/>
      <c r="AA7453"/>
      <c r="AC7453"/>
      <c r="AR7453"/>
    </row>
    <row r="7454" spans="24:44">
      <c r="X7454"/>
      <c r="Y7454"/>
      <c r="Z7454"/>
      <c r="AA7454"/>
      <c r="AC7454"/>
      <c r="AR7454"/>
    </row>
    <row r="7455" spans="24:44">
      <c r="X7455"/>
      <c r="Y7455"/>
      <c r="Z7455"/>
      <c r="AA7455"/>
      <c r="AC7455"/>
      <c r="AR7455"/>
    </row>
    <row r="7456" spans="24:44">
      <c r="X7456"/>
      <c r="Y7456"/>
      <c r="Z7456"/>
      <c r="AA7456"/>
      <c r="AC7456"/>
      <c r="AR7456"/>
    </row>
    <row r="7457" spans="24:44">
      <c r="X7457"/>
      <c r="Y7457"/>
      <c r="Z7457"/>
      <c r="AA7457"/>
      <c r="AC7457"/>
      <c r="AR7457"/>
    </row>
    <row r="7458" spans="24:44">
      <c r="X7458"/>
      <c r="Y7458"/>
      <c r="Z7458"/>
      <c r="AA7458"/>
      <c r="AC7458"/>
      <c r="AR7458"/>
    </row>
    <row r="7459" spans="24:44">
      <c r="X7459"/>
      <c r="Y7459"/>
      <c r="Z7459"/>
      <c r="AA7459"/>
      <c r="AC7459"/>
      <c r="AR7459"/>
    </row>
    <row r="7460" spans="24:44">
      <c r="X7460"/>
      <c r="Y7460"/>
      <c r="Z7460"/>
      <c r="AA7460"/>
      <c r="AC7460"/>
      <c r="AR7460"/>
    </row>
    <row r="7461" spans="24:44">
      <c r="X7461"/>
      <c r="Y7461"/>
      <c r="Z7461"/>
      <c r="AA7461"/>
      <c r="AC7461"/>
      <c r="AR7461"/>
    </row>
    <row r="7462" spans="24:44">
      <c r="X7462"/>
      <c r="Y7462"/>
      <c r="Z7462"/>
      <c r="AA7462"/>
      <c r="AC7462"/>
      <c r="AR7462"/>
    </row>
    <row r="7463" spans="24:44">
      <c r="X7463"/>
      <c r="Y7463"/>
      <c r="Z7463"/>
      <c r="AA7463"/>
      <c r="AC7463"/>
      <c r="AR7463"/>
    </row>
    <row r="7464" spans="24:44">
      <c r="X7464"/>
      <c r="Y7464"/>
      <c r="Z7464"/>
      <c r="AA7464"/>
      <c r="AC7464"/>
      <c r="AR7464"/>
    </row>
    <row r="7465" spans="24:44">
      <c r="X7465"/>
      <c r="Y7465"/>
      <c r="Z7465"/>
      <c r="AA7465"/>
      <c r="AC7465"/>
      <c r="AR7465"/>
    </row>
    <row r="7466" spans="24:44">
      <c r="X7466"/>
      <c r="Y7466"/>
      <c r="Z7466"/>
      <c r="AA7466"/>
      <c r="AC7466"/>
      <c r="AR7466"/>
    </row>
    <row r="7467" spans="24:44">
      <c r="X7467"/>
      <c r="Y7467"/>
      <c r="Z7467"/>
      <c r="AA7467"/>
      <c r="AC7467"/>
      <c r="AR7467"/>
    </row>
    <row r="7468" spans="24:44">
      <c r="X7468"/>
      <c r="Y7468"/>
      <c r="Z7468"/>
      <c r="AA7468"/>
      <c r="AC7468"/>
      <c r="AR7468"/>
    </row>
    <row r="7469" spans="24:44">
      <c r="X7469"/>
      <c r="Y7469"/>
      <c r="Z7469"/>
      <c r="AA7469"/>
      <c r="AC7469"/>
      <c r="AR7469"/>
    </row>
    <row r="7470" spans="24:44">
      <c r="X7470"/>
      <c r="Y7470"/>
      <c r="Z7470"/>
      <c r="AA7470"/>
      <c r="AC7470"/>
      <c r="AR7470"/>
    </row>
    <row r="7471" spans="24:44">
      <c r="X7471"/>
      <c r="Y7471"/>
      <c r="Z7471"/>
      <c r="AA7471"/>
      <c r="AC7471"/>
      <c r="AR7471"/>
    </row>
    <row r="7472" spans="24:44">
      <c r="X7472"/>
      <c r="Y7472"/>
      <c r="Z7472"/>
      <c r="AA7472"/>
      <c r="AC7472"/>
      <c r="AR7472"/>
    </row>
    <row r="7473" spans="24:44">
      <c r="X7473"/>
      <c r="Y7473"/>
      <c r="Z7473"/>
      <c r="AA7473"/>
      <c r="AC7473"/>
      <c r="AR7473"/>
    </row>
    <row r="7474" spans="24:44">
      <c r="X7474"/>
      <c r="Y7474"/>
      <c r="Z7474"/>
      <c r="AA7474"/>
      <c r="AC7474"/>
      <c r="AR7474"/>
    </row>
    <row r="7475" spans="24:44">
      <c r="X7475"/>
      <c r="Y7475"/>
      <c r="Z7475"/>
      <c r="AA7475"/>
      <c r="AC7475"/>
      <c r="AR7475"/>
    </row>
    <row r="7476" spans="24:44">
      <c r="X7476"/>
      <c r="Y7476"/>
      <c r="Z7476"/>
      <c r="AA7476"/>
      <c r="AC7476"/>
      <c r="AR7476"/>
    </row>
    <row r="7477" spans="24:44">
      <c r="X7477"/>
      <c r="Y7477"/>
      <c r="Z7477"/>
      <c r="AA7477"/>
      <c r="AC7477"/>
      <c r="AR7477"/>
    </row>
    <row r="7478" spans="24:44">
      <c r="X7478"/>
      <c r="Y7478"/>
      <c r="Z7478"/>
      <c r="AA7478"/>
      <c r="AC7478"/>
      <c r="AR7478"/>
    </row>
    <row r="7479" spans="24:44">
      <c r="X7479"/>
      <c r="Y7479"/>
      <c r="Z7479"/>
      <c r="AA7479"/>
      <c r="AC7479"/>
      <c r="AR7479"/>
    </row>
    <row r="7480" spans="24:44">
      <c r="X7480"/>
      <c r="Y7480"/>
      <c r="Z7480"/>
      <c r="AA7480"/>
      <c r="AC7480"/>
      <c r="AR7480"/>
    </row>
    <row r="7481" spans="24:44">
      <c r="X7481"/>
      <c r="Y7481"/>
      <c r="Z7481"/>
      <c r="AA7481"/>
      <c r="AC7481"/>
      <c r="AR7481"/>
    </row>
    <row r="7482" spans="24:44">
      <c r="X7482"/>
      <c r="Y7482"/>
      <c r="Z7482"/>
      <c r="AA7482"/>
      <c r="AC7482"/>
      <c r="AR7482"/>
    </row>
    <row r="7483" spans="24:44">
      <c r="X7483"/>
      <c r="Y7483"/>
      <c r="Z7483"/>
      <c r="AA7483"/>
      <c r="AC7483"/>
      <c r="AR7483"/>
    </row>
    <row r="7484" spans="24:44">
      <c r="X7484"/>
      <c r="Y7484"/>
      <c r="Z7484"/>
      <c r="AA7484"/>
      <c r="AC7484"/>
      <c r="AR7484"/>
    </row>
    <row r="7485" spans="24:44">
      <c r="X7485"/>
      <c r="Y7485"/>
      <c r="Z7485"/>
      <c r="AA7485"/>
      <c r="AC7485"/>
      <c r="AR7485"/>
    </row>
    <row r="7486" spans="24:44">
      <c r="X7486"/>
      <c r="Y7486"/>
      <c r="Z7486"/>
      <c r="AA7486"/>
      <c r="AC7486"/>
      <c r="AR7486"/>
    </row>
    <row r="7487" spans="24:44">
      <c r="X7487"/>
      <c r="Y7487"/>
      <c r="Z7487"/>
      <c r="AA7487"/>
      <c r="AC7487"/>
      <c r="AR7487"/>
    </row>
    <row r="7488" spans="24:44">
      <c r="X7488"/>
      <c r="Y7488"/>
      <c r="Z7488"/>
      <c r="AA7488"/>
      <c r="AC7488"/>
      <c r="AR7488"/>
    </row>
    <row r="7489" spans="24:44">
      <c r="X7489"/>
      <c r="Y7489"/>
      <c r="Z7489"/>
      <c r="AA7489"/>
      <c r="AC7489"/>
      <c r="AR7489"/>
    </row>
    <row r="7490" spans="24:44">
      <c r="X7490"/>
      <c r="Y7490"/>
      <c r="Z7490"/>
      <c r="AA7490"/>
      <c r="AC7490"/>
      <c r="AR7490"/>
    </row>
    <row r="7491" spans="24:44">
      <c r="X7491"/>
      <c r="Y7491"/>
      <c r="Z7491"/>
      <c r="AA7491"/>
      <c r="AC7491"/>
      <c r="AR7491"/>
    </row>
    <row r="7492" spans="24:44">
      <c r="X7492"/>
      <c r="Y7492"/>
      <c r="Z7492"/>
      <c r="AA7492"/>
      <c r="AC7492"/>
      <c r="AR7492"/>
    </row>
    <row r="7493" spans="24:44">
      <c r="X7493"/>
      <c r="Y7493"/>
      <c r="Z7493"/>
      <c r="AA7493"/>
      <c r="AC7493"/>
      <c r="AR7493"/>
    </row>
    <row r="7494" spans="24:44">
      <c r="X7494"/>
      <c r="Y7494"/>
      <c r="Z7494"/>
      <c r="AA7494"/>
      <c r="AC7494"/>
      <c r="AR7494"/>
    </row>
    <row r="7495" spans="24:44">
      <c r="X7495"/>
      <c r="Y7495"/>
      <c r="Z7495"/>
      <c r="AA7495"/>
      <c r="AC7495"/>
      <c r="AR7495"/>
    </row>
    <row r="7496" spans="24:44">
      <c r="X7496"/>
      <c r="Y7496"/>
      <c r="Z7496"/>
      <c r="AA7496"/>
      <c r="AC7496"/>
      <c r="AR7496"/>
    </row>
    <row r="7497" spans="24:44">
      <c r="X7497"/>
      <c r="Y7497"/>
      <c r="Z7497"/>
      <c r="AA7497"/>
      <c r="AC7497"/>
      <c r="AR7497"/>
    </row>
    <row r="7498" spans="24:44">
      <c r="X7498"/>
      <c r="Y7498"/>
      <c r="Z7498"/>
      <c r="AA7498"/>
      <c r="AC7498"/>
      <c r="AR7498"/>
    </row>
    <row r="7499" spans="24:44">
      <c r="X7499"/>
      <c r="Y7499"/>
      <c r="Z7499"/>
      <c r="AA7499"/>
      <c r="AC7499"/>
      <c r="AR7499"/>
    </row>
    <row r="7500" spans="24:44">
      <c r="X7500"/>
      <c r="Y7500"/>
      <c r="Z7500"/>
      <c r="AA7500"/>
      <c r="AC7500"/>
      <c r="AR7500"/>
    </row>
    <row r="7501" spans="24:44">
      <c r="X7501"/>
      <c r="Y7501"/>
      <c r="Z7501"/>
      <c r="AA7501"/>
      <c r="AC7501"/>
      <c r="AR7501"/>
    </row>
    <row r="7502" spans="24:44">
      <c r="X7502"/>
      <c r="Y7502"/>
      <c r="Z7502"/>
      <c r="AA7502"/>
      <c r="AC7502"/>
      <c r="AR7502"/>
    </row>
    <row r="7503" spans="24:44">
      <c r="X7503"/>
      <c r="Y7503"/>
      <c r="Z7503"/>
      <c r="AA7503"/>
      <c r="AC7503"/>
      <c r="AR7503"/>
    </row>
    <row r="7504" spans="24:44">
      <c r="X7504"/>
      <c r="Y7504"/>
      <c r="Z7504"/>
      <c r="AA7504"/>
      <c r="AC7504"/>
      <c r="AR7504"/>
    </row>
    <row r="7505" spans="24:44">
      <c r="X7505"/>
      <c r="Y7505"/>
      <c r="Z7505"/>
      <c r="AA7505"/>
      <c r="AC7505"/>
      <c r="AR7505"/>
    </row>
    <row r="7506" spans="24:44">
      <c r="X7506"/>
      <c r="Y7506"/>
      <c r="Z7506"/>
      <c r="AA7506"/>
      <c r="AC7506"/>
      <c r="AR7506"/>
    </row>
    <row r="7507" spans="24:44">
      <c r="X7507"/>
      <c r="Y7507"/>
      <c r="Z7507"/>
      <c r="AA7507"/>
      <c r="AC7507"/>
      <c r="AR7507"/>
    </row>
    <row r="7508" spans="24:44">
      <c r="X7508"/>
      <c r="Y7508"/>
      <c r="Z7508"/>
      <c r="AA7508"/>
      <c r="AC7508"/>
      <c r="AR7508"/>
    </row>
    <row r="7509" spans="24:44">
      <c r="X7509"/>
      <c r="Y7509"/>
      <c r="Z7509"/>
      <c r="AA7509"/>
      <c r="AC7509"/>
      <c r="AR7509"/>
    </row>
    <row r="7510" spans="24:44">
      <c r="X7510"/>
      <c r="Y7510"/>
      <c r="Z7510"/>
      <c r="AA7510"/>
      <c r="AC7510"/>
      <c r="AR7510"/>
    </row>
    <row r="7511" spans="24:44">
      <c r="X7511"/>
      <c r="Y7511"/>
      <c r="Z7511"/>
      <c r="AA7511"/>
      <c r="AC7511"/>
      <c r="AR7511"/>
    </row>
    <row r="7512" spans="24:44">
      <c r="X7512"/>
      <c r="Y7512"/>
      <c r="Z7512"/>
      <c r="AA7512"/>
      <c r="AC7512"/>
      <c r="AR7512"/>
    </row>
    <row r="7513" spans="24:44">
      <c r="X7513"/>
      <c r="Y7513"/>
      <c r="Z7513"/>
      <c r="AA7513"/>
      <c r="AC7513"/>
      <c r="AR7513"/>
    </row>
    <row r="7514" spans="24:44">
      <c r="X7514"/>
      <c r="Y7514"/>
      <c r="Z7514"/>
      <c r="AA7514"/>
      <c r="AC7514"/>
      <c r="AR7514"/>
    </row>
    <row r="7515" spans="24:44">
      <c r="X7515"/>
      <c r="Y7515"/>
      <c r="Z7515"/>
      <c r="AA7515"/>
      <c r="AC7515"/>
      <c r="AR7515"/>
    </row>
    <row r="7516" spans="24:44">
      <c r="X7516"/>
      <c r="Y7516"/>
      <c r="Z7516"/>
      <c r="AA7516"/>
      <c r="AC7516"/>
      <c r="AR7516"/>
    </row>
    <row r="7517" spans="24:44">
      <c r="X7517"/>
      <c r="Y7517"/>
      <c r="Z7517"/>
      <c r="AA7517"/>
      <c r="AC7517"/>
      <c r="AR7517"/>
    </row>
    <row r="7518" spans="24:44">
      <c r="X7518"/>
      <c r="Y7518"/>
      <c r="Z7518"/>
      <c r="AA7518"/>
      <c r="AC7518"/>
      <c r="AR7518"/>
    </row>
    <row r="7519" spans="24:44">
      <c r="X7519"/>
      <c r="Y7519"/>
      <c r="Z7519"/>
      <c r="AA7519"/>
      <c r="AC7519"/>
      <c r="AR7519"/>
    </row>
    <row r="7520" spans="24:44">
      <c r="X7520"/>
      <c r="Y7520"/>
      <c r="Z7520"/>
      <c r="AA7520"/>
      <c r="AC7520"/>
      <c r="AR7520"/>
    </row>
    <row r="7521" spans="24:44">
      <c r="X7521"/>
      <c r="Y7521"/>
      <c r="Z7521"/>
      <c r="AA7521"/>
      <c r="AC7521"/>
      <c r="AR7521"/>
    </row>
    <row r="7522" spans="24:44">
      <c r="X7522"/>
      <c r="Y7522"/>
      <c r="Z7522"/>
      <c r="AA7522"/>
      <c r="AC7522"/>
      <c r="AR7522"/>
    </row>
    <row r="7523" spans="24:44">
      <c r="X7523"/>
      <c r="Y7523"/>
      <c r="Z7523"/>
      <c r="AA7523"/>
      <c r="AC7523"/>
      <c r="AR7523"/>
    </row>
    <row r="7524" spans="24:44">
      <c r="X7524"/>
      <c r="Y7524"/>
      <c r="Z7524"/>
      <c r="AA7524"/>
      <c r="AC7524"/>
      <c r="AR7524"/>
    </row>
    <row r="7525" spans="24:44">
      <c r="X7525"/>
      <c r="Y7525"/>
      <c r="Z7525"/>
      <c r="AA7525"/>
      <c r="AC7525"/>
      <c r="AR7525"/>
    </row>
    <row r="7526" spans="24:44">
      <c r="X7526"/>
      <c r="Y7526"/>
      <c r="Z7526"/>
      <c r="AA7526"/>
      <c r="AC7526"/>
      <c r="AR7526"/>
    </row>
    <row r="7527" spans="24:44">
      <c r="X7527"/>
      <c r="Y7527"/>
      <c r="Z7527"/>
      <c r="AA7527"/>
      <c r="AC7527"/>
      <c r="AR7527"/>
    </row>
    <row r="7528" spans="24:44">
      <c r="X7528"/>
      <c r="Y7528"/>
      <c r="Z7528"/>
      <c r="AA7528"/>
      <c r="AC7528"/>
      <c r="AR7528"/>
    </row>
    <row r="7529" spans="24:44">
      <c r="X7529"/>
      <c r="Y7529"/>
      <c r="Z7529"/>
      <c r="AA7529"/>
      <c r="AC7529"/>
      <c r="AR7529"/>
    </row>
    <row r="7530" spans="24:44">
      <c r="X7530"/>
      <c r="Y7530"/>
      <c r="Z7530"/>
      <c r="AA7530"/>
      <c r="AC7530"/>
      <c r="AR7530"/>
    </row>
    <row r="7531" spans="24:44">
      <c r="X7531"/>
      <c r="Y7531"/>
      <c r="Z7531"/>
      <c r="AA7531"/>
      <c r="AC7531"/>
      <c r="AR7531"/>
    </row>
    <row r="7532" spans="24:44">
      <c r="X7532"/>
      <c r="Y7532"/>
      <c r="Z7532"/>
      <c r="AA7532"/>
      <c r="AC7532"/>
      <c r="AR7532"/>
    </row>
    <row r="7533" spans="24:44">
      <c r="X7533"/>
      <c r="Y7533"/>
      <c r="Z7533"/>
      <c r="AA7533"/>
      <c r="AC7533"/>
      <c r="AR7533"/>
    </row>
    <row r="7534" spans="24:44">
      <c r="X7534"/>
      <c r="Y7534"/>
      <c r="Z7534"/>
      <c r="AA7534"/>
      <c r="AC7534"/>
      <c r="AR7534"/>
    </row>
    <row r="7535" spans="24:44">
      <c r="X7535"/>
      <c r="Y7535"/>
      <c r="Z7535"/>
      <c r="AA7535"/>
      <c r="AC7535"/>
      <c r="AR7535"/>
    </row>
    <row r="7536" spans="24:44">
      <c r="X7536"/>
      <c r="Y7536"/>
      <c r="Z7536"/>
      <c r="AA7536"/>
      <c r="AC7536"/>
      <c r="AR7536"/>
    </row>
    <row r="7537" spans="24:44">
      <c r="X7537"/>
      <c r="Y7537"/>
      <c r="Z7537"/>
      <c r="AA7537"/>
      <c r="AC7537"/>
      <c r="AR7537"/>
    </row>
    <row r="7538" spans="24:44">
      <c r="X7538"/>
      <c r="Y7538"/>
      <c r="Z7538"/>
      <c r="AA7538"/>
      <c r="AC7538"/>
      <c r="AR7538"/>
    </row>
    <row r="7539" spans="24:44">
      <c r="X7539"/>
      <c r="Y7539"/>
      <c r="Z7539"/>
      <c r="AA7539"/>
      <c r="AC7539"/>
      <c r="AR7539"/>
    </row>
    <row r="7540" spans="24:44">
      <c r="X7540"/>
      <c r="Y7540"/>
      <c r="Z7540"/>
      <c r="AA7540"/>
      <c r="AC7540"/>
      <c r="AR7540"/>
    </row>
    <row r="7541" spans="24:44">
      <c r="X7541"/>
      <c r="Y7541"/>
      <c r="Z7541"/>
      <c r="AA7541"/>
      <c r="AC7541"/>
      <c r="AR7541"/>
    </row>
    <row r="7542" spans="24:44">
      <c r="X7542"/>
      <c r="Y7542"/>
      <c r="Z7542"/>
      <c r="AA7542"/>
      <c r="AC7542"/>
      <c r="AR7542"/>
    </row>
    <row r="7543" spans="24:44">
      <c r="X7543"/>
      <c r="Y7543"/>
      <c r="Z7543"/>
      <c r="AA7543"/>
      <c r="AC7543"/>
      <c r="AR7543"/>
    </row>
    <row r="7544" spans="24:44">
      <c r="X7544"/>
      <c r="Y7544"/>
      <c r="Z7544"/>
      <c r="AA7544"/>
      <c r="AC7544"/>
      <c r="AR7544"/>
    </row>
    <row r="7545" spans="24:44">
      <c r="X7545"/>
      <c r="Y7545"/>
      <c r="Z7545"/>
      <c r="AA7545"/>
      <c r="AC7545"/>
      <c r="AR7545"/>
    </row>
    <row r="7546" spans="24:44">
      <c r="X7546"/>
      <c r="Y7546"/>
      <c r="Z7546"/>
      <c r="AA7546"/>
      <c r="AC7546"/>
      <c r="AR7546"/>
    </row>
    <row r="7547" spans="24:44">
      <c r="X7547"/>
      <c r="Y7547"/>
      <c r="Z7547"/>
      <c r="AA7547"/>
      <c r="AC7547"/>
      <c r="AR7547"/>
    </row>
    <row r="7548" spans="24:44">
      <c r="X7548"/>
      <c r="Y7548"/>
      <c r="Z7548"/>
      <c r="AA7548"/>
      <c r="AC7548"/>
      <c r="AR7548"/>
    </row>
    <row r="7549" spans="24:44">
      <c r="X7549"/>
      <c r="Y7549"/>
      <c r="Z7549"/>
      <c r="AA7549"/>
      <c r="AC7549"/>
      <c r="AR7549"/>
    </row>
    <row r="7550" spans="24:44">
      <c r="X7550"/>
      <c r="Y7550"/>
      <c r="Z7550"/>
      <c r="AA7550"/>
      <c r="AC7550"/>
      <c r="AR7550"/>
    </row>
    <row r="7551" spans="24:44">
      <c r="X7551"/>
      <c r="Y7551"/>
      <c r="Z7551"/>
      <c r="AA7551"/>
      <c r="AC7551"/>
      <c r="AR7551"/>
    </row>
    <row r="7552" spans="24:44">
      <c r="X7552"/>
      <c r="Y7552"/>
      <c r="Z7552"/>
      <c r="AA7552"/>
      <c r="AC7552"/>
      <c r="AR7552"/>
    </row>
    <row r="7553" spans="24:44">
      <c r="X7553"/>
      <c r="Y7553"/>
      <c r="Z7553"/>
      <c r="AA7553"/>
      <c r="AC7553"/>
      <c r="AR7553"/>
    </row>
    <row r="7554" spans="24:44">
      <c r="X7554"/>
      <c r="Y7554"/>
      <c r="Z7554"/>
      <c r="AA7554"/>
      <c r="AC7554"/>
      <c r="AR7554"/>
    </row>
    <row r="7555" spans="24:44">
      <c r="X7555"/>
      <c r="Y7555"/>
      <c r="Z7555"/>
      <c r="AA7555"/>
      <c r="AC7555"/>
      <c r="AR7555"/>
    </row>
    <row r="7556" spans="24:44">
      <c r="X7556"/>
      <c r="Y7556"/>
      <c r="Z7556"/>
      <c r="AA7556"/>
      <c r="AC7556"/>
      <c r="AR7556"/>
    </row>
    <row r="7557" spans="24:44">
      <c r="X7557"/>
      <c r="Y7557"/>
      <c r="Z7557"/>
      <c r="AA7557"/>
      <c r="AC7557"/>
      <c r="AR7557"/>
    </row>
    <row r="7558" spans="24:44">
      <c r="X7558"/>
      <c r="Y7558"/>
      <c r="Z7558"/>
      <c r="AA7558"/>
      <c r="AC7558"/>
      <c r="AR7558"/>
    </row>
    <row r="7559" spans="24:44">
      <c r="X7559"/>
      <c r="Y7559"/>
      <c r="Z7559"/>
      <c r="AA7559"/>
      <c r="AC7559"/>
      <c r="AR7559"/>
    </row>
    <row r="7560" spans="24:44">
      <c r="X7560"/>
      <c r="Y7560"/>
      <c r="Z7560"/>
      <c r="AA7560"/>
      <c r="AC7560"/>
      <c r="AR7560"/>
    </row>
    <row r="7561" spans="24:44">
      <c r="X7561"/>
      <c r="Y7561"/>
      <c r="Z7561"/>
      <c r="AA7561"/>
      <c r="AC7561"/>
      <c r="AR7561"/>
    </row>
    <row r="7562" spans="24:44">
      <c r="X7562"/>
      <c r="Y7562"/>
      <c r="Z7562"/>
      <c r="AA7562"/>
      <c r="AC7562"/>
      <c r="AR7562"/>
    </row>
    <row r="7563" spans="24:44">
      <c r="X7563"/>
      <c r="Y7563"/>
      <c r="Z7563"/>
      <c r="AA7563"/>
      <c r="AC7563"/>
      <c r="AR7563"/>
    </row>
    <row r="7564" spans="24:44">
      <c r="X7564"/>
      <c r="Y7564"/>
      <c r="Z7564"/>
      <c r="AA7564"/>
      <c r="AC7564"/>
      <c r="AR7564"/>
    </row>
    <row r="7565" spans="24:44">
      <c r="X7565"/>
      <c r="Y7565"/>
      <c r="Z7565"/>
      <c r="AA7565"/>
      <c r="AC7565"/>
      <c r="AR7565"/>
    </row>
    <row r="7566" spans="24:44">
      <c r="X7566"/>
      <c r="Y7566"/>
      <c r="Z7566"/>
      <c r="AA7566"/>
      <c r="AC7566"/>
      <c r="AR7566"/>
    </row>
    <row r="7567" spans="24:44">
      <c r="X7567"/>
      <c r="Y7567"/>
      <c r="Z7567"/>
      <c r="AA7567"/>
      <c r="AC7567"/>
      <c r="AR7567"/>
    </row>
    <row r="7568" spans="24:44">
      <c r="X7568"/>
      <c r="Y7568"/>
      <c r="Z7568"/>
      <c r="AA7568"/>
      <c r="AC7568"/>
      <c r="AR7568"/>
    </row>
    <row r="7569" spans="24:44">
      <c r="X7569"/>
      <c r="Y7569"/>
      <c r="Z7569"/>
      <c r="AA7569"/>
      <c r="AC7569"/>
      <c r="AR7569"/>
    </row>
    <row r="7570" spans="24:44">
      <c r="X7570"/>
      <c r="Y7570"/>
      <c r="Z7570"/>
      <c r="AA7570"/>
      <c r="AC7570"/>
      <c r="AR7570"/>
    </row>
    <row r="7571" spans="24:44">
      <c r="X7571"/>
      <c r="Y7571"/>
      <c r="Z7571"/>
      <c r="AA7571"/>
      <c r="AC7571"/>
      <c r="AR7571"/>
    </row>
    <row r="7572" spans="24:44">
      <c r="X7572"/>
      <c r="Y7572"/>
      <c r="Z7572"/>
      <c r="AA7572"/>
      <c r="AC7572"/>
      <c r="AR7572"/>
    </row>
    <row r="7573" spans="24:44">
      <c r="X7573"/>
      <c r="Y7573"/>
      <c r="Z7573"/>
      <c r="AA7573"/>
      <c r="AC7573"/>
      <c r="AR7573"/>
    </row>
    <row r="7574" spans="24:44">
      <c r="X7574"/>
      <c r="Y7574"/>
      <c r="Z7574"/>
      <c r="AA7574"/>
      <c r="AC7574"/>
      <c r="AR7574"/>
    </row>
    <row r="7575" spans="24:44">
      <c r="X7575"/>
      <c r="Y7575"/>
      <c r="Z7575"/>
      <c r="AA7575"/>
      <c r="AC7575"/>
      <c r="AR7575"/>
    </row>
    <row r="7576" spans="24:44">
      <c r="X7576"/>
      <c r="Y7576"/>
      <c r="Z7576"/>
      <c r="AA7576"/>
      <c r="AC7576"/>
      <c r="AR7576"/>
    </row>
    <row r="7577" spans="24:44">
      <c r="X7577"/>
      <c r="Y7577"/>
      <c r="Z7577"/>
      <c r="AA7577"/>
      <c r="AC7577"/>
      <c r="AR7577"/>
    </row>
    <row r="7578" spans="24:44">
      <c r="X7578"/>
      <c r="Y7578"/>
      <c r="Z7578"/>
      <c r="AA7578"/>
      <c r="AC7578"/>
      <c r="AR7578"/>
    </row>
    <row r="7579" spans="24:44">
      <c r="X7579"/>
      <c r="Y7579"/>
      <c r="Z7579"/>
      <c r="AA7579"/>
      <c r="AC7579"/>
      <c r="AR7579"/>
    </row>
    <row r="7580" spans="24:44">
      <c r="X7580"/>
      <c r="Y7580"/>
      <c r="Z7580"/>
      <c r="AA7580"/>
      <c r="AC7580"/>
      <c r="AR7580"/>
    </row>
    <row r="7581" spans="24:44">
      <c r="X7581"/>
      <c r="Y7581"/>
      <c r="Z7581"/>
      <c r="AA7581"/>
      <c r="AC7581"/>
      <c r="AR7581"/>
    </row>
    <row r="7582" spans="24:44">
      <c r="X7582"/>
      <c r="Y7582"/>
      <c r="Z7582"/>
      <c r="AA7582"/>
      <c r="AC7582"/>
      <c r="AR7582"/>
    </row>
    <row r="7583" spans="24:44">
      <c r="X7583"/>
      <c r="Y7583"/>
      <c r="Z7583"/>
      <c r="AA7583"/>
      <c r="AC7583"/>
      <c r="AR7583"/>
    </row>
    <row r="7584" spans="24:44">
      <c r="X7584"/>
      <c r="Y7584"/>
      <c r="Z7584"/>
      <c r="AA7584"/>
      <c r="AC7584"/>
      <c r="AR7584"/>
    </row>
    <row r="7585" spans="24:44">
      <c r="X7585"/>
      <c r="Y7585"/>
      <c r="Z7585"/>
      <c r="AA7585"/>
      <c r="AC7585"/>
      <c r="AR7585"/>
    </row>
    <row r="7586" spans="24:44">
      <c r="X7586"/>
      <c r="Y7586"/>
      <c r="Z7586"/>
      <c r="AA7586"/>
      <c r="AC7586"/>
      <c r="AR7586"/>
    </row>
    <row r="7587" spans="24:44">
      <c r="X7587"/>
      <c r="Y7587"/>
      <c r="Z7587"/>
      <c r="AA7587"/>
      <c r="AC7587"/>
      <c r="AR7587"/>
    </row>
    <row r="7588" spans="24:44">
      <c r="X7588"/>
      <c r="Y7588"/>
      <c r="Z7588"/>
      <c r="AA7588"/>
      <c r="AC7588"/>
      <c r="AR7588"/>
    </row>
    <row r="7589" spans="24:44">
      <c r="X7589"/>
      <c r="Y7589"/>
      <c r="Z7589"/>
      <c r="AA7589"/>
      <c r="AC7589"/>
      <c r="AR7589"/>
    </row>
    <row r="7590" spans="24:44">
      <c r="X7590"/>
      <c r="Y7590"/>
      <c r="Z7590"/>
      <c r="AA7590"/>
      <c r="AC7590"/>
      <c r="AR7590"/>
    </row>
    <row r="7591" spans="24:44">
      <c r="X7591"/>
      <c r="Y7591"/>
      <c r="Z7591"/>
      <c r="AA7591"/>
      <c r="AC7591"/>
      <c r="AR7591"/>
    </row>
    <row r="7592" spans="24:44">
      <c r="X7592"/>
      <c r="Y7592"/>
      <c r="Z7592"/>
      <c r="AA7592"/>
      <c r="AC7592"/>
      <c r="AR7592"/>
    </row>
    <row r="7593" spans="24:44">
      <c r="X7593"/>
      <c r="Y7593"/>
      <c r="Z7593"/>
      <c r="AA7593"/>
      <c r="AC7593"/>
      <c r="AR7593"/>
    </row>
    <row r="7594" spans="24:44">
      <c r="X7594"/>
      <c r="Y7594"/>
      <c r="Z7594"/>
      <c r="AA7594"/>
      <c r="AC7594"/>
      <c r="AR7594"/>
    </row>
    <row r="7595" spans="24:44">
      <c r="X7595"/>
      <c r="Y7595"/>
      <c r="Z7595"/>
      <c r="AA7595"/>
      <c r="AC7595"/>
      <c r="AR7595"/>
    </row>
    <row r="7596" spans="24:44">
      <c r="X7596"/>
      <c r="Y7596"/>
      <c r="Z7596"/>
      <c r="AA7596"/>
      <c r="AC7596"/>
      <c r="AR7596"/>
    </row>
    <row r="7597" spans="24:44">
      <c r="X7597"/>
      <c r="Y7597"/>
      <c r="Z7597"/>
      <c r="AA7597"/>
      <c r="AC7597"/>
      <c r="AR7597"/>
    </row>
    <row r="7598" spans="24:44">
      <c r="X7598"/>
      <c r="Y7598"/>
      <c r="Z7598"/>
      <c r="AA7598"/>
      <c r="AC7598"/>
      <c r="AR7598"/>
    </row>
    <row r="7599" spans="24:44">
      <c r="X7599"/>
      <c r="Y7599"/>
      <c r="Z7599"/>
      <c r="AA7599"/>
      <c r="AC7599"/>
      <c r="AR7599"/>
    </row>
    <row r="7600" spans="24:44">
      <c r="X7600"/>
      <c r="Y7600"/>
      <c r="Z7600"/>
      <c r="AA7600"/>
      <c r="AC7600"/>
      <c r="AR7600"/>
    </row>
    <row r="7601" spans="24:44">
      <c r="X7601"/>
      <c r="Y7601"/>
      <c r="Z7601"/>
      <c r="AA7601"/>
      <c r="AC7601"/>
      <c r="AR7601"/>
    </row>
    <row r="7602" spans="24:44">
      <c r="X7602"/>
      <c r="Y7602"/>
      <c r="Z7602"/>
      <c r="AA7602"/>
      <c r="AC7602"/>
      <c r="AR7602"/>
    </row>
    <row r="7603" spans="24:44">
      <c r="X7603"/>
      <c r="Y7603"/>
      <c r="Z7603"/>
      <c r="AA7603"/>
      <c r="AC7603"/>
      <c r="AR7603"/>
    </row>
    <row r="7604" spans="24:44">
      <c r="X7604"/>
      <c r="Y7604"/>
      <c r="Z7604"/>
      <c r="AA7604"/>
      <c r="AC7604"/>
      <c r="AR7604"/>
    </row>
    <row r="7605" spans="24:44">
      <c r="X7605"/>
      <c r="Y7605"/>
      <c r="Z7605"/>
      <c r="AA7605"/>
      <c r="AC7605"/>
      <c r="AR7605"/>
    </row>
    <row r="7606" spans="24:44">
      <c r="X7606"/>
      <c r="Y7606"/>
      <c r="Z7606"/>
      <c r="AA7606"/>
      <c r="AC7606"/>
      <c r="AR7606"/>
    </row>
    <row r="7607" spans="24:44">
      <c r="X7607"/>
      <c r="Y7607"/>
      <c r="Z7607"/>
      <c r="AA7607"/>
      <c r="AC7607"/>
      <c r="AR7607"/>
    </row>
    <row r="7608" spans="24:44">
      <c r="X7608"/>
      <c r="Y7608"/>
      <c r="Z7608"/>
      <c r="AA7608"/>
      <c r="AC7608"/>
      <c r="AR7608"/>
    </row>
    <row r="7609" spans="24:44">
      <c r="X7609"/>
      <c r="Y7609"/>
      <c r="Z7609"/>
      <c r="AA7609"/>
      <c r="AC7609"/>
      <c r="AR7609"/>
    </row>
    <row r="7610" spans="24:44">
      <c r="X7610"/>
      <c r="Y7610"/>
      <c r="Z7610"/>
      <c r="AA7610"/>
      <c r="AC7610"/>
      <c r="AR7610"/>
    </row>
    <row r="7611" spans="24:44">
      <c r="X7611"/>
      <c r="Y7611"/>
      <c r="Z7611"/>
      <c r="AA7611"/>
      <c r="AC7611"/>
      <c r="AR7611"/>
    </row>
    <row r="7612" spans="24:44">
      <c r="X7612"/>
      <c r="Y7612"/>
      <c r="Z7612"/>
      <c r="AA7612"/>
      <c r="AC7612"/>
      <c r="AR7612"/>
    </row>
    <row r="7613" spans="24:44">
      <c r="X7613"/>
      <c r="Y7613"/>
      <c r="Z7613"/>
      <c r="AA7613"/>
      <c r="AC7613"/>
      <c r="AR7613"/>
    </row>
    <row r="7614" spans="24:44">
      <c r="X7614"/>
      <c r="Y7614"/>
      <c r="Z7614"/>
      <c r="AA7614"/>
      <c r="AC7614"/>
      <c r="AR7614"/>
    </row>
    <row r="7615" spans="24:44">
      <c r="X7615"/>
      <c r="Y7615"/>
      <c r="Z7615"/>
      <c r="AA7615"/>
      <c r="AC7615"/>
      <c r="AR7615"/>
    </row>
    <row r="7616" spans="24:44">
      <c r="X7616"/>
      <c r="Y7616"/>
      <c r="Z7616"/>
      <c r="AA7616"/>
      <c r="AC7616"/>
      <c r="AR7616"/>
    </row>
    <row r="7617" spans="24:44">
      <c r="X7617"/>
      <c r="Y7617"/>
      <c r="Z7617"/>
      <c r="AA7617"/>
      <c r="AC7617"/>
      <c r="AR7617"/>
    </row>
    <row r="7618" spans="24:44">
      <c r="X7618"/>
      <c r="Y7618"/>
      <c r="Z7618"/>
      <c r="AA7618"/>
      <c r="AC7618"/>
      <c r="AR7618"/>
    </row>
    <row r="7619" spans="24:44">
      <c r="X7619"/>
      <c r="Y7619"/>
      <c r="Z7619"/>
      <c r="AA7619"/>
      <c r="AC7619"/>
      <c r="AR7619"/>
    </row>
    <row r="7620" spans="24:44">
      <c r="X7620"/>
      <c r="Y7620"/>
      <c r="Z7620"/>
      <c r="AA7620"/>
      <c r="AC7620"/>
      <c r="AR7620"/>
    </row>
    <row r="7621" spans="24:44">
      <c r="X7621"/>
      <c r="Y7621"/>
      <c r="Z7621"/>
      <c r="AA7621"/>
      <c r="AC7621"/>
      <c r="AR7621"/>
    </row>
    <row r="7622" spans="24:44">
      <c r="X7622"/>
      <c r="Y7622"/>
      <c r="Z7622"/>
      <c r="AA7622"/>
      <c r="AC7622"/>
      <c r="AR7622"/>
    </row>
    <row r="7623" spans="24:44">
      <c r="X7623"/>
      <c r="Y7623"/>
      <c r="Z7623"/>
      <c r="AA7623"/>
      <c r="AC7623"/>
      <c r="AR7623"/>
    </row>
    <row r="7624" spans="24:44">
      <c r="X7624"/>
      <c r="Y7624"/>
      <c r="Z7624"/>
      <c r="AA7624"/>
      <c r="AC7624"/>
      <c r="AR7624"/>
    </row>
    <row r="7625" spans="24:44">
      <c r="X7625"/>
      <c r="Y7625"/>
      <c r="Z7625"/>
      <c r="AA7625"/>
      <c r="AC7625"/>
      <c r="AR7625"/>
    </row>
    <row r="7626" spans="24:44">
      <c r="X7626"/>
      <c r="Y7626"/>
      <c r="Z7626"/>
      <c r="AA7626"/>
      <c r="AC7626"/>
      <c r="AR7626"/>
    </row>
    <row r="7627" spans="24:44">
      <c r="X7627"/>
      <c r="Y7627"/>
      <c r="Z7627"/>
      <c r="AA7627"/>
      <c r="AC7627"/>
      <c r="AR7627"/>
    </row>
    <row r="7628" spans="24:44">
      <c r="X7628"/>
      <c r="Y7628"/>
      <c r="Z7628"/>
      <c r="AA7628"/>
      <c r="AC7628"/>
      <c r="AR7628"/>
    </row>
    <row r="7629" spans="24:44">
      <c r="X7629"/>
      <c r="Y7629"/>
      <c r="Z7629"/>
      <c r="AA7629"/>
      <c r="AC7629"/>
      <c r="AR7629"/>
    </row>
    <row r="7630" spans="24:44">
      <c r="X7630"/>
      <c r="Y7630"/>
      <c r="Z7630"/>
      <c r="AA7630"/>
      <c r="AC7630"/>
      <c r="AR7630"/>
    </row>
    <row r="7631" spans="24:44">
      <c r="X7631"/>
      <c r="Y7631"/>
      <c r="Z7631"/>
      <c r="AA7631"/>
      <c r="AC7631"/>
      <c r="AR7631"/>
    </row>
    <row r="7632" spans="24:44">
      <c r="X7632"/>
      <c r="Y7632"/>
      <c r="Z7632"/>
      <c r="AA7632"/>
      <c r="AC7632"/>
      <c r="AR7632"/>
    </row>
    <row r="7633" spans="24:44">
      <c r="X7633"/>
      <c r="Y7633"/>
      <c r="Z7633"/>
      <c r="AA7633"/>
      <c r="AC7633"/>
      <c r="AR7633"/>
    </row>
    <row r="7634" spans="24:44">
      <c r="X7634"/>
      <c r="Y7634"/>
      <c r="Z7634"/>
      <c r="AA7634"/>
      <c r="AC7634"/>
      <c r="AR7634"/>
    </row>
    <row r="7635" spans="24:44">
      <c r="X7635"/>
      <c r="Y7635"/>
      <c r="Z7635"/>
      <c r="AA7635"/>
      <c r="AC7635"/>
      <c r="AR7635"/>
    </row>
    <row r="7636" spans="24:44">
      <c r="X7636"/>
      <c r="Y7636"/>
      <c r="Z7636"/>
      <c r="AA7636"/>
      <c r="AC7636"/>
      <c r="AR7636"/>
    </row>
    <row r="7637" spans="24:44">
      <c r="X7637"/>
      <c r="Y7637"/>
      <c r="Z7637"/>
      <c r="AA7637"/>
      <c r="AC7637"/>
      <c r="AR7637"/>
    </row>
    <row r="7638" spans="24:44">
      <c r="X7638"/>
      <c r="Y7638"/>
      <c r="Z7638"/>
      <c r="AA7638"/>
      <c r="AC7638"/>
      <c r="AR7638"/>
    </row>
    <row r="7639" spans="24:44">
      <c r="X7639"/>
      <c r="Y7639"/>
      <c r="Z7639"/>
      <c r="AA7639"/>
      <c r="AC7639"/>
      <c r="AR7639"/>
    </row>
    <row r="7640" spans="24:44">
      <c r="X7640"/>
      <c r="Y7640"/>
      <c r="Z7640"/>
      <c r="AA7640"/>
      <c r="AC7640"/>
      <c r="AR7640"/>
    </row>
    <row r="7641" spans="24:44">
      <c r="X7641"/>
      <c r="Y7641"/>
      <c r="Z7641"/>
      <c r="AA7641"/>
      <c r="AC7641"/>
      <c r="AR7641"/>
    </row>
    <row r="7642" spans="24:44">
      <c r="X7642"/>
      <c r="Y7642"/>
      <c r="Z7642"/>
      <c r="AA7642"/>
      <c r="AC7642"/>
      <c r="AR7642"/>
    </row>
    <row r="7643" spans="24:44">
      <c r="X7643"/>
      <c r="Y7643"/>
      <c r="Z7643"/>
      <c r="AA7643"/>
      <c r="AC7643"/>
      <c r="AR7643"/>
    </row>
    <row r="7644" spans="24:44">
      <c r="X7644"/>
      <c r="Y7644"/>
      <c r="Z7644"/>
      <c r="AA7644"/>
      <c r="AC7644"/>
      <c r="AR7644"/>
    </row>
    <row r="7645" spans="24:44">
      <c r="X7645"/>
      <c r="Y7645"/>
      <c r="Z7645"/>
      <c r="AA7645"/>
      <c r="AC7645"/>
      <c r="AR7645"/>
    </row>
    <row r="7646" spans="24:44">
      <c r="X7646"/>
      <c r="Y7646"/>
      <c r="Z7646"/>
      <c r="AA7646"/>
      <c r="AC7646"/>
      <c r="AR7646"/>
    </row>
    <row r="7647" spans="24:44">
      <c r="X7647"/>
      <c r="Y7647"/>
      <c r="Z7647"/>
      <c r="AA7647"/>
      <c r="AC7647"/>
      <c r="AR7647"/>
    </row>
    <row r="7648" spans="24:44">
      <c r="X7648"/>
      <c r="Y7648"/>
      <c r="Z7648"/>
      <c r="AA7648"/>
      <c r="AC7648"/>
      <c r="AR7648"/>
    </row>
    <row r="7649" spans="24:44">
      <c r="X7649"/>
      <c r="Y7649"/>
      <c r="Z7649"/>
      <c r="AA7649"/>
      <c r="AC7649"/>
      <c r="AR7649"/>
    </row>
    <row r="7650" spans="24:44">
      <c r="X7650"/>
      <c r="Y7650"/>
      <c r="Z7650"/>
      <c r="AA7650"/>
      <c r="AC7650"/>
      <c r="AR7650"/>
    </row>
    <row r="7651" spans="24:44">
      <c r="X7651"/>
      <c r="Y7651"/>
      <c r="Z7651"/>
      <c r="AA7651"/>
      <c r="AC7651"/>
      <c r="AR7651"/>
    </row>
    <row r="7652" spans="24:44">
      <c r="X7652"/>
      <c r="Y7652"/>
      <c r="Z7652"/>
      <c r="AA7652"/>
      <c r="AC7652"/>
      <c r="AR7652"/>
    </row>
    <row r="7653" spans="24:44">
      <c r="X7653"/>
      <c r="Y7653"/>
      <c r="Z7653"/>
      <c r="AA7653"/>
      <c r="AC7653"/>
      <c r="AR7653"/>
    </row>
    <row r="7654" spans="24:44">
      <c r="X7654"/>
      <c r="Y7654"/>
      <c r="Z7654"/>
      <c r="AA7654"/>
      <c r="AC7654"/>
      <c r="AR7654"/>
    </row>
    <row r="7655" spans="24:44">
      <c r="X7655"/>
      <c r="Y7655"/>
      <c r="Z7655"/>
      <c r="AA7655"/>
      <c r="AC7655"/>
      <c r="AR7655"/>
    </row>
    <row r="7656" spans="24:44">
      <c r="X7656"/>
      <c r="Y7656"/>
      <c r="Z7656"/>
      <c r="AA7656"/>
      <c r="AC7656"/>
      <c r="AR7656"/>
    </row>
    <row r="7657" spans="24:44">
      <c r="X7657"/>
      <c r="Y7657"/>
      <c r="Z7657"/>
      <c r="AA7657"/>
      <c r="AC7657"/>
      <c r="AR7657"/>
    </row>
    <row r="7658" spans="24:44">
      <c r="X7658"/>
      <c r="Y7658"/>
      <c r="Z7658"/>
      <c r="AA7658"/>
      <c r="AC7658"/>
      <c r="AR7658"/>
    </row>
    <row r="7659" spans="24:44">
      <c r="X7659"/>
      <c r="Y7659"/>
      <c r="Z7659"/>
      <c r="AA7659"/>
      <c r="AC7659"/>
      <c r="AR7659"/>
    </row>
    <row r="7660" spans="24:44">
      <c r="X7660"/>
      <c r="Y7660"/>
      <c r="Z7660"/>
      <c r="AA7660"/>
      <c r="AC7660"/>
      <c r="AR7660"/>
    </row>
    <row r="7661" spans="24:44">
      <c r="X7661"/>
      <c r="Y7661"/>
      <c r="Z7661"/>
      <c r="AA7661"/>
      <c r="AC7661"/>
      <c r="AR7661"/>
    </row>
    <row r="7662" spans="24:44">
      <c r="X7662"/>
      <c r="Y7662"/>
      <c r="Z7662"/>
      <c r="AA7662"/>
      <c r="AC7662"/>
      <c r="AR7662"/>
    </row>
    <row r="7663" spans="24:44">
      <c r="X7663"/>
      <c r="Y7663"/>
      <c r="Z7663"/>
      <c r="AA7663"/>
      <c r="AC7663"/>
      <c r="AR7663"/>
    </row>
    <row r="7664" spans="24:44">
      <c r="X7664"/>
      <c r="Y7664"/>
      <c r="Z7664"/>
      <c r="AA7664"/>
      <c r="AC7664"/>
      <c r="AR7664"/>
    </row>
    <row r="7665" spans="24:44">
      <c r="X7665"/>
      <c r="Y7665"/>
      <c r="Z7665"/>
      <c r="AA7665"/>
      <c r="AC7665"/>
      <c r="AR7665"/>
    </row>
    <row r="7666" spans="24:44">
      <c r="X7666"/>
      <c r="Y7666"/>
      <c r="Z7666"/>
      <c r="AA7666"/>
      <c r="AC7666"/>
      <c r="AR7666"/>
    </row>
    <row r="7667" spans="24:44">
      <c r="X7667"/>
      <c r="Y7667"/>
      <c r="Z7667"/>
      <c r="AA7667"/>
      <c r="AC7667"/>
      <c r="AR7667"/>
    </row>
    <row r="7668" spans="24:44">
      <c r="X7668"/>
      <c r="Y7668"/>
      <c r="Z7668"/>
      <c r="AA7668"/>
      <c r="AC7668"/>
      <c r="AR7668"/>
    </row>
    <row r="7669" spans="24:44">
      <c r="X7669"/>
      <c r="Y7669"/>
      <c r="Z7669"/>
      <c r="AA7669"/>
      <c r="AC7669"/>
      <c r="AR7669"/>
    </row>
    <row r="7670" spans="24:44">
      <c r="X7670"/>
      <c r="Y7670"/>
      <c r="Z7670"/>
      <c r="AA7670"/>
      <c r="AC7670"/>
      <c r="AR7670"/>
    </row>
    <row r="7671" spans="24:44">
      <c r="X7671"/>
      <c r="Y7671"/>
      <c r="Z7671"/>
      <c r="AA7671"/>
      <c r="AC7671"/>
      <c r="AR7671"/>
    </row>
    <row r="7672" spans="24:44">
      <c r="X7672"/>
      <c r="Y7672"/>
      <c r="Z7672"/>
      <c r="AA7672"/>
      <c r="AC7672"/>
      <c r="AR7672"/>
    </row>
    <row r="7673" spans="24:44">
      <c r="X7673"/>
      <c r="Y7673"/>
      <c r="Z7673"/>
      <c r="AA7673"/>
      <c r="AC7673"/>
      <c r="AR7673"/>
    </row>
    <row r="7674" spans="24:44">
      <c r="X7674"/>
      <c r="Y7674"/>
      <c r="Z7674"/>
      <c r="AA7674"/>
      <c r="AC7674"/>
      <c r="AR7674"/>
    </row>
    <row r="7675" spans="24:44">
      <c r="X7675"/>
      <c r="Y7675"/>
      <c r="Z7675"/>
      <c r="AA7675"/>
      <c r="AC7675"/>
      <c r="AR7675"/>
    </row>
    <row r="7676" spans="24:44">
      <c r="X7676"/>
      <c r="Y7676"/>
      <c r="Z7676"/>
      <c r="AA7676"/>
      <c r="AC7676"/>
      <c r="AR7676"/>
    </row>
    <row r="7677" spans="24:44">
      <c r="X7677"/>
      <c r="Y7677"/>
      <c r="Z7677"/>
      <c r="AA7677"/>
      <c r="AC7677"/>
      <c r="AR7677"/>
    </row>
    <row r="7678" spans="24:44">
      <c r="X7678"/>
      <c r="Y7678"/>
      <c r="Z7678"/>
      <c r="AA7678"/>
      <c r="AC7678"/>
      <c r="AR7678"/>
    </row>
    <row r="7679" spans="24:44">
      <c r="X7679"/>
      <c r="Y7679"/>
      <c r="Z7679"/>
      <c r="AA7679"/>
      <c r="AC7679"/>
      <c r="AR7679"/>
    </row>
    <row r="7680" spans="24:44">
      <c r="X7680"/>
      <c r="Y7680"/>
      <c r="Z7680"/>
      <c r="AA7680"/>
      <c r="AC7680"/>
      <c r="AR7680"/>
    </row>
    <row r="7681" spans="24:44">
      <c r="X7681"/>
      <c r="Y7681"/>
      <c r="Z7681"/>
      <c r="AA7681"/>
      <c r="AC7681"/>
      <c r="AR7681"/>
    </row>
    <row r="7682" spans="24:44">
      <c r="X7682"/>
      <c r="Y7682"/>
      <c r="Z7682"/>
      <c r="AA7682"/>
      <c r="AC7682"/>
      <c r="AR7682"/>
    </row>
    <row r="7683" spans="24:44">
      <c r="X7683"/>
      <c r="Y7683"/>
      <c r="Z7683"/>
      <c r="AA7683"/>
      <c r="AC7683"/>
      <c r="AR7683"/>
    </row>
    <row r="7684" spans="24:44">
      <c r="X7684"/>
      <c r="Y7684"/>
      <c r="Z7684"/>
      <c r="AA7684"/>
      <c r="AC7684"/>
      <c r="AR7684"/>
    </row>
    <row r="7685" spans="24:44">
      <c r="X7685"/>
      <c r="Y7685"/>
      <c r="Z7685"/>
      <c r="AA7685"/>
      <c r="AC7685"/>
      <c r="AR7685"/>
    </row>
    <row r="7686" spans="24:44">
      <c r="X7686"/>
      <c r="Y7686"/>
      <c r="Z7686"/>
      <c r="AA7686"/>
      <c r="AC7686"/>
      <c r="AR7686"/>
    </row>
    <row r="7687" spans="24:44">
      <c r="X7687"/>
      <c r="Y7687"/>
      <c r="Z7687"/>
      <c r="AA7687"/>
      <c r="AC7687"/>
      <c r="AR7687"/>
    </row>
    <row r="7688" spans="24:44">
      <c r="X7688"/>
      <c r="Y7688"/>
      <c r="Z7688"/>
      <c r="AA7688"/>
      <c r="AC7688"/>
      <c r="AR7688"/>
    </row>
    <row r="7689" spans="24:44">
      <c r="X7689"/>
      <c r="Y7689"/>
      <c r="Z7689"/>
      <c r="AA7689"/>
      <c r="AC7689"/>
      <c r="AR7689"/>
    </row>
    <row r="7690" spans="24:44">
      <c r="X7690"/>
      <c r="Y7690"/>
      <c r="Z7690"/>
      <c r="AA7690"/>
      <c r="AC7690"/>
      <c r="AR7690"/>
    </row>
    <row r="7691" spans="24:44">
      <c r="X7691"/>
      <c r="Y7691"/>
      <c r="Z7691"/>
      <c r="AA7691"/>
      <c r="AC7691"/>
      <c r="AR7691"/>
    </row>
    <row r="7692" spans="24:44">
      <c r="X7692"/>
      <c r="Y7692"/>
      <c r="Z7692"/>
      <c r="AA7692"/>
      <c r="AC7692"/>
      <c r="AR7692"/>
    </row>
    <row r="7693" spans="24:44">
      <c r="X7693"/>
      <c r="Y7693"/>
      <c r="Z7693"/>
      <c r="AA7693"/>
      <c r="AC7693"/>
      <c r="AR7693"/>
    </row>
    <row r="7694" spans="24:44">
      <c r="X7694"/>
      <c r="Y7694"/>
      <c r="Z7694"/>
      <c r="AA7694"/>
      <c r="AC7694"/>
      <c r="AR7694"/>
    </row>
    <row r="7695" spans="24:44">
      <c r="X7695"/>
      <c r="Y7695"/>
      <c r="Z7695"/>
      <c r="AA7695"/>
      <c r="AC7695"/>
      <c r="AR7695"/>
    </row>
    <row r="7696" spans="24:44">
      <c r="X7696"/>
      <c r="Y7696"/>
      <c r="Z7696"/>
      <c r="AA7696"/>
      <c r="AC7696"/>
      <c r="AR7696"/>
    </row>
    <row r="7697" spans="24:44">
      <c r="X7697"/>
      <c r="Y7697"/>
      <c r="Z7697"/>
      <c r="AA7697"/>
      <c r="AC7697"/>
      <c r="AR7697"/>
    </row>
    <row r="7698" spans="24:44">
      <c r="X7698"/>
      <c r="Y7698"/>
      <c r="Z7698"/>
      <c r="AA7698"/>
      <c r="AC7698"/>
      <c r="AR7698"/>
    </row>
    <row r="7699" spans="24:44">
      <c r="X7699"/>
      <c r="Y7699"/>
      <c r="Z7699"/>
      <c r="AA7699"/>
      <c r="AC7699"/>
      <c r="AR7699"/>
    </row>
    <row r="7700" spans="24:44">
      <c r="X7700"/>
      <c r="Y7700"/>
      <c r="Z7700"/>
      <c r="AA7700"/>
      <c r="AC7700"/>
      <c r="AR7700"/>
    </row>
    <row r="7701" spans="24:44">
      <c r="X7701"/>
      <c r="Y7701"/>
      <c r="Z7701"/>
      <c r="AA7701"/>
      <c r="AC7701"/>
      <c r="AR7701"/>
    </row>
    <row r="7702" spans="24:44">
      <c r="X7702"/>
      <c r="Y7702"/>
      <c r="Z7702"/>
      <c r="AA7702"/>
      <c r="AC7702"/>
      <c r="AR7702"/>
    </row>
    <row r="7703" spans="24:44">
      <c r="X7703"/>
      <c r="Y7703"/>
      <c r="Z7703"/>
      <c r="AA7703"/>
      <c r="AC7703"/>
      <c r="AR7703"/>
    </row>
    <row r="7704" spans="24:44">
      <c r="X7704"/>
      <c r="Y7704"/>
      <c r="Z7704"/>
      <c r="AA7704"/>
      <c r="AC7704"/>
      <c r="AR7704"/>
    </row>
    <row r="7705" spans="24:44">
      <c r="X7705"/>
      <c r="Y7705"/>
      <c r="Z7705"/>
      <c r="AA7705"/>
      <c r="AC7705"/>
      <c r="AR7705"/>
    </row>
    <row r="7706" spans="24:44">
      <c r="X7706"/>
      <c r="Y7706"/>
      <c r="Z7706"/>
      <c r="AA7706"/>
      <c r="AC7706"/>
      <c r="AR7706"/>
    </row>
    <row r="7707" spans="24:44">
      <c r="X7707"/>
      <c r="Y7707"/>
      <c r="Z7707"/>
      <c r="AA7707"/>
      <c r="AC7707"/>
      <c r="AR7707"/>
    </row>
    <row r="7708" spans="24:44">
      <c r="X7708"/>
      <c r="Y7708"/>
      <c r="Z7708"/>
      <c r="AA7708"/>
      <c r="AC7708"/>
      <c r="AR7708"/>
    </row>
    <row r="7709" spans="24:44">
      <c r="X7709"/>
      <c r="Y7709"/>
      <c r="Z7709"/>
      <c r="AA7709"/>
      <c r="AC7709"/>
      <c r="AR7709"/>
    </row>
    <row r="7710" spans="24:44">
      <c r="X7710"/>
      <c r="Y7710"/>
      <c r="Z7710"/>
      <c r="AA7710"/>
      <c r="AC7710"/>
      <c r="AR7710"/>
    </row>
    <row r="7711" spans="24:44">
      <c r="X7711"/>
      <c r="Y7711"/>
      <c r="Z7711"/>
      <c r="AA7711"/>
      <c r="AC7711"/>
      <c r="AR7711"/>
    </row>
    <row r="7712" spans="24:44">
      <c r="X7712"/>
      <c r="Y7712"/>
      <c r="Z7712"/>
      <c r="AA7712"/>
      <c r="AC7712"/>
      <c r="AR7712"/>
    </row>
    <row r="7713" spans="24:44">
      <c r="X7713"/>
      <c r="Y7713"/>
      <c r="Z7713"/>
      <c r="AA7713"/>
      <c r="AC7713"/>
      <c r="AR7713"/>
    </row>
    <row r="7714" spans="24:44">
      <c r="X7714"/>
      <c r="Y7714"/>
      <c r="Z7714"/>
      <c r="AA7714"/>
      <c r="AC7714"/>
      <c r="AR7714"/>
    </row>
    <row r="7715" spans="24:44">
      <c r="X7715"/>
      <c r="Y7715"/>
      <c r="Z7715"/>
      <c r="AA7715"/>
      <c r="AC7715"/>
      <c r="AR7715"/>
    </row>
    <row r="7716" spans="24:44">
      <c r="X7716"/>
      <c r="Y7716"/>
      <c r="Z7716"/>
      <c r="AA7716"/>
      <c r="AC7716"/>
      <c r="AR7716"/>
    </row>
    <row r="7717" spans="24:44">
      <c r="X7717"/>
      <c r="Y7717"/>
      <c r="Z7717"/>
      <c r="AA7717"/>
      <c r="AC7717"/>
      <c r="AR7717"/>
    </row>
    <row r="7718" spans="24:44">
      <c r="X7718"/>
      <c r="Y7718"/>
      <c r="Z7718"/>
      <c r="AA7718"/>
      <c r="AC7718"/>
      <c r="AR7718"/>
    </row>
    <row r="7719" spans="24:44">
      <c r="X7719"/>
      <c r="Y7719"/>
      <c r="Z7719"/>
      <c r="AA7719"/>
      <c r="AC7719"/>
      <c r="AR7719"/>
    </row>
    <row r="7720" spans="24:44">
      <c r="X7720"/>
      <c r="Y7720"/>
      <c r="Z7720"/>
      <c r="AA7720"/>
      <c r="AC7720"/>
      <c r="AR7720"/>
    </row>
    <row r="7721" spans="24:44">
      <c r="X7721"/>
      <c r="Y7721"/>
      <c r="Z7721"/>
      <c r="AA7721"/>
      <c r="AC7721"/>
      <c r="AR7721"/>
    </row>
    <row r="7722" spans="24:44">
      <c r="X7722"/>
      <c r="Y7722"/>
      <c r="Z7722"/>
      <c r="AA7722"/>
      <c r="AC7722"/>
      <c r="AR7722"/>
    </row>
    <row r="7723" spans="24:44">
      <c r="X7723"/>
      <c r="Y7723"/>
      <c r="Z7723"/>
      <c r="AA7723"/>
      <c r="AC7723"/>
      <c r="AR7723"/>
    </row>
    <row r="7724" spans="24:44">
      <c r="X7724"/>
      <c r="Y7724"/>
      <c r="Z7724"/>
      <c r="AA7724"/>
      <c r="AC7724"/>
      <c r="AR7724"/>
    </row>
    <row r="7725" spans="24:44">
      <c r="X7725"/>
      <c r="Y7725"/>
      <c r="Z7725"/>
      <c r="AA7725"/>
      <c r="AC7725"/>
      <c r="AR7725"/>
    </row>
    <row r="7726" spans="24:44">
      <c r="X7726"/>
      <c r="Y7726"/>
      <c r="Z7726"/>
      <c r="AA7726"/>
      <c r="AC7726"/>
      <c r="AR7726"/>
    </row>
    <row r="7727" spans="24:44">
      <c r="X7727"/>
      <c r="Y7727"/>
      <c r="Z7727"/>
      <c r="AA7727"/>
      <c r="AC7727"/>
      <c r="AR7727"/>
    </row>
    <row r="7728" spans="24:44">
      <c r="X7728"/>
      <c r="Y7728"/>
      <c r="Z7728"/>
      <c r="AA7728"/>
      <c r="AC7728"/>
      <c r="AR7728"/>
    </row>
    <row r="7729" spans="24:44">
      <c r="X7729"/>
      <c r="Y7729"/>
      <c r="Z7729"/>
      <c r="AA7729"/>
      <c r="AC7729"/>
      <c r="AR7729"/>
    </row>
    <row r="7730" spans="24:44">
      <c r="X7730"/>
      <c r="Y7730"/>
      <c r="Z7730"/>
      <c r="AA7730"/>
      <c r="AC7730"/>
      <c r="AR7730"/>
    </row>
    <row r="7731" spans="24:44">
      <c r="X7731"/>
      <c r="Y7731"/>
      <c r="Z7731"/>
      <c r="AA7731"/>
      <c r="AC7731"/>
      <c r="AR7731"/>
    </row>
    <row r="7732" spans="24:44">
      <c r="X7732"/>
      <c r="Y7732"/>
      <c r="Z7732"/>
      <c r="AA7732"/>
      <c r="AC7732"/>
      <c r="AR7732"/>
    </row>
    <row r="7733" spans="24:44">
      <c r="X7733"/>
      <c r="Y7733"/>
      <c r="Z7733"/>
      <c r="AA7733"/>
      <c r="AC7733"/>
      <c r="AR7733"/>
    </row>
    <row r="7734" spans="24:44">
      <c r="X7734"/>
      <c r="Y7734"/>
      <c r="Z7734"/>
      <c r="AA7734"/>
      <c r="AC7734"/>
      <c r="AR7734"/>
    </row>
    <row r="7735" spans="24:44">
      <c r="X7735"/>
      <c r="Y7735"/>
      <c r="Z7735"/>
      <c r="AA7735"/>
      <c r="AC7735"/>
      <c r="AR7735"/>
    </row>
    <row r="7736" spans="24:44">
      <c r="X7736"/>
      <c r="Y7736"/>
      <c r="Z7736"/>
      <c r="AA7736"/>
      <c r="AC7736"/>
      <c r="AR7736"/>
    </row>
    <row r="7737" spans="24:44">
      <c r="X7737"/>
      <c r="Y7737"/>
      <c r="Z7737"/>
      <c r="AA7737"/>
      <c r="AC7737"/>
      <c r="AR7737"/>
    </row>
    <row r="7738" spans="24:44">
      <c r="X7738"/>
      <c r="Y7738"/>
      <c r="Z7738"/>
      <c r="AA7738"/>
      <c r="AC7738"/>
      <c r="AR7738"/>
    </row>
    <row r="7739" spans="24:44">
      <c r="X7739"/>
      <c r="Y7739"/>
      <c r="Z7739"/>
      <c r="AA7739"/>
      <c r="AC7739"/>
      <c r="AR7739"/>
    </row>
    <row r="7740" spans="24:44">
      <c r="X7740"/>
      <c r="Y7740"/>
      <c r="Z7740"/>
      <c r="AA7740"/>
      <c r="AC7740"/>
      <c r="AR7740"/>
    </row>
    <row r="7741" spans="24:44">
      <c r="X7741"/>
      <c r="Y7741"/>
      <c r="Z7741"/>
      <c r="AA7741"/>
      <c r="AC7741"/>
      <c r="AR7741"/>
    </row>
    <row r="7742" spans="24:44">
      <c r="X7742"/>
      <c r="Y7742"/>
      <c r="Z7742"/>
      <c r="AA7742"/>
      <c r="AC7742"/>
      <c r="AR7742"/>
    </row>
    <row r="7743" spans="24:44">
      <c r="X7743"/>
      <c r="Y7743"/>
      <c r="Z7743"/>
      <c r="AA7743"/>
      <c r="AC7743"/>
      <c r="AR7743"/>
    </row>
    <row r="7744" spans="24:44">
      <c r="X7744"/>
      <c r="Y7744"/>
      <c r="Z7744"/>
      <c r="AA7744"/>
      <c r="AC7744"/>
      <c r="AR7744"/>
    </row>
    <row r="7745" spans="24:44">
      <c r="X7745"/>
      <c r="Y7745"/>
      <c r="Z7745"/>
      <c r="AA7745"/>
      <c r="AC7745"/>
      <c r="AR7745"/>
    </row>
    <row r="7746" spans="24:44">
      <c r="X7746"/>
      <c r="Y7746"/>
      <c r="Z7746"/>
      <c r="AA7746"/>
      <c r="AC7746"/>
      <c r="AR7746"/>
    </row>
    <row r="7747" spans="24:44">
      <c r="X7747"/>
      <c r="Y7747"/>
      <c r="Z7747"/>
      <c r="AA7747"/>
      <c r="AC7747"/>
      <c r="AR7747"/>
    </row>
    <row r="7748" spans="24:44">
      <c r="X7748"/>
      <c r="Y7748"/>
      <c r="Z7748"/>
      <c r="AA7748"/>
      <c r="AC7748"/>
      <c r="AR7748"/>
    </row>
    <row r="7749" spans="24:44">
      <c r="X7749"/>
      <c r="Y7749"/>
      <c r="Z7749"/>
      <c r="AA7749"/>
      <c r="AC7749"/>
      <c r="AR7749"/>
    </row>
    <row r="7750" spans="24:44">
      <c r="X7750"/>
      <c r="Y7750"/>
      <c r="Z7750"/>
      <c r="AA7750"/>
      <c r="AC7750"/>
      <c r="AR7750"/>
    </row>
    <row r="7751" spans="24:44">
      <c r="X7751"/>
      <c r="Y7751"/>
      <c r="Z7751"/>
      <c r="AA7751"/>
      <c r="AC7751"/>
      <c r="AR7751"/>
    </row>
    <row r="7752" spans="24:44">
      <c r="X7752"/>
      <c r="Y7752"/>
      <c r="Z7752"/>
      <c r="AA7752"/>
      <c r="AC7752"/>
      <c r="AR7752"/>
    </row>
    <row r="7753" spans="24:44">
      <c r="X7753"/>
      <c r="Y7753"/>
      <c r="Z7753"/>
      <c r="AA7753"/>
      <c r="AC7753"/>
      <c r="AR7753"/>
    </row>
    <row r="7754" spans="24:44">
      <c r="X7754"/>
      <c r="Y7754"/>
      <c r="Z7754"/>
      <c r="AA7754"/>
      <c r="AC7754"/>
      <c r="AR7754"/>
    </row>
    <row r="7755" spans="24:44">
      <c r="X7755"/>
      <c r="Y7755"/>
      <c r="Z7755"/>
      <c r="AA7755"/>
      <c r="AC7755"/>
      <c r="AR7755"/>
    </row>
    <row r="7756" spans="24:44">
      <c r="X7756"/>
      <c r="Y7756"/>
      <c r="Z7756"/>
      <c r="AA7756"/>
      <c r="AC7756"/>
      <c r="AR7756"/>
    </row>
    <row r="7757" spans="24:44">
      <c r="X7757"/>
      <c r="Y7757"/>
      <c r="Z7757"/>
      <c r="AA7757"/>
      <c r="AC7757"/>
      <c r="AR7757"/>
    </row>
    <row r="7758" spans="24:44">
      <c r="X7758"/>
      <c r="Y7758"/>
      <c r="Z7758"/>
      <c r="AA7758"/>
      <c r="AC7758"/>
      <c r="AR7758"/>
    </row>
    <row r="7759" spans="24:44">
      <c r="X7759"/>
      <c r="Y7759"/>
      <c r="Z7759"/>
      <c r="AA7759"/>
      <c r="AC7759"/>
      <c r="AR7759"/>
    </row>
    <row r="7760" spans="24:44">
      <c r="X7760"/>
      <c r="Y7760"/>
      <c r="Z7760"/>
      <c r="AA7760"/>
      <c r="AC7760"/>
      <c r="AR7760"/>
    </row>
    <row r="7761" spans="24:44">
      <c r="X7761"/>
      <c r="Y7761"/>
      <c r="Z7761"/>
      <c r="AA7761"/>
      <c r="AC7761"/>
      <c r="AR7761"/>
    </row>
    <row r="7762" spans="24:44">
      <c r="X7762"/>
      <c r="Y7762"/>
      <c r="Z7762"/>
      <c r="AA7762"/>
      <c r="AC7762"/>
      <c r="AR7762"/>
    </row>
    <row r="7763" spans="24:44">
      <c r="X7763"/>
      <c r="Y7763"/>
      <c r="Z7763"/>
      <c r="AA7763"/>
      <c r="AC7763"/>
      <c r="AR7763"/>
    </row>
    <row r="7764" spans="24:44">
      <c r="X7764"/>
      <c r="Y7764"/>
      <c r="Z7764"/>
      <c r="AA7764"/>
      <c r="AC7764"/>
      <c r="AR7764"/>
    </row>
    <row r="7765" spans="24:44">
      <c r="X7765"/>
      <c r="Y7765"/>
      <c r="Z7765"/>
      <c r="AA7765"/>
      <c r="AC7765"/>
      <c r="AR7765"/>
    </row>
    <row r="7766" spans="24:44">
      <c r="X7766"/>
      <c r="Y7766"/>
      <c r="Z7766"/>
      <c r="AA7766"/>
      <c r="AC7766"/>
      <c r="AR7766"/>
    </row>
    <row r="7767" spans="24:44">
      <c r="X7767"/>
      <c r="Y7767"/>
      <c r="Z7767"/>
      <c r="AA7767"/>
      <c r="AC7767"/>
      <c r="AR7767"/>
    </row>
    <row r="7768" spans="24:44">
      <c r="X7768"/>
      <c r="Y7768"/>
      <c r="Z7768"/>
      <c r="AA7768"/>
      <c r="AC7768"/>
      <c r="AR7768"/>
    </row>
    <row r="7769" spans="24:44">
      <c r="X7769"/>
      <c r="Y7769"/>
      <c r="Z7769"/>
      <c r="AA7769"/>
      <c r="AC7769"/>
      <c r="AR7769"/>
    </row>
    <row r="7770" spans="24:44">
      <c r="X7770"/>
      <c r="Y7770"/>
      <c r="Z7770"/>
      <c r="AA7770"/>
      <c r="AC7770"/>
      <c r="AR7770"/>
    </row>
    <row r="7771" spans="24:44">
      <c r="X7771"/>
      <c r="Y7771"/>
      <c r="Z7771"/>
      <c r="AA7771"/>
      <c r="AC7771"/>
      <c r="AR7771"/>
    </row>
    <row r="7772" spans="24:44">
      <c r="X7772"/>
      <c r="Y7772"/>
      <c r="Z7772"/>
      <c r="AA7772"/>
      <c r="AC7772"/>
      <c r="AR7772"/>
    </row>
    <row r="7773" spans="24:44">
      <c r="X7773"/>
      <c r="Y7773"/>
      <c r="Z7773"/>
      <c r="AA7773"/>
      <c r="AC7773"/>
      <c r="AR7773"/>
    </row>
    <row r="7774" spans="24:44">
      <c r="X7774"/>
      <c r="Y7774"/>
      <c r="Z7774"/>
      <c r="AA7774"/>
      <c r="AC7774"/>
      <c r="AR7774"/>
    </row>
    <row r="7775" spans="24:44">
      <c r="X7775"/>
      <c r="Y7775"/>
      <c r="Z7775"/>
      <c r="AA7775"/>
      <c r="AC7775"/>
      <c r="AR7775"/>
    </row>
    <row r="7776" spans="24:44">
      <c r="X7776"/>
      <c r="Y7776"/>
      <c r="Z7776"/>
      <c r="AA7776"/>
      <c r="AC7776"/>
      <c r="AR7776"/>
    </row>
    <row r="7777" spans="24:44">
      <c r="X7777"/>
      <c r="Y7777"/>
      <c r="Z7777"/>
      <c r="AA7777"/>
      <c r="AC7777"/>
      <c r="AR7777"/>
    </row>
    <row r="7778" spans="24:44">
      <c r="X7778"/>
      <c r="Y7778"/>
      <c r="Z7778"/>
      <c r="AA7778"/>
      <c r="AC7778"/>
      <c r="AR7778"/>
    </row>
    <row r="7779" spans="24:44">
      <c r="X7779"/>
      <c r="Y7779"/>
      <c r="Z7779"/>
      <c r="AA7779"/>
      <c r="AC7779"/>
      <c r="AR7779"/>
    </row>
    <row r="7780" spans="24:44">
      <c r="X7780"/>
      <c r="Y7780"/>
      <c r="Z7780"/>
      <c r="AA7780"/>
      <c r="AC7780"/>
      <c r="AR7780"/>
    </row>
    <row r="7781" spans="24:44">
      <c r="X7781"/>
      <c r="Y7781"/>
      <c r="Z7781"/>
      <c r="AA7781"/>
      <c r="AC7781"/>
      <c r="AR7781"/>
    </row>
    <row r="7782" spans="24:44">
      <c r="X7782"/>
      <c r="Y7782"/>
      <c r="Z7782"/>
      <c r="AA7782"/>
      <c r="AC7782"/>
      <c r="AR7782"/>
    </row>
    <row r="7783" spans="24:44">
      <c r="X7783"/>
      <c r="Y7783"/>
      <c r="Z7783"/>
      <c r="AA7783"/>
      <c r="AC7783"/>
      <c r="AR7783"/>
    </row>
    <row r="7784" spans="24:44">
      <c r="X7784"/>
      <c r="Y7784"/>
      <c r="Z7784"/>
      <c r="AA7784"/>
      <c r="AC7784"/>
      <c r="AR7784"/>
    </row>
    <row r="7785" spans="24:44">
      <c r="X7785"/>
      <c r="Y7785"/>
      <c r="Z7785"/>
      <c r="AA7785"/>
      <c r="AC7785"/>
      <c r="AR7785"/>
    </row>
    <row r="7786" spans="24:44">
      <c r="X7786"/>
      <c r="Y7786"/>
      <c r="Z7786"/>
      <c r="AA7786"/>
      <c r="AC7786"/>
      <c r="AR7786"/>
    </row>
    <row r="7787" spans="24:44">
      <c r="X7787"/>
      <c r="Y7787"/>
      <c r="Z7787"/>
      <c r="AA7787"/>
      <c r="AC7787"/>
      <c r="AR7787"/>
    </row>
    <row r="7788" spans="24:44">
      <c r="X7788"/>
      <c r="Y7788"/>
      <c r="Z7788"/>
      <c r="AA7788"/>
      <c r="AC7788"/>
      <c r="AR7788"/>
    </row>
    <row r="7789" spans="24:44">
      <c r="X7789"/>
      <c r="Y7789"/>
      <c r="Z7789"/>
      <c r="AA7789"/>
      <c r="AC7789"/>
      <c r="AR7789"/>
    </row>
    <row r="7790" spans="24:44">
      <c r="X7790"/>
      <c r="Y7790"/>
      <c r="Z7790"/>
      <c r="AA7790"/>
      <c r="AC7790"/>
      <c r="AR7790"/>
    </row>
    <row r="7791" spans="24:44">
      <c r="X7791"/>
      <c r="Y7791"/>
      <c r="Z7791"/>
      <c r="AA7791"/>
      <c r="AC7791"/>
      <c r="AR7791"/>
    </row>
    <row r="7792" spans="24:44">
      <c r="X7792"/>
      <c r="Y7792"/>
      <c r="Z7792"/>
      <c r="AA7792"/>
      <c r="AC7792"/>
      <c r="AR7792"/>
    </row>
    <row r="7793" spans="24:44">
      <c r="X7793"/>
      <c r="Y7793"/>
      <c r="Z7793"/>
      <c r="AA7793"/>
      <c r="AC7793"/>
      <c r="AR7793"/>
    </row>
    <row r="7794" spans="24:44">
      <c r="X7794"/>
      <c r="Y7794"/>
      <c r="Z7794"/>
      <c r="AA7794"/>
      <c r="AC7794"/>
      <c r="AR7794"/>
    </row>
    <row r="7795" spans="24:44">
      <c r="X7795"/>
      <c r="Y7795"/>
      <c r="Z7795"/>
      <c r="AA7795"/>
      <c r="AC7795"/>
      <c r="AR7795"/>
    </row>
    <row r="7796" spans="24:44">
      <c r="X7796"/>
      <c r="Y7796"/>
      <c r="Z7796"/>
      <c r="AA7796"/>
      <c r="AC7796"/>
      <c r="AR7796"/>
    </row>
    <row r="7797" spans="24:44">
      <c r="X7797"/>
      <c r="Y7797"/>
      <c r="Z7797"/>
      <c r="AA7797"/>
      <c r="AC7797"/>
      <c r="AR7797"/>
    </row>
    <row r="7798" spans="24:44">
      <c r="X7798"/>
      <c r="Y7798"/>
      <c r="Z7798"/>
      <c r="AA7798"/>
      <c r="AC7798"/>
      <c r="AR7798"/>
    </row>
    <row r="7799" spans="24:44">
      <c r="X7799"/>
      <c r="Y7799"/>
      <c r="Z7799"/>
      <c r="AA7799"/>
      <c r="AC7799"/>
      <c r="AR7799"/>
    </row>
    <row r="7800" spans="24:44">
      <c r="X7800"/>
      <c r="Y7800"/>
      <c r="Z7800"/>
      <c r="AA7800"/>
      <c r="AC7800"/>
      <c r="AR7800"/>
    </row>
    <row r="7801" spans="24:44">
      <c r="X7801"/>
      <c r="Y7801"/>
      <c r="Z7801"/>
      <c r="AA7801"/>
      <c r="AC7801"/>
      <c r="AR7801"/>
    </row>
    <row r="7802" spans="24:44">
      <c r="X7802"/>
      <c r="Y7802"/>
      <c r="Z7802"/>
      <c r="AA7802"/>
      <c r="AC7802"/>
      <c r="AR7802"/>
    </row>
    <row r="7803" spans="24:44">
      <c r="X7803"/>
      <c r="Y7803"/>
      <c r="Z7803"/>
      <c r="AA7803"/>
      <c r="AC7803"/>
      <c r="AR7803"/>
    </row>
    <row r="7804" spans="24:44">
      <c r="X7804"/>
      <c r="Y7804"/>
      <c r="Z7804"/>
      <c r="AA7804"/>
      <c r="AC7804"/>
      <c r="AR7804"/>
    </row>
    <row r="7805" spans="24:44">
      <c r="X7805"/>
      <c r="Y7805"/>
      <c r="Z7805"/>
      <c r="AA7805"/>
      <c r="AC7805"/>
      <c r="AR7805"/>
    </row>
    <row r="7806" spans="24:44">
      <c r="X7806"/>
      <c r="Y7806"/>
      <c r="Z7806"/>
      <c r="AA7806"/>
      <c r="AC7806"/>
      <c r="AR7806"/>
    </row>
    <row r="7807" spans="24:44">
      <c r="X7807"/>
      <c r="Y7807"/>
      <c r="Z7807"/>
      <c r="AA7807"/>
      <c r="AC7807"/>
      <c r="AR7807"/>
    </row>
    <row r="7808" spans="24:44">
      <c r="X7808"/>
      <c r="Y7808"/>
      <c r="Z7808"/>
      <c r="AA7808"/>
      <c r="AC7808"/>
      <c r="AR7808"/>
    </row>
    <row r="7809" spans="24:44">
      <c r="X7809"/>
      <c r="Y7809"/>
      <c r="Z7809"/>
      <c r="AA7809"/>
      <c r="AC7809"/>
      <c r="AR7809"/>
    </row>
    <row r="7810" spans="24:44">
      <c r="X7810"/>
      <c r="Y7810"/>
      <c r="Z7810"/>
      <c r="AA7810"/>
      <c r="AC7810"/>
      <c r="AR7810"/>
    </row>
    <row r="7811" spans="24:44">
      <c r="X7811"/>
      <c r="Y7811"/>
      <c r="Z7811"/>
      <c r="AA7811"/>
      <c r="AC7811"/>
      <c r="AR7811"/>
    </row>
    <row r="7812" spans="24:44">
      <c r="X7812"/>
      <c r="Y7812"/>
      <c r="Z7812"/>
      <c r="AA7812"/>
      <c r="AC7812"/>
      <c r="AR7812"/>
    </row>
    <row r="7813" spans="24:44">
      <c r="X7813"/>
      <c r="Y7813"/>
      <c r="Z7813"/>
      <c r="AA7813"/>
      <c r="AC7813"/>
      <c r="AR7813"/>
    </row>
    <row r="7814" spans="24:44">
      <c r="X7814"/>
      <c r="Y7814"/>
      <c r="Z7814"/>
      <c r="AA7814"/>
      <c r="AC7814"/>
      <c r="AR7814"/>
    </row>
    <row r="7815" spans="24:44">
      <c r="X7815"/>
      <c r="Y7815"/>
      <c r="Z7815"/>
      <c r="AA7815"/>
      <c r="AC7815"/>
      <c r="AR7815"/>
    </row>
    <row r="7816" spans="24:44">
      <c r="X7816"/>
      <c r="Y7816"/>
      <c r="Z7816"/>
      <c r="AA7816"/>
      <c r="AC7816"/>
      <c r="AR7816"/>
    </row>
    <row r="7817" spans="24:44">
      <c r="X7817"/>
      <c r="Y7817"/>
      <c r="Z7817"/>
      <c r="AA7817"/>
      <c r="AC7817"/>
      <c r="AR7817"/>
    </row>
    <row r="7818" spans="24:44">
      <c r="X7818"/>
      <c r="Y7818"/>
      <c r="Z7818"/>
      <c r="AA7818"/>
      <c r="AC7818"/>
      <c r="AR7818"/>
    </row>
    <row r="7819" spans="24:44">
      <c r="X7819"/>
      <c r="Y7819"/>
      <c r="Z7819"/>
      <c r="AA7819"/>
      <c r="AC7819"/>
      <c r="AR7819"/>
    </row>
    <row r="7820" spans="24:44">
      <c r="X7820"/>
      <c r="Y7820"/>
      <c r="Z7820"/>
      <c r="AA7820"/>
      <c r="AC7820"/>
      <c r="AR7820"/>
    </row>
    <row r="7821" spans="24:44">
      <c r="X7821"/>
      <c r="Y7821"/>
      <c r="Z7821"/>
      <c r="AA7821"/>
      <c r="AC7821"/>
      <c r="AR7821"/>
    </row>
    <row r="7822" spans="24:44">
      <c r="X7822"/>
      <c r="Y7822"/>
      <c r="Z7822"/>
      <c r="AA7822"/>
      <c r="AC7822"/>
      <c r="AR7822"/>
    </row>
    <row r="7823" spans="24:44">
      <c r="X7823"/>
      <c r="Y7823"/>
      <c r="Z7823"/>
      <c r="AA7823"/>
      <c r="AC7823"/>
      <c r="AR7823"/>
    </row>
    <row r="7824" spans="24:44">
      <c r="X7824"/>
      <c r="Y7824"/>
      <c r="Z7824"/>
      <c r="AA7824"/>
      <c r="AC7824"/>
      <c r="AR7824"/>
    </row>
    <row r="7825" spans="24:44">
      <c r="X7825"/>
      <c r="Y7825"/>
      <c r="Z7825"/>
      <c r="AA7825"/>
      <c r="AC7825"/>
      <c r="AR7825"/>
    </row>
    <row r="7826" spans="24:44">
      <c r="X7826"/>
      <c r="Y7826"/>
      <c r="Z7826"/>
      <c r="AA7826"/>
      <c r="AC7826"/>
      <c r="AR7826"/>
    </row>
    <row r="7827" spans="24:44">
      <c r="X7827"/>
      <c r="Y7827"/>
      <c r="Z7827"/>
      <c r="AA7827"/>
      <c r="AC7827"/>
      <c r="AR7827"/>
    </row>
    <row r="7828" spans="24:44">
      <c r="X7828"/>
      <c r="Y7828"/>
      <c r="Z7828"/>
      <c r="AA7828"/>
      <c r="AC7828"/>
      <c r="AR7828"/>
    </row>
    <row r="7829" spans="24:44">
      <c r="X7829"/>
      <c r="Y7829"/>
      <c r="Z7829"/>
      <c r="AA7829"/>
      <c r="AC7829"/>
      <c r="AR7829"/>
    </row>
    <row r="7830" spans="24:44">
      <c r="X7830"/>
      <c r="Y7830"/>
      <c r="Z7830"/>
      <c r="AA7830"/>
      <c r="AC7830"/>
      <c r="AR7830"/>
    </row>
    <row r="7831" spans="24:44">
      <c r="X7831"/>
      <c r="Y7831"/>
      <c r="Z7831"/>
      <c r="AA7831"/>
      <c r="AC7831"/>
      <c r="AR7831"/>
    </row>
    <row r="7832" spans="24:44">
      <c r="X7832"/>
      <c r="Y7832"/>
      <c r="Z7832"/>
      <c r="AA7832"/>
      <c r="AC7832"/>
      <c r="AR7832"/>
    </row>
    <row r="7833" spans="24:44">
      <c r="X7833"/>
      <c r="Y7833"/>
      <c r="Z7833"/>
      <c r="AA7833"/>
      <c r="AC7833"/>
      <c r="AR7833"/>
    </row>
    <row r="7834" spans="24:44">
      <c r="X7834"/>
      <c r="Y7834"/>
      <c r="Z7834"/>
      <c r="AA7834"/>
      <c r="AC7834"/>
      <c r="AR7834"/>
    </row>
    <row r="7835" spans="24:44">
      <c r="X7835"/>
      <c r="Y7835"/>
      <c r="Z7835"/>
      <c r="AA7835"/>
      <c r="AC7835"/>
      <c r="AR7835"/>
    </row>
    <row r="7836" spans="24:44">
      <c r="X7836"/>
      <c r="Y7836"/>
      <c r="Z7836"/>
      <c r="AA7836"/>
      <c r="AC7836"/>
      <c r="AR7836"/>
    </row>
    <row r="7837" spans="24:44">
      <c r="X7837"/>
      <c r="Y7837"/>
      <c r="Z7837"/>
      <c r="AA7837"/>
      <c r="AC7837"/>
      <c r="AR7837"/>
    </row>
    <row r="7838" spans="24:44">
      <c r="X7838"/>
      <c r="Y7838"/>
      <c r="Z7838"/>
      <c r="AA7838"/>
      <c r="AC7838"/>
      <c r="AR7838"/>
    </row>
    <row r="7839" spans="24:44">
      <c r="X7839"/>
      <c r="Y7839"/>
      <c r="Z7839"/>
      <c r="AA7839"/>
      <c r="AC7839"/>
      <c r="AR7839"/>
    </row>
    <row r="7840" spans="24:44">
      <c r="X7840"/>
      <c r="Y7840"/>
      <c r="Z7840"/>
      <c r="AA7840"/>
      <c r="AC7840"/>
      <c r="AR7840"/>
    </row>
    <row r="7841" spans="24:44">
      <c r="X7841"/>
      <c r="Y7841"/>
      <c r="Z7841"/>
      <c r="AA7841"/>
      <c r="AC7841"/>
      <c r="AR7841"/>
    </row>
    <row r="7842" spans="24:44">
      <c r="X7842"/>
      <c r="Y7842"/>
      <c r="Z7842"/>
      <c r="AA7842"/>
      <c r="AC7842"/>
      <c r="AR7842"/>
    </row>
    <row r="7843" spans="24:44">
      <c r="X7843"/>
      <c r="Y7843"/>
      <c r="Z7843"/>
      <c r="AA7843"/>
      <c r="AC7843"/>
      <c r="AR7843"/>
    </row>
    <row r="7844" spans="24:44">
      <c r="X7844"/>
      <c r="Y7844"/>
      <c r="Z7844"/>
      <c r="AA7844"/>
      <c r="AC7844"/>
      <c r="AR7844"/>
    </row>
    <row r="7845" spans="24:44">
      <c r="X7845"/>
      <c r="Y7845"/>
      <c r="Z7845"/>
      <c r="AA7845"/>
      <c r="AC7845"/>
      <c r="AR7845"/>
    </row>
    <row r="7846" spans="24:44">
      <c r="X7846"/>
      <c r="Y7846"/>
      <c r="Z7846"/>
      <c r="AA7846"/>
      <c r="AC7846"/>
      <c r="AR7846"/>
    </row>
    <row r="7847" spans="24:44">
      <c r="X7847"/>
      <c r="Y7847"/>
      <c r="Z7847"/>
      <c r="AA7847"/>
      <c r="AC7847"/>
      <c r="AR7847"/>
    </row>
    <row r="7848" spans="24:44">
      <c r="X7848"/>
      <c r="Y7848"/>
      <c r="Z7848"/>
      <c r="AA7848"/>
      <c r="AC7848"/>
      <c r="AR7848"/>
    </row>
    <row r="7849" spans="24:44">
      <c r="X7849"/>
      <c r="Y7849"/>
      <c r="Z7849"/>
      <c r="AA7849"/>
      <c r="AC7849"/>
      <c r="AR7849"/>
    </row>
    <row r="7850" spans="24:44">
      <c r="X7850"/>
      <c r="Y7850"/>
      <c r="Z7850"/>
      <c r="AA7850"/>
      <c r="AC7850"/>
      <c r="AR7850"/>
    </row>
    <row r="7851" spans="24:44">
      <c r="X7851"/>
      <c r="Y7851"/>
      <c r="Z7851"/>
      <c r="AA7851"/>
      <c r="AC7851"/>
      <c r="AR7851"/>
    </row>
    <row r="7852" spans="24:44">
      <c r="X7852"/>
      <c r="Y7852"/>
      <c r="Z7852"/>
      <c r="AA7852"/>
      <c r="AC7852"/>
      <c r="AR7852"/>
    </row>
    <row r="7853" spans="24:44">
      <c r="X7853"/>
      <c r="Y7853"/>
      <c r="Z7853"/>
      <c r="AA7853"/>
      <c r="AC7853"/>
      <c r="AR7853"/>
    </row>
    <row r="7854" spans="24:44">
      <c r="X7854"/>
      <c r="Y7854"/>
      <c r="Z7854"/>
      <c r="AA7854"/>
      <c r="AC7854"/>
      <c r="AR7854"/>
    </row>
    <row r="7855" spans="24:44">
      <c r="X7855"/>
      <c r="Y7855"/>
      <c r="Z7855"/>
      <c r="AA7855"/>
      <c r="AC7855"/>
      <c r="AR7855"/>
    </row>
    <row r="7856" spans="24:44">
      <c r="X7856"/>
      <c r="Y7856"/>
      <c r="Z7856"/>
      <c r="AA7856"/>
      <c r="AC7856"/>
      <c r="AR7856"/>
    </row>
    <row r="7857" spans="24:44">
      <c r="X7857"/>
      <c r="Y7857"/>
      <c r="Z7857"/>
      <c r="AA7857"/>
      <c r="AC7857"/>
      <c r="AR7857"/>
    </row>
    <row r="7858" spans="24:44">
      <c r="X7858"/>
      <c r="Y7858"/>
      <c r="Z7858"/>
      <c r="AA7858"/>
      <c r="AC7858"/>
      <c r="AR7858"/>
    </row>
    <row r="7859" spans="24:44">
      <c r="X7859"/>
      <c r="Y7859"/>
      <c r="Z7859"/>
      <c r="AA7859"/>
      <c r="AC7859"/>
      <c r="AR7859"/>
    </row>
    <row r="7860" spans="24:44">
      <c r="X7860"/>
      <c r="Y7860"/>
      <c r="Z7860"/>
      <c r="AA7860"/>
      <c r="AC7860"/>
      <c r="AR7860"/>
    </row>
    <row r="7861" spans="24:44">
      <c r="X7861"/>
      <c r="Y7861"/>
      <c r="Z7861"/>
      <c r="AA7861"/>
      <c r="AC7861"/>
      <c r="AR7861"/>
    </row>
    <row r="7862" spans="24:44">
      <c r="X7862"/>
      <c r="Y7862"/>
      <c r="Z7862"/>
      <c r="AA7862"/>
      <c r="AC7862"/>
      <c r="AR7862"/>
    </row>
    <row r="7863" spans="24:44">
      <c r="X7863"/>
      <c r="Y7863"/>
      <c r="Z7863"/>
      <c r="AA7863"/>
      <c r="AC7863"/>
      <c r="AR7863"/>
    </row>
    <row r="7864" spans="24:44">
      <c r="X7864"/>
      <c r="Y7864"/>
      <c r="Z7864"/>
      <c r="AA7864"/>
      <c r="AC7864"/>
      <c r="AR7864"/>
    </row>
    <row r="7865" spans="24:44">
      <c r="X7865"/>
      <c r="Y7865"/>
      <c r="Z7865"/>
      <c r="AA7865"/>
      <c r="AC7865"/>
      <c r="AR7865"/>
    </row>
    <row r="7866" spans="24:44">
      <c r="X7866"/>
      <c r="Y7866"/>
      <c r="Z7866"/>
      <c r="AA7866"/>
      <c r="AC7866"/>
      <c r="AR7866"/>
    </row>
    <row r="7867" spans="24:44">
      <c r="X7867"/>
      <c r="Y7867"/>
      <c r="Z7867"/>
      <c r="AA7867"/>
      <c r="AC7867"/>
      <c r="AR7867"/>
    </row>
    <row r="7868" spans="24:44">
      <c r="X7868"/>
      <c r="Y7868"/>
      <c r="Z7868"/>
      <c r="AA7868"/>
      <c r="AC7868"/>
      <c r="AR7868"/>
    </row>
    <row r="7869" spans="24:44">
      <c r="X7869"/>
      <c r="Y7869"/>
      <c r="Z7869"/>
      <c r="AA7869"/>
      <c r="AC7869"/>
      <c r="AR7869"/>
    </row>
    <row r="7870" spans="24:44">
      <c r="X7870"/>
      <c r="Y7870"/>
      <c r="Z7870"/>
      <c r="AA7870"/>
      <c r="AC7870"/>
      <c r="AR7870"/>
    </row>
    <row r="7871" spans="24:44">
      <c r="X7871"/>
      <c r="Y7871"/>
      <c r="Z7871"/>
      <c r="AA7871"/>
      <c r="AC7871"/>
      <c r="AR7871"/>
    </row>
    <row r="7872" spans="24:44">
      <c r="X7872"/>
      <c r="Y7872"/>
      <c r="Z7872"/>
      <c r="AA7872"/>
      <c r="AC7872"/>
      <c r="AR7872"/>
    </row>
    <row r="7873" spans="24:44">
      <c r="X7873"/>
      <c r="Y7873"/>
      <c r="Z7873"/>
      <c r="AA7873"/>
      <c r="AC7873"/>
      <c r="AR7873"/>
    </row>
    <row r="7874" spans="24:44">
      <c r="X7874"/>
      <c r="Y7874"/>
      <c r="Z7874"/>
      <c r="AA7874"/>
      <c r="AC7874"/>
      <c r="AR7874"/>
    </row>
    <row r="7875" spans="24:44">
      <c r="X7875"/>
      <c r="Y7875"/>
      <c r="Z7875"/>
      <c r="AA7875"/>
      <c r="AC7875"/>
      <c r="AR7875"/>
    </row>
    <row r="7876" spans="24:44">
      <c r="X7876"/>
      <c r="Y7876"/>
      <c r="Z7876"/>
      <c r="AA7876"/>
      <c r="AC7876"/>
      <c r="AR7876"/>
    </row>
    <row r="7877" spans="24:44">
      <c r="X7877"/>
      <c r="Y7877"/>
      <c r="Z7877"/>
      <c r="AA7877"/>
      <c r="AC7877"/>
      <c r="AR7877"/>
    </row>
    <row r="7878" spans="24:44">
      <c r="X7878"/>
      <c r="Y7878"/>
      <c r="Z7878"/>
      <c r="AA7878"/>
      <c r="AC7878"/>
      <c r="AR7878"/>
    </row>
    <row r="7879" spans="24:44">
      <c r="X7879"/>
      <c r="Y7879"/>
      <c r="Z7879"/>
      <c r="AA7879"/>
      <c r="AC7879"/>
      <c r="AR7879"/>
    </row>
    <row r="7880" spans="24:44">
      <c r="X7880"/>
      <c r="Y7880"/>
      <c r="Z7880"/>
      <c r="AA7880"/>
      <c r="AC7880"/>
      <c r="AR7880"/>
    </row>
    <row r="7881" spans="24:44">
      <c r="X7881"/>
      <c r="Y7881"/>
      <c r="Z7881"/>
      <c r="AA7881"/>
      <c r="AC7881"/>
      <c r="AR7881"/>
    </row>
    <row r="7882" spans="24:44">
      <c r="X7882"/>
      <c r="Y7882"/>
      <c r="Z7882"/>
      <c r="AA7882"/>
      <c r="AC7882"/>
      <c r="AR7882"/>
    </row>
    <row r="7883" spans="24:44">
      <c r="X7883"/>
      <c r="Y7883"/>
      <c r="Z7883"/>
      <c r="AA7883"/>
      <c r="AC7883"/>
      <c r="AR7883"/>
    </row>
    <row r="7884" spans="24:44">
      <c r="X7884"/>
      <c r="Y7884"/>
      <c r="Z7884"/>
      <c r="AA7884"/>
      <c r="AC7884"/>
      <c r="AR7884"/>
    </row>
    <row r="7885" spans="24:44">
      <c r="X7885"/>
      <c r="Y7885"/>
      <c r="Z7885"/>
      <c r="AA7885"/>
      <c r="AC7885"/>
      <c r="AR7885"/>
    </row>
    <row r="7886" spans="24:44">
      <c r="X7886"/>
      <c r="Y7886"/>
      <c r="Z7886"/>
      <c r="AA7886"/>
      <c r="AC7886"/>
      <c r="AR7886"/>
    </row>
    <row r="7887" spans="24:44">
      <c r="X7887"/>
      <c r="Y7887"/>
      <c r="Z7887"/>
      <c r="AA7887"/>
      <c r="AC7887"/>
      <c r="AR7887"/>
    </row>
    <row r="7888" spans="24:44">
      <c r="X7888"/>
      <c r="Y7888"/>
      <c r="Z7888"/>
      <c r="AA7888"/>
      <c r="AC7888"/>
      <c r="AR7888"/>
    </row>
    <row r="7889" spans="24:44">
      <c r="X7889"/>
      <c r="Y7889"/>
      <c r="Z7889"/>
      <c r="AA7889"/>
      <c r="AC7889"/>
      <c r="AR7889"/>
    </row>
    <row r="7890" spans="24:44">
      <c r="X7890"/>
      <c r="Y7890"/>
      <c r="Z7890"/>
      <c r="AA7890"/>
      <c r="AC7890"/>
      <c r="AR7890"/>
    </row>
    <row r="7891" spans="24:44">
      <c r="X7891"/>
      <c r="Y7891"/>
      <c r="Z7891"/>
      <c r="AA7891"/>
      <c r="AC7891"/>
      <c r="AR7891"/>
    </row>
    <row r="7892" spans="24:44">
      <c r="X7892"/>
      <c r="Y7892"/>
      <c r="Z7892"/>
      <c r="AA7892"/>
      <c r="AC7892"/>
      <c r="AR7892"/>
    </row>
    <row r="7893" spans="24:44">
      <c r="X7893"/>
      <c r="Y7893"/>
      <c r="Z7893"/>
      <c r="AA7893"/>
      <c r="AC7893"/>
      <c r="AR7893"/>
    </row>
    <row r="7894" spans="24:44">
      <c r="X7894"/>
      <c r="Y7894"/>
      <c r="Z7894"/>
      <c r="AA7894"/>
      <c r="AC7894"/>
      <c r="AR7894"/>
    </row>
    <row r="7895" spans="24:44">
      <c r="X7895"/>
      <c r="Y7895"/>
      <c r="Z7895"/>
      <c r="AA7895"/>
      <c r="AC7895"/>
      <c r="AR7895"/>
    </row>
    <row r="7896" spans="24:44">
      <c r="X7896"/>
      <c r="Y7896"/>
      <c r="Z7896"/>
      <c r="AA7896"/>
      <c r="AC7896"/>
      <c r="AR7896"/>
    </row>
    <row r="7897" spans="24:44">
      <c r="X7897"/>
      <c r="Y7897"/>
      <c r="Z7897"/>
      <c r="AA7897"/>
      <c r="AC7897"/>
      <c r="AR7897"/>
    </row>
    <row r="7898" spans="24:44">
      <c r="X7898"/>
      <c r="Y7898"/>
      <c r="Z7898"/>
      <c r="AA7898"/>
      <c r="AC7898"/>
      <c r="AR7898"/>
    </row>
    <row r="7899" spans="24:44">
      <c r="X7899"/>
      <c r="Y7899"/>
      <c r="Z7899"/>
      <c r="AA7899"/>
      <c r="AC7899"/>
      <c r="AR7899"/>
    </row>
    <row r="7900" spans="24:44">
      <c r="X7900"/>
      <c r="Y7900"/>
      <c r="Z7900"/>
      <c r="AA7900"/>
      <c r="AC7900"/>
      <c r="AR7900"/>
    </row>
    <row r="7901" spans="24:44">
      <c r="X7901"/>
      <c r="Y7901"/>
      <c r="Z7901"/>
      <c r="AA7901"/>
      <c r="AC7901"/>
      <c r="AR7901"/>
    </row>
    <row r="7902" spans="24:44">
      <c r="X7902"/>
      <c r="Y7902"/>
      <c r="Z7902"/>
      <c r="AA7902"/>
      <c r="AC7902"/>
      <c r="AR7902"/>
    </row>
    <row r="7903" spans="24:44">
      <c r="X7903"/>
      <c r="Y7903"/>
      <c r="Z7903"/>
      <c r="AA7903"/>
      <c r="AC7903"/>
      <c r="AR7903"/>
    </row>
    <row r="7904" spans="24:44">
      <c r="X7904"/>
      <c r="Y7904"/>
      <c r="Z7904"/>
      <c r="AA7904"/>
      <c r="AC7904"/>
      <c r="AR7904"/>
    </row>
    <row r="7905" spans="24:44">
      <c r="X7905"/>
      <c r="Y7905"/>
      <c r="Z7905"/>
      <c r="AA7905"/>
      <c r="AC7905"/>
      <c r="AR7905"/>
    </row>
    <row r="7906" spans="24:44">
      <c r="X7906"/>
      <c r="Y7906"/>
      <c r="Z7906"/>
      <c r="AA7906"/>
      <c r="AC7906"/>
      <c r="AR7906"/>
    </row>
    <row r="7907" spans="24:44">
      <c r="X7907"/>
      <c r="Y7907"/>
      <c r="Z7907"/>
      <c r="AA7907"/>
      <c r="AC7907"/>
      <c r="AR7907"/>
    </row>
    <row r="7908" spans="24:44">
      <c r="X7908"/>
      <c r="Y7908"/>
      <c r="Z7908"/>
      <c r="AA7908"/>
      <c r="AC7908"/>
      <c r="AR7908"/>
    </row>
    <row r="7909" spans="24:44">
      <c r="X7909"/>
      <c r="Y7909"/>
      <c r="Z7909"/>
      <c r="AA7909"/>
      <c r="AC7909"/>
      <c r="AR7909"/>
    </row>
    <row r="7910" spans="24:44">
      <c r="X7910"/>
      <c r="Y7910"/>
      <c r="Z7910"/>
      <c r="AA7910"/>
      <c r="AC7910"/>
      <c r="AR7910"/>
    </row>
    <row r="7911" spans="24:44">
      <c r="X7911"/>
      <c r="Y7911"/>
      <c r="Z7911"/>
      <c r="AA7911"/>
      <c r="AC7911"/>
      <c r="AR7911"/>
    </row>
    <row r="7912" spans="24:44">
      <c r="X7912"/>
      <c r="Y7912"/>
      <c r="Z7912"/>
      <c r="AA7912"/>
      <c r="AC7912"/>
      <c r="AR7912"/>
    </row>
    <row r="7913" spans="24:44">
      <c r="X7913"/>
      <c r="Y7913"/>
      <c r="Z7913"/>
      <c r="AA7913"/>
      <c r="AC7913"/>
      <c r="AR7913"/>
    </row>
    <row r="7914" spans="24:44">
      <c r="X7914"/>
      <c r="Y7914"/>
      <c r="Z7914"/>
      <c r="AA7914"/>
      <c r="AC7914"/>
      <c r="AR7914"/>
    </row>
    <row r="7915" spans="24:44">
      <c r="X7915"/>
      <c r="Y7915"/>
      <c r="Z7915"/>
      <c r="AA7915"/>
      <c r="AC7915"/>
      <c r="AR7915"/>
    </row>
    <row r="7916" spans="24:44">
      <c r="X7916"/>
      <c r="Y7916"/>
      <c r="Z7916"/>
      <c r="AA7916"/>
      <c r="AC7916"/>
      <c r="AR7916"/>
    </row>
    <row r="7917" spans="24:44">
      <c r="X7917"/>
      <c r="Y7917"/>
      <c r="Z7917"/>
      <c r="AA7917"/>
      <c r="AC7917"/>
      <c r="AR7917"/>
    </row>
    <row r="7918" spans="24:44">
      <c r="X7918"/>
      <c r="Y7918"/>
      <c r="Z7918"/>
      <c r="AA7918"/>
      <c r="AC7918"/>
      <c r="AR7918"/>
    </row>
    <row r="7919" spans="24:44">
      <c r="X7919"/>
      <c r="Y7919"/>
      <c r="Z7919"/>
      <c r="AA7919"/>
      <c r="AC7919"/>
      <c r="AR7919"/>
    </row>
    <row r="7920" spans="24:44">
      <c r="X7920"/>
      <c r="Y7920"/>
      <c r="Z7920"/>
      <c r="AA7920"/>
      <c r="AC7920"/>
      <c r="AR7920"/>
    </row>
    <row r="7921" spans="24:44">
      <c r="X7921"/>
      <c r="Y7921"/>
      <c r="Z7921"/>
      <c r="AA7921"/>
      <c r="AC7921"/>
      <c r="AR7921"/>
    </row>
    <row r="7922" spans="24:44">
      <c r="X7922"/>
      <c r="Y7922"/>
      <c r="Z7922"/>
      <c r="AA7922"/>
      <c r="AC7922"/>
      <c r="AR7922"/>
    </row>
    <row r="7923" spans="24:44">
      <c r="X7923"/>
      <c r="Y7923"/>
      <c r="Z7923"/>
      <c r="AA7923"/>
      <c r="AC7923"/>
      <c r="AR7923"/>
    </row>
    <row r="7924" spans="24:44">
      <c r="X7924"/>
      <c r="Y7924"/>
      <c r="Z7924"/>
      <c r="AA7924"/>
      <c r="AC7924"/>
      <c r="AR7924"/>
    </row>
    <row r="7925" spans="24:44">
      <c r="X7925"/>
      <c r="Y7925"/>
      <c r="Z7925"/>
      <c r="AA7925"/>
      <c r="AC7925"/>
      <c r="AR7925"/>
    </row>
    <row r="7926" spans="24:44">
      <c r="X7926"/>
      <c r="Y7926"/>
      <c r="Z7926"/>
      <c r="AA7926"/>
      <c r="AC7926"/>
      <c r="AR7926"/>
    </row>
    <row r="7927" spans="24:44">
      <c r="X7927"/>
      <c r="Y7927"/>
      <c r="Z7927"/>
      <c r="AA7927"/>
      <c r="AC7927"/>
      <c r="AR7927"/>
    </row>
    <row r="7928" spans="24:44">
      <c r="X7928"/>
      <c r="Y7928"/>
      <c r="Z7928"/>
      <c r="AA7928"/>
      <c r="AC7928"/>
      <c r="AR7928"/>
    </row>
    <row r="7929" spans="24:44">
      <c r="X7929"/>
      <c r="Y7929"/>
      <c r="Z7929"/>
      <c r="AA7929"/>
      <c r="AC7929"/>
      <c r="AR7929"/>
    </row>
    <row r="7930" spans="24:44">
      <c r="X7930"/>
      <c r="Y7930"/>
      <c r="Z7930"/>
      <c r="AA7930"/>
      <c r="AC7930"/>
      <c r="AR7930"/>
    </row>
    <row r="7931" spans="24:44">
      <c r="X7931"/>
      <c r="Y7931"/>
      <c r="Z7931"/>
      <c r="AA7931"/>
      <c r="AC7931"/>
      <c r="AR7931"/>
    </row>
    <row r="7932" spans="24:44">
      <c r="X7932"/>
      <c r="Y7932"/>
      <c r="Z7932"/>
      <c r="AA7932"/>
      <c r="AC7932"/>
      <c r="AR7932"/>
    </row>
    <row r="7933" spans="24:44">
      <c r="X7933"/>
      <c r="Y7933"/>
      <c r="Z7933"/>
      <c r="AA7933"/>
      <c r="AC7933"/>
      <c r="AR7933"/>
    </row>
    <row r="7934" spans="24:44">
      <c r="X7934"/>
      <c r="Y7934"/>
      <c r="Z7934"/>
      <c r="AA7934"/>
      <c r="AC7934"/>
      <c r="AR7934"/>
    </row>
    <row r="7935" spans="24:44">
      <c r="X7935"/>
      <c r="Y7935"/>
      <c r="Z7935"/>
      <c r="AA7935"/>
      <c r="AC7935"/>
      <c r="AR7935"/>
    </row>
    <row r="7936" spans="24:44">
      <c r="X7936"/>
      <c r="Y7936"/>
      <c r="Z7936"/>
      <c r="AA7936"/>
      <c r="AC7936"/>
      <c r="AR7936"/>
    </row>
    <row r="7937" spans="24:44">
      <c r="X7937"/>
      <c r="Y7937"/>
      <c r="Z7937"/>
      <c r="AA7937"/>
      <c r="AC7937"/>
      <c r="AR7937"/>
    </row>
    <row r="7938" spans="24:44">
      <c r="X7938"/>
      <c r="Y7938"/>
      <c r="Z7938"/>
      <c r="AA7938"/>
      <c r="AC7938"/>
      <c r="AR7938"/>
    </row>
    <row r="7939" spans="24:44">
      <c r="X7939"/>
      <c r="Y7939"/>
      <c r="Z7939"/>
      <c r="AA7939"/>
      <c r="AC7939"/>
      <c r="AR7939"/>
    </row>
    <row r="7940" spans="24:44">
      <c r="X7940"/>
      <c r="Y7940"/>
      <c r="Z7940"/>
      <c r="AA7940"/>
      <c r="AC7940"/>
      <c r="AR7940"/>
    </row>
    <row r="7941" spans="24:44">
      <c r="X7941"/>
      <c r="Y7941"/>
      <c r="Z7941"/>
      <c r="AA7941"/>
      <c r="AC7941"/>
      <c r="AR7941"/>
    </row>
    <row r="7942" spans="24:44">
      <c r="X7942"/>
      <c r="Y7942"/>
      <c r="Z7942"/>
      <c r="AA7942"/>
      <c r="AC7942"/>
      <c r="AR7942"/>
    </row>
    <row r="7943" spans="24:44">
      <c r="X7943"/>
      <c r="Y7943"/>
      <c r="Z7943"/>
      <c r="AA7943"/>
      <c r="AC7943"/>
      <c r="AR7943"/>
    </row>
    <row r="7944" spans="24:44">
      <c r="X7944"/>
      <c r="Y7944"/>
      <c r="Z7944"/>
      <c r="AA7944"/>
      <c r="AC7944"/>
      <c r="AR7944"/>
    </row>
    <row r="7945" spans="24:44">
      <c r="X7945"/>
      <c r="Y7945"/>
      <c r="Z7945"/>
      <c r="AA7945"/>
      <c r="AC7945"/>
      <c r="AR7945"/>
    </row>
    <row r="7946" spans="24:44">
      <c r="X7946"/>
      <c r="Y7946"/>
      <c r="Z7946"/>
      <c r="AA7946"/>
      <c r="AC7946"/>
      <c r="AR7946"/>
    </row>
    <row r="7947" spans="24:44">
      <c r="X7947"/>
      <c r="Y7947"/>
      <c r="Z7947"/>
      <c r="AA7947"/>
      <c r="AC7947"/>
      <c r="AR7947"/>
    </row>
    <row r="7948" spans="24:44">
      <c r="X7948"/>
      <c r="Y7948"/>
      <c r="Z7948"/>
      <c r="AA7948"/>
      <c r="AC7948"/>
      <c r="AR7948"/>
    </row>
    <row r="7949" spans="24:44">
      <c r="X7949"/>
      <c r="Y7949"/>
      <c r="Z7949"/>
      <c r="AA7949"/>
      <c r="AC7949"/>
      <c r="AR7949"/>
    </row>
    <row r="7950" spans="24:44">
      <c r="X7950"/>
      <c r="Y7950"/>
      <c r="Z7950"/>
      <c r="AA7950"/>
      <c r="AC7950"/>
      <c r="AR7950"/>
    </row>
    <row r="7951" spans="24:44">
      <c r="X7951"/>
      <c r="Y7951"/>
      <c r="Z7951"/>
      <c r="AA7951"/>
      <c r="AC7951"/>
      <c r="AR7951"/>
    </row>
    <row r="7952" spans="24:44">
      <c r="X7952"/>
      <c r="Y7952"/>
      <c r="Z7952"/>
      <c r="AA7952"/>
      <c r="AC7952"/>
      <c r="AR7952"/>
    </row>
    <row r="7953" spans="24:44">
      <c r="X7953"/>
      <c r="Y7953"/>
      <c r="Z7953"/>
      <c r="AA7953"/>
      <c r="AC7953"/>
      <c r="AR7953"/>
    </row>
    <row r="7954" spans="24:44">
      <c r="X7954"/>
      <c r="Y7954"/>
      <c r="Z7954"/>
      <c r="AA7954"/>
      <c r="AC7954"/>
      <c r="AR7954"/>
    </row>
    <row r="7955" spans="24:44">
      <c r="X7955"/>
      <c r="Y7955"/>
      <c r="Z7955"/>
      <c r="AA7955"/>
      <c r="AC7955"/>
      <c r="AR7955"/>
    </row>
    <row r="7956" spans="24:44">
      <c r="X7956"/>
      <c r="Y7956"/>
      <c r="Z7956"/>
      <c r="AA7956"/>
      <c r="AC7956"/>
      <c r="AR7956"/>
    </row>
    <row r="7957" spans="24:44">
      <c r="X7957"/>
      <c r="Y7957"/>
      <c r="Z7957"/>
      <c r="AA7957"/>
      <c r="AC7957"/>
      <c r="AR7957"/>
    </row>
    <row r="7958" spans="24:44">
      <c r="X7958"/>
      <c r="Y7958"/>
      <c r="Z7958"/>
      <c r="AA7958"/>
      <c r="AC7958"/>
      <c r="AR7958"/>
    </row>
    <row r="7959" spans="24:44">
      <c r="X7959"/>
      <c r="Y7959"/>
      <c r="Z7959"/>
      <c r="AA7959"/>
      <c r="AC7959"/>
      <c r="AR7959"/>
    </row>
    <row r="7960" spans="24:44">
      <c r="X7960"/>
      <c r="Y7960"/>
      <c r="Z7960"/>
      <c r="AA7960"/>
      <c r="AC7960"/>
      <c r="AR7960"/>
    </row>
    <row r="7961" spans="24:44">
      <c r="X7961"/>
      <c r="Y7961"/>
      <c r="Z7961"/>
      <c r="AA7961"/>
      <c r="AC7961"/>
      <c r="AR7961"/>
    </row>
    <row r="7962" spans="24:44">
      <c r="X7962"/>
      <c r="Y7962"/>
      <c r="Z7962"/>
      <c r="AA7962"/>
      <c r="AC7962"/>
      <c r="AR7962"/>
    </row>
    <row r="7963" spans="24:44">
      <c r="X7963"/>
      <c r="Y7963"/>
      <c r="Z7963"/>
      <c r="AA7963"/>
      <c r="AC7963"/>
      <c r="AR7963"/>
    </row>
    <row r="7964" spans="24:44">
      <c r="X7964"/>
      <c r="Y7964"/>
      <c r="Z7964"/>
      <c r="AA7964"/>
      <c r="AC7964"/>
      <c r="AR7964"/>
    </row>
    <row r="7965" spans="24:44">
      <c r="X7965"/>
      <c r="Y7965"/>
      <c r="Z7965"/>
      <c r="AA7965"/>
      <c r="AC7965"/>
      <c r="AR7965"/>
    </row>
    <row r="7966" spans="24:44">
      <c r="X7966"/>
      <c r="Y7966"/>
      <c r="Z7966"/>
      <c r="AA7966"/>
      <c r="AC7966"/>
      <c r="AR7966"/>
    </row>
    <row r="7967" spans="24:44">
      <c r="X7967"/>
      <c r="Y7967"/>
      <c r="Z7967"/>
      <c r="AA7967"/>
      <c r="AC7967"/>
      <c r="AR7967"/>
    </row>
    <row r="7968" spans="24:44">
      <c r="X7968"/>
      <c r="Y7968"/>
      <c r="Z7968"/>
      <c r="AA7968"/>
      <c r="AC7968"/>
      <c r="AR7968"/>
    </row>
    <row r="7969" spans="24:44">
      <c r="X7969"/>
      <c r="Y7969"/>
      <c r="Z7969"/>
      <c r="AA7969"/>
      <c r="AC7969"/>
      <c r="AR7969"/>
    </row>
    <row r="7970" spans="24:44">
      <c r="X7970"/>
      <c r="Y7970"/>
      <c r="Z7970"/>
      <c r="AA7970"/>
      <c r="AC7970"/>
      <c r="AR7970"/>
    </row>
    <row r="7971" spans="24:44">
      <c r="X7971"/>
      <c r="Y7971"/>
      <c r="Z7971"/>
      <c r="AA7971"/>
      <c r="AC7971"/>
      <c r="AR7971"/>
    </row>
    <row r="7972" spans="24:44">
      <c r="X7972"/>
      <c r="Y7972"/>
      <c r="Z7972"/>
      <c r="AA7972"/>
      <c r="AC7972"/>
      <c r="AR7972"/>
    </row>
    <row r="7973" spans="24:44">
      <c r="X7973"/>
      <c r="Y7973"/>
      <c r="Z7973"/>
      <c r="AA7973"/>
      <c r="AC7973"/>
      <c r="AR7973"/>
    </row>
    <row r="7974" spans="24:44">
      <c r="X7974"/>
      <c r="Y7974"/>
      <c r="Z7974"/>
      <c r="AA7974"/>
      <c r="AC7974"/>
      <c r="AR7974"/>
    </row>
    <row r="7975" spans="24:44">
      <c r="X7975"/>
      <c r="Y7975"/>
      <c r="Z7975"/>
      <c r="AA7975"/>
      <c r="AC7975"/>
      <c r="AR7975"/>
    </row>
    <row r="7976" spans="24:44">
      <c r="X7976"/>
      <c r="Y7976"/>
      <c r="Z7976"/>
      <c r="AA7976"/>
      <c r="AC7976"/>
      <c r="AR7976"/>
    </row>
    <row r="7977" spans="24:44">
      <c r="X7977"/>
      <c r="Y7977"/>
      <c r="Z7977"/>
      <c r="AA7977"/>
      <c r="AC7977"/>
      <c r="AR7977"/>
    </row>
    <row r="7978" spans="24:44">
      <c r="X7978"/>
      <c r="Y7978"/>
      <c r="Z7978"/>
      <c r="AA7978"/>
      <c r="AC7978"/>
      <c r="AR7978"/>
    </row>
    <row r="7979" spans="24:44">
      <c r="X7979"/>
      <c r="Y7979"/>
      <c r="Z7979"/>
      <c r="AA7979"/>
      <c r="AC7979"/>
      <c r="AR7979"/>
    </row>
    <row r="7980" spans="24:44">
      <c r="X7980"/>
      <c r="Y7980"/>
      <c r="Z7980"/>
      <c r="AA7980"/>
      <c r="AC7980"/>
      <c r="AR7980"/>
    </row>
    <row r="7981" spans="24:44">
      <c r="X7981"/>
      <c r="Y7981"/>
      <c r="Z7981"/>
      <c r="AA7981"/>
      <c r="AC7981"/>
      <c r="AR7981"/>
    </row>
    <row r="7982" spans="24:44">
      <c r="X7982"/>
      <c r="Y7982"/>
      <c r="Z7982"/>
      <c r="AA7982"/>
      <c r="AC7982"/>
      <c r="AR7982"/>
    </row>
    <row r="7983" spans="24:44">
      <c r="X7983"/>
      <c r="Y7983"/>
      <c r="Z7983"/>
      <c r="AA7983"/>
      <c r="AC7983"/>
      <c r="AR7983"/>
    </row>
    <row r="7984" spans="24:44">
      <c r="X7984"/>
      <c r="Y7984"/>
      <c r="Z7984"/>
      <c r="AA7984"/>
      <c r="AC7984"/>
      <c r="AR7984"/>
    </row>
    <row r="7985" spans="24:44">
      <c r="X7985"/>
      <c r="Y7985"/>
      <c r="Z7985"/>
      <c r="AA7985"/>
      <c r="AC7985"/>
      <c r="AR7985"/>
    </row>
    <row r="7986" spans="24:44">
      <c r="X7986"/>
      <c r="Y7986"/>
      <c r="Z7986"/>
      <c r="AA7986"/>
      <c r="AC7986"/>
      <c r="AR7986"/>
    </row>
    <row r="7987" spans="24:44">
      <c r="X7987"/>
      <c r="Y7987"/>
      <c r="Z7987"/>
      <c r="AA7987"/>
      <c r="AC7987"/>
      <c r="AR7987"/>
    </row>
    <row r="7988" spans="24:44">
      <c r="X7988"/>
      <c r="Y7988"/>
      <c r="Z7988"/>
      <c r="AA7988"/>
      <c r="AC7988"/>
      <c r="AR7988"/>
    </row>
    <row r="7989" spans="24:44">
      <c r="X7989"/>
      <c r="Y7989"/>
      <c r="Z7989"/>
      <c r="AA7989"/>
      <c r="AC7989"/>
      <c r="AR7989"/>
    </row>
    <row r="7990" spans="24:44">
      <c r="X7990"/>
      <c r="Y7990"/>
      <c r="Z7990"/>
      <c r="AA7990"/>
      <c r="AC7990"/>
      <c r="AR7990"/>
    </row>
    <row r="7991" spans="24:44">
      <c r="X7991"/>
      <c r="Y7991"/>
      <c r="Z7991"/>
      <c r="AA7991"/>
      <c r="AC7991"/>
      <c r="AR7991"/>
    </row>
    <row r="7992" spans="24:44">
      <c r="X7992"/>
      <c r="Y7992"/>
      <c r="Z7992"/>
      <c r="AA7992"/>
      <c r="AC7992"/>
      <c r="AR7992"/>
    </row>
    <row r="7993" spans="24:44">
      <c r="X7993"/>
      <c r="Y7993"/>
      <c r="Z7993"/>
      <c r="AA7993"/>
      <c r="AC7993"/>
      <c r="AR7993"/>
    </row>
    <row r="7994" spans="24:44">
      <c r="X7994"/>
      <c r="Y7994"/>
      <c r="Z7994"/>
      <c r="AA7994"/>
      <c r="AC7994"/>
      <c r="AR7994"/>
    </row>
    <row r="7995" spans="24:44">
      <c r="X7995"/>
      <c r="Y7995"/>
      <c r="Z7995"/>
      <c r="AA7995"/>
      <c r="AC7995"/>
      <c r="AR7995"/>
    </row>
    <row r="7996" spans="24:44">
      <c r="X7996"/>
      <c r="Y7996"/>
      <c r="Z7996"/>
      <c r="AA7996"/>
      <c r="AC7996"/>
      <c r="AR7996"/>
    </row>
    <row r="7997" spans="24:44">
      <c r="X7997"/>
      <c r="Y7997"/>
      <c r="Z7997"/>
      <c r="AA7997"/>
      <c r="AC7997"/>
      <c r="AR7997"/>
    </row>
    <row r="7998" spans="24:44">
      <c r="X7998"/>
      <c r="Y7998"/>
      <c r="Z7998"/>
      <c r="AA7998"/>
      <c r="AC7998"/>
      <c r="AR7998"/>
    </row>
    <row r="7999" spans="24:44">
      <c r="X7999"/>
      <c r="Y7999"/>
      <c r="Z7999"/>
      <c r="AA7999"/>
      <c r="AC7999"/>
      <c r="AR7999"/>
    </row>
    <row r="8000" spans="24:44">
      <c r="X8000"/>
      <c r="Y8000"/>
      <c r="Z8000"/>
      <c r="AA8000"/>
      <c r="AC8000"/>
      <c r="AR8000"/>
    </row>
    <row r="8001" spans="24:44">
      <c r="X8001"/>
      <c r="Y8001"/>
      <c r="Z8001"/>
      <c r="AA8001"/>
      <c r="AC8001"/>
      <c r="AR8001"/>
    </row>
    <row r="8002" spans="24:44">
      <c r="X8002"/>
      <c r="Y8002"/>
      <c r="Z8002"/>
      <c r="AA8002"/>
      <c r="AC8002"/>
      <c r="AR8002"/>
    </row>
    <row r="8003" spans="24:44">
      <c r="X8003"/>
      <c r="Y8003"/>
      <c r="Z8003"/>
      <c r="AA8003"/>
      <c r="AC8003"/>
      <c r="AR8003"/>
    </row>
    <row r="8004" spans="24:44">
      <c r="X8004"/>
      <c r="Y8004"/>
      <c r="Z8004"/>
      <c r="AA8004"/>
      <c r="AC8004"/>
      <c r="AR8004"/>
    </row>
    <row r="8005" spans="24:44">
      <c r="X8005"/>
      <c r="Y8005"/>
      <c r="Z8005"/>
      <c r="AA8005"/>
      <c r="AC8005"/>
      <c r="AR8005"/>
    </row>
    <row r="8006" spans="24:44">
      <c r="X8006"/>
      <c r="Y8006"/>
      <c r="Z8006"/>
      <c r="AA8006"/>
      <c r="AC8006"/>
      <c r="AR8006"/>
    </row>
    <row r="8007" spans="24:44">
      <c r="X8007"/>
      <c r="Y8007"/>
      <c r="Z8007"/>
      <c r="AA8007"/>
      <c r="AC8007"/>
      <c r="AR8007"/>
    </row>
    <row r="8008" spans="24:44">
      <c r="X8008"/>
      <c r="Y8008"/>
      <c r="Z8008"/>
      <c r="AA8008"/>
      <c r="AC8008"/>
      <c r="AR8008"/>
    </row>
    <row r="8009" spans="24:44">
      <c r="X8009"/>
      <c r="Y8009"/>
      <c r="Z8009"/>
      <c r="AA8009"/>
      <c r="AC8009"/>
      <c r="AR8009"/>
    </row>
    <row r="8010" spans="24:44">
      <c r="X8010"/>
      <c r="Y8010"/>
      <c r="Z8010"/>
      <c r="AA8010"/>
      <c r="AC8010"/>
      <c r="AR8010"/>
    </row>
    <row r="8011" spans="24:44">
      <c r="X8011"/>
      <c r="Y8011"/>
      <c r="Z8011"/>
      <c r="AA8011"/>
      <c r="AC8011"/>
      <c r="AR8011"/>
    </row>
    <row r="8012" spans="24:44">
      <c r="X8012"/>
      <c r="Y8012"/>
      <c r="Z8012"/>
      <c r="AA8012"/>
      <c r="AC8012"/>
      <c r="AR8012"/>
    </row>
    <row r="8013" spans="24:44">
      <c r="X8013"/>
      <c r="Y8013"/>
      <c r="Z8013"/>
      <c r="AA8013"/>
      <c r="AC8013"/>
      <c r="AR8013"/>
    </row>
    <row r="8014" spans="24:44">
      <c r="X8014"/>
      <c r="Y8014"/>
      <c r="Z8014"/>
      <c r="AA8014"/>
      <c r="AC8014"/>
      <c r="AR8014"/>
    </row>
    <row r="8015" spans="24:44">
      <c r="X8015"/>
      <c r="Y8015"/>
      <c r="Z8015"/>
      <c r="AA8015"/>
      <c r="AC8015"/>
      <c r="AR8015"/>
    </row>
    <row r="8016" spans="24:44">
      <c r="X8016"/>
      <c r="Y8016"/>
      <c r="Z8016"/>
      <c r="AA8016"/>
      <c r="AC8016"/>
      <c r="AR8016"/>
    </row>
    <row r="8017" spans="24:44">
      <c r="X8017"/>
      <c r="Y8017"/>
      <c r="Z8017"/>
      <c r="AA8017"/>
      <c r="AC8017"/>
      <c r="AR8017"/>
    </row>
    <row r="8018" spans="24:44">
      <c r="X8018"/>
      <c r="Y8018"/>
      <c r="Z8018"/>
      <c r="AA8018"/>
      <c r="AC8018"/>
      <c r="AR8018"/>
    </row>
    <row r="8019" spans="24:44">
      <c r="X8019"/>
      <c r="Y8019"/>
      <c r="Z8019"/>
      <c r="AA8019"/>
      <c r="AC8019"/>
      <c r="AR8019"/>
    </row>
    <row r="8020" spans="24:44">
      <c r="X8020"/>
      <c r="Y8020"/>
      <c r="Z8020"/>
      <c r="AA8020"/>
      <c r="AC8020"/>
      <c r="AR8020"/>
    </row>
    <row r="8021" spans="24:44">
      <c r="X8021"/>
      <c r="Y8021"/>
      <c r="Z8021"/>
      <c r="AA8021"/>
      <c r="AC8021"/>
      <c r="AR8021"/>
    </row>
    <row r="8022" spans="24:44">
      <c r="X8022"/>
      <c r="Y8022"/>
      <c r="Z8022"/>
      <c r="AA8022"/>
      <c r="AC8022"/>
      <c r="AR8022"/>
    </row>
    <row r="8023" spans="24:44">
      <c r="X8023"/>
      <c r="Y8023"/>
      <c r="Z8023"/>
      <c r="AA8023"/>
      <c r="AC8023"/>
      <c r="AR8023"/>
    </row>
    <row r="8024" spans="24:44">
      <c r="X8024"/>
      <c r="Y8024"/>
      <c r="Z8024"/>
      <c r="AA8024"/>
      <c r="AC8024"/>
      <c r="AR8024"/>
    </row>
    <row r="8025" spans="24:44">
      <c r="X8025"/>
      <c r="Y8025"/>
      <c r="Z8025"/>
      <c r="AA8025"/>
      <c r="AC8025"/>
      <c r="AR8025"/>
    </row>
    <row r="8026" spans="24:44">
      <c r="X8026"/>
      <c r="Y8026"/>
      <c r="Z8026"/>
      <c r="AA8026"/>
      <c r="AC8026"/>
      <c r="AR8026"/>
    </row>
    <row r="8027" spans="24:44">
      <c r="X8027"/>
      <c r="Y8027"/>
      <c r="Z8027"/>
      <c r="AA8027"/>
      <c r="AC8027"/>
      <c r="AR8027"/>
    </row>
    <row r="8028" spans="24:44">
      <c r="X8028"/>
      <c r="Y8028"/>
      <c r="Z8028"/>
      <c r="AA8028"/>
      <c r="AC8028"/>
      <c r="AR8028"/>
    </row>
    <row r="8029" spans="24:44">
      <c r="X8029"/>
      <c r="Y8029"/>
      <c r="Z8029"/>
      <c r="AA8029"/>
      <c r="AC8029"/>
      <c r="AR8029"/>
    </row>
    <row r="8030" spans="24:44">
      <c r="X8030"/>
      <c r="Y8030"/>
      <c r="Z8030"/>
      <c r="AA8030"/>
      <c r="AC8030"/>
      <c r="AR8030"/>
    </row>
    <row r="8031" spans="24:44">
      <c r="X8031"/>
      <c r="Y8031"/>
      <c r="Z8031"/>
      <c r="AA8031"/>
      <c r="AC8031"/>
      <c r="AR8031"/>
    </row>
    <row r="8032" spans="24:44">
      <c r="X8032"/>
      <c r="Y8032"/>
      <c r="Z8032"/>
      <c r="AA8032"/>
      <c r="AC8032"/>
      <c r="AR8032"/>
    </row>
    <row r="8033" spans="24:44">
      <c r="X8033"/>
      <c r="Y8033"/>
      <c r="Z8033"/>
      <c r="AA8033"/>
      <c r="AC8033"/>
      <c r="AR8033"/>
    </row>
    <row r="8034" spans="24:44">
      <c r="X8034"/>
      <c r="Y8034"/>
      <c r="Z8034"/>
      <c r="AA8034"/>
      <c r="AC8034"/>
      <c r="AR8034"/>
    </row>
    <row r="8035" spans="24:44">
      <c r="X8035"/>
      <c r="Y8035"/>
      <c r="Z8035"/>
      <c r="AA8035"/>
      <c r="AC8035"/>
      <c r="AR8035"/>
    </row>
    <row r="8036" spans="24:44">
      <c r="X8036"/>
      <c r="Y8036"/>
      <c r="Z8036"/>
      <c r="AA8036"/>
      <c r="AC8036"/>
      <c r="AR8036"/>
    </row>
    <row r="8037" spans="24:44">
      <c r="X8037"/>
      <c r="Y8037"/>
      <c r="Z8037"/>
      <c r="AA8037"/>
      <c r="AC8037"/>
      <c r="AR8037"/>
    </row>
    <row r="8038" spans="24:44">
      <c r="X8038"/>
      <c r="Y8038"/>
      <c r="Z8038"/>
      <c r="AA8038"/>
      <c r="AC8038"/>
      <c r="AR8038"/>
    </row>
    <row r="8039" spans="24:44">
      <c r="X8039"/>
      <c r="Y8039"/>
      <c r="Z8039"/>
      <c r="AA8039"/>
      <c r="AC8039"/>
      <c r="AR8039"/>
    </row>
    <row r="8040" spans="24:44">
      <c r="X8040"/>
      <c r="Y8040"/>
      <c r="Z8040"/>
      <c r="AA8040"/>
      <c r="AC8040"/>
      <c r="AR8040"/>
    </row>
    <row r="8041" spans="24:44">
      <c r="X8041"/>
      <c r="Y8041"/>
      <c r="Z8041"/>
      <c r="AA8041"/>
      <c r="AC8041"/>
      <c r="AR8041"/>
    </row>
    <row r="8042" spans="24:44">
      <c r="X8042"/>
      <c r="Y8042"/>
      <c r="Z8042"/>
      <c r="AA8042"/>
      <c r="AC8042"/>
      <c r="AR8042"/>
    </row>
    <row r="8043" spans="24:44">
      <c r="X8043"/>
      <c r="Y8043"/>
      <c r="Z8043"/>
      <c r="AA8043"/>
      <c r="AC8043"/>
      <c r="AR8043"/>
    </row>
    <row r="8044" spans="24:44">
      <c r="X8044"/>
      <c r="Y8044"/>
      <c r="Z8044"/>
      <c r="AA8044"/>
      <c r="AC8044"/>
      <c r="AR8044"/>
    </row>
    <row r="8045" spans="24:44">
      <c r="X8045"/>
      <c r="Y8045"/>
      <c r="Z8045"/>
      <c r="AA8045"/>
      <c r="AC8045"/>
      <c r="AR8045"/>
    </row>
    <row r="8046" spans="24:44">
      <c r="X8046"/>
      <c r="Y8046"/>
      <c r="Z8046"/>
      <c r="AA8046"/>
      <c r="AC8046"/>
      <c r="AR8046"/>
    </row>
    <row r="8047" spans="24:44">
      <c r="X8047"/>
      <c r="Y8047"/>
      <c r="Z8047"/>
      <c r="AA8047"/>
      <c r="AC8047"/>
      <c r="AR8047"/>
    </row>
    <row r="8048" spans="24:44">
      <c r="X8048"/>
      <c r="Y8048"/>
      <c r="Z8048"/>
      <c r="AA8048"/>
      <c r="AC8048"/>
      <c r="AR8048"/>
    </row>
    <row r="8049" spans="24:44">
      <c r="X8049"/>
      <c r="Y8049"/>
      <c r="Z8049"/>
      <c r="AA8049"/>
      <c r="AC8049"/>
      <c r="AR8049"/>
    </row>
    <row r="8050" spans="24:44">
      <c r="X8050"/>
      <c r="Y8050"/>
      <c r="Z8050"/>
      <c r="AA8050"/>
      <c r="AC8050"/>
      <c r="AR8050"/>
    </row>
    <row r="8051" spans="24:44">
      <c r="X8051"/>
      <c r="Y8051"/>
      <c r="Z8051"/>
      <c r="AA8051"/>
      <c r="AC8051"/>
      <c r="AR8051"/>
    </row>
    <row r="8052" spans="24:44">
      <c r="X8052"/>
      <c r="Y8052"/>
      <c r="Z8052"/>
      <c r="AA8052"/>
      <c r="AC8052"/>
      <c r="AR8052"/>
    </row>
    <row r="8053" spans="24:44">
      <c r="X8053"/>
      <c r="Y8053"/>
      <c r="Z8053"/>
      <c r="AA8053"/>
      <c r="AC8053"/>
      <c r="AR8053"/>
    </row>
    <row r="8054" spans="24:44">
      <c r="X8054"/>
      <c r="Y8054"/>
      <c r="Z8054"/>
      <c r="AA8054"/>
      <c r="AC8054"/>
      <c r="AR8054"/>
    </row>
    <row r="8055" spans="24:44">
      <c r="X8055"/>
      <c r="Y8055"/>
      <c r="Z8055"/>
      <c r="AA8055"/>
      <c r="AC8055"/>
      <c r="AR8055"/>
    </row>
    <row r="8056" spans="24:44">
      <c r="X8056"/>
      <c r="Y8056"/>
      <c r="Z8056"/>
      <c r="AA8056"/>
      <c r="AC8056"/>
      <c r="AR8056"/>
    </row>
    <row r="8057" spans="24:44">
      <c r="X8057"/>
      <c r="Y8057"/>
      <c r="Z8057"/>
      <c r="AA8057"/>
      <c r="AC8057"/>
      <c r="AR8057"/>
    </row>
    <row r="8058" spans="24:44">
      <c r="X8058"/>
      <c r="Y8058"/>
      <c r="Z8058"/>
      <c r="AA8058"/>
      <c r="AC8058"/>
      <c r="AR8058"/>
    </row>
    <row r="8059" spans="24:44">
      <c r="X8059"/>
      <c r="Y8059"/>
      <c r="Z8059"/>
      <c r="AA8059"/>
      <c r="AC8059"/>
      <c r="AR8059"/>
    </row>
    <row r="8060" spans="24:44">
      <c r="X8060"/>
      <c r="Y8060"/>
      <c r="Z8060"/>
      <c r="AA8060"/>
      <c r="AC8060"/>
      <c r="AR8060"/>
    </row>
    <row r="8061" spans="24:44">
      <c r="X8061"/>
      <c r="Y8061"/>
      <c r="Z8061"/>
      <c r="AA8061"/>
      <c r="AC8061"/>
      <c r="AR8061"/>
    </row>
    <row r="8062" spans="24:44">
      <c r="X8062"/>
      <c r="Y8062"/>
      <c r="Z8062"/>
      <c r="AA8062"/>
      <c r="AC8062"/>
      <c r="AR8062"/>
    </row>
    <row r="8063" spans="24:44">
      <c r="X8063"/>
      <c r="Y8063"/>
      <c r="Z8063"/>
      <c r="AA8063"/>
      <c r="AC8063"/>
      <c r="AR8063"/>
    </row>
    <row r="8064" spans="24:44">
      <c r="X8064"/>
      <c r="Y8064"/>
      <c r="Z8064"/>
      <c r="AA8064"/>
      <c r="AC8064"/>
      <c r="AR8064"/>
    </row>
    <row r="8065" spans="24:44">
      <c r="X8065"/>
      <c r="Y8065"/>
      <c r="Z8065"/>
      <c r="AA8065"/>
      <c r="AC8065"/>
      <c r="AR8065"/>
    </row>
    <row r="8066" spans="24:44">
      <c r="X8066"/>
      <c r="Y8066"/>
      <c r="Z8066"/>
      <c r="AA8066"/>
      <c r="AC8066"/>
      <c r="AR8066"/>
    </row>
    <row r="8067" spans="24:44">
      <c r="X8067"/>
      <c r="Y8067"/>
      <c r="Z8067"/>
      <c r="AA8067"/>
      <c r="AC8067"/>
      <c r="AR8067"/>
    </row>
    <row r="8068" spans="24:44">
      <c r="X8068"/>
      <c r="Y8068"/>
      <c r="Z8068"/>
      <c r="AA8068"/>
      <c r="AC8068"/>
      <c r="AR8068"/>
    </row>
    <row r="8069" spans="24:44">
      <c r="X8069"/>
      <c r="Y8069"/>
      <c r="Z8069"/>
      <c r="AA8069"/>
      <c r="AC8069"/>
      <c r="AR8069"/>
    </row>
    <row r="8070" spans="24:44">
      <c r="X8070"/>
      <c r="Y8070"/>
      <c r="Z8070"/>
      <c r="AA8070"/>
      <c r="AC8070"/>
      <c r="AR8070"/>
    </row>
    <row r="8071" spans="24:44">
      <c r="X8071"/>
      <c r="Y8071"/>
      <c r="Z8071"/>
      <c r="AA8071"/>
      <c r="AC8071"/>
      <c r="AR8071"/>
    </row>
    <row r="8072" spans="24:44">
      <c r="X8072"/>
      <c r="Y8072"/>
      <c r="Z8072"/>
      <c r="AA8072"/>
      <c r="AC8072"/>
      <c r="AR8072"/>
    </row>
    <row r="8073" spans="24:44">
      <c r="X8073"/>
      <c r="Y8073"/>
      <c r="Z8073"/>
      <c r="AA8073"/>
      <c r="AC8073"/>
      <c r="AR8073"/>
    </row>
    <row r="8074" spans="24:44">
      <c r="X8074"/>
      <c r="Y8074"/>
      <c r="Z8074"/>
      <c r="AA8074"/>
      <c r="AC8074"/>
      <c r="AR8074"/>
    </row>
    <row r="8075" spans="24:44">
      <c r="X8075"/>
      <c r="Y8075"/>
      <c r="Z8075"/>
      <c r="AA8075"/>
      <c r="AC8075"/>
      <c r="AR8075"/>
    </row>
    <row r="8076" spans="24:44">
      <c r="X8076"/>
      <c r="Y8076"/>
      <c r="Z8076"/>
      <c r="AA8076"/>
      <c r="AC8076"/>
      <c r="AR8076"/>
    </row>
    <row r="8077" spans="24:44">
      <c r="X8077"/>
      <c r="Y8077"/>
      <c r="Z8077"/>
      <c r="AA8077"/>
      <c r="AC8077"/>
      <c r="AR8077"/>
    </row>
    <row r="8078" spans="24:44">
      <c r="X8078"/>
      <c r="Y8078"/>
      <c r="Z8078"/>
      <c r="AA8078"/>
      <c r="AC8078"/>
      <c r="AR8078"/>
    </row>
    <row r="8079" spans="24:44">
      <c r="X8079"/>
      <c r="Y8079"/>
      <c r="Z8079"/>
      <c r="AA8079"/>
      <c r="AC8079"/>
      <c r="AR8079"/>
    </row>
    <row r="8080" spans="24:44">
      <c r="X8080"/>
      <c r="Y8080"/>
      <c r="Z8080"/>
      <c r="AA8080"/>
      <c r="AC8080"/>
      <c r="AR8080"/>
    </row>
    <row r="8081" spans="24:44">
      <c r="X8081"/>
      <c r="Y8081"/>
      <c r="Z8081"/>
      <c r="AA8081"/>
      <c r="AC8081"/>
      <c r="AR8081"/>
    </row>
    <row r="8082" spans="24:44">
      <c r="X8082"/>
      <c r="Y8082"/>
      <c r="Z8082"/>
      <c r="AA8082"/>
      <c r="AC8082"/>
      <c r="AR8082"/>
    </row>
    <row r="8083" spans="24:44">
      <c r="X8083"/>
      <c r="Y8083"/>
      <c r="Z8083"/>
      <c r="AA8083"/>
      <c r="AC8083"/>
      <c r="AR8083"/>
    </row>
    <row r="8084" spans="24:44">
      <c r="X8084"/>
      <c r="Y8084"/>
      <c r="Z8084"/>
      <c r="AA8084"/>
      <c r="AC8084"/>
      <c r="AR8084"/>
    </row>
    <row r="8085" spans="24:44">
      <c r="X8085"/>
      <c r="Y8085"/>
      <c r="Z8085"/>
      <c r="AA8085"/>
      <c r="AC8085"/>
      <c r="AR8085"/>
    </row>
    <row r="8086" spans="24:44">
      <c r="X8086"/>
      <c r="Y8086"/>
      <c r="Z8086"/>
      <c r="AA8086"/>
      <c r="AC8086"/>
      <c r="AR8086"/>
    </row>
    <row r="8087" spans="24:44">
      <c r="X8087"/>
      <c r="Y8087"/>
      <c r="Z8087"/>
      <c r="AA8087"/>
      <c r="AC8087"/>
      <c r="AR8087"/>
    </row>
    <row r="8088" spans="24:44">
      <c r="X8088"/>
      <c r="Y8088"/>
      <c r="Z8088"/>
      <c r="AA8088"/>
      <c r="AC8088"/>
      <c r="AR8088"/>
    </row>
    <row r="8089" spans="24:44">
      <c r="X8089"/>
      <c r="Y8089"/>
      <c r="Z8089"/>
      <c r="AA8089"/>
      <c r="AC8089"/>
      <c r="AR8089"/>
    </row>
    <row r="8090" spans="24:44">
      <c r="X8090"/>
      <c r="Y8090"/>
      <c r="Z8090"/>
      <c r="AA8090"/>
      <c r="AC8090"/>
      <c r="AR8090"/>
    </row>
    <row r="8091" spans="24:44">
      <c r="X8091"/>
      <c r="Y8091"/>
      <c r="Z8091"/>
      <c r="AA8091"/>
      <c r="AC8091"/>
      <c r="AR8091"/>
    </row>
    <row r="8092" spans="24:44">
      <c r="X8092"/>
      <c r="Y8092"/>
      <c r="Z8092"/>
      <c r="AA8092"/>
      <c r="AC8092"/>
      <c r="AR8092"/>
    </row>
    <row r="8093" spans="24:44">
      <c r="X8093"/>
      <c r="Y8093"/>
      <c r="Z8093"/>
      <c r="AA8093"/>
      <c r="AC8093"/>
      <c r="AR8093"/>
    </row>
    <row r="8094" spans="24:44">
      <c r="X8094"/>
      <c r="Y8094"/>
      <c r="Z8094"/>
      <c r="AA8094"/>
      <c r="AC8094"/>
      <c r="AR8094"/>
    </row>
    <row r="8095" spans="24:44">
      <c r="X8095"/>
      <c r="Y8095"/>
      <c r="Z8095"/>
      <c r="AA8095"/>
      <c r="AC8095"/>
      <c r="AR8095"/>
    </row>
    <row r="8096" spans="24:44">
      <c r="X8096"/>
      <c r="Y8096"/>
      <c r="Z8096"/>
      <c r="AA8096"/>
      <c r="AC8096"/>
      <c r="AR8096"/>
    </row>
    <row r="8097" spans="24:44">
      <c r="X8097"/>
      <c r="Y8097"/>
      <c r="Z8097"/>
      <c r="AA8097"/>
      <c r="AC8097"/>
      <c r="AR8097"/>
    </row>
    <row r="8098" spans="24:44">
      <c r="X8098"/>
      <c r="Y8098"/>
      <c r="Z8098"/>
      <c r="AA8098"/>
      <c r="AC8098"/>
      <c r="AR8098"/>
    </row>
    <row r="8099" spans="24:44">
      <c r="X8099"/>
      <c r="Y8099"/>
      <c r="Z8099"/>
      <c r="AA8099"/>
      <c r="AC8099"/>
      <c r="AR8099"/>
    </row>
    <row r="8100" spans="24:44">
      <c r="X8100"/>
      <c r="Y8100"/>
      <c r="Z8100"/>
      <c r="AA8100"/>
      <c r="AC8100"/>
      <c r="AR8100"/>
    </row>
    <row r="8101" spans="24:44">
      <c r="X8101"/>
      <c r="Y8101"/>
      <c r="Z8101"/>
      <c r="AA8101"/>
      <c r="AC8101"/>
      <c r="AR8101"/>
    </row>
    <row r="8102" spans="24:44">
      <c r="X8102"/>
      <c r="Y8102"/>
      <c r="Z8102"/>
      <c r="AA8102"/>
      <c r="AC8102"/>
      <c r="AR8102"/>
    </row>
    <row r="8103" spans="24:44">
      <c r="X8103"/>
      <c r="Y8103"/>
      <c r="Z8103"/>
      <c r="AA8103"/>
      <c r="AC8103"/>
      <c r="AR8103"/>
    </row>
    <row r="8104" spans="24:44">
      <c r="X8104"/>
      <c r="Y8104"/>
      <c r="Z8104"/>
      <c r="AA8104"/>
      <c r="AC8104"/>
      <c r="AR8104"/>
    </row>
    <row r="8105" spans="24:44">
      <c r="X8105"/>
      <c r="Y8105"/>
      <c r="Z8105"/>
      <c r="AA8105"/>
      <c r="AC8105"/>
      <c r="AR8105"/>
    </row>
    <row r="8106" spans="24:44">
      <c r="X8106"/>
      <c r="Y8106"/>
      <c r="Z8106"/>
      <c r="AA8106"/>
      <c r="AC8106"/>
      <c r="AR8106"/>
    </row>
    <row r="8107" spans="24:44">
      <c r="X8107"/>
      <c r="Y8107"/>
      <c r="Z8107"/>
      <c r="AA8107"/>
      <c r="AC8107"/>
      <c r="AR8107"/>
    </row>
    <row r="8108" spans="24:44">
      <c r="X8108"/>
      <c r="Y8108"/>
      <c r="Z8108"/>
      <c r="AA8108"/>
      <c r="AC8108"/>
      <c r="AR8108"/>
    </row>
    <row r="8109" spans="24:44">
      <c r="X8109"/>
      <c r="Y8109"/>
      <c r="Z8109"/>
      <c r="AA8109"/>
      <c r="AC8109"/>
      <c r="AR8109"/>
    </row>
    <row r="8110" spans="24:44">
      <c r="X8110"/>
      <c r="Y8110"/>
      <c r="Z8110"/>
      <c r="AA8110"/>
      <c r="AC8110"/>
      <c r="AR8110"/>
    </row>
    <row r="8111" spans="24:44">
      <c r="X8111"/>
      <c r="Y8111"/>
      <c r="Z8111"/>
      <c r="AA8111"/>
      <c r="AC8111"/>
      <c r="AR8111"/>
    </row>
    <row r="8112" spans="24:44">
      <c r="X8112"/>
      <c r="Y8112"/>
      <c r="Z8112"/>
      <c r="AA8112"/>
      <c r="AC8112"/>
      <c r="AR8112"/>
    </row>
    <row r="8113" spans="24:44">
      <c r="X8113"/>
      <c r="Y8113"/>
      <c r="Z8113"/>
      <c r="AA8113"/>
      <c r="AC8113"/>
      <c r="AR8113"/>
    </row>
    <row r="8114" spans="24:44">
      <c r="X8114"/>
      <c r="Y8114"/>
      <c r="Z8114"/>
      <c r="AA8114"/>
      <c r="AC8114"/>
      <c r="AR8114"/>
    </row>
    <row r="8115" spans="24:44">
      <c r="X8115"/>
      <c r="Y8115"/>
      <c r="Z8115"/>
      <c r="AA8115"/>
      <c r="AC8115"/>
      <c r="AR8115"/>
    </row>
    <row r="8116" spans="24:44">
      <c r="X8116"/>
      <c r="Y8116"/>
      <c r="Z8116"/>
      <c r="AA8116"/>
      <c r="AC8116"/>
      <c r="AR8116"/>
    </row>
    <row r="8117" spans="24:44">
      <c r="X8117"/>
      <c r="Y8117"/>
      <c r="Z8117"/>
      <c r="AA8117"/>
      <c r="AC8117"/>
      <c r="AR8117"/>
    </row>
    <row r="8118" spans="24:44">
      <c r="X8118"/>
      <c r="Y8118"/>
      <c r="Z8118"/>
      <c r="AA8118"/>
      <c r="AC8118"/>
      <c r="AR8118"/>
    </row>
    <row r="8119" spans="24:44">
      <c r="X8119"/>
      <c r="Y8119"/>
      <c r="Z8119"/>
      <c r="AA8119"/>
      <c r="AC8119"/>
      <c r="AR8119"/>
    </row>
    <row r="8120" spans="24:44">
      <c r="X8120"/>
      <c r="Y8120"/>
      <c r="Z8120"/>
      <c r="AA8120"/>
      <c r="AC8120"/>
      <c r="AR8120"/>
    </row>
    <row r="8121" spans="24:44">
      <c r="X8121"/>
      <c r="Y8121"/>
      <c r="Z8121"/>
      <c r="AA8121"/>
      <c r="AC8121"/>
      <c r="AR8121"/>
    </row>
    <row r="8122" spans="24:44">
      <c r="X8122"/>
      <c r="Y8122"/>
      <c r="Z8122"/>
      <c r="AA8122"/>
      <c r="AC8122"/>
      <c r="AR8122"/>
    </row>
    <row r="8123" spans="24:44">
      <c r="X8123"/>
      <c r="Y8123"/>
      <c r="Z8123"/>
      <c r="AA8123"/>
      <c r="AC8123"/>
      <c r="AR8123"/>
    </row>
    <row r="8124" spans="24:44">
      <c r="X8124"/>
      <c r="Y8124"/>
      <c r="Z8124"/>
      <c r="AA8124"/>
      <c r="AC8124"/>
      <c r="AR8124"/>
    </row>
    <row r="8125" spans="24:44">
      <c r="X8125"/>
      <c r="Y8125"/>
      <c r="Z8125"/>
      <c r="AA8125"/>
      <c r="AC8125"/>
      <c r="AR8125"/>
    </row>
    <row r="8126" spans="24:44">
      <c r="X8126"/>
      <c r="Y8126"/>
      <c r="Z8126"/>
      <c r="AA8126"/>
      <c r="AC8126"/>
      <c r="AR8126"/>
    </row>
    <row r="8127" spans="24:44">
      <c r="X8127"/>
      <c r="Y8127"/>
      <c r="Z8127"/>
      <c r="AA8127"/>
      <c r="AC8127"/>
      <c r="AR8127"/>
    </row>
    <row r="8128" spans="24:44">
      <c r="X8128"/>
      <c r="Y8128"/>
      <c r="Z8128"/>
      <c r="AA8128"/>
      <c r="AC8128"/>
      <c r="AR8128"/>
    </row>
    <row r="8129" spans="24:44">
      <c r="X8129"/>
      <c r="Y8129"/>
      <c r="Z8129"/>
      <c r="AA8129"/>
      <c r="AC8129"/>
      <c r="AR8129"/>
    </row>
    <row r="8130" spans="24:44">
      <c r="X8130"/>
      <c r="Y8130"/>
      <c r="Z8130"/>
      <c r="AA8130"/>
      <c r="AC8130"/>
      <c r="AR8130"/>
    </row>
    <row r="8131" spans="24:44">
      <c r="X8131"/>
      <c r="Y8131"/>
      <c r="Z8131"/>
      <c r="AA8131"/>
      <c r="AC8131"/>
      <c r="AR8131"/>
    </row>
    <row r="8132" spans="24:44">
      <c r="X8132"/>
      <c r="Y8132"/>
      <c r="Z8132"/>
      <c r="AA8132"/>
      <c r="AC8132"/>
      <c r="AR8132"/>
    </row>
    <row r="8133" spans="24:44">
      <c r="X8133"/>
      <c r="Y8133"/>
      <c r="Z8133"/>
      <c r="AA8133"/>
      <c r="AC8133"/>
      <c r="AR8133"/>
    </row>
    <row r="8134" spans="24:44">
      <c r="X8134"/>
      <c r="Y8134"/>
      <c r="Z8134"/>
      <c r="AA8134"/>
      <c r="AC8134"/>
      <c r="AR8134"/>
    </row>
    <row r="8135" spans="24:44">
      <c r="X8135"/>
      <c r="Y8135"/>
      <c r="Z8135"/>
      <c r="AA8135"/>
      <c r="AC8135"/>
      <c r="AR8135"/>
    </row>
    <row r="8136" spans="24:44">
      <c r="X8136"/>
      <c r="Y8136"/>
      <c r="Z8136"/>
      <c r="AA8136"/>
      <c r="AC8136"/>
      <c r="AR8136"/>
    </row>
    <row r="8137" spans="24:44">
      <c r="X8137"/>
      <c r="Y8137"/>
      <c r="Z8137"/>
      <c r="AA8137"/>
      <c r="AC8137"/>
      <c r="AR8137"/>
    </row>
    <row r="8138" spans="24:44">
      <c r="X8138"/>
      <c r="Y8138"/>
      <c r="Z8138"/>
      <c r="AA8138"/>
      <c r="AC8138"/>
      <c r="AR8138"/>
    </row>
    <row r="8139" spans="24:44">
      <c r="X8139"/>
      <c r="Y8139"/>
      <c r="Z8139"/>
      <c r="AA8139"/>
      <c r="AC8139"/>
      <c r="AR8139"/>
    </row>
    <row r="8140" spans="24:44">
      <c r="X8140"/>
      <c r="Y8140"/>
      <c r="Z8140"/>
      <c r="AA8140"/>
      <c r="AC8140"/>
      <c r="AR8140"/>
    </row>
    <row r="8141" spans="24:44">
      <c r="X8141"/>
      <c r="Y8141"/>
      <c r="Z8141"/>
      <c r="AA8141"/>
      <c r="AC8141"/>
      <c r="AR8141"/>
    </row>
    <row r="8142" spans="24:44">
      <c r="X8142"/>
      <c r="Y8142"/>
      <c r="Z8142"/>
      <c r="AA8142"/>
      <c r="AC8142"/>
      <c r="AR8142"/>
    </row>
    <row r="8143" spans="24:44">
      <c r="X8143"/>
      <c r="Y8143"/>
      <c r="Z8143"/>
      <c r="AA8143"/>
      <c r="AC8143"/>
      <c r="AR8143"/>
    </row>
    <row r="8144" spans="24:44">
      <c r="X8144"/>
      <c r="Y8144"/>
      <c r="Z8144"/>
      <c r="AA8144"/>
      <c r="AC8144"/>
      <c r="AR8144"/>
    </row>
    <row r="8145" spans="24:44">
      <c r="X8145"/>
      <c r="Y8145"/>
      <c r="Z8145"/>
      <c r="AA8145"/>
      <c r="AC8145"/>
      <c r="AR8145"/>
    </row>
    <row r="8146" spans="24:44">
      <c r="X8146"/>
      <c r="Y8146"/>
      <c r="Z8146"/>
      <c r="AA8146"/>
      <c r="AC8146"/>
      <c r="AR8146"/>
    </row>
    <row r="8147" spans="24:44">
      <c r="X8147"/>
      <c r="Y8147"/>
      <c r="Z8147"/>
      <c r="AA8147"/>
      <c r="AC8147"/>
      <c r="AR8147"/>
    </row>
    <row r="8148" spans="24:44">
      <c r="X8148"/>
      <c r="Y8148"/>
      <c r="Z8148"/>
      <c r="AA8148"/>
      <c r="AC8148"/>
      <c r="AR8148"/>
    </row>
    <row r="8149" spans="24:44">
      <c r="X8149"/>
      <c r="Y8149"/>
      <c r="Z8149"/>
      <c r="AA8149"/>
      <c r="AC8149"/>
      <c r="AR8149"/>
    </row>
    <row r="8150" spans="24:44">
      <c r="X8150"/>
      <c r="Y8150"/>
      <c r="Z8150"/>
      <c r="AA8150"/>
      <c r="AC8150"/>
      <c r="AR8150"/>
    </row>
    <row r="8151" spans="24:44">
      <c r="X8151"/>
      <c r="Y8151"/>
      <c r="Z8151"/>
      <c r="AA8151"/>
      <c r="AC8151"/>
      <c r="AR8151"/>
    </row>
    <row r="8152" spans="24:44">
      <c r="X8152"/>
      <c r="Y8152"/>
      <c r="Z8152"/>
      <c r="AA8152"/>
      <c r="AC8152"/>
      <c r="AR8152"/>
    </row>
    <row r="8153" spans="24:44">
      <c r="X8153"/>
      <c r="Y8153"/>
      <c r="Z8153"/>
      <c r="AA8153"/>
      <c r="AC8153"/>
      <c r="AR8153"/>
    </row>
    <row r="8154" spans="24:44">
      <c r="X8154"/>
      <c r="Y8154"/>
      <c r="Z8154"/>
      <c r="AA8154"/>
      <c r="AC8154"/>
      <c r="AR8154"/>
    </row>
    <row r="8155" spans="24:44">
      <c r="X8155"/>
      <c r="Y8155"/>
      <c r="Z8155"/>
      <c r="AA8155"/>
      <c r="AC8155"/>
      <c r="AR8155"/>
    </row>
    <row r="8156" spans="24:44">
      <c r="X8156"/>
      <c r="Y8156"/>
      <c r="Z8156"/>
      <c r="AA8156"/>
      <c r="AC8156"/>
      <c r="AR8156"/>
    </row>
    <row r="8157" spans="24:44">
      <c r="X8157"/>
      <c r="Y8157"/>
      <c r="Z8157"/>
      <c r="AA8157"/>
      <c r="AC8157"/>
      <c r="AR8157"/>
    </row>
    <row r="8158" spans="24:44">
      <c r="X8158"/>
      <c r="Y8158"/>
      <c r="Z8158"/>
      <c r="AA8158"/>
      <c r="AC8158"/>
      <c r="AR8158"/>
    </row>
    <row r="8159" spans="24:44">
      <c r="X8159"/>
      <c r="Y8159"/>
      <c r="Z8159"/>
      <c r="AA8159"/>
      <c r="AC8159"/>
      <c r="AR8159"/>
    </row>
    <row r="8160" spans="24:44">
      <c r="X8160"/>
      <c r="Y8160"/>
      <c r="Z8160"/>
      <c r="AA8160"/>
      <c r="AC8160"/>
      <c r="AR8160"/>
    </row>
    <row r="8161" spans="24:44">
      <c r="X8161"/>
      <c r="Y8161"/>
      <c r="Z8161"/>
      <c r="AA8161"/>
      <c r="AC8161"/>
      <c r="AR8161"/>
    </row>
    <row r="8162" spans="24:44">
      <c r="X8162"/>
      <c r="Y8162"/>
      <c r="Z8162"/>
      <c r="AA8162"/>
      <c r="AC8162"/>
      <c r="AR8162"/>
    </row>
    <row r="8163" spans="24:44">
      <c r="X8163"/>
      <c r="Y8163"/>
      <c r="Z8163"/>
      <c r="AA8163"/>
      <c r="AC8163"/>
      <c r="AR8163"/>
    </row>
    <row r="8164" spans="24:44">
      <c r="X8164"/>
      <c r="Y8164"/>
      <c r="Z8164"/>
      <c r="AA8164"/>
      <c r="AC8164"/>
      <c r="AR8164"/>
    </row>
    <row r="8165" spans="24:44">
      <c r="X8165"/>
      <c r="Y8165"/>
      <c r="Z8165"/>
      <c r="AA8165"/>
      <c r="AC8165"/>
      <c r="AR8165"/>
    </row>
    <row r="8166" spans="24:44">
      <c r="X8166"/>
      <c r="Y8166"/>
      <c r="Z8166"/>
      <c r="AA8166"/>
      <c r="AC8166"/>
      <c r="AR8166"/>
    </row>
    <row r="8167" spans="24:44">
      <c r="X8167"/>
      <c r="Y8167"/>
      <c r="Z8167"/>
      <c r="AA8167"/>
      <c r="AC8167"/>
      <c r="AR8167"/>
    </row>
    <row r="8168" spans="24:44">
      <c r="X8168"/>
      <c r="Y8168"/>
      <c r="Z8168"/>
      <c r="AA8168"/>
      <c r="AC8168"/>
      <c r="AR8168"/>
    </row>
    <row r="8169" spans="24:44">
      <c r="X8169"/>
      <c r="Y8169"/>
      <c r="Z8169"/>
      <c r="AA8169"/>
      <c r="AC8169"/>
      <c r="AR8169"/>
    </row>
    <row r="8170" spans="24:44">
      <c r="X8170"/>
      <c r="Y8170"/>
      <c r="Z8170"/>
      <c r="AA8170"/>
      <c r="AC8170"/>
      <c r="AR8170"/>
    </row>
    <row r="8171" spans="24:44">
      <c r="X8171"/>
      <c r="Y8171"/>
      <c r="Z8171"/>
      <c r="AA8171"/>
      <c r="AC8171"/>
      <c r="AR8171"/>
    </row>
    <row r="8172" spans="24:44">
      <c r="X8172"/>
      <c r="Y8172"/>
      <c r="Z8172"/>
      <c r="AA8172"/>
      <c r="AC8172"/>
      <c r="AR8172"/>
    </row>
    <row r="8173" spans="24:44">
      <c r="X8173"/>
      <c r="Y8173"/>
      <c r="Z8173"/>
      <c r="AA8173"/>
      <c r="AC8173"/>
      <c r="AR8173"/>
    </row>
    <row r="8174" spans="24:44">
      <c r="X8174"/>
      <c r="Y8174"/>
      <c r="Z8174"/>
      <c r="AA8174"/>
      <c r="AC8174"/>
      <c r="AR8174"/>
    </row>
    <row r="8175" spans="24:44">
      <c r="X8175"/>
      <c r="Y8175"/>
      <c r="Z8175"/>
      <c r="AA8175"/>
      <c r="AC8175"/>
      <c r="AR8175"/>
    </row>
    <row r="8176" spans="24:44">
      <c r="X8176"/>
      <c r="Y8176"/>
      <c r="Z8176"/>
      <c r="AA8176"/>
      <c r="AC8176"/>
      <c r="AR8176"/>
    </row>
    <row r="8177" spans="24:44">
      <c r="X8177"/>
      <c r="Y8177"/>
      <c r="Z8177"/>
      <c r="AA8177"/>
      <c r="AC8177"/>
      <c r="AR8177"/>
    </row>
    <row r="8178" spans="24:44">
      <c r="X8178"/>
      <c r="Y8178"/>
      <c r="Z8178"/>
      <c r="AA8178"/>
      <c r="AC8178"/>
      <c r="AR8178"/>
    </row>
    <row r="8179" spans="24:44">
      <c r="X8179"/>
      <c r="Y8179"/>
      <c r="Z8179"/>
      <c r="AA8179"/>
      <c r="AC8179"/>
      <c r="AR8179"/>
    </row>
    <row r="8180" spans="24:44">
      <c r="X8180"/>
      <c r="Y8180"/>
      <c r="Z8180"/>
      <c r="AA8180"/>
      <c r="AC8180"/>
      <c r="AR8180"/>
    </row>
    <row r="8181" spans="24:44">
      <c r="X8181"/>
      <c r="Y8181"/>
      <c r="Z8181"/>
      <c r="AA8181"/>
      <c r="AC8181"/>
      <c r="AR8181"/>
    </row>
    <row r="8182" spans="24:44">
      <c r="X8182"/>
      <c r="Y8182"/>
      <c r="Z8182"/>
      <c r="AA8182"/>
      <c r="AC8182"/>
      <c r="AR8182"/>
    </row>
    <row r="8183" spans="24:44">
      <c r="X8183"/>
      <c r="Y8183"/>
      <c r="Z8183"/>
      <c r="AA8183"/>
      <c r="AC8183"/>
      <c r="AR8183"/>
    </row>
    <row r="8184" spans="24:44">
      <c r="X8184"/>
      <c r="Y8184"/>
      <c r="Z8184"/>
      <c r="AA8184"/>
      <c r="AC8184"/>
      <c r="AR8184"/>
    </row>
    <row r="8185" spans="24:44">
      <c r="X8185"/>
      <c r="Y8185"/>
      <c r="Z8185"/>
      <c r="AA8185"/>
      <c r="AC8185"/>
      <c r="AR8185"/>
    </row>
    <row r="8186" spans="24:44">
      <c r="X8186"/>
      <c r="Y8186"/>
      <c r="Z8186"/>
      <c r="AA8186"/>
      <c r="AC8186"/>
      <c r="AR8186"/>
    </row>
    <row r="8187" spans="24:44">
      <c r="X8187"/>
      <c r="Y8187"/>
      <c r="Z8187"/>
      <c r="AA8187"/>
      <c r="AC8187"/>
      <c r="AR8187"/>
    </row>
    <row r="8188" spans="24:44">
      <c r="X8188"/>
      <c r="Y8188"/>
      <c r="Z8188"/>
      <c r="AA8188"/>
      <c r="AC8188"/>
      <c r="AR8188"/>
    </row>
    <row r="8189" spans="24:44">
      <c r="X8189"/>
      <c r="Y8189"/>
      <c r="Z8189"/>
      <c r="AA8189"/>
      <c r="AC8189"/>
      <c r="AR8189"/>
    </row>
    <row r="8190" spans="24:44">
      <c r="X8190"/>
      <c r="Y8190"/>
      <c r="Z8190"/>
      <c r="AA8190"/>
      <c r="AC8190"/>
      <c r="AR8190"/>
    </row>
    <row r="8191" spans="24:44">
      <c r="X8191"/>
      <c r="Y8191"/>
      <c r="Z8191"/>
      <c r="AA8191"/>
      <c r="AC8191"/>
      <c r="AR8191"/>
    </row>
    <row r="8192" spans="24:44">
      <c r="X8192"/>
      <c r="Y8192"/>
      <c r="Z8192"/>
      <c r="AA8192"/>
      <c r="AC8192"/>
      <c r="AR8192"/>
    </row>
    <row r="8193" spans="24:44">
      <c r="X8193"/>
      <c r="Y8193"/>
      <c r="Z8193"/>
      <c r="AA8193"/>
      <c r="AC8193"/>
      <c r="AR8193"/>
    </row>
    <row r="8194" spans="24:44">
      <c r="X8194"/>
      <c r="Y8194"/>
      <c r="Z8194"/>
      <c r="AA8194"/>
      <c r="AC8194"/>
      <c r="AR8194"/>
    </row>
    <row r="8195" spans="24:44">
      <c r="X8195"/>
      <c r="Y8195"/>
      <c r="Z8195"/>
      <c r="AA8195"/>
      <c r="AC8195"/>
      <c r="AR8195"/>
    </row>
    <row r="8196" spans="24:44">
      <c r="X8196"/>
      <c r="Y8196"/>
      <c r="Z8196"/>
      <c r="AA8196"/>
      <c r="AC8196"/>
      <c r="AR8196"/>
    </row>
    <row r="8197" spans="24:44">
      <c r="X8197"/>
      <c r="Y8197"/>
      <c r="Z8197"/>
      <c r="AA8197"/>
      <c r="AC8197"/>
      <c r="AR8197"/>
    </row>
    <row r="8198" spans="24:44">
      <c r="X8198"/>
      <c r="Y8198"/>
      <c r="Z8198"/>
      <c r="AA8198"/>
      <c r="AC8198"/>
      <c r="AR8198"/>
    </row>
    <row r="8199" spans="24:44">
      <c r="X8199"/>
      <c r="Y8199"/>
      <c r="Z8199"/>
      <c r="AA8199"/>
      <c r="AC8199"/>
      <c r="AR8199"/>
    </row>
    <row r="8200" spans="24:44">
      <c r="X8200"/>
      <c r="Y8200"/>
      <c r="Z8200"/>
      <c r="AA8200"/>
      <c r="AC8200"/>
      <c r="AR8200"/>
    </row>
    <row r="8201" spans="24:44">
      <c r="X8201"/>
      <c r="Y8201"/>
      <c r="Z8201"/>
      <c r="AA8201"/>
      <c r="AC8201"/>
      <c r="AR8201"/>
    </row>
    <row r="8202" spans="24:44">
      <c r="X8202"/>
      <c r="Y8202"/>
      <c r="Z8202"/>
      <c r="AA8202"/>
      <c r="AC8202"/>
      <c r="AR8202"/>
    </row>
    <row r="8203" spans="24:44">
      <c r="X8203"/>
      <c r="Y8203"/>
      <c r="Z8203"/>
      <c r="AA8203"/>
      <c r="AC8203"/>
      <c r="AR8203"/>
    </row>
    <row r="8204" spans="24:44">
      <c r="X8204"/>
      <c r="Y8204"/>
      <c r="Z8204"/>
      <c r="AA8204"/>
      <c r="AC8204"/>
      <c r="AR8204"/>
    </row>
    <row r="8205" spans="24:44">
      <c r="X8205"/>
      <c r="Y8205"/>
      <c r="Z8205"/>
      <c r="AA8205"/>
      <c r="AC8205"/>
      <c r="AR8205"/>
    </row>
    <row r="8206" spans="24:44">
      <c r="X8206"/>
      <c r="Y8206"/>
      <c r="Z8206"/>
      <c r="AA8206"/>
      <c r="AC8206"/>
      <c r="AR8206"/>
    </row>
    <row r="8207" spans="24:44">
      <c r="X8207"/>
      <c r="Y8207"/>
      <c r="Z8207"/>
      <c r="AA8207"/>
      <c r="AC8207"/>
      <c r="AR8207"/>
    </row>
    <row r="8208" spans="24:44">
      <c r="X8208"/>
      <c r="Y8208"/>
      <c r="Z8208"/>
      <c r="AA8208"/>
      <c r="AC8208"/>
      <c r="AR8208"/>
    </row>
    <row r="8209" spans="24:44">
      <c r="X8209"/>
      <c r="Y8209"/>
      <c r="Z8209"/>
      <c r="AA8209"/>
      <c r="AC8209"/>
      <c r="AR8209"/>
    </row>
    <row r="8210" spans="24:44">
      <c r="X8210"/>
      <c r="Y8210"/>
      <c r="Z8210"/>
      <c r="AA8210"/>
      <c r="AC8210"/>
      <c r="AR8210"/>
    </row>
    <row r="8211" spans="24:44">
      <c r="X8211"/>
      <c r="Y8211"/>
      <c r="Z8211"/>
      <c r="AA8211"/>
      <c r="AC8211"/>
      <c r="AR8211"/>
    </row>
    <row r="8212" spans="24:44">
      <c r="X8212"/>
      <c r="Y8212"/>
      <c r="Z8212"/>
      <c r="AA8212"/>
      <c r="AC8212"/>
      <c r="AR8212"/>
    </row>
    <row r="8213" spans="24:44">
      <c r="X8213"/>
      <c r="Y8213"/>
      <c r="Z8213"/>
      <c r="AA8213"/>
      <c r="AC8213"/>
      <c r="AR8213"/>
    </row>
    <row r="8214" spans="24:44">
      <c r="X8214"/>
      <c r="Y8214"/>
      <c r="Z8214"/>
      <c r="AA8214"/>
      <c r="AC8214"/>
      <c r="AR8214"/>
    </row>
    <row r="8215" spans="24:44">
      <c r="X8215"/>
      <c r="Y8215"/>
      <c r="Z8215"/>
      <c r="AA8215"/>
      <c r="AC8215"/>
      <c r="AR8215"/>
    </row>
    <row r="8216" spans="24:44">
      <c r="X8216"/>
      <c r="Y8216"/>
      <c r="Z8216"/>
      <c r="AA8216"/>
      <c r="AC8216"/>
      <c r="AR8216"/>
    </row>
    <row r="8217" spans="24:44">
      <c r="X8217"/>
      <c r="Y8217"/>
      <c r="Z8217"/>
      <c r="AA8217"/>
      <c r="AC8217"/>
      <c r="AR8217"/>
    </row>
    <row r="8218" spans="24:44">
      <c r="X8218"/>
      <c r="Y8218"/>
      <c r="Z8218"/>
      <c r="AA8218"/>
      <c r="AC8218"/>
      <c r="AR8218"/>
    </row>
    <row r="8219" spans="24:44">
      <c r="X8219"/>
      <c r="Y8219"/>
      <c r="Z8219"/>
      <c r="AA8219"/>
      <c r="AC8219"/>
      <c r="AR8219"/>
    </row>
    <row r="8220" spans="24:44">
      <c r="X8220"/>
      <c r="Y8220"/>
      <c r="Z8220"/>
      <c r="AA8220"/>
      <c r="AC8220"/>
      <c r="AR8220"/>
    </row>
    <row r="8221" spans="24:44">
      <c r="X8221"/>
      <c r="Y8221"/>
      <c r="Z8221"/>
      <c r="AA8221"/>
      <c r="AC8221"/>
      <c r="AR8221"/>
    </row>
    <row r="8222" spans="24:44">
      <c r="X8222"/>
      <c r="Y8222"/>
      <c r="Z8222"/>
      <c r="AA8222"/>
      <c r="AC8222"/>
      <c r="AR8222"/>
    </row>
    <row r="8223" spans="24:44">
      <c r="X8223"/>
      <c r="Y8223"/>
      <c r="Z8223"/>
      <c r="AA8223"/>
      <c r="AC8223"/>
      <c r="AR8223"/>
    </row>
    <row r="8224" spans="24:44">
      <c r="X8224"/>
      <c r="Y8224"/>
      <c r="Z8224"/>
      <c r="AA8224"/>
      <c r="AC8224"/>
      <c r="AR8224"/>
    </row>
    <row r="8225" spans="24:44">
      <c r="X8225"/>
      <c r="Y8225"/>
      <c r="Z8225"/>
      <c r="AA8225"/>
      <c r="AC8225"/>
      <c r="AR8225"/>
    </row>
    <row r="8226" spans="24:44">
      <c r="X8226"/>
      <c r="Y8226"/>
      <c r="Z8226"/>
      <c r="AA8226"/>
      <c r="AC8226"/>
      <c r="AR8226"/>
    </row>
    <row r="8227" spans="24:44">
      <c r="X8227"/>
      <c r="Y8227"/>
      <c r="Z8227"/>
      <c r="AA8227"/>
      <c r="AC8227"/>
      <c r="AR8227"/>
    </row>
    <row r="8228" spans="24:44">
      <c r="X8228"/>
      <c r="Y8228"/>
      <c r="Z8228"/>
      <c r="AA8228"/>
      <c r="AC8228"/>
      <c r="AR8228"/>
    </row>
    <row r="8229" spans="24:44">
      <c r="X8229"/>
      <c r="Y8229"/>
      <c r="Z8229"/>
      <c r="AA8229"/>
      <c r="AC8229"/>
      <c r="AR8229"/>
    </row>
    <row r="8230" spans="24:44">
      <c r="X8230"/>
      <c r="Y8230"/>
      <c r="Z8230"/>
      <c r="AA8230"/>
      <c r="AC8230"/>
      <c r="AR8230"/>
    </row>
    <row r="8231" spans="24:44">
      <c r="X8231"/>
      <c r="Y8231"/>
      <c r="Z8231"/>
      <c r="AA8231"/>
      <c r="AC8231"/>
      <c r="AR8231"/>
    </row>
    <row r="8232" spans="24:44">
      <c r="X8232"/>
      <c r="Y8232"/>
      <c r="Z8232"/>
      <c r="AA8232"/>
      <c r="AC8232"/>
      <c r="AR8232"/>
    </row>
    <row r="8233" spans="24:44">
      <c r="X8233"/>
      <c r="Y8233"/>
      <c r="Z8233"/>
      <c r="AA8233"/>
      <c r="AC8233"/>
      <c r="AR8233"/>
    </row>
    <row r="8234" spans="24:44">
      <c r="X8234"/>
      <c r="Y8234"/>
      <c r="Z8234"/>
      <c r="AA8234"/>
      <c r="AC8234"/>
      <c r="AR8234"/>
    </row>
    <row r="8235" spans="24:44">
      <c r="X8235"/>
      <c r="Y8235"/>
      <c r="Z8235"/>
      <c r="AA8235"/>
      <c r="AC8235"/>
      <c r="AR8235"/>
    </row>
    <row r="8236" spans="24:44">
      <c r="X8236"/>
      <c r="Y8236"/>
      <c r="Z8236"/>
      <c r="AA8236"/>
      <c r="AC8236"/>
      <c r="AR8236"/>
    </row>
    <row r="8237" spans="24:44">
      <c r="X8237"/>
      <c r="Y8237"/>
      <c r="Z8237"/>
      <c r="AA8237"/>
      <c r="AC8237"/>
      <c r="AR8237"/>
    </row>
    <row r="8238" spans="24:44">
      <c r="X8238"/>
      <c r="Y8238"/>
      <c r="Z8238"/>
      <c r="AA8238"/>
      <c r="AC8238"/>
      <c r="AR8238"/>
    </row>
    <row r="8239" spans="24:44">
      <c r="X8239"/>
      <c r="Y8239"/>
      <c r="Z8239"/>
      <c r="AA8239"/>
      <c r="AC8239"/>
      <c r="AR8239"/>
    </row>
    <row r="8240" spans="24:44">
      <c r="X8240"/>
      <c r="Y8240"/>
      <c r="Z8240"/>
      <c r="AA8240"/>
      <c r="AC8240"/>
      <c r="AR8240"/>
    </row>
    <row r="8241" spans="24:44">
      <c r="X8241"/>
      <c r="Y8241"/>
      <c r="Z8241"/>
      <c r="AA8241"/>
      <c r="AC8241"/>
      <c r="AR8241"/>
    </row>
    <row r="8242" spans="24:44">
      <c r="X8242"/>
      <c r="Y8242"/>
      <c r="Z8242"/>
      <c r="AA8242"/>
      <c r="AC8242"/>
      <c r="AR8242"/>
    </row>
    <row r="8243" spans="24:44">
      <c r="X8243"/>
      <c r="Y8243"/>
      <c r="Z8243"/>
      <c r="AA8243"/>
      <c r="AC8243"/>
      <c r="AR8243"/>
    </row>
    <row r="8244" spans="24:44">
      <c r="X8244"/>
      <c r="Y8244"/>
      <c r="Z8244"/>
      <c r="AA8244"/>
      <c r="AC8244"/>
      <c r="AR8244"/>
    </row>
    <row r="8245" spans="24:44">
      <c r="X8245"/>
      <c r="Y8245"/>
      <c r="Z8245"/>
      <c r="AA8245"/>
      <c r="AC8245"/>
      <c r="AR8245"/>
    </row>
    <row r="8246" spans="24:44">
      <c r="X8246"/>
      <c r="Y8246"/>
      <c r="Z8246"/>
      <c r="AA8246"/>
      <c r="AC8246"/>
      <c r="AR8246"/>
    </row>
    <row r="8247" spans="24:44">
      <c r="X8247"/>
      <c r="Y8247"/>
      <c r="Z8247"/>
      <c r="AA8247"/>
      <c r="AC8247"/>
      <c r="AR8247"/>
    </row>
    <row r="8248" spans="24:44">
      <c r="X8248"/>
      <c r="Y8248"/>
      <c r="Z8248"/>
      <c r="AA8248"/>
      <c r="AC8248"/>
      <c r="AR8248"/>
    </row>
    <row r="8249" spans="24:44">
      <c r="X8249"/>
      <c r="Y8249"/>
      <c r="Z8249"/>
      <c r="AA8249"/>
      <c r="AC8249"/>
      <c r="AR8249"/>
    </row>
    <row r="8250" spans="24:44">
      <c r="X8250"/>
      <c r="Y8250"/>
      <c r="Z8250"/>
      <c r="AA8250"/>
      <c r="AC8250"/>
      <c r="AR8250"/>
    </row>
    <row r="8251" spans="24:44">
      <c r="X8251"/>
      <c r="Y8251"/>
      <c r="Z8251"/>
      <c r="AA8251"/>
      <c r="AC8251"/>
      <c r="AR8251"/>
    </row>
    <row r="8252" spans="24:44">
      <c r="X8252"/>
      <c r="Y8252"/>
      <c r="Z8252"/>
      <c r="AA8252"/>
      <c r="AC8252"/>
      <c r="AR8252"/>
    </row>
    <row r="8253" spans="24:44">
      <c r="X8253"/>
      <c r="Y8253"/>
      <c r="Z8253"/>
      <c r="AA8253"/>
      <c r="AC8253"/>
      <c r="AR8253"/>
    </row>
    <row r="8254" spans="24:44">
      <c r="X8254"/>
      <c r="Y8254"/>
      <c r="Z8254"/>
      <c r="AA8254"/>
      <c r="AC8254"/>
      <c r="AR8254"/>
    </row>
    <row r="8255" spans="24:44">
      <c r="X8255"/>
      <c r="Y8255"/>
      <c r="Z8255"/>
      <c r="AA8255"/>
      <c r="AC8255"/>
      <c r="AR8255"/>
    </row>
    <row r="8256" spans="24:44">
      <c r="X8256"/>
      <c r="Y8256"/>
      <c r="Z8256"/>
      <c r="AA8256"/>
      <c r="AC8256"/>
      <c r="AR8256"/>
    </row>
    <row r="8257" spans="24:44">
      <c r="X8257"/>
      <c r="Y8257"/>
      <c r="Z8257"/>
      <c r="AA8257"/>
      <c r="AC8257"/>
      <c r="AR8257"/>
    </row>
    <row r="8258" spans="24:44">
      <c r="X8258"/>
      <c r="Y8258"/>
      <c r="Z8258"/>
      <c r="AA8258"/>
      <c r="AC8258"/>
      <c r="AR8258"/>
    </row>
    <row r="8259" spans="24:44">
      <c r="X8259"/>
      <c r="Y8259"/>
      <c r="Z8259"/>
      <c r="AA8259"/>
      <c r="AC8259"/>
      <c r="AR8259"/>
    </row>
    <row r="8260" spans="24:44">
      <c r="X8260"/>
      <c r="Y8260"/>
      <c r="Z8260"/>
      <c r="AA8260"/>
      <c r="AC8260"/>
      <c r="AR8260"/>
    </row>
    <row r="8261" spans="24:44">
      <c r="X8261"/>
      <c r="Y8261"/>
      <c r="Z8261"/>
      <c r="AA8261"/>
      <c r="AC8261"/>
      <c r="AR8261"/>
    </row>
    <row r="8262" spans="24:44">
      <c r="X8262"/>
      <c r="Y8262"/>
      <c r="Z8262"/>
      <c r="AA8262"/>
      <c r="AC8262"/>
      <c r="AR8262"/>
    </row>
    <row r="8263" spans="24:44">
      <c r="X8263"/>
      <c r="Y8263"/>
      <c r="Z8263"/>
      <c r="AA8263"/>
      <c r="AC8263"/>
      <c r="AR8263"/>
    </row>
    <row r="8264" spans="24:44">
      <c r="X8264"/>
      <c r="Y8264"/>
      <c r="Z8264"/>
      <c r="AA8264"/>
      <c r="AC8264"/>
      <c r="AR8264"/>
    </row>
    <row r="8265" spans="24:44">
      <c r="X8265"/>
      <c r="Y8265"/>
      <c r="Z8265"/>
      <c r="AA8265"/>
      <c r="AC8265"/>
      <c r="AR8265"/>
    </row>
    <row r="8266" spans="24:44">
      <c r="X8266"/>
      <c r="Y8266"/>
      <c r="Z8266"/>
      <c r="AA8266"/>
      <c r="AC8266"/>
      <c r="AR8266"/>
    </row>
    <row r="8267" spans="24:44">
      <c r="X8267"/>
      <c r="Y8267"/>
      <c r="Z8267"/>
      <c r="AA8267"/>
      <c r="AC8267"/>
      <c r="AR8267"/>
    </row>
    <row r="8268" spans="24:44">
      <c r="X8268"/>
      <c r="Y8268"/>
      <c r="Z8268"/>
      <c r="AA8268"/>
      <c r="AC8268"/>
      <c r="AR8268"/>
    </row>
    <row r="8269" spans="24:44">
      <c r="X8269"/>
      <c r="Y8269"/>
      <c r="Z8269"/>
      <c r="AA8269"/>
      <c r="AC8269"/>
      <c r="AR8269"/>
    </row>
    <row r="8270" spans="24:44">
      <c r="X8270"/>
      <c r="Y8270"/>
      <c r="Z8270"/>
      <c r="AA8270"/>
      <c r="AC8270"/>
      <c r="AR8270"/>
    </row>
    <row r="8271" spans="24:44">
      <c r="X8271"/>
      <c r="Y8271"/>
      <c r="Z8271"/>
      <c r="AA8271"/>
      <c r="AC8271"/>
      <c r="AR8271"/>
    </row>
    <row r="8272" spans="24:44">
      <c r="X8272"/>
      <c r="Y8272"/>
      <c r="Z8272"/>
      <c r="AA8272"/>
      <c r="AC8272"/>
      <c r="AR8272"/>
    </row>
    <row r="8273" spans="24:44">
      <c r="X8273"/>
      <c r="Y8273"/>
      <c r="Z8273"/>
      <c r="AA8273"/>
      <c r="AC8273"/>
      <c r="AR8273"/>
    </row>
    <row r="8274" spans="24:44">
      <c r="X8274"/>
      <c r="Y8274"/>
      <c r="Z8274"/>
      <c r="AA8274"/>
      <c r="AC8274"/>
      <c r="AR8274"/>
    </row>
    <row r="8275" spans="24:44">
      <c r="X8275"/>
      <c r="Y8275"/>
      <c r="Z8275"/>
      <c r="AA8275"/>
      <c r="AC8275"/>
      <c r="AR8275"/>
    </row>
    <row r="8276" spans="24:44">
      <c r="X8276"/>
      <c r="Y8276"/>
      <c r="Z8276"/>
      <c r="AA8276"/>
      <c r="AC8276"/>
      <c r="AR8276"/>
    </row>
    <row r="8277" spans="24:44">
      <c r="X8277"/>
      <c r="Y8277"/>
      <c r="Z8277"/>
      <c r="AA8277"/>
      <c r="AC8277"/>
      <c r="AR8277"/>
    </row>
    <row r="8278" spans="24:44">
      <c r="X8278"/>
      <c r="Y8278"/>
      <c r="Z8278"/>
      <c r="AA8278"/>
      <c r="AC8278"/>
      <c r="AR8278"/>
    </row>
    <row r="8279" spans="24:44">
      <c r="X8279"/>
      <c r="Y8279"/>
      <c r="Z8279"/>
      <c r="AA8279"/>
      <c r="AC8279"/>
      <c r="AR8279"/>
    </row>
    <row r="8280" spans="24:44">
      <c r="X8280"/>
      <c r="Y8280"/>
      <c r="Z8280"/>
      <c r="AA8280"/>
      <c r="AC8280"/>
      <c r="AR8280"/>
    </row>
    <row r="8281" spans="24:44">
      <c r="X8281"/>
      <c r="Y8281"/>
      <c r="Z8281"/>
      <c r="AA8281"/>
      <c r="AC8281"/>
      <c r="AR8281"/>
    </row>
    <row r="8282" spans="24:44">
      <c r="X8282"/>
      <c r="Y8282"/>
      <c r="Z8282"/>
      <c r="AA8282"/>
      <c r="AC8282"/>
      <c r="AR8282"/>
    </row>
    <row r="8283" spans="24:44">
      <c r="X8283"/>
      <c r="Y8283"/>
      <c r="Z8283"/>
      <c r="AA8283"/>
      <c r="AC8283"/>
      <c r="AR8283"/>
    </row>
    <row r="8284" spans="24:44">
      <c r="X8284"/>
      <c r="Y8284"/>
      <c r="Z8284"/>
      <c r="AA8284"/>
      <c r="AC8284"/>
      <c r="AR8284"/>
    </row>
    <row r="8285" spans="24:44">
      <c r="X8285"/>
      <c r="Y8285"/>
      <c r="Z8285"/>
      <c r="AA8285"/>
      <c r="AC8285"/>
      <c r="AR8285"/>
    </row>
    <row r="8286" spans="24:44">
      <c r="X8286"/>
      <c r="Y8286"/>
      <c r="Z8286"/>
      <c r="AA8286"/>
      <c r="AC8286"/>
      <c r="AR8286"/>
    </row>
    <row r="8287" spans="24:44">
      <c r="X8287"/>
      <c r="Y8287"/>
      <c r="Z8287"/>
      <c r="AA8287"/>
      <c r="AC8287"/>
      <c r="AR8287"/>
    </row>
    <row r="8288" spans="24:44">
      <c r="X8288"/>
      <c r="Y8288"/>
      <c r="Z8288"/>
      <c r="AA8288"/>
      <c r="AC8288"/>
      <c r="AR8288"/>
    </row>
    <row r="8289" spans="24:44">
      <c r="X8289"/>
      <c r="Y8289"/>
      <c r="Z8289"/>
      <c r="AA8289"/>
      <c r="AC8289"/>
      <c r="AR8289"/>
    </row>
    <row r="8290" spans="24:44">
      <c r="X8290"/>
      <c r="Y8290"/>
      <c r="Z8290"/>
      <c r="AA8290"/>
      <c r="AC8290"/>
      <c r="AR8290"/>
    </row>
    <row r="8291" spans="24:44">
      <c r="X8291"/>
      <c r="Y8291"/>
      <c r="Z8291"/>
      <c r="AA8291"/>
      <c r="AC8291"/>
      <c r="AR8291"/>
    </row>
    <row r="8292" spans="24:44">
      <c r="X8292"/>
      <c r="Y8292"/>
      <c r="Z8292"/>
      <c r="AA8292"/>
      <c r="AC8292"/>
      <c r="AR8292"/>
    </row>
    <row r="8293" spans="24:44">
      <c r="X8293"/>
      <c r="Y8293"/>
      <c r="Z8293"/>
      <c r="AA8293"/>
      <c r="AC8293"/>
      <c r="AR8293"/>
    </row>
    <row r="8294" spans="24:44">
      <c r="X8294"/>
      <c r="Y8294"/>
      <c r="Z8294"/>
      <c r="AA8294"/>
      <c r="AC8294"/>
      <c r="AR8294"/>
    </row>
    <row r="8295" spans="24:44">
      <c r="X8295"/>
      <c r="Y8295"/>
      <c r="Z8295"/>
      <c r="AA8295"/>
      <c r="AC8295"/>
      <c r="AR8295"/>
    </row>
    <row r="8296" spans="24:44">
      <c r="X8296"/>
      <c r="Y8296"/>
      <c r="Z8296"/>
      <c r="AA8296"/>
      <c r="AC8296"/>
      <c r="AR8296"/>
    </row>
    <row r="8297" spans="24:44">
      <c r="X8297"/>
      <c r="Y8297"/>
      <c r="Z8297"/>
      <c r="AA8297"/>
      <c r="AC8297"/>
      <c r="AR8297"/>
    </row>
    <row r="8298" spans="24:44">
      <c r="X8298"/>
      <c r="Y8298"/>
      <c r="Z8298"/>
      <c r="AA8298"/>
      <c r="AC8298"/>
      <c r="AR8298"/>
    </row>
    <row r="8299" spans="24:44">
      <c r="X8299"/>
      <c r="Y8299"/>
      <c r="Z8299"/>
      <c r="AA8299"/>
      <c r="AC8299"/>
      <c r="AR8299"/>
    </row>
    <row r="8300" spans="24:44">
      <c r="X8300"/>
      <c r="Y8300"/>
      <c r="Z8300"/>
      <c r="AA8300"/>
      <c r="AC8300"/>
      <c r="AR8300"/>
    </row>
    <row r="8301" spans="24:44">
      <c r="X8301"/>
      <c r="Y8301"/>
      <c r="Z8301"/>
      <c r="AA8301"/>
      <c r="AC8301"/>
      <c r="AR8301"/>
    </row>
    <row r="8302" spans="24:44">
      <c r="X8302"/>
      <c r="Y8302"/>
      <c r="Z8302"/>
      <c r="AA8302"/>
      <c r="AC8302"/>
      <c r="AR8302"/>
    </row>
    <row r="8303" spans="24:44">
      <c r="X8303"/>
      <c r="Y8303"/>
      <c r="Z8303"/>
      <c r="AA8303"/>
      <c r="AC8303"/>
      <c r="AR8303"/>
    </row>
    <row r="8304" spans="24:44">
      <c r="X8304"/>
      <c r="Y8304"/>
      <c r="Z8304"/>
      <c r="AA8304"/>
      <c r="AC8304"/>
      <c r="AR8304"/>
    </row>
    <row r="8305" spans="24:44">
      <c r="X8305"/>
      <c r="Y8305"/>
      <c r="Z8305"/>
      <c r="AA8305"/>
      <c r="AC8305"/>
      <c r="AR8305"/>
    </row>
    <row r="8306" spans="24:44">
      <c r="X8306"/>
      <c r="Y8306"/>
      <c r="Z8306"/>
      <c r="AA8306"/>
      <c r="AC8306"/>
      <c r="AR8306"/>
    </row>
    <row r="8307" spans="24:44">
      <c r="X8307"/>
      <c r="Y8307"/>
      <c r="Z8307"/>
      <c r="AA8307"/>
      <c r="AC8307"/>
      <c r="AR8307"/>
    </row>
    <row r="8308" spans="24:44">
      <c r="X8308"/>
      <c r="Y8308"/>
      <c r="Z8308"/>
      <c r="AA8308"/>
      <c r="AC8308"/>
      <c r="AR8308"/>
    </row>
    <row r="8309" spans="24:44">
      <c r="X8309"/>
      <c r="Y8309"/>
      <c r="Z8309"/>
      <c r="AA8309"/>
      <c r="AC8309"/>
      <c r="AR8309"/>
    </row>
    <row r="8310" spans="24:44">
      <c r="X8310"/>
      <c r="Y8310"/>
      <c r="Z8310"/>
      <c r="AA8310"/>
      <c r="AC8310"/>
      <c r="AR8310"/>
    </row>
    <row r="8311" spans="24:44">
      <c r="X8311"/>
      <c r="Y8311"/>
      <c r="Z8311"/>
      <c r="AA8311"/>
      <c r="AC8311"/>
      <c r="AR8311"/>
    </row>
    <row r="8312" spans="24:44">
      <c r="X8312"/>
      <c r="Y8312"/>
      <c r="Z8312"/>
      <c r="AA8312"/>
      <c r="AC8312"/>
      <c r="AR8312"/>
    </row>
    <row r="8313" spans="24:44">
      <c r="X8313"/>
      <c r="Y8313"/>
      <c r="Z8313"/>
      <c r="AA8313"/>
      <c r="AC8313"/>
      <c r="AR8313"/>
    </row>
    <row r="8314" spans="24:44">
      <c r="X8314"/>
      <c r="Y8314"/>
      <c r="Z8314"/>
      <c r="AA8314"/>
      <c r="AC8314"/>
      <c r="AR8314"/>
    </row>
    <row r="8315" spans="24:44">
      <c r="X8315"/>
      <c r="Y8315"/>
      <c r="Z8315"/>
      <c r="AA8315"/>
      <c r="AC8315"/>
      <c r="AR8315"/>
    </row>
    <row r="8316" spans="24:44">
      <c r="X8316"/>
      <c r="Y8316"/>
      <c r="Z8316"/>
      <c r="AA8316"/>
      <c r="AC8316"/>
      <c r="AR8316"/>
    </row>
    <row r="8317" spans="24:44">
      <c r="X8317"/>
      <c r="Y8317"/>
      <c r="Z8317"/>
      <c r="AA8317"/>
      <c r="AC8317"/>
      <c r="AR8317"/>
    </row>
    <row r="8318" spans="24:44">
      <c r="X8318"/>
      <c r="Y8318"/>
      <c r="Z8318"/>
      <c r="AA8318"/>
      <c r="AC8318"/>
      <c r="AR8318"/>
    </row>
    <row r="8319" spans="24:44">
      <c r="X8319"/>
      <c r="Y8319"/>
      <c r="Z8319"/>
      <c r="AA8319"/>
      <c r="AC8319"/>
      <c r="AR8319"/>
    </row>
    <row r="8320" spans="24:44">
      <c r="X8320"/>
      <c r="Y8320"/>
      <c r="Z8320"/>
      <c r="AA8320"/>
      <c r="AC8320"/>
      <c r="AR8320"/>
    </row>
    <row r="8321" spans="24:44">
      <c r="X8321"/>
      <c r="Y8321"/>
      <c r="Z8321"/>
      <c r="AA8321"/>
      <c r="AC8321"/>
      <c r="AR8321"/>
    </row>
    <row r="8322" spans="24:44">
      <c r="X8322"/>
      <c r="Y8322"/>
      <c r="Z8322"/>
      <c r="AA8322"/>
      <c r="AC8322"/>
      <c r="AR8322"/>
    </row>
    <row r="8323" spans="24:44">
      <c r="X8323"/>
      <c r="Y8323"/>
      <c r="Z8323"/>
      <c r="AA8323"/>
      <c r="AC8323"/>
      <c r="AR8323"/>
    </row>
    <row r="8324" spans="24:44">
      <c r="X8324"/>
      <c r="Y8324"/>
      <c r="Z8324"/>
      <c r="AA8324"/>
      <c r="AC8324"/>
      <c r="AR8324"/>
    </row>
    <row r="8325" spans="24:44">
      <c r="X8325"/>
      <c r="Y8325"/>
      <c r="Z8325"/>
      <c r="AA8325"/>
      <c r="AC8325"/>
      <c r="AR8325"/>
    </row>
    <row r="8326" spans="24:44">
      <c r="X8326"/>
      <c r="Y8326"/>
      <c r="Z8326"/>
      <c r="AA8326"/>
      <c r="AC8326"/>
      <c r="AR8326"/>
    </row>
    <row r="8327" spans="24:44">
      <c r="X8327"/>
      <c r="Y8327"/>
      <c r="Z8327"/>
      <c r="AA8327"/>
      <c r="AC8327"/>
      <c r="AR8327"/>
    </row>
    <row r="8328" spans="24:44">
      <c r="X8328"/>
      <c r="Y8328"/>
      <c r="Z8328"/>
      <c r="AA8328"/>
      <c r="AC8328"/>
      <c r="AR8328"/>
    </row>
    <row r="8329" spans="24:44">
      <c r="X8329"/>
      <c r="Y8329"/>
      <c r="Z8329"/>
      <c r="AA8329"/>
      <c r="AC8329"/>
      <c r="AR8329"/>
    </row>
    <row r="8330" spans="24:44">
      <c r="X8330"/>
      <c r="Y8330"/>
      <c r="Z8330"/>
      <c r="AA8330"/>
      <c r="AC8330"/>
      <c r="AR8330"/>
    </row>
    <row r="8331" spans="24:44">
      <c r="X8331"/>
      <c r="Y8331"/>
      <c r="Z8331"/>
      <c r="AA8331"/>
      <c r="AC8331"/>
      <c r="AR8331"/>
    </row>
    <row r="8332" spans="24:44">
      <c r="X8332"/>
      <c r="Y8332"/>
      <c r="Z8332"/>
      <c r="AA8332"/>
      <c r="AC8332"/>
      <c r="AR8332"/>
    </row>
    <row r="8333" spans="24:44">
      <c r="X8333"/>
      <c r="Y8333"/>
      <c r="Z8333"/>
      <c r="AA8333"/>
      <c r="AC8333"/>
      <c r="AR8333"/>
    </row>
    <row r="8334" spans="24:44">
      <c r="X8334"/>
      <c r="Y8334"/>
      <c r="Z8334"/>
      <c r="AA8334"/>
      <c r="AC8334"/>
      <c r="AR8334"/>
    </row>
    <row r="8335" spans="24:44">
      <c r="X8335"/>
      <c r="Y8335"/>
      <c r="Z8335"/>
      <c r="AA8335"/>
      <c r="AC8335"/>
      <c r="AR8335"/>
    </row>
    <row r="8336" spans="24:44">
      <c r="X8336"/>
      <c r="Y8336"/>
      <c r="Z8336"/>
      <c r="AA8336"/>
      <c r="AC8336"/>
      <c r="AR8336"/>
    </row>
    <row r="8337" spans="24:44">
      <c r="X8337"/>
      <c r="Y8337"/>
      <c r="Z8337"/>
      <c r="AA8337"/>
      <c r="AC8337"/>
      <c r="AR8337"/>
    </row>
    <row r="8338" spans="24:44">
      <c r="X8338"/>
      <c r="Y8338"/>
      <c r="Z8338"/>
      <c r="AA8338"/>
      <c r="AC8338"/>
      <c r="AR8338"/>
    </row>
    <row r="8339" spans="24:44">
      <c r="X8339"/>
      <c r="Y8339"/>
      <c r="Z8339"/>
      <c r="AA8339"/>
      <c r="AC8339"/>
      <c r="AR8339"/>
    </row>
    <row r="8340" spans="24:44">
      <c r="X8340"/>
      <c r="Y8340"/>
      <c r="Z8340"/>
      <c r="AA8340"/>
      <c r="AC8340"/>
      <c r="AR8340"/>
    </row>
    <row r="8341" spans="24:44">
      <c r="X8341"/>
      <c r="Y8341"/>
      <c r="Z8341"/>
      <c r="AA8341"/>
      <c r="AC8341"/>
      <c r="AR8341"/>
    </row>
    <row r="8342" spans="24:44">
      <c r="X8342"/>
      <c r="Y8342"/>
      <c r="Z8342"/>
      <c r="AA8342"/>
      <c r="AC8342"/>
      <c r="AR8342"/>
    </row>
    <row r="8343" spans="24:44">
      <c r="X8343"/>
      <c r="Y8343"/>
      <c r="Z8343"/>
      <c r="AA8343"/>
      <c r="AC8343"/>
      <c r="AR8343"/>
    </row>
    <row r="8344" spans="24:44">
      <c r="X8344"/>
      <c r="Y8344"/>
      <c r="Z8344"/>
      <c r="AA8344"/>
      <c r="AC8344"/>
      <c r="AR8344"/>
    </row>
    <row r="8345" spans="24:44">
      <c r="X8345"/>
      <c r="Y8345"/>
      <c r="Z8345"/>
      <c r="AA8345"/>
      <c r="AC8345"/>
      <c r="AR8345"/>
    </row>
    <row r="8346" spans="24:44">
      <c r="X8346"/>
      <c r="Y8346"/>
      <c r="Z8346"/>
      <c r="AA8346"/>
      <c r="AC8346"/>
      <c r="AR8346"/>
    </row>
    <row r="8347" spans="24:44">
      <c r="X8347"/>
      <c r="Y8347"/>
      <c r="Z8347"/>
      <c r="AA8347"/>
      <c r="AC8347"/>
      <c r="AR8347"/>
    </row>
    <row r="8348" spans="24:44">
      <c r="X8348"/>
      <c r="Y8348"/>
      <c r="Z8348"/>
      <c r="AA8348"/>
      <c r="AC8348"/>
      <c r="AR8348"/>
    </row>
    <row r="8349" spans="24:44">
      <c r="X8349"/>
      <c r="Y8349"/>
      <c r="Z8349"/>
      <c r="AA8349"/>
      <c r="AC8349"/>
      <c r="AR8349"/>
    </row>
    <row r="8350" spans="24:44">
      <c r="X8350"/>
      <c r="Y8350"/>
      <c r="Z8350"/>
      <c r="AA8350"/>
      <c r="AC8350"/>
      <c r="AR8350"/>
    </row>
    <row r="8351" spans="24:44">
      <c r="X8351"/>
      <c r="Y8351"/>
      <c r="Z8351"/>
      <c r="AA8351"/>
      <c r="AC8351"/>
      <c r="AR8351"/>
    </row>
    <row r="8352" spans="24:44">
      <c r="X8352"/>
      <c r="Y8352"/>
      <c r="Z8352"/>
      <c r="AA8352"/>
      <c r="AC8352"/>
      <c r="AR8352"/>
    </row>
    <row r="8353" spans="24:44">
      <c r="X8353"/>
      <c r="Y8353"/>
      <c r="Z8353"/>
      <c r="AA8353"/>
      <c r="AC8353"/>
      <c r="AR8353"/>
    </row>
    <row r="8354" spans="24:44">
      <c r="X8354"/>
      <c r="Y8354"/>
      <c r="Z8354"/>
      <c r="AA8354"/>
      <c r="AC8354"/>
      <c r="AR8354"/>
    </row>
    <row r="8355" spans="24:44">
      <c r="X8355"/>
      <c r="Y8355"/>
      <c r="Z8355"/>
      <c r="AA8355"/>
      <c r="AC8355"/>
      <c r="AR8355"/>
    </row>
    <row r="8356" spans="24:44">
      <c r="X8356"/>
      <c r="Y8356"/>
      <c r="Z8356"/>
      <c r="AA8356"/>
      <c r="AC8356"/>
      <c r="AR8356"/>
    </row>
    <row r="8357" spans="24:44">
      <c r="X8357"/>
      <c r="Y8357"/>
      <c r="Z8357"/>
      <c r="AA8357"/>
      <c r="AC8357"/>
      <c r="AR8357"/>
    </row>
    <row r="8358" spans="24:44">
      <c r="X8358"/>
      <c r="Y8358"/>
      <c r="Z8358"/>
      <c r="AA8358"/>
      <c r="AC8358"/>
      <c r="AR8358"/>
    </row>
    <row r="8359" spans="24:44">
      <c r="X8359"/>
      <c r="Y8359"/>
      <c r="Z8359"/>
      <c r="AA8359"/>
      <c r="AC8359"/>
      <c r="AR8359"/>
    </row>
    <row r="8360" spans="24:44">
      <c r="X8360"/>
      <c r="Y8360"/>
      <c r="Z8360"/>
      <c r="AA8360"/>
      <c r="AC8360"/>
      <c r="AR8360"/>
    </row>
    <row r="8361" spans="24:44">
      <c r="X8361"/>
      <c r="Y8361"/>
      <c r="Z8361"/>
      <c r="AA8361"/>
      <c r="AC8361"/>
      <c r="AR8361"/>
    </row>
    <row r="8362" spans="24:44">
      <c r="X8362"/>
      <c r="Y8362"/>
      <c r="Z8362"/>
      <c r="AA8362"/>
      <c r="AC8362"/>
      <c r="AR8362"/>
    </row>
    <row r="8363" spans="24:44">
      <c r="X8363"/>
      <c r="Y8363"/>
      <c r="Z8363"/>
      <c r="AA8363"/>
      <c r="AC8363"/>
      <c r="AR8363"/>
    </row>
    <row r="8364" spans="24:44">
      <c r="X8364"/>
      <c r="Y8364"/>
      <c r="Z8364"/>
      <c r="AA8364"/>
      <c r="AC8364"/>
      <c r="AR8364"/>
    </row>
    <row r="8365" spans="24:44">
      <c r="X8365"/>
      <c r="Y8365"/>
      <c r="Z8365"/>
      <c r="AA8365"/>
      <c r="AC8365"/>
      <c r="AR8365"/>
    </row>
    <row r="8366" spans="24:44">
      <c r="X8366"/>
      <c r="Y8366"/>
      <c r="Z8366"/>
      <c r="AA8366"/>
      <c r="AC8366"/>
      <c r="AR8366"/>
    </row>
    <row r="8367" spans="24:44">
      <c r="X8367"/>
      <c r="Y8367"/>
      <c r="Z8367"/>
      <c r="AA8367"/>
      <c r="AC8367"/>
      <c r="AR8367"/>
    </row>
    <row r="8368" spans="24:44">
      <c r="X8368"/>
      <c r="Y8368"/>
      <c r="Z8368"/>
      <c r="AA8368"/>
      <c r="AC8368"/>
      <c r="AR8368"/>
    </row>
    <row r="8369" spans="24:44">
      <c r="X8369"/>
      <c r="Y8369"/>
      <c r="Z8369"/>
      <c r="AA8369"/>
      <c r="AC8369"/>
      <c r="AR8369"/>
    </row>
    <row r="8370" spans="24:44">
      <c r="X8370"/>
      <c r="Y8370"/>
      <c r="Z8370"/>
      <c r="AA8370"/>
      <c r="AC8370"/>
      <c r="AR8370"/>
    </row>
    <row r="8371" spans="24:44">
      <c r="X8371"/>
      <c r="Y8371"/>
      <c r="Z8371"/>
      <c r="AA8371"/>
      <c r="AC8371"/>
      <c r="AR8371"/>
    </row>
    <row r="8372" spans="24:44">
      <c r="X8372"/>
      <c r="Y8372"/>
      <c r="Z8372"/>
      <c r="AA8372"/>
      <c r="AC8372"/>
      <c r="AR8372"/>
    </row>
    <row r="8373" spans="24:44">
      <c r="X8373"/>
      <c r="Y8373"/>
      <c r="Z8373"/>
      <c r="AA8373"/>
      <c r="AC8373"/>
      <c r="AR8373"/>
    </row>
    <row r="8374" spans="24:44">
      <c r="X8374"/>
      <c r="Y8374"/>
      <c r="Z8374"/>
      <c r="AA8374"/>
      <c r="AC8374"/>
      <c r="AR8374"/>
    </row>
    <row r="8375" spans="24:44">
      <c r="X8375"/>
      <c r="Y8375"/>
      <c r="Z8375"/>
      <c r="AA8375"/>
      <c r="AC8375"/>
      <c r="AR8375"/>
    </row>
    <row r="8376" spans="24:44">
      <c r="X8376"/>
      <c r="Y8376"/>
      <c r="Z8376"/>
      <c r="AA8376"/>
      <c r="AC8376"/>
      <c r="AR8376"/>
    </row>
    <row r="8377" spans="24:44">
      <c r="X8377"/>
      <c r="Y8377"/>
      <c r="Z8377"/>
      <c r="AA8377"/>
      <c r="AC8377"/>
      <c r="AR8377"/>
    </row>
    <row r="8378" spans="24:44">
      <c r="X8378"/>
      <c r="Y8378"/>
      <c r="Z8378"/>
      <c r="AA8378"/>
      <c r="AC8378"/>
      <c r="AR8378"/>
    </row>
    <row r="8379" spans="24:44">
      <c r="X8379"/>
      <c r="Y8379"/>
      <c r="Z8379"/>
      <c r="AA8379"/>
      <c r="AC8379"/>
      <c r="AR8379"/>
    </row>
    <row r="8380" spans="24:44">
      <c r="X8380"/>
      <c r="Y8380"/>
      <c r="Z8380"/>
      <c r="AA8380"/>
      <c r="AC8380"/>
      <c r="AR8380"/>
    </row>
    <row r="8381" spans="24:44">
      <c r="X8381"/>
      <c r="Y8381"/>
      <c r="Z8381"/>
      <c r="AA8381"/>
      <c r="AC8381"/>
      <c r="AR8381"/>
    </row>
    <row r="8382" spans="24:44">
      <c r="X8382"/>
      <c r="Y8382"/>
      <c r="Z8382"/>
      <c r="AA8382"/>
      <c r="AC8382"/>
      <c r="AR8382"/>
    </row>
    <row r="8383" spans="24:44">
      <c r="X8383"/>
      <c r="Y8383"/>
      <c r="Z8383"/>
      <c r="AA8383"/>
      <c r="AC8383"/>
      <c r="AR8383"/>
    </row>
    <row r="8384" spans="24:44">
      <c r="X8384"/>
      <c r="Y8384"/>
      <c r="Z8384"/>
      <c r="AA8384"/>
      <c r="AC8384"/>
      <c r="AR8384"/>
    </row>
    <row r="8385" spans="24:44">
      <c r="X8385"/>
      <c r="Y8385"/>
      <c r="Z8385"/>
      <c r="AA8385"/>
      <c r="AC8385"/>
      <c r="AR8385"/>
    </row>
    <row r="8386" spans="24:44">
      <c r="X8386"/>
      <c r="Y8386"/>
      <c r="Z8386"/>
      <c r="AA8386"/>
      <c r="AC8386"/>
      <c r="AR8386"/>
    </row>
    <row r="8387" spans="24:44">
      <c r="X8387"/>
      <c r="Y8387"/>
      <c r="Z8387"/>
      <c r="AA8387"/>
      <c r="AC8387"/>
      <c r="AR8387"/>
    </row>
    <row r="8388" spans="24:44">
      <c r="X8388"/>
      <c r="Y8388"/>
      <c r="Z8388"/>
      <c r="AA8388"/>
      <c r="AC8388"/>
      <c r="AR8388"/>
    </row>
    <row r="8389" spans="24:44">
      <c r="X8389"/>
      <c r="Y8389"/>
      <c r="Z8389"/>
      <c r="AA8389"/>
      <c r="AC8389"/>
      <c r="AR8389"/>
    </row>
    <row r="8390" spans="24:44">
      <c r="X8390"/>
      <c r="Y8390"/>
      <c r="Z8390"/>
      <c r="AA8390"/>
      <c r="AC8390"/>
      <c r="AR8390"/>
    </row>
    <row r="8391" spans="24:44">
      <c r="X8391"/>
      <c r="Y8391"/>
      <c r="Z8391"/>
      <c r="AA8391"/>
      <c r="AC8391"/>
      <c r="AR8391"/>
    </row>
    <row r="8392" spans="24:44">
      <c r="X8392"/>
      <c r="Y8392"/>
      <c r="Z8392"/>
      <c r="AA8392"/>
      <c r="AC8392"/>
      <c r="AR8392"/>
    </row>
    <row r="8393" spans="24:44">
      <c r="X8393"/>
      <c r="Y8393"/>
      <c r="Z8393"/>
      <c r="AA8393"/>
      <c r="AC8393"/>
      <c r="AR8393"/>
    </row>
    <row r="8394" spans="24:44">
      <c r="X8394"/>
      <c r="Y8394"/>
      <c r="Z8394"/>
      <c r="AA8394"/>
      <c r="AC8394"/>
      <c r="AR8394"/>
    </row>
    <row r="8395" spans="24:44">
      <c r="X8395"/>
      <c r="Y8395"/>
      <c r="Z8395"/>
      <c r="AA8395"/>
      <c r="AC8395"/>
      <c r="AR8395"/>
    </row>
    <row r="8396" spans="24:44">
      <c r="X8396"/>
      <c r="Y8396"/>
      <c r="Z8396"/>
      <c r="AA8396"/>
      <c r="AC8396"/>
      <c r="AR8396"/>
    </row>
    <row r="8397" spans="24:44">
      <c r="X8397"/>
      <c r="Y8397"/>
      <c r="Z8397"/>
      <c r="AA8397"/>
      <c r="AC8397"/>
      <c r="AR8397"/>
    </row>
    <row r="8398" spans="24:44">
      <c r="X8398"/>
      <c r="Y8398"/>
      <c r="Z8398"/>
      <c r="AA8398"/>
      <c r="AC8398"/>
      <c r="AR8398"/>
    </row>
    <row r="8399" spans="24:44">
      <c r="X8399"/>
      <c r="Y8399"/>
      <c r="Z8399"/>
      <c r="AA8399"/>
      <c r="AC8399"/>
      <c r="AR8399"/>
    </row>
    <row r="8400" spans="24:44">
      <c r="X8400"/>
      <c r="Y8400"/>
      <c r="Z8400"/>
      <c r="AA8400"/>
      <c r="AC8400"/>
      <c r="AR8400"/>
    </row>
    <row r="8401" spans="24:44">
      <c r="X8401"/>
      <c r="Y8401"/>
      <c r="Z8401"/>
      <c r="AA8401"/>
      <c r="AC8401"/>
      <c r="AR8401"/>
    </row>
    <row r="8402" spans="24:44">
      <c r="X8402"/>
      <c r="Y8402"/>
      <c r="Z8402"/>
      <c r="AA8402"/>
      <c r="AC8402"/>
      <c r="AR8402"/>
    </row>
    <row r="8403" spans="24:44">
      <c r="X8403"/>
      <c r="Y8403"/>
      <c r="Z8403"/>
      <c r="AA8403"/>
      <c r="AC8403"/>
      <c r="AR8403"/>
    </row>
    <row r="8404" spans="24:44">
      <c r="X8404"/>
      <c r="Y8404"/>
      <c r="Z8404"/>
      <c r="AA8404"/>
      <c r="AC8404"/>
      <c r="AR8404"/>
    </row>
    <row r="8405" spans="24:44">
      <c r="X8405"/>
      <c r="Y8405"/>
      <c r="Z8405"/>
      <c r="AA8405"/>
      <c r="AC8405"/>
      <c r="AR8405"/>
    </row>
    <row r="8406" spans="24:44">
      <c r="X8406"/>
      <c r="Y8406"/>
      <c r="Z8406"/>
      <c r="AA8406"/>
      <c r="AC8406"/>
      <c r="AR8406"/>
    </row>
    <row r="8407" spans="24:44">
      <c r="X8407"/>
      <c r="Y8407"/>
      <c r="Z8407"/>
      <c r="AA8407"/>
      <c r="AC8407"/>
      <c r="AR8407"/>
    </row>
    <row r="8408" spans="24:44">
      <c r="X8408"/>
      <c r="Y8408"/>
      <c r="Z8408"/>
      <c r="AA8408"/>
      <c r="AC8408"/>
      <c r="AR8408"/>
    </row>
    <row r="8409" spans="24:44">
      <c r="X8409"/>
      <c r="Y8409"/>
      <c r="Z8409"/>
      <c r="AA8409"/>
      <c r="AC8409"/>
      <c r="AR8409"/>
    </row>
    <row r="8410" spans="24:44">
      <c r="X8410"/>
      <c r="Y8410"/>
      <c r="Z8410"/>
      <c r="AA8410"/>
      <c r="AC8410"/>
      <c r="AR8410"/>
    </row>
    <row r="8411" spans="24:44">
      <c r="X8411"/>
      <c r="Y8411"/>
      <c r="Z8411"/>
      <c r="AA8411"/>
      <c r="AC8411"/>
      <c r="AR8411"/>
    </row>
    <row r="8412" spans="24:44">
      <c r="X8412"/>
      <c r="Y8412"/>
      <c r="Z8412"/>
      <c r="AA8412"/>
      <c r="AC8412"/>
      <c r="AR8412"/>
    </row>
    <row r="8413" spans="24:44">
      <c r="X8413"/>
      <c r="Y8413"/>
      <c r="Z8413"/>
      <c r="AA8413"/>
      <c r="AC8413"/>
      <c r="AR8413"/>
    </row>
    <row r="8414" spans="24:44">
      <c r="X8414"/>
      <c r="Y8414"/>
      <c r="Z8414"/>
      <c r="AA8414"/>
      <c r="AC8414"/>
      <c r="AR8414"/>
    </row>
    <row r="8415" spans="24:44">
      <c r="X8415"/>
      <c r="Y8415"/>
      <c r="Z8415"/>
      <c r="AA8415"/>
      <c r="AC8415"/>
      <c r="AR8415"/>
    </row>
    <row r="8416" spans="24:44">
      <c r="X8416"/>
      <c r="Y8416"/>
      <c r="Z8416"/>
      <c r="AA8416"/>
      <c r="AC8416"/>
      <c r="AR8416"/>
    </row>
    <row r="8417" spans="24:44">
      <c r="X8417"/>
      <c r="Y8417"/>
      <c r="Z8417"/>
      <c r="AA8417"/>
      <c r="AC8417"/>
      <c r="AR8417"/>
    </row>
    <row r="8418" spans="24:44">
      <c r="X8418"/>
      <c r="Y8418"/>
      <c r="Z8418"/>
      <c r="AA8418"/>
      <c r="AC8418"/>
      <c r="AR8418"/>
    </row>
    <row r="8419" spans="24:44">
      <c r="X8419"/>
      <c r="Y8419"/>
      <c r="Z8419"/>
      <c r="AA8419"/>
      <c r="AC8419"/>
      <c r="AR8419"/>
    </row>
    <row r="8420" spans="24:44">
      <c r="X8420"/>
      <c r="Y8420"/>
      <c r="Z8420"/>
      <c r="AA8420"/>
      <c r="AC8420"/>
      <c r="AR8420"/>
    </row>
    <row r="8421" spans="24:44">
      <c r="X8421"/>
      <c r="Y8421"/>
      <c r="Z8421"/>
      <c r="AA8421"/>
      <c r="AC8421"/>
      <c r="AR8421"/>
    </row>
    <row r="8422" spans="24:44">
      <c r="X8422"/>
      <c r="Y8422"/>
      <c r="Z8422"/>
      <c r="AA8422"/>
      <c r="AC8422"/>
      <c r="AR8422"/>
    </row>
    <row r="8423" spans="24:44">
      <c r="X8423"/>
      <c r="Y8423"/>
      <c r="Z8423"/>
      <c r="AA8423"/>
      <c r="AC8423"/>
      <c r="AR8423"/>
    </row>
    <row r="8424" spans="24:44">
      <c r="X8424"/>
      <c r="Y8424"/>
      <c r="Z8424"/>
      <c r="AA8424"/>
      <c r="AC8424"/>
      <c r="AR8424"/>
    </row>
    <row r="8425" spans="24:44">
      <c r="X8425"/>
      <c r="Y8425"/>
      <c r="Z8425"/>
      <c r="AA8425"/>
      <c r="AC8425"/>
      <c r="AR8425"/>
    </row>
    <row r="8426" spans="24:44">
      <c r="X8426"/>
      <c r="Y8426"/>
      <c r="Z8426"/>
      <c r="AA8426"/>
      <c r="AC8426"/>
      <c r="AR8426"/>
    </row>
    <row r="8427" spans="24:44">
      <c r="X8427"/>
      <c r="Y8427"/>
      <c r="Z8427"/>
      <c r="AA8427"/>
      <c r="AC8427"/>
      <c r="AR8427"/>
    </row>
    <row r="8428" spans="24:44">
      <c r="X8428"/>
      <c r="Y8428"/>
      <c r="Z8428"/>
      <c r="AA8428"/>
      <c r="AC8428"/>
      <c r="AR8428"/>
    </row>
    <row r="8429" spans="24:44">
      <c r="X8429"/>
      <c r="Y8429"/>
      <c r="Z8429"/>
      <c r="AA8429"/>
      <c r="AC8429"/>
      <c r="AR8429"/>
    </row>
    <row r="8430" spans="24:44">
      <c r="X8430"/>
      <c r="Y8430"/>
      <c r="Z8430"/>
      <c r="AA8430"/>
      <c r="AC8430"/>
      <c r="AR8430"/>
    </row>
    <row r="8431" spans="24:44">
      <c r="X8431"/>
      <c r="Y8431"/>
      <c r="Z8431"/>
      <c r="AA8431"/>
      <c r="AC8431"/>
      <c r="AR8431"/>
    </row>
    <row r="8432" spans="24:44">
      <c r="X8432"/>
      <c r="Y8432"/>
      <c r="Z8432"/>
      <c r="AA8432"/>
      <c r="AC8432"/>
      <c r="AR8432"/>
    </row>
    <row r="8433" spans="24:44">
      <c r="X8433"/>
      <c r="Y8433"/>
      <c r="Z8433"/>
      <c r="AA8433"/>
      <c r="AC8433"/>
      <c r="AR8433"/>
    </row>
    <row r="8434" spans="24:44">
      <c r="X8434"/>
      <c r="Y8434"/>
      <c r="Z8434"/>
      <c r="AA8434"/>
      <c r="AC8434"/>
      <c r="AR8434"/>
    </row>
    <row r="8435" spans="24:44">
      <c r="X8435"/>
      <c r="Y8435"/>
      <c r="Z8435"/>
      <c r="AA8435"/>
      <c r="AC8435"/>
      <c r="AR8435"/>
    </row>
    <row r="8436" spans="24:44">
      <c r="X8436"/>
      <c r="Y8436"/>
      <c r="Z8436"/>
      <c r="AA8436"/>
      <c r="AC8436"/>
      <c r="AR8436"/>
    </row>
    <row r="8437" spans="24:44">
      <c r="X8437"/>
      <c r="Y8437"/>
      <c r="Z8437"/>
      <c r="AA8437"/>
      <c r="AC8437"/>
      <c r="AR8437"/>
    </row>
    <row r="8438" spans="24:44">
      <c r="X8438"/>
      <c r="Y8438"/>
      <c r="Z8438"/>
      <c r="AA8438"/>
      <c r="AC8438"/>
      <c r="AR8438"/>
    </row>
    <row r="8439" spans="24:44">
      <c r="X8439"/>
      <c r="Y8439"/>
      <c r="Z8439"/>
      <c r="AA8439"/>
      <c r="AC8439"/>
      <c r="AR8439"/>
    </row>
    <row r="8440" spans="24:44">
      <c r="X8440"/>
      <c r="Y8440"/>
      <c r="Z8440"/>
      <c r="AA8440"/>
      <c r="AC8440"/>
      <c r="AR8440"/>
    </row>
    <row r="8441" spans="24:44">
      <c r="X8441"/>
      <c r="Y8441"/>
      <c r="Z8441"/>
      <c r="AA8441"/>
      <c r="AC8441"/>
      <c r="AR8441"/>
    </row>
    <row r="8442" spans="24:44">
      <c r="X8442"/>
      <c r="Y8442"/>
      <c r="Z8442"/>
      <c r="AA8442"/>
      <c r="AC8442"/>
      <c r="AR8442"/>
    </row>
    <row r="8443" spans="24:44">
      <c r="X8443"/>
      <c r="Y8443"/>
      <c r="Z8443"/>
      <c r="AA8443"/>
      <c r="AC8443"/>
      <c r="AR8443"/>
    </row>
    <row r="8444" spans="24:44">
      <c r="X8444"/>
      <c r="Y8444"/>
      <c r="Z8444"/>
      <c r="AA8444"/>
      <c r="AC8444"/>
      <c r="AR8444"/>
    </row>
    <row r="8445" spans="24:44">
      <c r="X8445"/>
      <c r="Y8445"/>
      <c r="Z8445"/>
      <c r="AA8445"/>
      <c r="AC8445"/>
      <c r="AR8445"/>
    </row>
    <row r="8446" spans="24:44">
      <c r="X8446"/>
      <c r="Y8446"/>
      <c r="Z8446"/>
      <c r="AA8446"/>
      <c r="AC8446"/>
      <c r="AR8446"/>
    </row>
    <row r="8447" spans="24:44">
      <c r="X8447"/>
      <c r="Y8447"/>
      <c r="Z8447"/>
      <c r="AA8447"/>
      <c r="AC8447"/>
      <c r="AR8447"/>
    </row>
    <row r="8448" spans="24:44">
      <c r="X8448"/>
      <c r="Y8448"/>
      <c r="Z8448"/>
      <c r="AA8448"/>
      <c r="AC8448"/>
      <c r="AR8448"/>
    </row>
    <row r="8449" spans="24:44">
      <c r="X8449"/>
      <c r="Y8449"/>
      <c r="Z8449"/>
      <c r="AA8449"/>
      <c r="AC8449"/>
      <c r="AR8449"/>
    </row>
    <row r="8450" spans="24:44">
      <c r="X8450"/>
      <c r="Y8450"/>
      <c r="Z8450"/>
      <c r="AA8450"/>
      <c r="AC8450"/>
      <c r="AR8450"/>
    </row>
    <row r="8451" spans="24:44">
      <c r="X8451"/>
      <c r="Y8451"/>
      <c r="Z8451"/>
      <c r="AA8451"/>
      <c r="AC8451"/>
      <c r="AR8451"/>
    </row>
    <row r="8452" spans="24:44">
      <c r="X8452"/>
      <c r="Y8452"/>
      <c r="Z8452"/>
      <c r="AA8452"/>
      <c r="AC8452"/>
      <c r="AR8452"/>
    </row>
    <row r="8453" spans="24:44">
      <c r="X8453"/>
      <c r="Y8453"/>
      <c r="Z8453"/>
      <c r="AA8453"/>
      <c r="AC8453"/>
      <c r="AR8453"/>
    </row>
    <row r="8454" spans="24:44">
      <c r="X8454"/>
      <c r="Y8454"/>
      <c r="Z8454"/>
      <c r="AA8454"/>
      <c r="AC8454"/>
      <c r="AR8454"/>
    </row>
    <row r="8455" spans="24:44">
      <c r="X8455"/>
      <c r="Y8455"/>
      <c r="Z8455"/>
      <c r="AA8455"/>
      <c r="AC8455"/>
      <c r="AR8455"/>
    </row>
    <row r="8456" spans="24:44">
      <c r="X8456"/>
      <c r="Y8456"/>
      <c r="Z8456"/>
      <c r="AA8456"/>
      <c r="AC8456"/>
      <c r="AR8456"/>
    </row>
    <row r="8457" spans="24:44">
      <c r="X8457"/>
      <c r="Y8457"/>
      <c r="Z8457"/>
      <c r="AA8457"/>
      <c r="AC8457"/>
      <c r="AR8457"/>
    </row>
    <row r="8458" spans="24:44">
      <c r="X8458"/>
      <c r="Y8458"/>
      <c r="Z8458"/>
      <c r="AA8458"/>
      <c r="AC8458"/>
      <c r="AR8458"/>
    </row>
    <row r="8459" spans="24:44">
      <c r="X8459"/>
      <c r="Y8459"/>
      <c r="Z8459"/>
      <c r="AA8459"/>
      <c r="AC8459"/>
      <c r="AR8459"/>
    </row>
    <row r="8460" spans="24:44">
      <c r="X8460"/>
      <c r="Y8460"/>
      <c r="Z8460"/>
      <c r="AA8460"/>
      <c r="AC8460"/>
      <c r="AR8460"/>
    </row>
    <row r="8461" spans="24:44">
      <c r="X8461"/>
      <c r="Y8461"/>
      <c r="Z8461"/>
      <c r="AA8461"/>
      <c r="AC8461"/>
      <c r="AR8461"/>
    </row>
    <row r="8462" spans="24:44">
      <c r="X8462"/>
      <c r="Y8462"/>
      <c r="Z8462"/>
      <c r="AA8462"/>
      <c r="AC8462"/>
      <c r="AR8462"/>
    </row>
    <row r="8463" spans="24:44">
      <c r="X8463"/>
      <c r="Y8463"/>
      <c r="Z8463"/>
      <c r="AA8463"/>
      <c r="AC8463"/>
      <c r="AR8463"/>
    </row>
    <row r="8464" spans="24:44">
      <c r="X8464"/>
      <c r="Y8464"/>
      <c r="Z8464"/>
      <c r="AA8464"/>
      <c r="AC8464"/>
      <c r="AR8464"/>
    </row>
    <row r="8465" spans="24:44">
      <c r="X8465"/>
      <c r="Y8465"/>
      <c r="Z8465"/>
      <c r="AA8465"/>
      <c r="AC8465"/>
      <c r="AR8465"/>
    </row>
    <row r="8466" spans="24:44">
      <c r="X8466"/>
      <c r="Y8466"/>
      <c r="Z8466"/>
      <c r="AA8466"/>
      <c r="AC8466"/>
      <c r="AR8466"/>
    </row>
    <row r="8467" spans="24:44">
      <c r="X8467"/>
      <c r="Y8467"/>
      <c r="Z8467"/>
      <c r="AA8467"/>
      <c r="AC8467"/>
      <c r="AR8467"/>
    </row>
    <row r="8468" spans="24:44">
      <c r="X8468"/>
      <c r="Y8468"/>
      <c r="Z8468"/>
      <c r="AA8468"/>
      <c r="AC8468"/>
      <c r="AR8468"/>
    </row>
    <row r="8469" spans="24:44">
      <c r="X8469"/>
      <c r="Y8469"/>
      <c r="Z8469"/>
      <c r="AA8469"/>
      <c r="AC8469"/>
      <c r="AR8469"/>
    </row>
    <row r="8470" spans="24:44">
      <c r="X8470"/>
      <c r="Y8470"/>
      <c r="Z8470"/>
      <c r="AA8470"/>
      <c r="AC8470"/>
      <c r="AR8470"/>
    </row>
    <row r="8471" spans="24:44">
      <c r="X8471"/>
      <c r="Y8471"/>
      <c r="Z8471"/>
      <c r="AA8471"/>
      <c r="AC8471"/>
      <c r="AR8471"/>
    </row>
    <row r="8472" spans="24:44">
      <c r="X8472"/>
      <c r="Y8472"/>
      <c r="Z8472"/>
      <c r="AA8472"/>
      <c r="AC8472"/>
      <c r="AR8472"/>
    </row>
    <row r="8473" spans="24:44">
      <c r="X8473"/>
      <c r="Y8473"/>
      <c r="Z8473"/>
      <c r="AA8473"/>
      <c r="AC8473"/>
      <c r="AR8473"/>
    </row>
    <row r="8474" spans="24:44">
      <c r="X8474"/>
      <c r="Y8474"/>
      <c r="Z8474"/>
      <c r="AA8474"/>
      <c r="AC8474"/>
      <c r="AR8474"/>
    </row>
    <row r="8475" spans="24:44">
      <c r="X8475"/>
      <c r="Y8475"/>
      <c r="Z8475"/>
      <c r="AA8475"/>
      <c r="AC8475"/>
      <c r="AR8475"/>
    </row>
    <row r="8476" spans="24:44">
      <c r="X8476"/>
      <c r="Y8476"/>
      <c r="Z8476"/>
      <c r="AA8476"/>
      <c r="AC8476"/>
      <c r="AR8476"/>
    </row>
    <row r="8477" spans="24:44">
      <c r="X8477"/>
      <c r="Y8477"/>
      <c r="Z8477"/>
      <c r="AA8477"/>
      <c r="AC8477"/>
      <c r="AR8477"/>
    </row>
    <row r="8478" spans="24:44">
      <c r="X8478"/>
      <c r="Y8478"/>
      <c r="Z8478"/>
      <c r="AA8478"/>
      <c r="AC8478"/>
      <c r="AR8478"/>
    </row>
    <row r="8479" spans="24:44">
      <c r="X8479"/>
      <c r="Y8479"/>
      <c r="Z8479"/>
      <c r="AA8479"/>
      <c r="AC8479"/>
      <c r="AR8479"/>
    </row>
    <row r="8480" spans="24:44">
      <c r="X8480"/>
      <c r="Y8480"/>
      <c r="Z8480"/>
      <c r="AA8480"/>
      <c r="AC8480"/>
      <c r="AR8480"/>
    </row>
    <row r="8481" spans="24:44">
      <c r="X8481"/>
      <c r="Y8481"/>
      <c r="Z8481"/>
      <c r="AA8481"/>
      <c r="AC8481"/>
      <c r="AR8481"/>
    </row>
    <row r="8482" spans="24:44">
      <c r="X8482"/>
      <c r="Y8482"/>
      <c r="Z8482"/>
      <c r="AA8482"/>
      <c r="AC8482"/>
      <c r="AR8482"/>
    </row>
    <row r="8483" spans="24:44">
      <c r="X8483"/>
      <c r="Y8483"/>
      <c r="Z8483"/>
      <c r="AA8483"/>
      <c r="AC8483"/>
      <c r="AR8483"/>
    </row>
    <row r="8484" spans="24:44">
      <c r="X8484"/>
      <c r="Y8484"/>
      <c r="Z8484"/>
      <c r="AA8484"/>
      <c r="AC8484"/>
      <c r="AR8484"/>
    </row>
    <row r="8485" spans="24:44">
      <c r="X8485"/>
      <c r="Y8485"/>
      <c r="Z8485"/>
      <c r="AA8485"/>
      <c r="AC8485"/>
      <c r="AR8485"/>
    </row>
    <row r="8486" spans="24:44">
      <c r="X8486"/>
      <c r="Y8486"/>
      <c r="Z8486"/>
      <c r="AA8486"/>
      <c r="AC8486"/>
      <c r="AR8486"/>
    </row>
    <row r="8487" spans="24:44">
      <c r="X8487"/>
      <c r="Y8487"/>
      <c r="Z8487"/>
      <c r="AA8487"/>
      <c r="AC8487"/>
      <c r="AR8487"/>
    </row>
    <row r="8488" spans="24:44">
      <c r="X8488"/>
      <c r="Y8488"/>
      <c r="Z8488"/>
      <c r="AA8488"/>
      <c r="AC8488"/>
      <c r="AR8488"/>
    </row>
    <row r="8489" spans="24:44">
      <c r="X8489"/>
      <c r="Y8489"/>
      <c r="Z8489"/>
      <c r="AA8489"/>
      <c r="AC8489"/>
      <c r="AR8489"/>
    </row>
    <row r="8490" spans="24:44">
      <c r="X8490"/>
      <c r="Y8490"/>
      <c r="Z8490"/>
      <c r="AA8490"/>
      <c r="AC8490"/>
      <c r="AR8490"/>
    </row>
    <row r="8491" spans="24:44">
      <c r="X8491"/>
      <c r="Y8491"/>
      <c r="Z8491"/>
      <c r="AA8491"/>
      <c r="AC8491"/>
      <c r="AR8491"/>
    </row>
    <row r="8492" spans="24:44">
      <c r="X8492"/>
      <c r="Y8492"/>
      <c r="Z8492"/>
      <c r="AA8492"/>
      <c r="AC8492"/>
      <c r="AR8492"/>
    </row>
    <row r="8493" spans="24:44">
      <c r="X8493"/>
      <c r="Y8493"/>
      <c r="Z8493"/>
      <c r="AA8493"/>
      <c r="AC8493"/>
      <c r="AR8493"/>
    </row>
    <row r="8494" spans="24:44">
      <c r="X8494"/>
      <c r="Y8494"/>
      <c r="Z8494"/>
      <c r="AA8494"/>
      <c r="AC8494"/>
      <c r="AR8494"/>
    </row>
    <row r="8495" spans="24:44">
      <c r="X8495"/>
      <c r="Y8495"/>
      <c r="Z8495"/>
      <c r="AA8495"/>
      <c r="AC8495"/>
      <c r="AR8495"/>
    </row>
    <row r="8496" spans="24:44">
      <c r="X8496"/>
      <c r="Y8496"/>
      <c r="Z8496"/>
      <c r="AA8496"/>
      <c r="AC8496"/>
      <c r="AR8496"/>
    </row>
    <row r="8497" spans="24:44">
      <c r="X8497"/>
      <c r="Y8497"/>
      <c r="Z8497"/>
      <c r="AA8497"/>
      <c r="AC8497"/>
      <c r="AR8497"/>
    </row>
    <row r="8498" spans="24:44">
      <c r="X8498"/>
      <c r="Y8498"/>
      <c r="Z8498"/>
      <c r="AA8498"/>
      <c r="AC8498"/>
      <c r="AR8498"/>
    </row>
    <row r="8499" spans="24:44">
      <c r="X8499"/>
      <c r="Y8499"/>
      <c r="Z8499"/>
      <c r="AA8499"/>
      <c r="AC8499"/>
      <c r="AR8499"/>
    </row>
    <row r="8500" spans="24:44">
      <c r="X8500"/>
      <c r="Y8500"/>
      <c r="Z8500"/>
      <c r="AA8500"/>
      <c r="AC8500"/>
      <c r="AR8500"/>
    </row>
    <row r="8501" spans="24:44">
      <c r="X8501"/>
      <c r="Y8501"/>
      <c r="Z8501"/>
      <c r="AA8501"/>
      <c r="AC8501"/>
      <c r="AR8501"/>
    </row>
    <row r="8502" spans="24:44">
      <c r="X8502"/>
      <c r="Y8502"/>
      <c r="Z8502"/>
      <c r="AA8502"/>
      <c r="AC8502"/>
      <c r="AR8502"/>
    </row>
    <row r="8503" spans="24:44">
      <c r="X8503"/>
      <c r="Y8503"/>
      <c r="Z8503"/>
      <c r="AA8503"/>
      <c r="AC8503"/>
      <c r="AR8503"/>
    </row>
    <row r="8504" spans="24:44">
      <c r="X8504"/>
      <c r="Y8504"/>
      <c r="Z8504"/>
      <c r="AA8504"/>
      <c r="AC8504"/>
      <c r="AR8504"/>
    </row>
    <row r="8505" spans="24:44">
      <c r="X8505"/>
      <c r="Y8505"/>
      <c r="Z8505"/>
      <c r="AA8505"/>
      <c r="AC8505"/>
      <c r="AR8505"/>
    </row>
    <row r="8506" spans="24:44">
      <c r="X8506"/>
      <c r="Y8506"/>
      <c r="Z8506"/>
      <c r="AA8506"/>
      <c r="AC8506"/>
      <c r="AR8506"/>
    </row>
    <row r="8507" spans="24:44">
      <c r="X8507"/>
      <c r="Y8507"/>
      <c r="Z8507"/>
      <c r="AA8507"/>
      <c r="AC8507"/>
      <c r="AR8507"/>
    </row>
    <row r="8508" spans="24:44">
      <c r="X8508"/>
      <c r="Y8508"/>
      <c r="Z8508"/>
      <c r="AA8508"/>
      <c r="AC8508"/>
      <c r="AR8508"/>
    </row>
    <row r="8509" spans="24:44">
      <c r="X8509"/>
      <c r="Y8509"/>
      <c r="Z8509"/>
      <c r="AA8509"/>
      <c r="AC8509"/>
      <c r="AR8509"/>
    </row>
    <row r="8510" spans="24:44">
      <c r="X8510"/>
      <c r="Y8510"/>
      <c r="Z8510"/>
      <c r="AA8510"/>
      <c r="AC8510"/>
      <c r="AR8510"/>
    </row>
    <row r="8511" spans="24:44">
      <c r="X8511"/>
      <c r="Y8511"/>
      <c r="Z8511"/>
      <c r="AA8511"/>
      <c r="AC8511"/>
      <c r="AR8511"/>
    </row>
    <row r="8512" spans="24:44">
      <c r="X8512"/>
      <c r="Y8512"/>
      <c r="Z8512"/>
      <c r="AA8512"/>
      <c r="AC8512"/>
      <c r="AR8512"/>
    </row>
    <row r="8513" spans="24:44">
      <c r="X8513"/>
      <c r="Y8513"/>
      <c r="Z8513"/>
      <c r="AA8513"/>
      <c r="AC8513"/>
      <c r="AR8513"/>
    </row>
    <row r="8514" spans="24:44">
      <c r="X8514"/>
      <c r="Y8514"/>
      <c r="Z8514"/>
      <c r="AA8514"/>
      <c r="AC8514"/>
      <c r="AR8514"/>
    </row>
    <row r="8515" spans="24:44">
      <c r="X8515"/>
      <c r="Y8515"/>
      <c r="Z8515"/>
      <c r="AA8515"/>
      <c r="AC8515"/>
      <c r="AR8515"/>
    </row>
    <row r="8516" spans="24:44">
      <c r="X8516"/>
      <c r="Y8516"/>
      <c r="Z8516"/>
      <c r="AA8516"/>
      <c r="AC8516"/>
      <c r="AR8516"/>
    </row>
    <row r="8517" spans="24:44">
      <c r="X8517"/>
      <c r="Y8517"/>
      <c r="Z8517"/>
      <c r="AA8517"/>
      <c r="AC8517"/>
      <c r="AR8517"/>
    </row>
    <row r="8518" spans="24:44">
      <c r="X8518"/>
      <c r="Y8518"/>
      <c r="Z8518"/>
      <c r="AA8518"/>
      <c r="AC8518"/>
      <c r="AR8518"/>
    </row>
    <row r="8519" spans="24:44">
      <c r="X8519"/>
      <c r="Y8519"/>
      <c r="Z8519"/>
      <c r="AA8519"/>
      <c r="AC8519"/>
      <c r="AR8519"/>
    </row>
    <row r="8520" spans="24:44">
      <c r="X8520"/>
      <c r="Y8520"/>
      <c r="Z8520"/>
      <c r="AA8520"/>
      <c r="AC8520"/>
      <c r="AR8520"/>
    </row>
    <row r="8521" spans="24:44">
      <c r="X8521"/>
      <c r="Y8521"/>
      <c r="Z8521"/>
      <c r="AA8521"/>
      <c r="AC8521"/>
      <c r="AR8521"/>
    </row>
    <row r="8522" spans="24:44">
      <c r="X8522"/>
      <c r="Y8522"/>
      <c r="Z8522"/>
      <c r="AA8522"/>
      <c r="AC8522"/>
      <c r="AR8522"/>
    </row>
    <row r="8523" spans="24:44">
      <c r="X8523"/>
      <c r="Y8523"/>
      <c r="Z8523"/>
      <c r="AA8523"/>
      <c r="AC8523"/>
      <c r="AR8523"/>
    </row>
    <row r="8524" spans="24:44">
      <c r="X8524"/>
      <c r="Y8524"/>
      <c r="Z8524"/>
      <c r="AA8524"/>
      <c r="AC8524"/>
      <c r="AR8524"/>
    </row>
    <row r="8525" spans="24:44">
      <c r="X8525"/>
      <c r="Y8525"/>
      <c r="Z8525"/>
      <c r="AA8525"/>
      <c r="AC8525"/>
      <c r="AR8525"/>
    </row>
    <row r="8526" spans="24:44">
      <c r="X8526"/>
      <c r="Y8526"/>
      <c r="Z8526"/>
      <c r="AA8526"/>
      <c r="AC8526"/>
      <c r="AR8526"/>
    </row>
    <row r="8527" spans="24:44">
      <c r="X8527"/>
      <c r="Y8527"/>
      <c r="Z8527"/>
      <c r="AA8527"/>
      <c r="AC8527"/>
      <c r="AR8527"/>
    </row>
    <row r="8528" spans="24:44">
      <c r="X8528"/>
      <c r="Y8528"/>
      <c r="Z8528"/>
      <c r="AA8528"/>
      <c r="AC8528"/>
      <c r="AR8528"/>
    </row>
    <row r="8529" spans="24:44">
      <c r="X8529"/>
      <c r="Y8529"/>
      <c r="Z8529"/>
      <c r="AA8529"/>
      <c r="AC8529"/>
      <c r="AR8529"/>
    </row>
    <row r="8530" spans="24:44">
      <c r="X8530"/>
      <c r="Y8530"/>
      <c r="Z8530"/>
      <c r="AA8530"/>
      <c r="AC8530"/>
      <c r="AR8530"/>
    </row>
    <row r="8531" spans="24:44">
      <c r="X8531"/>
      <c r="Y8531"/>
      <c r="Z8531"/>
      <c r="AA8531"/>
      <c r="AC8531"/>
      <c r="AR8531"/>
    </row>
    <row r="8532" spans="24:44">
      <c r="X8532"/>
      <c r="Y8532"/>
      <c r="Z8532"/>
      <c r="AA8532"/>
      <c r="AC8532"/>
      <c r="AR8532"/>
    </row>
    <row r="8533" spans="24:44">
      <c r="X8533"/>
      <c r="Y8533"/>
      <c r="Z8533"/>
      <c r="AA8533"/>
      <c r="AC8533"/>
      <c r="AR8533"/>
    </row>
    <row r="8534" spans="24:44">
      <c r="X8534"/>
      <c r="Y8534"/>
      <c r="Z8534"/>
      <c r="AA8534"/>
      <c r="AC8534"/>
      <c r="AR8534"/>
    </row>
    <row r="8535" spans="24:44">
      <c r="X8535"/>
      <c r="Y8535"/>
      <c r="Z8535"/>
      <c r="AA8535"/>
      <c r="AC8535"/>
      <c r="AR8535"/>
    </row>
    <row r="8536" spans="24:44">
      <c r="X8536"/>
      <c r="Y8536"/>
      <c r="Z8536"/>
      <c r="AA8536"/>
      <c r="AC8536"/>
      <c r="AR8536"/>
    </row>
    <row r="8537" spans="24:44">
      <c r="X8537"/>
      <c r="Y8537"/>
      <c r="Z8537"/>
      <c r="AA8537"/>
      <c r="AC8537"/>
      <c r="AR8537"/>
    </row>
    <row r="8538" spans="24:44">
      <c r="X8538"/>
      <c r="Y8538"/>
      <c r="Z8538"/>
      <c r="AA8538"/>
      <c r="AC8538"/>
      <c r="AR8538"/>
    </row>
    <row r="8539" spans="24:44">
      <c r="X8539"/>
      <c r="Y8539"/>
      <c r="Z8539"/>
      <c r="AA8539"/>
      <c r="AC8539"/>
      <c r="AR8539"/>
    </row>
    <row r="8540" spans="24:44">
      <c r="X8540"/>
      <c r="Y8540"/>
      <c r="Z8540"/>
      <c r="AA8540"/>
      <c r="AC8540"/>
      <c r="AR8540"/>
    </row>
    <row r="8541" spans="24:44">
      <c r="X8541"/>
      <c r="Y8541"/>
      <c r="Z8541"/>
      <c r="AA8541"/>
      <c r="AC8541"/>
      <c r="AR8541"/>
    </row>
    <row r="8542" spans="24:44">
      <c r="X8542"/>
      <c r="Y8542"/>
      <c r="Z8542"/>
      <c r="AA8542"/>
      <c r="AC8542"/>
      <c r="AR8542"/>
    </row>
    <row r="8543" spans="24:44">
      <c r="X8543"/>
      <c r="Y8543"/>
      <c r="Z8543"/>
      <c r="AA8543"/>
      <c r="AC8543"/>
      <c r="AR8543"/>
    </row>
    <row r="8544" spans="24:44">
      <c r="X8544"/>
      <c r="Y8544"/>
      <c r="Z8544"/>
      <c r="AA8544"/>
      <c r="AC8544"/>
      <c r="AR8544"/>
    </row>
    <row r="8545" spans="24:44">
      <c r="X8545"/>
      <c r="Y8545"/>
      <c r="Z8545"/>
      <c r="AA8545"/>
      <c r="AC8545"/>
      <c r="AR8545"/>
    </row>
    <row r="8546" spans="24:44">
      <c r="X8546"/>
      <c r="Y8546"/>
      <c r="Z8546"/>
      <c r="AA8546"/>
      <c r="AC8546"/>
      <c r="AR8546"/>
    </row>
    <row r="8547" spans="24:44">
      <c r="X8547"/>
      <c r="Y8547"/>
      <c r="Z8547"/>
      <c r="AA8547"/>
      <c r="AC8547"/>
      <c r="AR8547"/>
    </row>
    <row r="8548" spans="24:44">
      <c r="X8548"/>
      <c r="Y8548"/>
      <c r="Z8548"/>
      <c r="AA8548"/>
      <c r="AC8548"/>
      <c r="AR8548"/>
    </row>
    <row r="8549" spans="24:44">
      <c r="X8549"/>
      <c r="Y8549"/>
      <c r="Z8549"/>
      <c r="AA8549"/>
      <c r="AC8549"/>
      <c r="AR8549"/>
    </row>
    <row r="8550" spans="24:44">
      <c r="X8550"/>
      <c r="Y8550"/>
      <c r="Z8550"/>
      <c r="AA8550"/>
      <c r="AC8550"/>
      <c r="AR8550"/>
    </row>
    <row r="8551" spans="24:44">
      <c r="X8551"/>
      <c r="Y8551"/>
      <c r="Z8551"/>
      <c r="AA8551"/>
      <c r="AC8551"/>
      <c r="AR8551"/>
    </row>
    <row r="8552" spans="24:44">
      <c r="X8552"/>
      <c r="Y8552"/>
      <c r="Z8552"/>
      <c r="AA8552"/>
      <c r="AC8552"/>
      <c r="AR8552"/>
    </row>
    <row r="8553" spans="24:44">
      <c r="X8553"/>
      <c r="Y8553"/>
      <c r="Z8553"/>
      <c r="AA8553"/>
      <c r="AC8553"/>
      <c r="AR8553"/>
    </row>
    <row r="8554" spans="24:44">
      <c r="X8554"/>
      <c r="Y8554"/>
      <c r="Z8554"/>
      <c r="AA8554"/>
      <c r="AC8554"/>
      <c r="AR8554"/>
    </row>
    <row r="8555" spans="24:44">
      <c r="X8555"/>
      <c r="Y8555"/>
      <c r="Z8555"/>
      <c r="AA8555"/>
      <c r="AC8555"/>
      <c r="AR8555"/>
    </row>
    <row r="8556" spans="24:44">
      <c r="X8556"/>
      <c r="Y8556"/>
      <c r="Z8556"/>
      <c r="AA8556"/>
      <c r="AC8556"/>
      <c r="AR8556"/>
    </row>
    <row r="8557" spans="24:44">
      <c r="X8557"/>
      <c r="Y8557"/>
      <c r="Z8557"/>
      <c r="AA8557"/>
      <c r="AC8557"/>
      <c r="AR8557"/>
    </row>
    <row r="8558" spans="24:44">
      <c r="X8558"/>
      <c r="Y8558"/>
      <c r="Z8558"/>
      <c r="AA8558"/>
      <c r="AC8558"/>
      <c r="AR8558"/>
    </row>
    <row r="8559" spans="24:44">
      <c r="X8559"/>
      <c r="Y8559"/>
      <c r="Z8559"/>
      <c r="AA8559"/>
      <c r="AC8559"/>
      <c r="AR8559"/>
    </row>
    <row r="8560" spans="24:44">
      <c r="X8560"/>
      <c r="Y8560"/>
      <c r="Z8560"/>
      <c r="AA8560"/>
      <c r="AC8560"/>
      <c r="AR8560"/>
    </row>
    <row r="8561" spans="24:44">
      <c r="X8561"/>
      <c r="Y8561"/>
      <c r="Z8561"/>
      <c r="AA8561"/>
      <c r="AC8561"/>
      <c r="AR8561"/>
    </row>
    <row r="8562" spans="24:44">
      <c r="X8562"/>
      <c r="Y8562"/>
      <c r="Z8562"/>
      <c r="AA8562"/>
      <c r="AC8562"/>
      <c r="AR8562"/>
    </row>
    <row r="8563" spans="24:44">
      <c r="X8563"/>
      <c r="Y8563"/>
      <c r="Z8563"/>
      <c r="AA8563"/>
      <c r="AC8563"/>
      <c r="AR8563"/>
    </row>
    <row r="8564" spans="24:44">
      <c r="X8564"/>
      <c r="Y8564"/>
      <c r="Z8564"/>
      <c r="AA8564"/>
      <c r="AC8564"/>
      <c r="AR8564"/>
    </row>
    <row r="8565" spans="24:44">
      <c r="X8565"/>
      <c r="Y8565"/>
      <c r="Z8565"/>
      <c r="AA8565"/>
      <c r="AC8565"/>
      <c r="AR8565"/>
    </row>
    <row r="8566" spans="24:44">
      <c r="X8566"/>
      <c r="Y8566"/>
      <c r="Z8566"/>
      <c r="AA8566"/>
      <c r="AC8566"/>
      <c r="AR8566"/>
    </row>
    <row r="8567" spans="24:44">
      <c r="X8567"/>
      <c r="Y8567"/>
      <c r="Z8567"/>
      <c r="AA8567"/>
      <c r="AC8567"/>
      <c r="AR8567"/>
    </row>
    <row r="8568" spans="24:44">
      <c r="X8568"/>
      <c r="Y8568"/>
      <c r="Z8568"/>
      <c r="AA8568"/>
      <c r="AC8568"/>
      <c r="AR8568"/>
    </row>
    <row r="8569" spans="24:44">
      <c r="X8569"/>
      <c r="Y8569"/>
      <c r="Z8569"/>
      <c r="AA8569"/>
      <c r="AC8569"/>
      <c r="AR8569"/>
    </row>
    <row r="8570" spans="24:44">
      <c r="X8570"/>
      <c r="Y8570"/>
      <c r="Z8570"/>
      <c r="AA8570"/>
      <c r="AC8570"/>
      <c r="AR8570"/>
    </row>
    <row r="8571" spans="24:44">
      <c r="X8571"/>
      <c r="Y8571"/>
      <c r="Z8571"/>
      <c r="AA8571"/>
      <c r="AC8571"/>
      <c r="AR8571"/>
    </row>
    <row r="8572" spans="24:44">
      <c r="X8572"/>
      <c r="Y8572"/>
      <c r="Z8572"/>
      <c r="AA8572"/>
      <c r="AC8572"/>
      <c r="AR8572"/>
    </row>
    <row r="8573" spans="24:44">
      <c r="X8573"/>
      <c r="Y8573"/>
      <c r="Z8573"/>
      <c r="AA8573"/>
      <c r="AC8573"/>
      <c r="AR8573"/>
    </row>
    <row r="8574" spans="24:44">
      <c r="X8574"/>
      <c r="Y8574"/>
      <c r="Z8574"/>
      <c r="AA8574"/>
      <c r="AC8574"/>
      <c r="AR8574"/>
    </row>
    <row r="8575" spans="24:44">
      <c r="X8575"/>
      <c r="Y8575"/>
      <c r="Z8575"/>
      <c r="AA8575"/>
      <c r="AC8575"/>
      <c r="AR8575"/>
    </row>
    <row r="8576" spans="24:44">
      <c r="X8576"/>
      <c r="Y8576"/>
      <c r="Z8576"/>
      <c r="AA8576"/>
      <c r="AC8576"/>
      <c r="AR8576"/>
    </row>
    <row r="8577" spans="24:44">
      <c r="X8577"/>
      <c r="Y8577"/>
      <c r="Z8577"/>
      <c r="AA8577"/>
      <c r="AC8577"/>
      <c r="AR8577"/>
    </row>
    <row r="8578" spans="24:44">
      <c r="X8578"/>
      <c r="Y8578"/>
      <c r="Z8578"/>
      <c r="AA8578"/>
      <c r="AC8578"/>
      <c r="AR8578"/>
    </row>
    <row r="8579" spans="24:44">
      <c r="X8579"/>
      <c r="Y8579"/>
      <c r="Z8579"/>
      <c r="AA8579"/>
      <c r="AC8579"/>
      <c r="AR8579"/>
    </row>
    <row r="8580" spans="24:44">
      <c r="X8580"/>
      <c r="Y8580"/>
      <c r="Z8580"/>
      <c r="AA8580"/>
      <c r="AC8580"/>
      <c r="AR8580"/>
    </row>
    <row r="8581" spans="24:44">
      <c r="X8581"/>
      <c r="Y8581"/>
      <c r="Z8581"/>
      <c r="AA8581"/>
      <c r="AC8581"/>
      <c r="AR8581"/>
    </row>
    <row r="8582" spans="24:44">
      <c r="X8582"/>
      <c r="Y8582"/>
      <c r="Z8582"/>
      <c r="AA8582"/>
      <c r="AC8582"/>
      <c r="AR8582"/>
    </row>
    <row r="8583" spans="24:44">
      <c r="X8583"/>
      <c r="Y8583"/>
      <c r="Z8583"/>
      <c r="AA8583"/>
      <c r="AC8583"/>
      <c r="AR8583"/>
    </row>
    <row r="8584" spans="24:44">
      <c r="X8584"/>
      <c r="Y8584"/>
      <c r="Z8584"/>
      <c r="AA8584"/>
      <c r="AC8584"/>
      <c r="AR8584"/>
    </row>
    <row r="8585" spans="24:44">
      <c r="X8585"/>
      <c r="Y8585"/>
      <c r="Z8585"/>
      <c r="AA8585"/>
      <c r="AC8585"/>
      <c r="AR8585"/>
    </row>
    <row r="8586" spans="24:44">
      <c r="X8586"/>
      <c r="Y8586"/>
      <c r="Z8586"/>
      <c r="AA8586"/>
      <c r="AC8586"/>
      <c r="AR8586"/>
    </row>
    <row r="8587" spans="24:44">
      <c r="X8587"/>
      <c r="Y8587"/>
      <c r="Z8587"/>
      <c r="AA8587"/>
      <c r="AC8587"/>
      <c r="AR8587"/>
    </row>
    <row r="8588" spans="24:44">
      <c r="X8588"/>
      <c r="Y8588"/>
      <c r="Z8588"/>
      <c r="AA8588"/>
      <c r="AC8588"/>
      <c r="AR8588"/>
    </row>
    <row r="8589" spans="24:44">
      <c r="X8589"/>
      <c r="Y8589"/>
      <c r="Z8589"/>
      <c r="AA8589"/>
      <c r="AC8589"/>
      <c r="AR8589"/>
    </row>
    <row r="8590" spans="24:44">
      <c r="X8590"/>
      <c r="Y8590"/>
      <c r="Z8590"/>
      <c r="AA8590"/>
      <c r="AC8590"/>
      <c r="AR8590"/>
    </row>
    <row r="8591" spans="24:44">
      <c r="X8591"/>
      <c r="Y8591"/>
      <c r="Z8591"/>
      <c r="AA8591"/>
      <c r="AC8591"/>
      <c r="AR8591"/>
    </row>
    <row r="8592" spans="24:44">
      <c r="X8592"/>
      <c r="Y8592"/>
      <c r="Z8592"/>
      <c r="AA8592"/>
      <c r="AC8592"/>
      <c r="AR8592"/>
    </row>
    <row r="8593" spans="24:44">
      <c r="X8593"/>
      <c r="Y8593"/>
      <c r="Z8593"/>
      <c r="AA8593"/>
      <c r="AC8593"/>
      <c r="AR8593"/>
    </row>
    <row r="8594" spans="24:44">
      <c r="X8594"/>
      <c r="Y8594"/>
      <c r="Z8594"/>
      <c r="AA8594"/>
      <c r="AC8594"/>
      <c r="AR8594"/>
    </row>
    <row r="8595" spans="24:44">
      <c r="X8595"/>
      <c r="Y8595"/>
      <c r="Z8595"/>
      <c r="AA8595"/>
      <c r="AC8595"/>
      <c r="AR8595"/>
    </row>
    <row r="8596" spans="24:44">
      <c r="X8596"/>
      <c r="Y8596"/>
      <c r="Z8596"/>
      <c r="AA8596"/>
      <c r="AC8596"/>
      <c r="AR8596"/>
    </row>
    <row r="8597" spans="24:44">
      <c r="X8597"/>
      <c r="Y8597"/>
      <c r="Z8597"/>
      <c r="AA8597"/>
      <c r="AC8597"/>
      <c r="AR8597"/>
    </row>
    <row r="8598" spans="24:44">
      <c r="X8598"/>
      <c r="Y8598"/>
      <c r="Z8598"/>
      <c r="AA8598"/>
      <c r="AC8598"/>
      <c r="AR8598"/>
    </row>
    <row r="8599" spans="24:44">
      <c r="X8599"/>
      <c r="Y8599"/>
      <c r="Z8599"/>
      <c r="AA8599"/>
      <c r="AC8599"/>
      <c r="AR8599"/>
    </row>
    <row r="8600" spans="24:44">
      <c r="X8600"/>
      <c r="Y8600"/>
      <c r="Z8600"/>
      <c r="AA8600"/>
      <c r="AC8600"/>
      <c r="AR8600"/>
    </row>
    <row r="8601" spans="24:44">
      <c r="X8601"/>
      <c r="Y8601"/>
      <c r="Z8601"/>
      <c r="AA8601"/>
      <c r="AC8601"/>
      <c r="AR8601"/>
    </row>
    <row r="8602" spans="24:44">
      <c r="X8602"/>
      <c r="Y8602"/>
      <c r="Z8602"/>
      <c r="AA8602"/>
      <c r="AC8602"/>
      <c r="AR8602"/>
    </row>
    <row r="8603" spans="24:44">
      <c r="X8603"/>
      <c r="Y8603"/>
      <c r="Z8603"/>
      <c r="AA8603"/>
      <c r="AC8603"/>
      <c r="AR8603"/>
    </row>
    <row r="8604" spans="24:44">
      <c r="X8604"/>
      <c r="Y8604"/>
      <c r="Z8604"/>
      <c r="AA8604"/>
      <c r="AC8604"/>
      <c r="AR8604"/>
    </row>
    <row r="8605" spans="24:44">
      <c r="X8605"/>
      <c r="Y8605"/>
      <c r="Z8605"/>
      <c r="AA8605"/>
      <c r="AC8605"/>
      <c r="AR8605"/>
    </row>
    <row r="8606" spans="24:44">
      <c r="X8606"/>
      <c r="Y8606"/>
      <c r="Z8606"/>
      <c r="AA8606"/>
      <c r="AC8606"/>
      <c r="AR8606"/>
    </row>
    <row r="8607" spans="24:44">
      <c r="X8607"/>
      <c r="Y8607"/>
      <c r="Z8607"/>
      <c r="AA8607"/>
      <c r="AC8607"/>
      <c r="AR8607"/>
    </row>
    <row r="8608" spans="24:44">
      <c r="X8608"/>
      <c r="Y8608"/>
      <c r="Z8608"/>
      <c r="AA8608"/>
      <c r="AC8608"/>
      <c r="AR8608"/>
    </row>
    <row r="8609" spans="24:44">
      <c r="X8609"/>
      <c r="Y8609"/>
      <c r="Z8609"/>
      <c r="AA8609"/>
      <c r="AC8609"/>
      <c r="AR8609"/>
    </row>
    <row r="8610" spans="24:44">
      <c r="X8610"/>
      <c r="Y8610"/>
      <c r="Z8610"/>
      <c r="AA8610"/>
      <c r="AC8610"/>
      <c r="AR8610"/>
    </row>
    <row r="8611" spans="24:44">
      <c r="X8611"/>
      <c r="Y8611"/>
      <c r="Z8611"/>
      <c r="AA8611"/>
      <c r="AC8611"/>
      <c r="AR8611"/>
    </row>
    <row r="8612" spans="24:44">
      <c r="X8612"/>
      <c r="Y8612"/>
      <c r="Z8612"/>
      <c r="AA8612"/>
      <c r="AC8612"/>
      <c r="AR8612"/>
    </row>
    <row r="8613" spans="24:44">
      <c r="X8613"/>
      <c r="Y8613"/>
      <c r="Z8613"/>
      <c r="AA8613"/>
      <c r="AC8613"/>
      <c r="AR8613"/>
    </row>
    <row r="8614" spans="24:44">
      <c r="X8614"/>
      <c r="Y8614"/>
      <c r="Z8614"/>
      <c r="AA8614"/>
      <c r="AC8614"/>
      <c r="AR8614"/>
    </row>
    <row r="8615" spans="24:44">
      <c r="X8615"/>
      <c r="Y8615"/>
      <c r="Z8615"/>
      <c r="AA8615"/>
      <c r="AC8615"/>
      <c r="AR8615"/>
    </row>
    <row r="8616" spans="24:44">
      <c r="X8616"/>
      <c r="Y8616"/>
      <c r="Z8616"/>
      <c r="AA8616"/>
      <c r="AC8616"/>
      <c r="AR8616"/>
    </row>
    <row r="8617" spans="24:44">
      <c r="X8617"/>
      <c r="Y8617"/>
      <c r="Z8617"/>
      <c r="AA8617"/>
      <c r="AC8617"/>
      <c r="AR8617"/>
    </row>
    <row r="8618" spans="24:44">
      <c r="X8618"/>
      <c r="Y8618"/>
      <c r="Z8618"/>
      <c r="AA8618"/>
      <c r="AC8618"/>
      <c r="AR8618"/>
    </row>
    <row r="8619" spans="24:44">
      <c r="X8619"/>
      <c r="Y8619"/>
      <c r="Z8619"/>
      <c r="AA8619"/>
      <c r="AC8619"/>
      <c r="AR8619"/>
    </row>
    <row r="8620" spans="24:44">
      <c r="X8620"/>
      <c r="Y8620"/>
      <c r="Z8620"/>
      <c r="AA8620"/>
      <c r="AC8620"/>
      <c r="AR8620"/>
    </row>
    <row r="8621" spans="24:44">
      <c r="X8621"/>
      <c r="Y8621"/>
      <c r="Z8621"/>
      <c r="AA8621"/>
      <c r="AC8621"/>
      <c r="AR8621"/>
    </row>
    <row r="8622" spans="24:44">
      <c r="X8622"/>
      <c r="Y8622"/>
      <c r="Z8622"/>
      <c r="AA8622"/>
      <c r="AC8622"/>
      <c r="AR8622"/>
    </row>
    <row r="8623" spans="24:44">
      <c r="X8623"/>
      <c r="Y8623"/>
      <c r="Z8623"/>
      <c r="AA8623"/>
      <c r="AC8623"/>
      <c r="AR8623"/>
    </row>
    <row r="8624" spans="24:44">
      <c r="X8624"/>
      <c r="Y8624"/>
      <c r="Z8624"/>
      <c r="AA8624"/>
      <c r="AC8624"/>
      <c r="AR8624"/>
    </row>
    <row r="8625" spans="24:44">
      <c r="X8625"/>
      <c r="Y8625"/>
      <c r="Z8625"/>
      <c r="AA8625"/>
      <c r="AC8625"/>
      <c r="AR8625"/>
    </row>
    <row r="8626" spans="24:44">
      <c r="X8626"/>
      <c r="Y8626"/>
      <c r="Z8626"/>
      <c r="AA8626"/>
      <c r="AC8626"/>
      <c r="AR8626"/>
    </row>
    <row r="8627" spans="24:44">
      <c r="X8627"/>
      <c r="Y8627"/>
      <c r="Z8627"/>
      <c r="AA8627"/>
      <c r="AC8627"/>
      <c r="AR8627"/>
    </row>
    <row r="8628" spans="24:44">
      <c r="X8628"/>
      <c r="Y8628"/>
      <c r="Z8628"/>
      <c r="AA8628"/>
      <c r="AC8628"/>
      <c r="AR8628"/>
    </row>
    <row r="8629" spans="24:44">
      <c r="X8629"/>
      <c r="Y8629"/>
      <c r="Z8629"/>
      <c r="AA8629"/>
      <c r="AC8629"/>
      <c r="AR8629"/>
    </row>
    <row r="8630" spans="24:44">
      <c r="X8630"/>
      <c r="Y8630"/>
      <c r="Z8630"/>
      <c r="AA8630"/>
      <c r="AC8630"/>
      <c r="AR8630"/>
    </row>
    <row r="8631" spans="24:44">
      <c r="X8631"/>
      <c r="Y8631"/>
      <c r="Z8631"/>
      <c r="AA8631"/>
      <c r="AC8631"/>
      <c r="AR8631"/>
    </row>
    <row r="8632" spans="24:44">
      <c r="X8632"/>
      <c r="Y8632"/>
      <c r="Z8632"/>
      <c r="AA8632"/>
      <c r="AC8632"/>
      <c r="AR8632"/>
    </row>
    <row r="8633" spans="24:44">
      <c r="X8633"/>
      <c r="Y8633"/>
      <c r="Z8633"/>
      <c r="AA8633"/>
      <c r="AC8633"/>
      <c r="AR8633"/>
    </row>
    <row r="8634" spans="24:44">
      <c r="X8634"/>
      <c r="Y8634"/>
      <c r="Z8634"/>
      <c r="AA8634"/>
      <c r="AC8634"/>
      <c r="AR8634"/>
    </row>
    <row r="8635" spans="24:44">
      <c r="X8635"/>
      <c r="Y8635"/>
      <c r="Z8635"/>
      <c r="AA8635"/>
      <c r="AC8635"/>
      <c r="AR8635"/>
    </row>
    <row r="8636" spans="24:44">
      <c r="X8636"/>
      <c r="Y8636"/>
      <c r="Z8636"/>
      <c r="AA8636"/>
      <c r="AC8636"/>
      <c r="AR8636"/>
    </row>
    <row r="8637" spans="24:44">
      <c r="X8637"/>
      <c r="Y8637"/>
      <c r="Z8637"/>
      <c r="AA8637"/>
      <c r="AC8637"/>
      <c r="AR8637"/>
    </row>
    <row r="8638" spans="24:44">
      <c r="X8638"/>
      <c r="Y8638"/>
      <c r="Z8638"/>
      <c r="AA8638"/>
      <c r="AC8638"/>
      <c r="AR8638"/>
    </row>
    <row r="8639" spans="24:44">
      <c r="X8639"/>
      <c r="Y8639"/>
      <c r="Z8639"/>
      <c r="AA8639"/>
      <c r="AC8639"/>
      <c r="AR8639"/>
    </row>
    <row r="8640" spans="24:44">
      <c r="X8640"/>
      <c r="Y8640"/>
      <c r="Z8640"/>
      <c r="AA8640"/>
      <c r="AC8640"/>
      <c r="AR8640"/>
    </row>
    <row r="8641" spans="24:44">
      <c r="X8641"/>
      <c r="Y8641"/>
      <c r="Z8641"/>
      <c r="AA8641"/>
      <c r="AC8641"/>
      <c r="AR8641"/>
    </row>
    <row r="8642" spans="24:44">
      <c r="X8642"/>
      <c r="Y8642"/>
      <c r="Z8642"/>
      <c r="AA8642"/>
      <c r="AC8642"/>
      <c r="AR8642"/>
    </row>
    <row r="8643" spans="24:44">
      <c r="X8643"/>
      <c r="Y8643"/>
      <c r="Z8643"/>
      <c r="AA8643"/>
      <c r="AC8643"/>
      <c r="AR8643"/>
    </row>
    <row r="8644" spans="24:44">
      <c r="X8644"/>
      <c r="Y8644"/>
      <c r="Z8644"/>
      <c r="AA8644"/>
      <c r="AC8644"/>
      <c r="AR8644"/>
    </row>
    <row r="8645" spans="24:44">
      <c r="X8645"/>
      <c r="Y8645"/>
      <c r="Z8645"/>
      <c r="AA8645"/>
      <c r="AC8645"/>
      <c r="AR8645"/>
    </row>
    <row r="8646" spans="24:44">
      <c r="X8646"/>
      <c r="Y8646"/>
      <c r="Z8646"/>
      <c r="AA8646"/>
      <c r="AC8646"/>
      <c r="AR8646"/>
    </row>
    <row r="8647" spans="24:44">
      <c r="X8647"/>
      <c r="Y8647"/>
      <c r="Z8647"/>
      <c r="AA8647"/>
      <c r="AC8647"/>
      <c r="AR8647"/>
    </row>
    <row r="8648" spans="24:44">
      <c r="X8648"/>
      <c r="Y8648"/>
      <c r="Z8648"/>
      <c r="AA8648"/>
      <c r="AC8648"/>
      <c r="AR8648"/>
    </row>
    <row r="8649" spans="24:44">
      <c r="X8649"/>
      <c r="Y8649"/>
      <c r="Z8649"/>
      <c r="AA8649"/>
      <c r="AC8649"/>
      <c r="AR8649"/>
    </row>
    <row r="8650" spans="24:44">
      <c r="X8650"/>
      <c r="Y8650"/>
      <c r="Z8650"/>
      <c r="AA8650"/>
      <c r="AC8650"/>
      <c r="AR8650"/>
    </row>
    <row r="8651" spans="24:44">
      <c r="X8651"/>
      <c r="Y8651"/>
      <c r="Z8651"/>
      <c r="AA8651"/>
      <c r="AC8651"/>
      <c r="AR8651"/>
    </row>
    <row r="8652" spans="24:44">
      <c r="X8652"/>
      <c r="Y8652"/>
      <c r="Z8652"/>
      <c r="AA8652"/>
      <c r="AC8652"/>
      <c r="AR8652"/>
    </row>
    <row r="8653" spans="24:44">
      <c r="X8653"/>
      <c r="Y8653"/>
      <c r="Z8653"/>
      <c r="AA8653"/>
      <c r="AC8653"/>
      <c r="AR8653"/>
    </row>
    <row r="8654" spans="24:44">
      <c r="X8654"/>
      <c r="Y8654"/>
      <c r="Z8654"/>
      <c r="AA8654"/>
      <c r="AC8654"/>
      <c r="AR8654"/>
    </row>
    <row r="8655" spans="24:44">
      <c r="X8655"/>
      <c r="Y8655"/>
      <c r="Z8655"/>
      <c r="AA8655"/>
      <c r="AC8655"/>
      <c r="AR8655"/>
    </row>
    <row r="8656" spans="24:44">
      <c r="X8656"/>
      <c r="Y8656"/>
      <c r="Z8656"/>
      <c r="AA8656"/>
      <c r="AC8656"/>
      <c r="AR8656"/>
    </row>
    <row r="8657" spans="24:44">
      <c r="X8657"/>
      <c r="Y8657"/>
      <c r="Z8657"/>
      <c r="AA8657"/>
      <c r="AC8657"/>
      <c r="AR8657"/>
    </row>
    <row r="8658" spans="24:44">
      <c r="X8658"/>
      <c r="Y8658"/>
      <c r="Z8658"/>
      <c r="AA8658"/>
      <c r="AC8658"/>
      <c r="AR8658"/>
    </row>
    <row r="8659" spans="24:44">
      <c r="X8659"/>
      <c r="Y8659"/>
      <c r="Z8659"/>
      <c r="AA8659"/>
      <c r="AC8659"/>
      <c r="AR8659"/>
    </row>
    <row r="8660" spans="24:44">
      <c r="X8660"/>
      <c r="Y8660"/>
      <c r="Z8660"/>
      <c r="AA8660"/>
      <c r="AC8660"/>
      <c r="AR8660"/>
    </row>
    <row r="8661" spans="24:44">
      <c r="X8661"/>
      <c r="Y8661"/>
      <c r="Z8661"/>
      <c r="AA8661"/>
      <c r="AC8661"/>
      <c r="AR8661"/>
    </row>
    <row r="8662" spans="24:44">
      <c r="X8662"/>
      <c r="Y8662"/>
      <c r="Z8662"/>
      <c r="AA8662"/>
      <c r="AC8662"/>
      <c r="AR8662"/>
    </row>
    <row r="8663" spans="24:44">
      <c r="X8663"/>
      <c r="Y8663"/>
      <c r="Z8663"/>
      <c r="AA8663"/>
      <c r="AC8663"/>
      <c r="AR8663"/>
    </row>
    <row r="8664" spans="24:44">
      <c r="X8664"/>
      <c r="Y8664"/>
      <c r="Z8664"/>
      <c r="AA8664"/>
      <c r="AC8664"/>
      <c r="AR8664"/>
    </row>
    <row r="8665" spans="24:44">
      <c r="X8665"/>
      <c r="Y8665"/>
      <c r="Z8665"/>
      <c r="AA8665"/>
      <c r="AC8665"/>
      <c r="AR8665"/>
    </row>
    <row r="8666" spans="24:44">
      <c r="X8666"/>
      <c r="Y8666"/>
      <c r="Z8666"/>
      <c r="AA8666"/>
      <c r="AC8666"/>
      <c r="AR8666"/>
    </row>
    <row r="8667" spans="24:44">
      <c r="X8667"/>
      <c r="Y8667"/>
      <c r="Z8667"/>
      <c r="AA8667"/>
      <c r="AC8667"/>
      <c r="AR8667"/>
    </row>
    <row r="8668" spans="24:44">
      <c r="X8668"/>
      <c r="Y8668"/>
      <c r="Z8668"/>
      <c r="AA8668"/>
      <c r="AC8668"/>
      <c r="AR8668"/>
    </row>
    <row r="8669" spans="24:44">
      <c r="X8669"/>
      <c r="Y8669"/>
      <c r="Z8669"/>
      <c r="AA8669"/>
      <c r="AC8669"/>
      <c r="AR8669"/>
    </row>
    <row r="8670" spans="24:44">
      <c r="X8670"/>
      <c r="Y8670"/>
      <c r="Z8670"/>
      <c r="AA8670"/>
      <c r="AC8670"/>
      <c r="AR8670"/>
    </row>
    <row r="8671" spans="24:44">
      <c r="X8671"/>
      <c r="Y8671"/>
      <c r="Z8671"/>
      <c r="AA8671"/>
      <c r="AC8671"/>
      <c r="AR8671"/>
    </row>
    <row r="8672" spans="24:44">
      <c r="X8672"/>
      <c r="Y8672"/>
      <c r="Z8672"/>
      <c r="AA8672"/>
      <c r="AC8672"/>
      <c r="AR8672"/>
    </row>
    <row r="8673" spans="24:44">
      <c r="X8673"/>
      <c r="Y8673"/>
      <c r="Z8673"/>
      <c r="AA8673"/>
      <c r="AC8673"/>
      <c r="AR8673"/>
    </row>
    <row r="8674" spans="24:44">
      <c r="X8674"/>
      <c r="Y8674"/>
      <c r="Z8674"/>
      <c r="AA8674"/>
      <c r="AC8674"/>
      <c r="AR8674"/>
    </row>
    <row r="8675" spans="24:44">
      <c r="X8675"/>
      <c r="Y8675"/>
      <c r="Z8675"/>
      <c r="AA8675"/>
      <c r="AC8675"/>
      <c r="AR8675"/>
    </row>
    <row r="8676" spans="24:44">
      <c r="X8676"/>
      <c r="Y8676"/>
      <c r="Z8676"/>
      <c r="AA8676"/>
      <c r="AC8676"/>
      <c r="AR8676"/>
    </row>
    <row r="8677" spans="24:44">
      <c r="X8677"/>
      <c r="Y8677"/>
      <c r="Z8677"/>
      <c r="AA8677"/>
      <c r="AC8677"/>
      <c r="AR8677"/>
    </row>
    <row r="8678" spans="24:44">
      <c r="X8678"/>
      <c r="Y8678"/>
      <c r="Z8678"/>
      <c r="AA8678"/>
      <c r="AC8678"/>
      <c r="AR8678"/>
    </row>
    <row r="8679" spans="24:44">
      <c r="X8679"/>
      <c r="Y8679"/>
      <c r="Z8679"/>
      <c r="AA8679"/>
      <c r="AC8679"/>
      <c r="AR8679"/>
    </row>
    <row r="8680" spans="24:44">
      <c r="X8680"/>
      <c r="Y8680"/>
      <c r="Z8680"/>
      <c r="AA8680"/>
      <c r="AC8680"/>
      <c r="AR8680"/>
    </row>
    <row r="8681" spans="24:44">
      <c r="X8681"/>
      <c r="Y8681"/>
      <c r="Z8681"/>
      <c r="AA8681"/>
      <c r="AC8681"/>
      <c r="AR8681"/>
    </row>
    <row r="8682" spans="24:44">
      <c r="X8682"/>
      <c r="Y8682"/>
      <c r="Z8682"/>
      <c r="AA8682"/>
      <c r="AC8682"/>
      <c r="AR8682"/>
    </row>
    <row r="8683" spans="24:44">
      <c r="X8683"/>
      <c r="Y8683"/>
      <c r="Z8683"/>
      <c r="AA8683"/>
      <c r="AC8683"/>
      <c r="AR8683"/>
    </row>
    <row r="8684" spans="24:44">
      <c r="X8684"/>
      <c r="Y8684"/>
      <c r="Z8684"/>
      <c r="AA8684"/>
      <c r="AC8684"/>
      <c r="AR8684"/>
    </row>
    <row r="8685" spans="24:44">
      <c r="X8685"/>
      <c r="Y8685"/>
      <c r="Z8685"/>
      <c r="AA8685"/>
      <c r="AC8685"/>
      <c r="AR8685"/>
    </row>
    <row r="8686" spans="24:44">
      <c r="X8686"/>
      <c r="Y8686"/>
      <c r="Z8686"/>
      <c r="AA8686"/>
      <c r="AC8686"/>
      <c r="AR8686"/>
    </row>
    <row r="8687" spans="24:44">
      <c r="X8687"/>
      <c r="Y8687"/>
      <c r="Z8687"/>
      <c r="AA8687"/>
      <c r="AC8687"/>
      <c r="AR8687"/>
    </row>
    <row r="8688" spans="24:44">
      <c r="X8688"/>
      <c r="Y8688"/>
      <c r="Z8688"/>
      <c r="AA8688"/>
      <c r="AC8688"/>
      <c r="AR8688"/>
    </row>
    <row r="8689" spans="24:44">
      <c r="X8689"/>
      <c r="Y8689"/>
      <c r="Z8689"/>
      <c r="AA8689"/>
      <c r="AC8689"/>
      <c r="AR8689"/>
    </row>
    <row r="8690" spans="24:44">
      <c r="X8690"/>
      <c r="Y8690"/>
      <c r="Z8690"/>
      <c r="AA8690"/>
      <c r="AC8690"/>
      <c r="AR8690"/>
    </row>
    <row r="8691" spans="24:44">
      <c r="X8691"/>
      <c r="Y8691"/>
      <c r="Z8691"/>
      <c r="AA8691"/>
      <c r="AC8691"/>
      <c r="AR8691"/>
    </row>
    <row r="8692" spans="24:44">
      <c r="X8692"/>
      <c r="Y8692"/>
      <c r="Z8692"/>
      <c r="AA8692"/>
      <c r="AC8692"/>
      <c r="AR8692"/>
    </row>
    <row r="8693" spans="24:44">
      <c r="X8693"/>
      <c r="Y8693"/>
      <c r="Z8693"/>
      <c r="AA8693"/>
      <c r="AC8693"/>
      <c r="AR8693"/>
    </row>
    <row r="8694" spans="24:44">
      <c r="X8694"/>
      <c r="Y8694"/>
      <c r="Z8694"/>
      <c r="AA8694"/>
      <c r="AC8694"/>
      <c r="AR8694"/>
    </row>
    <row r="8695" spans="24:44">
      <c r="X8695"/>
      <c r="Y8695"/>
      <c r="Z8695"/>
      <c r="AA8695"/>
      <c r="AC8695"/>
      <c r="AR8695"/>
    </row>
    <row r="8696" spans="24:44">
      <c r="X8696"/>
      <c r="Y8696"/>
      <c r="Z8696"/>
      <c r="AA8696"/>
      <c r="AC8696"/>
      <c r="AR8696"/>
    </row>
    <row r="8697" spans="24:44">
      <c r="X8697"/>
      <c r="Y8697"/>
      <c r="Z8697"/>
      <c r="AA8697"/>
      <c r="AC8697"/>
      <c r="AR8697"/>
    </row>
    <row r="8698" spans="24:44">
      <c r="X8698"/>
      <c r="Y8698"/>
      <c r="Z8698"/>
      <c r="AA8698"/>
      <c r="AC8698"/>
      <c r="AR8698"/>
    </row>
    <row r="8699" spans="24:44">
      <c r="X8699"/>
      <c r="Y8699"/>
      <c r="Z8699"/>
      <c r="AA8699"/>
      <c r="AC8699"/>
      <c r="AR8699"/>
    </row>
    <row r="8700" spans="24:44">
      <c r="X8700"/>
      <c r="Y8700"/>
      <c r="Z8700"/>
      <c r="AA8700"/>
      <c r="AC8700"/>
      <c r="AR8700"/>
    </row>
    <row r="8701" spans="24:44">
      <c r="X8701"/>
      <c r="Y8701"/>
      <c r="Z8701"/>
      <c r="AA8701"/>
      <c r="AC8701"/>
      <c r="AR8701"/>
    </row>
    <row r="8702" spans="24:44">
      <c r="X8702"/>
      <c r="Y8702"/>
      <c r="Z8702"/>
      <c r="AA8702"/>
      <c r="AC8702"/>
      <c r="AR8702"/>
    </row>
    <row r="8703" spans="24:44">
      <c r="X8703"/>
      <c r="Y8703"/>
      <c r="Z8703"/>
      <c r="AA8703"/>
      <c r="AC8703"/>
      <c r="AR8703"/>
    </row>
    <row r="8704" spans="24:44">
      <c r="X8704"/>
      <c r="Y8704"/>
      <c r="Z8704"/>
      <c r="AA8704"/>
      <c r="AC8704"/>
      <c r="AR8704"/>
    </row>
    <row r="8705" spans="24:44">
      <c r="X8705"/>
      <c r="Y8705"/>
      <c r="Z8705"/>
      <c r="AA8705"/>
      <c r="AC8705"/>
      <c r="AR8705"/>
    </row>
    <row r="8706" spans="24:44">
      <c r="X8706"/>
      <c r="Y8706"/>
      <c r="Z8706"/>
      <c r="AA8706"/>
      <c r="AC8706"/>
      <c r="AR8706"/>
    </row>
    <row r="8707" spans="24:44">
      <c r="X8707"/>
      <c r="Y8707"/>
      <c r="Z8707"/>
      <c r="AA8707"/>
      <c r="AC8707"/>
      <c r="AR8707"/>
    </row>
    <row r="8708" spans="24:44">
      <c r="X8708"/>
      <c r="Y8708"/>
      <c r="Z8708"/>
      <c r="AA8708"/>
      <c r="AC8708"/>
      <c r="AR8708"/>
    </row>
    <row r="8709" spans="24:44">
      <c r="X8709"/>
      <c r="Y8709"/>
      <c r="Z8709"/>
      <c r="AA8709"/>
      <c r="AC8709"/>
      <c r="AR8709"/>
    </row>
    <row r="8710" spans="24:44">
      <c r="X8710"/>
      <c r="Y8710"/>
      <c r="Z8710"/>
      <c r="AA8710"/>
      <c r="AC8710"/>
      <c r="AR8710"/>
    </row>
    <row r="8711" spans="24:44">
      <c r="X8711"/>
      <c r="Y8711"/>
      <c r="Z8711"/>
      <c r="AA8711"/>
      <c r="AC8711"/>
      <c r="AR8711"/>
    </row>
    <row r="8712" spans="24:44">
      <c r="X8712"/>
      <c r="Y8712"/>
      <c r="Z8712"/>
      <c r="AA8712"/>
      <c r="AC8712"/>
      <c r="AR8712"/>
    </row>
    <row r="8713" spans="24:44">
      <c r="X8713"/>
      <c r="Y8713"/>
      <c r="Z8713"/>
      <c r="AA8713"/>
      <c r="AC8713"/>
      <c r="AR8713"/>
    </row>
    <row r="8714" spans="24:44">
      <c r="X8714"/>
      <c r="Y8714"/>
      <c r="Z8714"/>
      <c r="AA8714"/>
      <c r="AC8714"/>
      <c r="AR8714"/>
    </row>
    <row r="8715" spans="24:44">
      <c r="X8715"/>
      <c r="Y8715"/>
      <c r="Z8715"/>
      <c r="AA8715"/>
      <c r="AC8715"/>
      <c r="AR8715"/>
    </row>
    <row r="8716" spans="24:44">
      <c r="X8716"/>
      <c r="Y8716"/>
      <c r="Z8716"/>
      <c r="AA8716"/>
      <c r="AC8716"/>
      <c r="AR8716"/>
    </row>
    <row r="8717" spans="24:44">
      <c r="X8717"/>
      <c r="Y8717"/>
      <c r="Z8717"/>
      <c r="AA8717"/>
      <c r="AC8717"/>
      <c r="AR8717"/>
    </row>
    <row r="8718" spans="24:44">
      <c r="X8718"/>
      <c r="Y8718"/>
      <c r="Z8718"/>
      <c r="AA8718"/>
      <c r="AC8718"/>
      <c r="AR8718"/>
    </row>
    <row r="8719" spans="24:44">
      <c r="X8719"/>
      <c r="Y8719"/>
      <c r="Z8719"/>
      <c r="AA8719"/>
      <c r="AC8719"/>
      <c r="AR8719"/>
    </row>
    <row r="8720" spans="24:44">
      <c r="X8720"/>
      <c r="Y8720"/>
      <c r="Z8720"/>
      <c r="AA8720"/>
      <c r="AC8720"/>
      <c r="AR8720"/>
    </row>
    <row r="8721" spans="24:44">
      <c r="X8721"/>
      <c r="Y8721"/>
      <c r="Z8721"/>
      <c r="AA8721"/>
      <c r="AC8721"/>
      <c r="AR8721"/>
    </row>
    <row r="8722" spans="24:44">
      <c r="X8722"/>
      <c r="Y8722"/>
      <c r="Z8722"/>
      <c r="AA8722"/>
      <c r="AC8722"/>
      <c r="AR8722"/>
    </row>
    <row r="8723" spans="24:44">
      <c r="X8723"/>
      <c r="Y8723"/>
      <c r="Z8723"/>
      <c r="AA8723"/>
      <c r="AC8723"/>
      <c r="AR8723"/>
    </row>
    <row r="8724" spans="24:44">
      <c r="X8724"/>
      <c r="Y8724"/>
      <c r="Z8724"/>
      <c r="AA8724"/>
      <c r="AC8724"/>
      <c r="AR8724"/>
    </row>
    <row r="8725" spans="24:44">
      <c r="X8725"/>
      <c r="Y8725"/>
      <c r="Z8725"/>
      <c r="AA8725"/>
      <c r="AC8725"/>
      <c r="AR8725"/>
    </row>
    <row r="8726" spans="24:44">
      <c r="X8726"/>
      <c r="Y8726"/>
      <c r="Z8726"/>
      <c r="AA8726"/>
      <c r="AC8726"/>
      <c r="AR8726"/>
    </row>
    <row r="8727" spans="24:44">
      <c r="X8727"/>
      <c r="Y8727"/>
      <c r="Z8727"/>
      <c r="AA8727"/>
      <c r="AC8727"/>
      <c r="AR8727"/>
    </row>
    <row r="8728" spans="24:44">
      <c r="X8728"/>
      <c r="Y8728"/>
      <c r="Z8728"/>
      <c r="AA8728"/>
      <c r="AC8728"/>
      <c r="AR8728"/>
    </row>
    <row r="8729" spans="24:44">
      <c r="X8729"/>
      <c r="Y8729"/>
      <c r="Z8729"/>
      <c r="AA8729"/>
      <c r="AC8729"/>
      <c r="AR8729"/>
    </row>
    <row r="8730" spans="24:44">
      <c r="X8730"/>
      <c r="Y8730"/>
      <c r="Z8730"/>
      <c r="AA8730"/>
      <c r="AC8730"/>
      <c r="AR8730"/>
    </row>
    <row r="8731" spans="24:44">
      <c r="X8731"/>
      <c r="Y8731"/>
      <c r="Z8731"/>
      <c r="AA8731"/>
      <c r="AC8731"/>
      <c r="AR8731"/>
    </row>
    <row r="8732" spans="24:44">
      <c r="X8732"/>
      <c r="Y8732"/>
      <c r="Z8732"/>
      <c r="AA8732"/>
      <c r="AC8732"/>
      <c r="AR8732"/>
    </row>
    <row r="8733" spans="24:44">
      <c r="X8733"/>
      <c r="Y8733"/>
      <c r="Z8733"/>
      <c r="AA8733"/>
      <c r="AC8733"/>
      <c r="AR8733"/>
    </row>
    <row r="8734" spans="24:44">
      <c r="X8734"/>
      <c r="Y8734"/>
      <c r="Z8734"/>
      <c r="AA8734"/>
      <c r="AC8734"/>
      <c r="AR8734"/>
    </row>
    <row r="8735" spans="24:44">
      <c r="X8735"/>
      <c r="Y8735"/>
      <c r="Z8735"/>
      <c r="AA8735"/>
      <c r="AC8735"/>
      <c r="AR8735"/>
    </row>
    <row r="8736" spans="24:44">
      <c r="X8736"/>
      <c r="Y8736"/>
      <c r="Z8736"/>
      <c r="AA8736"/>
      <c r="AC8736"/>
      <c r="AR8736"/>
    </row>
    <row r="8737" spans="24:44">
      <c r="X8737"/>
      <c r="Y8737"/>
      <c r="Z8737"/>
      <c r="AA8737"/>
      <c r="AC8737"/>
      <c r="AR8737"/>
    </row>
    <row r="8738" spans="24:44">
      <c r="X8738"/>
      <c r="Y8738"/>
      <c r="Z8738"/>
      <c r="AA8738"/>
      <c r="AC8738"/>
      <c r="AR8738"/>
    </row>
    <row r="8739" spans="24:44">
      <c r="X8739"/>
      <c r="Y8739"/>
      <c r="Z8739"/>
      <c r="AA8739"/>
      <c r="AC8739"/>
      <c r="AR8739"/>
    </row>
    <row r="8740" spans="24:44">
      <c r="X8740"/>
      <c r="Y8740"/>
      <c r="Z8740"/>
      <c r="AA8740"/>
      <c r="AC8740"/>
      <c r="AR8740"/>
    </row>
    <row r="8741" spans="24:44">
      <c r="X8741"/>
      <c r="Y8741"/>
      <c r="Z8741"/>
      <c r="AA8741"/>
      <c r="AC8741"/>
      <c r="AR8741"/>
    </row>
    <row r="8742" spans="24:44">
      <c r="X8742"/>
      <c r="Y8742"/>
      <c r="Z8742"/>
      <c r="AA8742"/>
      <c r="AC8742"/>
      <c r="AR8742"/>
    </row>
    <row r="8743" spans="24:44">
      <c r="X8743"/>
      <c r="Y8743"/>
      <c r="Z8743"/>
      <c r="AA8743"/>
      <c r="AC8743"/>
      <c r="AR8743"/>
    </row>
    <row r="8744" spans="24:44">
      <c r="X8744"/>
      <c r="Y8744"/>
      <c r="Z8744"/>
      <c r="AA8744"/>
      <c r="AC8744"/>
      <c r="AR8744"/>
    </row>
    <row r="8745" spans="24:44">
      <c r="X8745"/>
      <c r="Y8745"/>
      <c r="Z8745"/>
      <c r="AA8745"/>
      <c r="AC8745"/>
      <c r="AR8745"/>
    </row>
    <row r="8746" spans="24:44">
      <c r="X8746"/>
      <c r="Y8746"/>
      <c r="Z8746"/>
      <c r="AA8746"/>
      <c r="AC8746"/>
      <c r="AR8746"/>
    </row>
    <row r="8747" spans="24:44">
      <c r="X8747"/>
      <c r="Y8747"/>
      <c r="Z8747"/>
      <c r="AA8747"/>
      <c r="AC8747"/>
      <c r="AR8747"/>
    </row>
    <row r="8748" spans="24:44">
      <c r="X8748"/>
      <c r="Y8748"/>
      <c r="Z8748"/>
      <c r="AA8748"/>
      <c r="AC8748"/>
      <c r="AR8748"/>
    </row>
    <row r="8749" spans="24:44">
      <c r="X8749"/>
      <c r="Y8749"/>
      <c r="Z8749"/>
      <c r="AA8749"/>
      <c r="AC8749"/>
      <c r="AR8749"/>
    </row>
    <row r="8750" spans="24:44">
      <c r="X8750"/>
      <c r="Y8750"/>
      <c r="Z8750"/>
      <c r="AA8750"/>
      <c r="AC8750"/>
      <c r="AR8750"/>
    </row>
    <row r="8751" spans="24:44">
      <c r="X8751"/>
      <c r="Y8751"/>
      <c r="Z8751"/>
      <c r="AA8751"/>
      <c r="AC8751"/>
      <c r="AR8751"/>
    </row>
    <row r="8752" spans="24:44">
      <c r="X8752"/>
      <c r="Y8752"/>
      <c r="Z8752"/>
      <c r="AA8752"/>
      <c r="AC8752"/>
      <c r="AR8752"/>
    </row>
    <row r="8753" spans="24:44">
      <c r="X8753"/>
      <c r="Y8753"/>
      <c r="Z8753"/>
      <c r="AA8753"/>
      <c r="AC8753"/>
      <c r="AR8753"/>
    </row>
    <row r="8754" spans="24:44">
      <c r="X8754"/>
      <c r="Y8754"/>
      <c r="Z8754"/>
      <c r="AA8754"/>
      <c r="AC8754"/>
      <c r="AR8754"/>
    </row>
    <row r="8755" spans="24:44">
      <c r="X8755"/>
      <c r="Y8755"/>
      <c r="Z8755"/>
      <c r="AA8755"/>
      <c r="AC8755"/>
      <c r="AR8755"/>
    </row>
    <row r="8756" spans="24:44">
      <c r="X8756"/>
      <c r="Y8756"/>
      <c r="Z8756"/>
      <c r="AA8756"/>
      <c r="AC8756"/>
      <c r="AR8756"/>
    </row>
    <row r="8757" spans="24:44">
      <c r="X8757"/>
      <c r="Y8757"/>
      <c r="Z8757"/>
      <c r="AA8757"/>
      <c r="AC8757"/>
      <c r="AR8757"/>
    </row>
    <row r="8758" spans="24:44">
      <c r="X8758"/>
      <c r="Y8758"/>
      <c r="Z8758"/>
      <c r="AA8758"/>
      <c r="AC8758"/>
      <c r="AR8758"/>
    </row>
    <row r="8759" spans="24:44">
      <c r="X8759"/>
      <c r="Y8759"/>
      <c r="Z8759"/>
      <c r="AA8759"/>
      <c r="AC8759"/>
      <c r="AR8759"/>
    </row>
    <row r="8760" spans="24:44">
      <c r="X8760"/>
      <c r="Y8760"/>
      <c r="Z8760"/>
      <c r="AA8760"/>
      <c r="AC8760"/>
      <c r="AR8760"/>
    </row>
    <row r="8761" spans="24:44">
      <c r="X8761"/>
      <c r="Y8761"/>
      <c r="Z8761"/>
      <c r="AA8761"/>
      <c r="AC8761"/>
      <c r="AR8761"/>
    </row>
    <row r="8762" spans="24:44">
      <c r="X8762"/>
      <c r="Y8762"/>
      <c r="Z8762"/>
      <c r="AA8762"/>
      <c r="AC8762"/>
      <c r="AR8762"/>
    </row>
    <row r="8763" spans="24:44">
      <c r="X8763"/>
      <c r="Y8763"/>
      <c r="Z8763"/>
      <c r="AA8763"/>
      <c r="AC8763"/>
      <c r="AR8763"/>
    </row>
    <row r="8764" spans="24:44">
      <c r="X8764"/>
      <c r="Y8764"/>
      <c r="Z8764"/>
      <c r="AA8764"/>
      <c r="AC8764"/>
      <c r="AR8764"/>
    </row>
    <row r="8765" spans="24:44">
      <c r="X8765"/>
      <c r="Y8765"/>
      <c r="Z8765"/>
      <c r="AA8765"/>
      <c r="AC8765"/>
      <c r="AR8765"/>
    </row>
    <row r="8766" spans="24:44">
      <c r="X8766"/>
      <c r="Y8766"/>
      <c r="Z8766"/>
      <c r="AA8766"/>
      <c r="AC8766"/>
      <c r="AR8766"/>
    </row>
    <row r="8767" spans="24:44">
      <c r="X8767"/>
      <c r="Y8767"/>
      <c r="Z8767"/>
      <c r="AA8767"/>
      <c r="AC8767"/>
      <c r="AR8767"/>
    </row>
    <row r="8768" spans="24:44">
      <c r="X8768"/>
      <c r="Y8768"/>
      <c r="Z8768"/>
      <c r="AA8768"/>
      <c r="AC8768"/>
      <c r="AR8768"/>
    </row>
    <row r="8769" spans="24:44">
      <c r="X8769"/>
      <c r="Y8769"/>
      <c r="Z8769"/>
      <c r="AA8769"/>
      <c r="AC8769"/>
      <c r="AR8769"/>
    </row>
    <row r="8770" spans="24:44">
      <c r="X8770"/>
      <c r="Y8770"/>
      <c r="Z8770"/>
      <c r="AA8770"/>
      <c r="AC8770"/>
      <c r="AR8770"/>
    </row>
    <row r="8771" spans="24:44">
      <c r="X8771"/>
      <c r="Y8771"/>
      <c r="Z8771"/>
      <c r="AA8771"/>
      <c r="AC8771"/>
      <c r="AR8771"/>
    </row>
    <row r="8772" spans="24:44">
      <c r="X8772"/>
      <c r="Y8772"/>
      <c r="Z8772"/>
      <c r="AA8772"/>
      <c r="AC8772"/>
      <c r="AR8772"/>
    </row>
    <row r="8773" spans="24:44">
      <c r="X8773"/>
      <c r="Y8773"/>
      <c r="Z8773"/>
      <c r="AA8773"/>
      <c r="AC8773"/>
      <c r="AR8773"/>
    </row>
    <row r="8774" spans="24:44">
      <c r="X8774"/>
      <c r="Y8774"/>
      <c r="Z8774"/>
      <c r="AA8774"/>
      <c r="AC8774"/>
      <c r="AR8774"/>
    </row>
    <row r="8775" spans="24:44">
      <c r="X8775"/>
      <c r="Y8775"/>
      <c r="Z8775"/>
      <c r="AA8775"/>
      <c r="AC8775"/>
      <c r="AR8775"/>
    </row>
    <row r="8776" spans="24:44">
      <c r="X8776"/>
      <c r="Y8776"/>
      <c r="Z8776"/>
      <c r="AA8776"/>
      <c r="AC8776"/>
      <c r="AR8776"/>
    </row>
    <row r="8777" spans="24:44">
      <c r="X8777"/>
      <c r="Y8777"/>
      <c r="Z8777"/>
      <c r="AA8777"/>
      <c r="AC8777"/>
      <c r="AR8777"/>
    </row>
    <row r="8778" spans="24:44">
      <c r="X8778"/>
      <c r="Y8778"/>
      <c r="Z8778"/>
      <c r="AA8778"/>
      <c r="AC8778"/>
      <c r="AR8778"/>
    </row>
    <row r="8779" spans="24:44">
      <c r="X8779"/>
      <c r="Y8779"/>
      <c r="Z8779"/>
      <c r="AA8779"/>
      <c r="AC8779"/>
      <c r="AR8779"/>
    </row>
    <row r="8780" spans="24:44">
      <c r="X8780"/>
      <c r="Y8780"/>
      <c r="Z8780"/>
      <c r="AA8780"/>
      <c r="AC8780"/>
      <c r="AR8780"/>
    </row>
    <row r="8781" spans="24:44">
      <c r="X8781"/>
      <c r="Y8781"/>
      <c r="Z8781"/>
      <c r="AA8781"/>
      <c r="AC8781"/>
      <c r="AR8781"/>
    </row>
    <row r="8782" spans="24:44">
      <c r="X8782"/>
      <c r="Y8782"/>
      <c r="Z8782"/>
      <c r="AA8782"/>
      <c r="AC8782"/>
      <c r="AR8782"/>
    </row>
    <row r="8783" spans="24:44">
      <c r="X8783"/>
      <c r="Y8783"/>
      <c r="Z8783"/>
      <c r="AA8783"/>
      <c r="AC8783"/>
      <c r="AR8783"/>
    </row>
    <row r="8784" spans="24:44">
      <c r="X8784"/>
      <c r="Y8784"/>
      <c r="Z8784"/>
      <c r="AA8784"/>
      <c r="AC8784"/>
      <c r="AR8784"/>
    </row>
    <row r="8785" spans="24:44">
      <c r="X8785"/>
      <c r="Y8785"/>
      <c r="Z8785"/>
      <c r="AA8785"/>
      <c r="AC8785"/>
      <c r="AR8785"/>
    </row>
    <row r="8786" spans="24:44">
      <c r="X8786"/>
      <c r="Y8786"/>
      <c r="Z8786"/>
      <c r="AA8786"/>
      <c r="AC8786"/>
      <c r="AR8786"/>
    </row>
    <row r="8787" spans="24:44">
      <c r="X8787"/>
      <c r="Y8787"/>
      <c r="Z8787"/>
      <c r="AA8787"/>
      <c r="AC8787"/>
      <c r="AR8787"/>
    </row>
    <row r="8788" spans="24:44">
      <c r="X8788"/>
      <c r="Y8788"/>
      <c r="Z8788"/>
      <c r="AA8788"/>
      <c r="AC8788"/>
      <c r="AR8788"/>
    </row>
    <row r="8789" spans="24:44">
      <c r="X8789"/>
      <c r="Y8789"/>
      <c r="Z8789"/>
      <c r="AA8789"/>
      <c r="AC8789"/>
      <c r="AR8789"/>
    </row>
    <row r="8790" spans="24:44">
      <c r="X8790"/>
      <c r="Y8790"/>
      <c r="Z8790"/>
      <c r="AA8790"/>
      <c r="AC8790"/>
      <c r="AR8790"/>
    </row>
    <row r="8791" spans="24:44">
      <c r="X8791"/>
      <c r="Y8791"/>
      <c r="Z8791"/>
      <c r="AA8791"/>
      <c r="AC8791"/>
      <c r="AR8791"/>
    </row>
    <row r="8792" spans="24:44">
      <c r="X8792"/>
      <c r="Y8792"/>
      <c r="Z8792"/>
      <c r="AA8792"/>
      <c r="AC8792"/>
      <c r="AR8792"/>
    </row>
    <row r="8793" spans="24:44">
      <c r="X8793"/>
      <c r="Y8793"/>
      <c r="Z8793"/>
      <c r="AA8793"/>
      <c r="AC8793"/>
      <c r="AR8793"/>
    </row>
    <row r="8794" spans="24:44">
      <c r="X8794"/>
      <c r="Y8794"/>
      <c r="Z8794"/>
      <c r="AA8794"/>
      <c r="AC8794"/>
      <c r="AR8794"/>
    </row>
    <row r="8795" spans="24:44">
      <c r="X8795"/>
      <c r="Y8795"/>
      <c r="Z8795"/>
      <c r="AA8795"/>
      <c r="AC8795"/>
      <c r="AR8795"/>
    </row>
    <row r="8796" spans="24:44">
      <c r="X8796"/>
      <c r="Y8796"/>
      <c r="Z8796"/>
      <c r="AA8796"/>
      <c r="AC8796"/>
      <c r="AR8796"/>
    </row>
    <row r="8797" spans="24:44">
      <c r="X8797"/>
      <c r="Y8797"/>
      <c r="Z8797"/>
      <c r="AA8797"/>
      <c r="AC8797"/>
      <c r="AR8797"/>
    </row>
    <row r="8798" spans="24:44">
      <c r="X8798"/>
      <c r="Y8798"/>
      <c r="Z8798"/>
      <c r="AA8798"/>
      <c r="AC8798"/>
      <c r="AR8798"/>
    </row>
    <row r="8799" spans="24:44">
      <c r="X8799"/>
      <c r="Y8799"/>
      <c r="Z8799"/>
      <c r="AA8799"/>
      <c r="AC8799"/>
      <c r="AR8799"/>
    </row>
    <row r="8800" spans="24:44">
      <c r="X8800"/>
      <c r="Y8800"/>
      <c r="Z8800"/>
      <c r="AA8800"/>
      <c r="AC8800"/>
      <c r="AR8800"/>
    </row>
    <row r="8801" spans="24:44">
      <c r="X8801"/>
      <c r="Y8801"/>
      <c r="Z8801"/>
      <c r="AA8801"/>
      <c r="AC8801"/>
      <c r="AR8801"/>
    </row>
    <row r="8802" spans="24:44">
      <c r="X8802"/>
      <c r="Y8802"/>
      <c r="Z8802"/>
      <c r="AA8802"/>
      <c r="AC8802"/>
      <c r="AR8802"/>
    </row>
    <row r="8803" spans="24:44">
      <c r="X8803"/>
      <c r="Y8803"/>
      <c r="Z8803"/>
      <c r="AA8803"/>
      <c r="AC8803"/>
      <c r="AR8803"/>
    </row>
    <row r="8804" spans="24:44">
      <c r="X8804"/>
      <c r="Y8804"/>
      <c r="Z8804"/>
      <c r="AA8804"/>
      <c r="AC8804"/>
      <c r="AR8804"/>
    </row>
    <row r="8805" spans="24:44">
      <c r="X8805"/>
      <c r="Y8805"/>
      <c r="Z8805"/>
      <c r="AA8805"/>
      <c r="AC8805"/>
      <c r="AR8805"/>
    </row>
    <row r="8806" spans="24:44">
      <c r="X8806"/>
      <c r="Y8806"/>
      <c r="Z8806"/>
      <c r="AA8806"/>
      <c r="AC8806"/>
      <c r="AR8806"/>
    </row>
    <row r="8807" spans="24:44">
      <c r="X8807"/>
      <c r="Y8807"/>
      <c r="Z8807"/>
      <c r="AA8807"/>
      <c r="AC8807"/>
      <c r="AR8807"/>
    </row>
    <row r="8808" spans="24:44">
      <c r="X8808"/>
      <c r="Y8808"/>
      <c r="Z8808"/>
      <c r="AA8808"/>
      <c r="AC8808"/>
      <c r="AR8808"/>
    </row>
    <row r="8809" spans="24:44">
      <c r="X8809"/>
      <c r="Y8809"/>
      <c r="Z8809"/>
      <c r="AA8809"/>
      <c r="AC8809"/>
      <c r="AR8809"/>
    </row>
    <row r="8810" spans="24:44">
      <c r="X8810"/>
      <c r="Y8810"/>
      <c r="Z8810"/>
      <c r="AA8810"/>
      <c r="AC8810"/>
      <c r="AR8810"/>
    </row>
    <row r="8811" spans="24:44">
      <c r="X8811"/>
      <c r="Y8811"/>
      <c r="Z8811"/>
      <c r="AA8811"/>
      <c r="AC8811"/>
      <c r="AR8811"/>
    </row>
    <row r="8812" spans="24:44">
      <c r="X8812"/>
      <c r="Y8812"/>
      <c r="Z8812"/>
      <c r="AA8812"/>
      <c r="AC8812"/>
      <c r="AR8812"/>
    </row>
    <row r="8813" spans="24:44">
      <c r="X8813"/>
      <c r="Y8813"/>
      <c r="Z8813"/>
      <c r="AA8813"/>
      <c r="AC8813"/>
      <c r="AR8813"/>
    </row>
    <row r="8814" spans="24:44">
      <c r="X8814"/>
      <c r="Y8814"/>
      <c r="Z8814"/>
      <c r="AA8814"/>
      <c r="AC8814"/>
      <c r="AR8814"/>
    </row>
    <row r="8815" spans="24:44">
      <c r="X8815"/>
      <c r="Y8815"/>
      <c r="Z8815"/>
      <c r="AA8815"/>
      <c r="AC8815"/>
      <c r="AR8815"/>
    </row>
    <row r="8816" spans="24:44">
      <c r="X8816"/>
      <c r="Y8816"/>
      <c r="Z8816"/>
      <c r="AA8816"/>
      <c r="AC8816"/>
      <c r="AR8816"/>
    </row>
    <row r="8817" spans="24:44">
      <c r="X8817"/>
      <c r="Y8817"/>
      <c r="Z8817"/>
      <c r="AA8817"/>
      <c r="AC8817"/>
      <c r="AR8817"/>
    </row>
    <row r="8818" spans="24:44">
      <c r="X8818"/>
      <c r="Y8818"/>
      <c r="Z8818"/>
      <c r="AA8818"/>
      <c r="AC8818"/>
      <c r="AR8818"/>
    </row>
    <row r="8819" spans="24:44">
      <c r="X8819"/>
      <c r="Y8819"/>
      <c r="Z8819"/>
      <c r="AA8819"/>
      <c r="AC8819"/>
      <c r="AR8819"/>
    </row>
    <row r="8820" spans="24:44">
      <c r="X8820"/>
      <c r="Y8820"/>
      <c r="Z8820"/>
      <c r="AA8820"/>
      <c r="AC8820"/>
      <c r="AR8820"/>
    </row>
    <row r="8821" spans="24:44">
      <c r="X8821"/>
      <c r="Y8821"/>
      <c r="Z8821"/>
      <c r="AA8821"/>
      <c r="AC8821"/>
      <c r="AR8821"/>
    </row>
    <row r="8822" spans="24:44">
      <c r="X8822"/>
      <c r="Y8822"/>
      <c r="Z8822"/>
      <c r="AA8822"/>
      <c r="AC8822"/>
      <c r="AR8822"/>
    </row>
    <row r="8823" spans="24:44">
      <c r="X8823"/>
      <c r="Y8823"/>
      <c r="Z8823"/>
      <c r="AA8823"/>
      <c r="AC8823"/>
      <c r="AR8823"/>
    </row>
    <row r="8824" spans="24:44">
      <c r="X8824"/>
      <c r="Y8824"/>
      <c r="Z8824"/>
      <c r="AA8824"/>
      <c r="AC8824"/>
      <c r="AR8824"/>
    </row>
    <row r="8825" spans="24:44">
      <c r="X8825"/>
      <c r="Y8825"/>
      <c r="Z8825"/>
      <c r="AA8825"/>
      <c r="AC8825"/>
      <c r="AR8825"/>
    </row>
    <row r="8826" spans="24:44">
      <c r="X8826"/>
      <c r="Y8826"/>
      <c r="Z8826"/>
      <c r="AA8826"/>
      <c r="AC8826"/>
      <c r="AR8826"/>
    </row>
    <row r="8827" spans="24:44">
      <c r="X8827"/>
      <c r="Y8827"/>
      <c r="Z8827"/>
      <c r="AA8827"/>
      <c r="AC8827"/>
      <c r="AR8827"/>
    </row>
    <row r="8828" spans="24:44">
      <c r="X8828"/>
      <c r="Y8828"/>
      <c r="Z8828"/>
      <c r="AA8828"/>
      <c r="AC8828"/>
      <c r="AR8828"/>
    </row>
    <row r="8829" spans="24:44">
      <c r="X8829"/>
      <c r="Y8829"/>
      <c r="Z8829"/>
      <c r="AA8829"/>
      <c r="AC8829"/>
      <c r="AR8829"/>
    </row>
    <row r="8830" spans="24:44">
      <c r="X8830"/>
      <c r="Y8830"/>
      <c r="Z8830"/>
      <c r="AA8830"/>
      <c r="AC8830"/>
      <c r="AR8830"/>
    </row>
    <row r="8831" spans="24:44">
      <c r="X8831"/>
      <c r="Y8831"/>
      <c r="Z8831"/>
      <c r="AA8831"/>
      <c r="AC8831"/>
      <c r="AR8831"/>
    </row>
    <row r="8832" spans="24:44">
      <c r="X8832"/>
      <c r="Y8832"/>
      <c r="Z8832"/>
      <c r="AA8832"/>
      <c r="AC8832"/>
      <c r="AR8832"/>
    </row>
    <row r="8833" spans="24:44">
      <c r="X8833"/>
      <c r="Y8833"/>
      <c r="Z8833"/>
      <c r="AA8833"/>
      <c r="AC8833"/>
      <c r="AR8833"/>
    </row>
    <row r="8834" spans="24:44">
      <c r="X8834"/>
      <c r="Y8834"/>
      <c r="Z8834"/>
      <c r="AA8834"/>
      <c r="AC8834"/>
      <c r="AR8834"/>
    </row>
    <row r="8835" spans="24:44">
      <c r="X8835"/>
      <c r="Y8835"/>
      <c r="Z8835"/>
      <c r="AA8835"/>
      <c r="AC8835"/>
      <c r="AR8835"/>
    </row>
    <row r="8836" spans="24:44">
      <c r="X8836"/>
      <c r="Y8836"/>
      <c r="Z8836"/>
      <c r="AA8836"/>
      <c r="AC8836"/>
      <c r="AR8836"/>
    </row>
    <row r="8837" spans="24:44">
      <c r="X8837"/>
      <c r="Y8837"/>
      <c r="Z8837"/>
      <c r="AA8837"/>
      <c r="AC8837"/>
      <c r="AR8837"/>
    </row>
    <row r="8838" spans="24:44">
      <c r="X8838"/>
      <c r="Y8838"/>
      <c r="Z8838"/>
      <c r="AA8838"/>
      <c r="AC8838"/>
      <c r="AR8838"/>
    </row>
    <row r="8839" spans="24:44">
      <c r="X8839"/>
      <c r="Y8839"/>
      <c r="Z8839"/>
      <c r="AA8839"/>
      <c r="AC8839"/>
      <c r="AR8839"/>
    </row>
    <row r="8840" spans="24:44">
      <c r="X8840"/>
      <c r="Y8840"/>
      <c r="Z8840"/>
      <c r="AA8840"/>
      <c r="AC8840"/>
      <c r="AR8840"/>
    </row>
    <row r="8841" spans="24:44">
      <c r="X8841"/>
      <c r="Y8841"/>
      <c r="Z8841"/>
      <c r="AA8841"/>
      <c r="AC8841"/>
      <c r="AR8841"/>
    </row>
    <row r="8842" spans="24:44">
      <c r="X8842"/>
      <c r="Y8842"/>
      <c r="Z8842"/>
      <c r="AA8842"/>
      <c r="AC8842"/>
      <c r="AR8842"/>
    </row>
    <row r="8843" spans="24:44">
      <c r="X8843"/>
      <c r="Y8843"/>
      <c r="Z8843"/>
      <c r="AA8843"/>
      <c r="AC8843"/>
      <c r="AR8843"/>
    </row>
    <row r="8844" spans="24:44">
      <c r="X8844"/>
      <c r="Y8844"/>
      <c r="Z8844"/>
      <c r="AA8844"/>
      <c r="AC8844"/>
      <c r="AR8844"/>
    </row>
    <row r="8845" spans="24:44">
      <c r="X8845"/>
      <c r="Y8845"/>
      <c r="Z8845"/>
      <c r="AA8845"/>
      <c r="AC8845"/>
      <c r="AR8845"/>
    </row>
    <row r="8846" spans="24:44">
      <c r="X8846"/>
      <c r="Y8846"/>
      <c r="Z8846"/>
      <c r="AA8846"/>
      <c r="AC8846"/>
      <c r="AR8846"/>
    </row>
    <row r="8847" spans="24:44">
      <c r="X8847"/>
      <c r="Y8847"/>
      <c r="Z8847"/>
      <c r="AA8847"/>
      <c r="AC8847"/>
      <c r="AR8847"/>
    </row>
    <row r="8848" spans="24:44">
      <c r="X8848"/>
      <c r="Y8848"/>
      <c r="Z8848"/>
      <c r="AA8848"/>
      <c r="AC8848"/>
      <c r="AR8848"/>
    </row>
    <row r="8849" spans="24:44">
      <c r="X8849"/>
      <c r="Y8849"/>
      <c r="Z8849"/>
      <c r="AA8849"/>
      <c r="AC8849"/>
      <c r="AR8849"/>
    </row>
    <row r="8850" spans="24:44">
      <c r="X8850"/>
      <c r="Y8850"/>
      <c r="Z8850"/>
      <c r="AA8850"/>
      <c r="AC8850"/>
      <c r="AR8850"/>
    </row>
    <row r="8851" spans="24:44">
      <c r="X8851"/>
      <c r="Y8851"/>
      <c r="Z8851"/>
      <c r="AA8851"/>
      <c r="AC8851"/>
      <c r="AR8851"/>
    </row>
    <row r="8852" spans="24:44">
      <c r="X8852"/>
      <c r="Y8852"/>
      <c r="Z8852"/>
      <c r="AA8852"/>
      <c r="AC8852"/>
      <c r="AR8852"/>
    </row>
    <row r="8853" spans="24:44">
      <c r="X8853"/>
      <c r="Y8853"/>
      <c r="Z8853"/>
      <c r="AA8853"/>
      <c r="AC8853"/>
      <c r="AR8853"/>
    </row>
    <row r="8854" spans="24:44">
      <c r="X8854"/>
      <c r="Y8854"/>
      <c r="Z8854"/>
      <c r="AA8854"/>
      <c r="AC8854"/>
      <c r="AR8854"/>
    </row>
    <row r="8855" spans="24:44">
      <c r="X8855"/>
      <c r="Y8855"/>
      <c r="Z8855"/>
      <c r="AA8855"/>
      <c r="AC8855"/>
      <c r="AR8855"/>
    </row>
    <row r="8856" spans="24:44">
      <c r="X8856"/>
      <c r="Y8856"/>
      <c r="Z8856"/>
      <c r="AA8856"/>
      <c r="AC8856"/>
      <c r="AR8856"/>
    </row>
    <row r="8857" spans="24:44">
      <c r="X8857"/>
      <c r="Y8857"/>
      <c r="Z8857"/>
      <c r="AA8857"/>
      <c r="AC8857"/>
      <c r="AR8857"/>
    </row>
    <row r="8858" spans="24:44">
      <c r="X8858"/>
      <c r="Y8858"/>
      <c r="Z8858"/>
      <c r="AA8858"/>
      <c r="AC8858"/>
      <c r="AR8858"/>
    </row>
    <row r="8859" spans="24:44">
      <c r="X8859"/>
      <c r="Y8859"/>
      <c r="Z8859"/>
      <c r="AA8859"/>
      <c r="AC8859"/>
      <c r="AR8859"/>
    </row>
    <row r="8860" spans="24:44">
      <c r="X8860"/>
      <c r="Y8860"/>
      <c r="Z8860"/>
      <c r="AA8860"/>
      <c r="AC8860"/>
      <c r="AR8860"/>
    </row>
    <row r="8861" spans="24:44">
      <c r="X8861"/>
      <c r="Y8861"/>
      <c r="Z8861"/>
      <c r="AA8861"/>
      <c r="AC8861"/>
      <c r="AR8861"/>
    </row>
    <row r="8862" spans="24:44">
      <c r="X8862"/>
      <c r="Y8862"/>
      <c r="Z8862"/>
      <c r="AA8862"/>
      <c r="AC8862"/>
      <c r="AR8862"/>
    </row>
    <row r="8863" spans="24:44">
      <c r="X8863"/>
      <c r="Y8863"/>
      <c r="Z8863"/>
      <c r="AA8863"/>
      <c r="AC8863"/>
      <c r="AR8863"/>
    </row>
    <row r="8864" spans="24:44">
      <c r="X8864"/>
      <c r="Y8864"/>
      <c r="Z8864"/>
      <c r="AA8864"/>
      <c r="AC8864"/>
      <c r="AR8864"/>
    </row>
    <row r="8865" spans="24:44">
      <c r="X8865"/>
      <c r="Y8865"/>
      <c r="Z8865"/>
      <c r="AA8865"/>
      <c r="AC8865"/>
      <c r="AR8865"/>
    </row>
    <row r="8866" spans="24:44">
      <c r="X8866"/>
      <c r="Y8866"/>
      <c r="Z8866"/>
      <c r="AA8866"/>
      <c r="AC8866"/>
      <c r="AR8866"/>
    </row>
    <row r="8867" spans="24:44">
      <c r="X8867"/>
      <c r="Y8867"/>
      <c r="Z8867"/>
      <c r="AA8867"/>
      <c r="AC8867"/>
      <c r="AR8867"/>
    </row>
    <row r="8868" spans="24:44">
      <c r="X8868"/>
      <c r="Y8868"/>
      <c r="Z8868"/>
      <c r="AA8868"/>
      <c r="AC8868"/>
      <c r="AR8868"/>
    </row>
    <row r="8869" spans="24:44">
      <c r="X8869"/>
      <c r="Y8869"/>
      <c r="Z8869"/>
      <c r="AA8869"/>
      <c r="AC8869"/>
      <c r="AR8869"/>
    </row>
    <row r="8870" spans="24:44">
      <c r="X8870"/>
      <c r="Y8870"/>
      <c r="Z8870"/>
      <c r="AA8870"/>
      <c r="AC8870"/>
      <c r="AR8870"/>
    </row>
    <row r="8871" spans="24:44">
      <c r="X8871"/>
      <c r="Y8871"/>
      <c r="Z8871"/>
      <c r="AA8871"/>
      <c r="AC8871"/>
      <c r="AR8871"/>
    </row>
    <row r="8872" spans="24:44">
      <c r="X8872"/>
      <c r="Y8872"/>
      <c r="Z8872"/>
      <c r="AA8872"/>
      <c r="AC8872"/>
      <c r="AR8872"/>
    </row>
    <row r="8873" spans="24:44">
      <c r="X8873"/>
      <c r="Y8873"/>
      <c r="Z8873"/>
      <c r="AA8873"/>
      <c r="AC8873"/>
      <c r="AR8873"/>
    </row>
    <row r="8874" spans="24:44">
      <c r="X8874"/>
      <c r="Y8874"/>
      <c r="Z8874"/>
      <c r="AA8874"/>
      <c r="AC8874"/>
      <c r="AR8874"/>
    </row>
    <row r="8875" spans="24:44">
      <c r="X8875"/>
      <c r="Y8875"/>
      <c r="Z8875"/>
      <c r="AA8875"/>
      <c r="AC8875"/>
      <c r="AR8875"/>
    </row>
    <row r="8876" spans="24:44">
      <c r="X8876"/>
      <c r="Y8876"/>
      <c r="Z8876"/>
      <c r="AA8876"/>
      <c r="AC8876"/>
      <c r="AR8876"/>
    </row>
    <row r="8877" spans="24:44">
      <c r="X8877"/>
      <c r="Y8877"/>
      <c r="Z8877"/>
      <c r="AA8877"/>
      <c r="AC8877"/>
      <c r="AR8877"/>
    </row>
    <row r="8878" spans="24:44">
      <c r="X8878"/>
      <c r="Y8878"/>
      <c r="Z8878"/>
      <c r="AA8878"/>
      <c r="AC8878"/>
      <c r="AR8878"/>
    </row>
    <row r="8879" spans="24:44">
      <c r="X8879"/>
      <c r="Y8879"/>
      <c r="Z8879"/>
      <c r="AA8879"/>
      <c r="AC8879"/>
      <c r="AR8879"/>
    </row>
    <row r="8880" spans="24:44">
      <c r="X8880"/>
      <c r="Y8880"/>
      <c r="Z8880"/>
      <c r="AA8880"/>
      <c r="AC8880"/>
      <c r="AR8880"/>
    </row>
    <row r="8881" spans="24:44">
      <c r="X8881"/>
      <c r="Y8881"/>
      <c r="Z8881"/>
      <c r="AA8881"/>
      <c r="AC8881"/>
      <c r="AR8881"/>
    </row>
    <row r="8882" spans="24:44">
      <c r="X8882"/>
      <c r="Y8882"/>
      <c r="Z8882"/>
      <c r="AA8882"/>
      <c r="AC8882"/>
      <c r="AR8882"/>
    </row>
    <row r="8883" spans="24:44">
      <c r="X8883"/>
      <c r="Y8883"/>
      <c r="Z8883"/>
      <c r="AA8883"/>
      <c r="AC8883"/>
      <c r="AR8883"/>
    </row>
    <row r="8884" spans="24:44">
      <c r="X8884"/>
      <c r="Y8884"/>
      <c r="Z8884"/>
      <c r="AA8884"/>
      <c r="AC8884"/>
      <c r="AR8884"/>
    </row>
    <row r="8885" spans="24:44">
      <c r="X8885"/>
      <c r="Y8885"/>
      <c r="Z8885"/>
      <c r="AA8885"/>
      <c r="AC8885"/>
      <c r="AR8885"/>
    </row>
    <row r="8886" spans="24:44">
      <c r="X8886"/>
      <c r="Y8886"/>
      <c r="Z8886"/>
      <c r="AA8886"/>
      <c r="AC8886"/>
      <c r="AR8886"/>
    </row>
    <row r="8887" spans="24:44">
      <c r="X8887"/>
      <c r="Y8887"/>
      <c r="Z8887"/>
      <c r="AA8887"/>
      <c r="AC8887"/>
      <c r="AR8887"/>
    </row>
    <row r="8888" spans="24:44">
      <c r="X8888"/>
      <c r="Y8888"/>
      <c r="Z8888"/>
      <c r="AA8888"/>
      <c r="AC8888"/>
      <c r="AR8888"/>
    </row>
    <row r="8889" spans="24:44">
      <c r="X8889"/>
      <c r="Y8889"/>
      <c r="Z8889"/>
      <c r="AA8889"/>
      <c r="AC8889"/>
      <c r="AR8889"/>
    </row>
    <row r="8890" spans="24:44">
      <c r="X8890"/>
      <c r="Y8890"/>
      <c r="Z8890"/>
      <c r="AA8890"/>
      <c r="AC8890"/>
      <c r="AR8890"/>
    </row>
    <row r="8891" spans="24:44">
      <c r="X8891"/>
      <c r="Y8891"/>
      <c r="Z8891"/>
      <c r="AA8891"/>
      <c r="AC8891"/>
      <c r="AR8891"/>
    </row>
    <row r="8892" spans="24:44">
      <c r="X8892"/>
      <c r="Y8892"/>
      <c r="Z8892"/>
      <c r="AA8892"/>
      <c r="AC8892"/>
      <c r="AR8892"/>
    </row>
    <row r="8893" spans="24:44">
      <c r="X8893"/>
      <c r="Y8893"/>
      <c r="Z8893"/>
      <c r="AA8893"/>
      <c r="AC8893"/>
      <c r="AR8893"/>
    </row>
    <row r="8894" spans="24:44">
      <c r="X8894"/>
      <c r="Y8894"/>
      <c r="Z8894"/>
      <c r="AA8894"/>
      <c r="AC8894"/>
      <c r="AR8894"/>
    </row>
    <row r="8895" spans="24:44">
      <c r="X8895"/>
      <c r="Y8895"/>
      <c r="Z8895"/>
      <c r="AA8895"/>
      <c r="AC8895"/>
      <c r="AR8895"/>
    </row>
    <row r="8896" spans="24:44">
      <c r="X8896"/>
      <c r="Y8896"/>
      <c r="Z8896"/>
      <c r="AA8896"/>
      <c r="AC8896"/>
      <c r="AR8896"/>
    </row>
    <row r="8897" spans="24:44">
      <c r="X8897"/>
      <c r="Y8897"/>
      <c r="Z8897"/>
      <c r="AA8897"/>
      <c r="AC8897"/>
      <c r="AR8897"/>
    </row>
    <row r="8898" spans="24:44">
      <c r="X8898"/>
      <c r="Y8898"/>
      <c r="Z8898"/>
      <c r="AA8898"/>
      <c r="AC8898"/>
      <c r="AR8898"/>
    </row>
    <row r="8899" spans="24:44">
      <c r="X8899"/>
      <c r="Y8899"/>
      <c r="Z8899"/>
      <c r="AA8899"/>
      <c r="AC8899"/>
      <c r="AR8899"/>
    </row>
    <row r="8900" spans="24:44">
      <c r="X8900"/>
      <c r="Y8900"/>
      <c r="Z8900"/>
      <c r="AA8900"/>
      <c r="AC8900"/>
      <c r="AR8900"/>
    </row>
    <row r="8901" spans="24:44">
      <c r="X8901"/>
      <c r="Y8901"/>
      <c r="Z8901"/>
      <c r="AA8901"/>
      <c r="AC8901"/>
      <c r="AR8901"/>
    </row>
    <row r="8902" spans="24:44">
      <c r="X8902"/>
      <c r="Y8902"/>
      <c r="Z8902"/>
      <c r="AA8902"/>
      <c r="AC8902"/>
      <c r="AR8902"/>
    </row>
    <row r="8903" spans="24:44">
      <c r="X8903"/>
      <c r="Y8903"/>
      <c r="Z8903"/>
      <c r="AA8903"/>
      <c r="AC8903"/>
      <c r="AR8903"/>
    </row>
    <row r="8904" spans="24:44">
      <c r="X8904"/>
      <c r="Y8904"/>
      <c r="Z8904"/>
      <c r="AA8904"/>
      <c r="AC8904"/>
      <c r="AR8904"/>
    </row>
    <row r="8905" spans="24:44">
      <c r="X8905"/>
      <c r="Y8905"/>
      <c r="Z8905"/>
      <c r="AA8905"/>
      <c r="AC8905"/>
      <c r="AR8905"/>
    </row>
    <row r="8906" spans="24:44">
      <c r="X8906"/>
      <c r="Y8906"/>
      <c r="Z8906"/>
      <c r="AA8906"/>
      <c r="AC8906"/>
      <c r="AR8906"/>
    </row>
    <row r="8907" spans="24:44">
      <c r="X8907"/>
      <c r="Y8907"/>
      <c r="Z8907"/>
      <c r="AA8907"/>
      <c r="AC8907"/>
      <c r="AR8907"/>
    </row>
    <row r="8908" spans="24:44">
      <c r="X8908"/>
      <c r="Y8908"/>
      <c r="Z8908"/>
      <c r="AA8908"/>
      <c r="AC8908"/>
      <c r="AR8908"/>
    </row>
    <row r="8909" spans="24:44">
      <c r="X8909"/>
      <c r="Y8909"/>
      <c r="Z8909"/>
      <c r="AA8909"/>
      <c r="AC8909"/>
      <c r="AR8909"/>
    </row>
    <row r="8910" spans="24:44">
      <c r="X8910"/>
      <c r="Y8910"/>
      <c r="Z8910"/>
      <c r="AA8910"/>
      <c r="AC8910"/>
      <c r="AR8910"/>
    </row>
    <row r="8911" spans="24:44">
      <c r="X8911"/>
      <c r="Y8911"/>
      <c r="Z8911"/>
      <c r="AA8911"/>
      <c r="AC8911"/>
      <c r="AR8911"/>
    </row>
    <row r="8912" spans="24:44">
      <c r="X8912"/>
      <c r="Y8912"/>
      <c r="Z8912"/>
      <c r="AA8912"/>
      <c r="AC8912"/>
      <c r="AR8912"/>
    </row>
    <row r="8913" spans="24:44">
      <c r="X8913"/>
      <c r="Y8913"/>
      <c r="Z8913"/>
      <c r="AA8913"/>
      <c r="AC8913"/>
      <c r="AR8913"/>
    </row>
    <row r="8914" spans="24:44">
      <c r="X8914"/>
      <c r="Y8914"/>
      <c r="Z8914"/>
      <c r="AA8914"/>
      <c r="AC8914"/>
      <c r="AR8914"/>
    </row>
    <row r="8915" spans="24:44">
      <c r="X8915"/>
      <c r="Y8915"/>
      <c r="Z8915"/>
      <c r="AA8915"/>
      <c r="AC8915"/>
      <c r="AR8915"/>
    </row>
    <row r="8916" spans="24:44">
      <c r="X8916"/>
      <c r="Y8916"/>
      <c r="Z8916"/>
      <c r="AA8916"/>
      <c r="AC8916"/>
      <c r="AR8916"/>
    </row>
    <row r="8917" spans="24:44">
      <c r="X8917"/>
      <c r="Y8917"/>
      <c r="Z8917"/>
      <c r="AA8917"/>
      <c r="AC8917"/>
      <c r="AR8917"/>
    </row>
    <row r="8918" spans="24:44">
      <c r="X8918"/>
      <c r="Y8918"/>
      <c r="Z8918"/>
      <c r="AA8918"/>
      <c r="AC8918"/>
      <c r="AR8918"/>
    </row>
    <row r="8919" spans="24:44">
      <c r="X8919"/>
      <c r="Y8919"/>
      <c r="Z8919"/>
      <c r="AA8919"/>
      <c r="AC8919"/>
      <c r="AR8919"/>
    </row>
    <row r="8920" spans="24:44">
      <c r="X8920"/>
      <c r="Y8920"/>
      <c r="Z8920"/>
      <c r="AA8920"/>
      <c r="AC8920"/>
      <c r="AR8920"/>
    </row>
    <row r="8921" spans="24:44">
      <c r="X8921"/>
      <c r="Y8921"/>
      <c r="Z8921"/>
      <c r="AA8921"/>
      <c r="AC8921"/>
      <c r="AR8921"/>
    </row>
    <row r="8922" spans="24:44">
      <c r="X8922"/>
      <c r="Y8922"/>
      <c r="Z8922"/>
      <c r="AA8922"/>
      <c r="AC8922"/>
      <c r="AR8922"/>
    </row>
    <row r="8923" spans="24:44">
      <c r="X8923"/>
      <c r="Y8923"/>
      <c r="Z8923"/>
      <c r="AA8923"/>
      <c r="AC8923"/>
      <c r="AR8923"/>
    </row>
    <row r="8924" spans="24:44">
      <c r="X8924"/>
      <c r="Y8924"/>
      <c r="Z8924"/>
      <c r="AA8924"/>
      <c r="AC8924"/>
      <c r="AR8924"/>
    </row>
    <row r="8925" spans="24:44">
      <c r="X8925"/>
      <c r="Y8925"/>
      <c r="Z8925"/>
      <c r="AA8925"/>
      <c r="AC8925"/>
      <c r="AR8925"/>
    </row>
    <row r="8926" spans="24:44">
      <c r="X8926"/>
      <c r="Y8926"/>
      <c r="Z8926"/>
      <c r="AA8926"/>
      <c r="AC8926"/>
      <c r="AR8926"/>
    </row>
    <row r="8927" spans="24:44">
      <c r="X8927"/>
      <c r="Y8927"/>
      <c r="Z8927"/>
      <c r="AA8927"/>
      <c r="AC8927"/>
      <c r="AR8927"/>
    </row>
    <row r="8928" spans="24:44">
      <c r="X8928"/>
      <c r="Y8928"/>
      <c r="Z8928"/>
      <c r="AA8928"/>
      <c r="AC8928"/>
      <c r="AR8928"/>
    </row>
    <row r="8929" spans="24:44">
      <c r="X8929"/>
      <c r="Y8929"/>
      <c r="Z8929"/>
      <c r="AA8929"/>
      <c r="AC8929"/>
      <c r="AR8929"/>
    </row>
    <row r="8930" spans="24:44">
      <c r="X8930"/>
      <c r="Y8930"/>
      <c r="Z8930"/>
      <c r="AA8930"/>
      <c r="AC8930"/>
      <c r="AR8930"/>
    </row>
    <row r="8931" spans="24:44">
      <c r="X8931"/>
      <c r="Y8931"/>
      <c r="Z8931"/>
      <c r="AA8931"/>
      <c r="AC8931"/>
      <c r="AR8931"/>
    </row>
    <row r="8932" spans="24:44">
      <c r="X8932"/>
      <c r="Y8932"/>
      <c r="Z8932"/>
      <c r="AA8932"/>
      <c r="AC8932"/>
      <c r="AR8932"/>
    </row>
    <row r="8933" spans="24:44">
      <c r="X8933"/>
      <c r="Y8933"/>
      <c r="Z8933"/>
      <c r="AA8933"/>
      <c r="AC8933"/>
      <c r="AR8933"/>
    </row>
    <row r="8934" spans="24:44">
      <c r="X8934"/>
      <c r="Y8934"/>
      <c r="Z8934"/>
      <c r="AA8934"/>
      <c r="AC8934"/>
      <c r="AR8934"/>
    </row>
    <row r="8935" spans="24:44">
      <c r="X8935"/>
      <c r="Y8935"/>
      <c r="Z8935"/>
      <c r="AA8935"/>
      <c r="AC8935"/>
      <c r="AR8935"/>
    </row>
    <row r="8936" spans="24:44">
      <c r="X8936"/>
      <c r="Y8936"/>
      <c r="Z8936"/>
      <c r="AA8936"/>
      <c r="AC8936"/>
      <c r="AR8936"/>
    </row>
    <row r="8937" spans="24:44">
      <c r="X8937"/>
      <c r="Y8937"/>
      <c r="Z8937"/>
      <c r="AA8937"/>
      <c r="AC8937"/>
      <c r="AR8937"/>
    </row>
    <row r="8938" spans="24:44">
      <c r="X8938"/>
      <c r="Y8938"/>
      <c r="Z8938"/>
      <c r="AA8938"/>
      <c r="AC8938"/>
      <c r="AR8938"/>
    </row>
    <row r="8939" spans="24:44">
      <c r="X8939"/>
      <c r="Y8939"/>
      <c r="Z8939"/>
      <c r="AA8939"/>
      <c r="AC8939"/>
      <c r="AR8939"/>
    </row>
    <row r="8940" spans="24:44">
      <c r="X8940"/>
      <c r="Y8940"/>
      <c r="Z8940"/>
      <c r="AA8940"/>
      <c r="AC8940"/>
      <c r="AR8940"/>
    </row>
    <row r="8941" spans="24:44">
      <c r="X8941"/>
      <c r="Y8941"/>
      <c r="Z8941"/>
      <c r="AA8941"/>
      <c r="AC8941"/>
      <c r="AR8941"/>
    </row>
    <row r="8942" spans="24:44">
      <c r="X8942"/>
      <c r="Y8942"/>
      <c r="Z8942"/>
      <c r="AA8942"/>
      <c r="AC8942"/>
      <c r="AR8942"/>
    </row>
    <row r="8943" spans="24:44">
      <c r="X8943"/>
      <c r="Y8943"/>
      <c r="Z8943"/>
      <c r="AA8943"/>
      <c r="AC8943"/>
      <c r="AR8943"/>
    </row>
    <row r="8944" spans="24:44">
      <c r="X8944"/>
      <c r="Y8944"/>
      <c r="Z8944"/>
      <c r="AA8944"/>
      <c r="AC8944"/>
      <c r="AR8944"/>
    </row>
    <row r="8945" spans="24:44">
      <c r="X8945"/>
      <c r="Y8945"/>
      <c r="Z8945"/>
      <c r="AA8945"/>
      <c r="AC8945"/>
      <c r="AR8945"/>
    </row>
    <row r="8946" spans="24:44">
      <c r="X8946"/>
      <c r="Y8946"/>
      <c r="Z8946"/>
      <c r="AA8946"/>
      <c r="AC8946"/>
      <c r="AR8946"/>
    </row>
    <row r="8947" spans="24:44">
      <c r="X8947"/>
      <c r="Y8947"/>
      <c r="Z8947"/>
      <c r="AA8947"/>
      <c r="AC8947"/>
      <c r="AR8947"/>
    </row>
    <row r="8948" spans="24:44">
      <c r="X8948"/>
      <c r="Y8948"/>
      <c r="Z8948"/>
      <c r="AA8948"/>
      <c r="AC8948"/>
      <c r="AR8948"/>
    </row>
    <row r="8949" spans="24:44">
      <c r="X8949"/>
      <c r="Y8949"/>
      <c r="Z8949"/>
      <c r="AA8949"/>
      <c r="AC8949"/>
      <c r="AR8949"/>
    </row>
    <row r="8950" spans="24:44">
      <c r="X8950"/>
      <c r="Y8950"/>
      <c r="Z8950"/>
      <c r="AA8950"/>
      <c r="AC8950"/>
      <c r="AR8950"/>
    </row>
    <row r="8951" spans="24:44">
      <c r="X8951"/>
      <c r="Y8951"/>
      <c r="Z8951"/>
      <c r="AA8951"/>
      <c r="AC8951"/>
      <c r="AR8951"/>
    </row>
    <row r="8952" spans="24:44">
      <c r="X8952"/>
      <c r="Y8952"/>
      <c r="Z8952"/>
      <c r="AA8952"/>
      <c r="AC8952"/>
      <c r="AR8952"/>
    </row>
    <row r="8953" spans="24:44">
      <c r="X8953"/>
      <c r="Y8953"/>
      <c r="Z8953"/>
      <c r="AA8953"/>
      <c r="AC8953"/>
      <c r="AR8953"/>
    </row>
    <row r="8954" spans="24:44">
      <c r="X8954"/>
      <c r="Y8954"/>
      <c r="Z8954"/>
      <c r="AA8954"/>
      <c r="AC8954"/>
      <c r="AR8954"/>
    </row>
    <row r="8955" spans="24:44">
      <c r="X8955"/>
      <c r="Y8955"/>
      <c r="Z8955"/>
      <c r="AA8955"/>
      <c r="AC8955"/>
      <c r="AR8955"/>
    </row>
    <row r="8956" spans="24:44">
      <c r="X8956"/>
      <c r="Y8956"/>
      <c r="Z8956"/>
      <c r="AA8956"/>
      <c r="AC8956"/>
      <c r="AR8956"/>
    </row>
    <row r="8957" spans="24:44">
      <c r="X8957"/>
      <c r="Y8957"/>
      <c r="Z8957"/>
      <c r="AA8957"/>
      <c r="AC8957"/>
      <c r="AR8957"/>
    </row>
    <row r="8958" spans="24:44">
      <c r="X8958"/>
      <c r="Y8958"/>
      <c r="Z8958"/>
      <c r="AA8958"/>
      <c r="AC8958"/>
      <c r="AR8958"/>
    </row>
    <row r="8959" spans="24:44">
      <c r="X8959"/>
      <c r="Y8959"/>
      <c r="Z8959"/>
      <c r="AA8959"/>
      <c r="AC8959"/>
      <c r="AR8959"/>
    </row>
    <row r="8960" spans="24:44">
      <c r="X8960"/>
      <c r="Y8960"/>
      <c r="Z8960"/>
      <c r="AA8960"/>
      <c r="AC8960"/>
      <c r="AR8960"/>
    </row>
    <row r="8961" spans="24:44">
      <c r="X8961"/>
      <c r="Y8961"/>
      <c r="Z8961"/>
      <c r="AA8961"/>
      <c r="AC8961"/>
      <c r="AR8961"/>
    </row>
    <row r="8962" spans="24:44">
      <c r="X8962"/>
      <c r="Y8962"/>
      <c r="Z8962"/>
      <c r="AA8962"/>
      <c r="AC8962"/>
      <c r="AR8962"/>
    </row>
    <row r="8963" spans="24:44">
      <c r="X8963"/>
      <c r="Y8963"/>
      <c r="Z8963"/>
      <c r="AA8963"/>
      <c r="AC8963"/>
      <c r="AR8963"/>
    </row>
    <row r="8964" spans="24:44">
      <c r="X8964"/>
      <c r="Y8964"/>
      <c r="Z8964"/>
      <c r="AA8964"/>
      <c r="AC8964"/>
      <c r="AR8964"/>
    </row>
    <row r="8965" spans="24:44">
      <c r="X8965"/>
      <c r="Y8965"/>
      <c r="Z8965"/>
      <c r="AA8965"/>
      <c r="AC8965"/>
      <c r="AR8965"/>
    </row>
    <row r="8966" spans="24:44">
      <c r="X8966"/>
      <c r="Y8966"/>
      <c r="Z8966"/>
      <c r="AA8966"/>
      <c r="AC8966"/>
      <c r="AR8966"/>
    </row>
    <row r="8967" spans="24:44">
      <c r="X8967"/>
      <c r="Y8967"/>
      <c r="Z8967"/>
      <c r="AA8967"/>
      <c r="AC8967"/>
      <c r="AR8967"/>
    </row>
    <row r="8968" spans="24:44">
      <c r="X8968"/>
      <c r="Y8968"/>
      <c r="Z8968"/>
      <c r="AA8968"/>
      <c r="AC8968"/>
      <c r="AR8968"/>
    </row>
    <row r="8969" spans="24:44">
      <c r="X8969"/>
      <c r="Y8969"/>
      <c r="Z8969"/>
      <c r="AA8969"/>
      <c r="AC8969"/>
      <c r="AR8969"/>
    </row>
    <row r="8970" spans="24:44">
      <c r="X8970"/>
      <c r="Y8970"/>
      <c r="Z8970"/>
      <c r="AA8970"/>
      <c r="AC8970"/>
      <c r="AR8970"/>
    </row>
    <row r="8971" spans="24:44">
      <c r="X8971"/>
      <c r="Y8971"/>
      <c r="Z8971"/>
      <c r="AA8971"/>
      <c r="AC8971"/>
      <c r="AR8971"/>
    </row>
    <row r="8972" spans="24:44">
      <c r="X8972"/>
      <c r="Y8972"/>
      <c r="Z8972"/>
      <c r="AA8972"/>
      <c r="AC8972"/>
      <c r="AR8972"/>
    </row>
    <row r="8973" spans="24:44">
      <c r="X8973"/>
      <c r="Y8973"/>
      <c r="Z8973"/>
      <c r="AA8973"/>
      <c r="AC8973"/>
      <c r="AR8973"/>
    </row>
    <row r="8974" spans="24:44">
      <c r="X8974"/>
      <c r="Y8974"/>
      <c r="Z8974"/>
      <c r="AA8974"/>
      <c r="AC8974"/>
      <c r="AR8974"/>
    </row>
    <row r="8975" spans="24:44">
      <c r="X8975"/>
      <c r="Y8975"/>
      <c r="Z8975"/>
      <c r="AA8975"/>
      <c r="AC8975"/>
      <c r="AR8975"/>
    </row>
    <row r="8976" spans="24:44">
      <c r="X8976"/>
      <c r="Y8976"/>
      <c r="Z8976"/>
      <c r="AA8976"/>
      <c r="AC8976"/>
      <c r="AR8976"/>
    </row>
    <row r="8977" spans="24:44">
      <c r="X8977"/>
      <c r="Y8977"/>
      <c r="Z8977"/>
      <c r="AA8977"/>
      <c r="AC8977"/>
      <c r="AR8977"/>
    </row>
    <row r="8978" spans="24:44">
      <c r="X8978"/>
      <c r="Y8978"/>
      <c r="Z8978"/>
      <c r="AA8978"/>
      <c r="AC8978"/>
      <c r="AR8978"/>
    </row>
    <row r="8979" spans="24:44">
      <c r="X8979"/>
      <c r="Y8979"/>
      <c r="Z8979"/>
      <c r="AA8979"/>
      <c r="AC8979"/>
      <c r="AR8979"/>
    </row>
    <row r="8980" spans="24:44">
      <c r="X8980"/>
      <c r="Y8980"/>
      <c r="Z8980"/>
      <c r="AA8980"/>
      <c r="AC8980"/>
      <c r="AR8980"/>
    </row>
    <row r="8981" spans="24:44">
      <c r="X8981"/>
      <c r="Y8981"/>
      <c r="Z8981"/>
      <c r="AA8981"/>
      <c r="AC8981"/>
      <c r="AR8981"/>
    </row>
    <row r="8982" spans="24:44">
      <c r="X8982"/>
      <c r="Y8982"/>
      <c r="Z8982"/>
      <c r="AA8982"/>
      <c r="AC8982"/>
      <c r="AR8982"/>
    </row>
    <row r="8983" spans="24:44">
      <c r="X8983"/>
      <c r="Y8983"/>
      <c r="Z8983"/>
      <c r="AA8983"/>
      <c r="AC8983"/>
      <c r="AR8983"/>
    </row>
    <row r="8984" spans="24:44">
      <c r="X8984"/>
      <c r="Y8984"/>
      <c r="Z8984"/>
      <c r="AA8984"/>
      <c r="AC8984"/>
      <c r="AR8984"/>
    </row>
    <row r="8985" spans="24:44">
      <c r="X8985"/>
      <c r="Y8985"/>
      <c r="Z8985"/>
      <c r="AA8985"/>
      <c r="AC8985"/>
      <c r="AR8985"/>
    </row>
    <row r="8986" spans="24:44">
      <c r="X8986"/>
      <c r="Y8986"/>
      <c r="Z8986"/>
      <c r="AA8986"/>
      <c r="AC8986"/>
      <c r="AR8986"/>
    </row>
    <row r="8987" spans="24:44">
      <c r="X8987"/>
      <c r="Y8987"/>
      <c r="Z8987"/>
      <c r="AA8987"/>
      <c r="AC8987"/>
      <c r="AR8987"/>
    </row>
    <row r="8988" spans="24:44">
      <c r="X8988"/>
      <c r="Y8988"/>
      <c r="Z8988"/>
      <c r="AA8988"/>
      <c r="AC8988"/>
      <c r="AR8988"/>
    </row>
    <row r="8989" spans="24:44">
      <c r="X8989"/>
      <c r="Y8989"/>
      <c r="Z8989"/>
      <c r="AA8989"/>
      <c r="AC8989"/>
      <c r="AR8989"/>
    </row>
    <row r="8990" spans="24:44">
      <c r="X8990"/>
      <c r="Y8990"/>
      <c r="Z8990"/>
      <c r="AA8990"/>
      <c r="AC8990"/>
      <c r="AR8990"/>
    </row>
    <row r="8991" spans="24:44">
      <c r="X8991"/>
      <c r="Y8991"/>
      <c r="Z8991"/>
      <c r="AA8991"/>
      <c r="AC8991"/>
      <c r="AR8991"/>
    </row>
    <row r="8992" spans="24:44">
      <c r="X8992"/>
      <c r="Y8992"/>
      <c r="Z8992"/>
      <c r="AA8992"/>
      <c r="AC8992"/>
      <c r="AR8992"/>
    </row>
    <row r="8993" spans="24:44">
      <c r="X8993"/>
      <c r="Y8993"/>
      <c r="Z8993"/>
      <c r="AA8993"/>
      <c r="AC8993"/>
      <c r="AR8993"/>
    </row>
    <row r="8994" spans="24:44">
      <c r="X8994"/>
      <c r="Y8994"/>
      <c r="Z8994"/>
      <c r="AA8994"/>
      <c r="AC8994"/>
      <c r="AR8994"/>
    </row>
    <row r="8995" spans="24:44">
      <c r="X8995"/>
      <c r="Y8995"/>
      <c r="Z8995"/>
      <c r="AA8995"/>
      <c r="AC8995"/>
      <c r="AR8995"/>
    </row>
    <row r="8996" spans="24:44">
      <c r="X8996"/>
      <c r="Y8996"/>
      <c r="Z8996"/>
      <c r="AA8996"/>
      <c r="AC8996"/>
      <c r="AR8996"/>
    </row>
    <row r="8997" spans="24:44">
      <c r="X8997"/>
      <c r="Y8997"/>
      <c r="Z8997"/>
      <c r="AA8997"/>
      <c r="AC8997"/>
      <c r="AR8997"/>
    </row>
    <row r="8998" spans="24:44">
      <c r="X8998"/>
      <c r="Y8998"/>
      <c r="Z8998"/>
      <c r="AA8998"/>
      <c r="AC8998"/>
      <c r="AR8998"/>
    </row>
    <row r="8999" spans="24:44">
      <c r="X8999"/>
      <c r="Y8999"/>
      <c r="Z8999"/>
      <c r="AA8999"/>
      <c r="AC8999"/>
      <c r="AR8999"/>
    </row>
    <row r="9000" spans="24:44">
      <c r="X9000"/>
      <c r="Y9000"/>
      <c r="Z9000"/>
      <c r="AA9000"/>
      <c r="AC9000"/>
      <c r="AR9000"/>
    </row>
    <row r="9001" spans="24:44">
      <c r="X9001"/>
      <c r="Y9001"/>
      <c r="Z9001"/>
      <c r="AA9001"/>
      <c r="AC9001"/>
      <c r="AR9001"/>
    </row>
    <row r="9002" spans="24:44">
      <c r="X9002"/>
      <c r="Y9002"/>
      <c r="Z9002"/>
      <c r="AA9002"/>
      <c r="AC9002"/>
      <c r="AR9002"/>
    </row>
    <row r="9003" spans="24:44">
      <c r="X9003"/>
      <c r="Y9003"/>
      <c r="Z9003"/>
      <c r="AA9003"/>
      <c r="AC9003"/>
      <c r="AR9003"/>
    </row>
    <row r="9004" spans="24:44">
      <c r="X9004"/>
      <c r="Y9004"/>
      <c r="Z9004"/>
      <c r="AA9004"/>
      <c r="AC9004"/>
      <c r="AR9004"/>
    </row>
    <row r="9005" spans="24:44">
      <c r="X9005"/>
      <c r="Y9005"/>
      <c r="Z9005"/>
      <c r="AA9005"/>
      <c r="AC9005"/>
      <c r="AR9005"/>
    </row>
    <row r="9006" spans="24:44">
      <c r="X9006"/>
      <c r="Y9006"/>
      <c r="Z9006"/>
      <c r="AA9006"/>
      <c r="AC9006"/>
      <c r="AR9006"/>
    </row>
    <row r="9007" spans="24:44">
      <c r="X9007"/>
      <c r="Y9007"/>
      <c r="Z9007"/>
      <c r="AA9007"/>
      <c r="AC9007"/>
      <c r="AR9007"/>
    </row>
    <row r="9008" spans="24:44">
      <c r="X9008"/>
      <c r="Y9008"/>
      <c r="Z9008"/>
      <c r="AA9008"/>
      <c r="AC9008"/>
      <c r="AR9008"/>
    </row>
    <row r="9009" spans="24:44">
      <c r="X9009"/>
      <c r="Y9009"/>
      <c r="Z9009"/>
      <c r="AA9009"/>
      <c r="AC9009"/>
      <c r="AR9009"/>
    </row>
    <row r="9010" spans="24:44">
      <c r="X9010"/>
      <c r="Y9010"/>
      <c r="Z9010"/>
      <c r="AA9010"/>
      <c r="AC9010"/>
      <c r="AR9010"/>
    </row>
    <row r="9011" spans="24:44">
      <c r="X9011"/>
      <c r="Y9011"/>
      <c r="Z9011"/>
      <c r="AA9011"/>
      <c r="AC9011"/>
      <c r="AR9011"/>
    </row>
    <row r="9012" spans="24:44">
      <c r="X9012"/>
      <c r="Y9012"/>
      <c r="Z9012"/>
      <c r="AA9012"/>
      <c r="AC9012"/>
      <c r="AR9012"/>
    </row>
    <row r="9013" spans="24:44">
      <c r="X9013"/>
      <c r="Y9013"/>
      <c r="Z9013"/>
      <c r="AA9013"/>
      <c r="AC9013"/>
      <c r="AR9013"/>
    </row>
    <row r="9014" spans="24:44">
      <c r="X9014"/>
      <c r="Y9014"/>
      <c r="Z9014"/>
      <c r="AA9014"/>
      <c r="AC9014"/>
      <c r="AR9014"/>
    </row>
    <row r="9015" spans="24:44">
      <c r="X9015"/>
      <c r="Y9015"/>
      <c r="Z9015"/>
      <c r="AA9015"/>
      <c r="AC9015"/>
      <c r="AR9015"/>
    </row>
    <row r="9016" spans="24:44">
      <c r="X9016"/>
      <c r="Y9016"/>
      <c r="Z9016"/>
      <c r="AA9016"/>
      <c r="AC9016"/>
      <c r="AR9016"/>
    </row>
    <row r="9017" spans="24:44">
      <c r="X9017"/>
      <c r="Y9017"/>
      <c r="Z9017"/>
      <c r="AA9017"/>
      <c r="AC9017"/>
      <c r="AR9017"/>
    </row>
    <row r="9018" spans="24:44">
      <c r="X9018"/>
      <c r="Y9018"/>
      <c r="Z9018"/>
      <c r="AA9018"/>
      <c r="AC9018"/>
      <c r="AR9018"/>
    </row>
    <row r="9019" spans="24:44">
      <c r="X9019"/>
      <c r="Y9019"/>
      <c r="Z9019"/>
      <c r="AA9019"/>
      <c r="AC9019"/>
      <c r="AR9019"/>
    </row>
    <row r="9020" spans="24:44">
      <c r="X9020"/>
      <c r="Y9020"/>
      <c r="Z9020"/>
      <c r="AA9020"/>
      <c r="AC9020"/>
      <c r="AR9020"/>
    </row>
    <row r="9021" spans="24:44">
      <c r="X9021"/>
      <c r="Y9021"/>
      <c r="Z9021"/>
      <c r="AA9021"/>
      <c r="AC9021"/>
      <c r="AR9021"/>
    </row>
    <row r="9022" spans="24:44">
      <c r="X9022"/>
      <c r="Y9022"/>
      <c r="Z9022"/>
      <c r="AA9022"/>
      <c r="AC9022"/>
      <c r="AR9022"/>
    </row>
    <row r="9023" spans="24:44">
      <c r="X9023"/>
      <c r="Y9023"/>
      <c r="Z9023"/>
      <c r="AA9023"/>
      <c r="AC9023"/>
      <c r="AR9023"/>
    </row>
    <row r="9024" spans="24:44">
      <c r="X9024"/>
      <c r="Y9024"/>
      <c r="Z9024"/>
      <c r="AA9024"/>
      <c r="AC9024"/>
      <c r="AR9024"/>
    </row>
    <row r="9025" spans="24:44">
      <c r="X9025"/>
      <c r="Y9025"/>
      <c r="Z9025"/>
      <c r="AA9025"/>
      <c r="AC9025"/>
      <c r="AR9025"/>
    </row>
    <row r="9026" spans="24:44">
      <c r="X9026"/>
      <c r="Y9026"/>
      <c r="Z9026"/>
      <c r="AA9026"/>
      <c r="AC9026"/>
      <c r="AR9026"/>
    </row>
    <row r="9027" spans="24:44">
      <c r="X9027"/>
      <c r="Y9027"/>
      <c r="Z9027"/>
      <c r="AA9027"/>
      <c r="AC9027"/>
      <c r="AR9027"/>
    </row>
    <row r="9028" spans="24:44">
      <c r="X9028"/>
      <c r="Y9028"/>
      <c r="Z9028"/>
      <c r="AA9028"/>
      <c r="AC9028"/>
      <c r="AR9028"/>
    </row>
    <row r="9029" spans="24:44">
      <c r="X9029"/>
      <c r="Y9029"/>
      <c r="Z9029"/>
      <c r="AA9029"/>
      <c r="AC9029"/>
      <c r="AR9029"/>
    </row>
    <row r="9030" spans="24:44">
      <c r="X9030"/>
      <c r="Y9030"/>
      <c r="Z9030"/>
      <c r="AA9030"/>
      <c r="AC9030"/>
      <c r="AR9030"/>
    </row>
    <row r="9031" spans="24:44">
      <c r="X9031"/>
      <c r="Y9031"/>
      <c r="Z9031"/>
      <c r="AA9031"/>
      <c r="AC9031"/>
      <c r="AR9031"/>
    </row>
    <row r="9032" spans="24:44">
      <c r="X9032"/>
      <c r="Y9032"/>
      <c r="Z9032"/>
      <c r="AA9032"/>
      <c r="AC9032"/>
      <c r="AR9032"/>
    </row>
    <row r="9033" spans="24:44">
      <c r="X9033"/>
      <c r="Y9033"/>
      <c r="Z9033"/>
      <c r="AA9033"/>
      <c r="AC9033"/>
      <c r="AR9033"/>
    </row>
    <row r="9034" spans="24:44">
      <c r="X9034"/>
      <c r="Y9034"/>
      <c r="Z9034"/>
      <c r="AA9034"/>
      <c r="AC9034"/>
      <c r="AR9034"/>
    </row>
    <row r="9035" spans="24:44">
      <c r="X9035"/>
      <c r="Y9035"/>
      <c r="Z9035"/>
      <c r="AA9035"/>
      <c r="AC9035"/>
      <c r="AR9035"/>
    </row>
    <row r="9036" spans="24:44">
      <c r="X9036"/>
      <c r="Y9036"/>
      <c r="Z9036"/>
      <c r="AA9036"/>
      <c r="AC9036"/>
      <c r="AR9036"/>
    </row>
    <row r="9037" spans="24:44">
      <c r="X9037"/>
      <c r="Y9037"/>
      <c r="Z9037"/>
      <c r="AA9037"/>
      <c r="AC9037"/>
      <c r="AR9037"/>
    </row>
    <row r="9038" spans="24:44">
      <c r="X9038"/>
      <c r="Y9038"/>
      <c r="Z9038"/>
      <c r="AA9038"/>
      <c r="AC9038"/>
      <c r="AR9038"/>
    </row>
    <row r="9039" spans="24:44">
      <c r="X9039"/>
      <c r="Y9039"/>
      <c r="Z9039"/>
      <c r="AA9039"/>
      <c r="AC9039"/>
      <c r="AR9039"/>
    </row>
    <row r="9040" spans="24:44">
      <c r="X9040"/>
      <c r="Y9040"/>
      <c r="Z9040"/>
      <c r="AA9040"/>
      <c r="AC9040"/>
      <c r="AR9040"/>
    </row>
    <row r="9041" spans="24:44">
      <c r="X9041"/>
      <c r="Y9041"/>
      <c r="Z9041"/>
      <c r="AA9041"/>
      <c r="AC9041"/>
      <c r="AR9041"/>
    </row>
    <row r="9042" spans="24:44">
      <c r="X9042"/>
      <c r="Y9042"/>
      <c r="Z9042"/>
      <c r="AA9042"/>
      <c r="AC9042"/>
      <c r="AR9042"/>
    </row>
    <row r="9043" spans="24:44">
      <c r="X9043"/>
      <c r="Y9043"/>
      <c r="Z9043"/>
      <c r="AA9043"/>
      <c r="AC9043"/>
      <c r="AR9043"/>
    </row>
    <row r="9044" spans="24:44">
      <c r="X9044"/>
      <c r="Y9044"/>
      <c r="Z9044"/>
      <c r="AA9044"/>
      <c r="AC9044"/>
      <c r="AR9044"/>
    </row>
    <row r="9045" spans="24:44">
      <c r="X9045"/>
      <c r="Y9045"/>
      <c r="Z9045"/>
      <c r="AA9045"/>
      <c r="AC9045"/>
      <c r="AR9045"/>
    </row>
    <row r="9046" spans="24:44">
      <c r="X9046"/>
      <c r="Y9046"/>
      <c r="Z9046"/>
      <c r="AA9046"/>
      <c r="AC9046"/>
      <c r="AR9046"/>
    </row>
    <row r="9047" spans="24:44">
      <c r="X9047"/>
      <c r="Y9047"/>
      <c r="Z9047"/>
      <c r="AA9047"/>
      <c r="AC9047"/>
      <c r="AR9047"/>
    </row>
    <row r="9048" spans="24:44">
      <c r="X9048"/>
      <c r="Y9048"/>
      <c r="Z9048"/>
      <c r="AA9048"/>
      <c r="AC9048"/>
      <c r="AR9048"/>
    </row>
    <row r="9049" spans="24:44">
      <c r="X9049"/>
      <c r="Y9049"/>
      <c r="Z9049"/>
      <c r="AA9049"/>
      <c r="AC9049"/>
      <c r="AR9049"/>
    </row>
    <row r="9050" spans="24:44">
      <c r="X9050"/>
      <c r="Y9050"/>
      <c r="Z9050"/>
      <c r="AA9050"/>
      <c r="AC9050"/>
      <c r="AR9050"/>
    </row>
    <row r="9051" spans="24:44">
      <c r="X9051"/>
      <c r="Y9051"/>
      <c r="Z9051"/>
      <c r="AA9051"/>
      <c r="AC9051"/>
      <c r="AR9051"/>
    </row>
    <row r="9052" spans="24:44">
      <c r="X9052"/>
      <c r="Y9052"/>
      <c r="Z9052"/>
      <c r="AA9052"/>
      <c r="AC9052"/>
      <c r="AR9052"/>
    </row>
    <row r="9053" spans="24:44">
      <c r="X9053"/>
      <c r="Y9053"/>
      <c r="Z9053"/>
      <c r="AA9053"/>
      <c r="AC9053"/>
      <c r="AR9053"/>
    </row>
    <row r="9054" spans="24:44">
      <c r="X9054"/>
      <c r="Y9054"/>
      <c r="Z9054"/>
      <c r="AA9054"/>
      <c r="AC9054"/>
      <c r="AR9054"/>
    </row>
    <row r="9055" spans="24:44">
      <c r="X9055"/>
      <c r="Y9055"/>
      <c r="Z9055"/>
      <c r="AA9055"/>
      <c r="AC9055"/>
      <c r="AR9055"/>
    </row>
    <row r="9056" spans="24:44">
      <c r="X9056"/>
      <c r="Y9056"/>
      <c r="Z9056"/>
      <c r="AA9056"/>
      <c r="AC9056"/>
      <c r="AR9056"/>
    </row>
    <row r="9057" spans="24:44">
      <c r="X9057"/>
      <c r="Y9057"/>
      <c r="Z9057"/>
      <c r="AA9057"/>
      <c r="AC9057"/>
      <c r="AR9057"/>
    </row>
    <row r="9058" spans="24:44">
      <c r="X9058"/>
      <c r="Y9058"/>
      <c r="Z9058"/>
      <c r="AA9058"/>
      <c r="AC9058"/>
      <c r="AR9058"/>
    </row>
    <row r="9059" spans="24:44">
      <c r="X9059"/>
      <c r="Y9059"/>
      <c r="Z9059"/>
      <c r="AA9059"/>
      <c r="AC9059"/>
      <c r="AR9059"/>
    </row>
    <row r="9060" spans="24:44">
      <c r="X9060"/>
      <c r="Y9060"/>
      <c r="Z9060"/>
      <c r="AA9060"/>
      <c r="AC9060"/>
      <c r="AR9060"/>
    </row>
    <row r="9061" spans="24:44">
      <c r="X9061"/>
      <c r="Y9061"/>
      <c r="Z9061"/>
      <c r="AA9061"/>
      <c r="AC9061"/>
      <c r="AR9061"/>
    </row>
    <row r="9062" spans="24:44">
      <c r="X9062"/>
      <c r="Y9062"/>
      <c r="Z9062"/>
      <c r="AA9062"/>
      <c r="AC9062"/>
      <c r="AR9062"/>
    </row>
    <row r="9063" spans="24:44">
      <c r="X9063"/>
      <c r="Y9063"/>
      <c r="Z9063"/>
      <c r="AA9063"/>
      <c r="AC9063"/>
      <c r="AR9063"/>
    </row>
    <row r="9064" spans="24:44">
      <c r="X9064"/>
      <c r="Y9064"/>
      <c r="Z9064"/>
      <c r="AA9064"/>
      <c r="AC9064"/>
      <c r="AR9064"/>
    </row>
    <row r="9065" spans="24:44">
      <c r="X9065"/>
      <c r="Y9065"/>
      <c r="Z9065"/>
      <c r="AA9065"/>
      <c r="AC9065"/>
      <c r="AR9065"/>
    </row>
    <row r="9066" spans="24:44">
      <c r="X9066"/>
      <c r="Y9066"/>
      <c r="Z9066"/>
      <c r="AA9066"/>
      <c r="AC9066"/>
      <c r="AR9066"/>
    </row>
    <row r="9067" spans="24:44">
      <c r="X9067"/>
      <c r="Y9067"/>
      <c r="Z9067"/>
      <c r="AA9067"/>
      <c r="AC9067"/>
      <c r="AR9067"/>
    </row>
    <row r="9068" spans="24:44">
      <c r="X9068"/>
      <c r="Y9068"/>
      <c r="Z9068"/>
      <c r="AA9068"/>
      <c r="AC9068"/>
      <c r="AR9068"/>
    </row>
    <row r="9069" spans="24:44">
      <c r="X9069"/>
      <c r="Y9069"/>
      <c r="Z9069"/>
      <c r="AA9069"/>
      <c r="AC9069"/>
      <c r="AR9069"/>
    </row>
    <row r="9070" spans="24:44">
      <c r="X9070"/>
      <c r="Y9070"/>
      <c r="Z9070"/>
      <c r="AA9070"/>
      <c r="AC9070"/>
      <c r="AR9070"/>
    </row>
    <row r="9071" spans="24:44">
      <c r="X9071"/>
      <c r="Y9071"/>
      <c r="Z9071"/>
      <c r="AA9071"/>
      <c r="AC9071"/>
      <c r="AR9071"/>
    </row>
    <row r="9072" spans="24:44">
      <c r="X9072"/>
      <c r="Y9072"/>
      <c r="Z9072"/>
      <c r="AA9072"/>
      <c r="AC9072"/>
      <c r="AR9072"/>
    </row>
    <row r="9073" spans="24:44">
      <c r="X9073"/>
      <c r="Y9073"/>
      <c r="Z9073"/>
      <c r="AA9073"/>
      <c r="AC9073"/>
      <c r="AR9073"/>
    </row>
    <row r="9074" spans="24:44">
      <c r="X9074"/>
      <c r="Y9074"/>
      <c r="Z9074"/>
      <c r="AA9074"/>
      <c r="AC9074"/>
      <c r="AR9074"/>
    </row>
    <row r="9075" spans="24:44">
      <c r="X9075"/>
      <c r="Y9075"/>
      <c r="Z9075"/>
      <c r="AA9075"/>
      <c r="AC9075"/>
      <c r="AR9075"/>
    </row>
    <row r="9076" spans="24:44">
      <c r="X9076"/>
      <c r="Y9076"/>
      <c r="Z9076"/>
      <c r="AA9076"/>
      <c r="AC9076"/>
      <c r="AR9076"/>
    </row>
    <row r="9077" spans="24:44">
      <c r="X9077"/>
      <c r="Y9077"/>
      <c r="Z9077"/>
      <c r="AA9077"/>
      <c r="AC9077"/>
      <c r="AR9077"/>
    </row>
    <row r="9078" spans="24:44">
      <c r="X9078"/>
      <c r="Y9078"/>
      <c r="Z9078"/>
      <c r="AA9078"/>
      <c r="AC9078"/>
      <c r="AR9078"/>
    </row>
    <row r="9079" spans="24:44">
      <c r="X9079"/>
      <c r="Y9079"/>
      <c r="Z9079"/>
      <c r="AA9079"/>
      <c r="AC9079"/>
      <c r="AR9079"/>
    </row>
    <row r="9080" spans="24:44">
      <c r="X9080"/>
      <c r="Y9080"/>
      <c r="Z9080"/>
      <c r="AA9080"/>
      <c r="AC9080"/>
      <c r="AR9080"/>
    </row>
    <row r="9081" spans="24:44">
      <c r="X9081"/>
      <c r="Y9081"/>
      <c r="Z9081"/>
      <c r="AA9081"/>
      <c r="AC9081"/>
      <c r="AR9081"/>
    </row>
    <row r="9082" spans="24:44">
      <c r="X9082"/>
      <c r="Y9082"/>
      <c r="Z9082"/>
      <c r="AA9082"/>
      <c r="AC9082"/>
      <c r="AR9082"/>
    </row>
    <row r="9083" spans="24:44">
      <c r="X9083"/>
      <c r="Y9083"/>
      <c r="Z9083"/>
      <c r="AA9083"/>
      <c r="AC9083"/>
      <c r="AR9083"/>
    </row>
    <row r="9084" spans="24:44">
      <c r="X9084"/>
      <c r="Y9084"/>
      <c r="Z9084"/>
      <c r="AA9084"/>
      <c r="AC9084"/>
      <c r="AR9084"/>
    </row>
    <row r="9085" spans="24:44">
      <c r="X9085"/>
      <c r="Y9085"/>
      <c r="Z9085"/>
      <c r="AA9085"/>
      <c r="AC9085"/>
      <c r="AR9085"/>
    </row>
    <row r="9086" spans="24:44">
      <c r="X9086"/>
      <c r="Y9086"/>
      <c r="Z9086"/>
      <c r="AA9086"/>
      <c r="AC9086"/>
      <c r="AR9086"/>
    </row>
    <row r="9087" spans="24:44">
      <c r="X9087"/>
      <c r="Y9087"/>
      <c r="Z9087"/>
      <c r="AA9087"/>
      <c r="AC9087"/>
      <c r="AR9087"/>
    </row>
    <row r="9088" spans="24:44">
      <c r="X9088"/>
      <c r="Y9088"/>
      <c r="Z9088"/>
      <c r="AA9088"/>
      <c r="AC9088"/>
      <c r="AR9088"/>
    </row>
    <row r="9089" spans="24:44">
      <c r="X9089"/>
      <c r="Y9089"/>
      <c r="Z9089"/>
      <c r="AA9089"/>
      <c r="AC9089"/>
      <c r="AR9089"/>
    </row>
    <row r="9090" spans="24:44">
      <c r="X9090"/>
      <c r="Y9090"/>
      <c r="Z9090"/>
      <c r="AA9090"/>
      <c r="AC9090"/>
      <c r="AR9090"/>
    </row>
    <row r="9091" spans="24:44">
      <c r="X9091"/>
      <c r="Y9091"/>
      <c r="Z9091"/>
      <c r="AA9091"/>
      <c r="AC9091"/>
      <c r="AR9091"/>
    </row>
    <row r="9092" spans="24:44">
      <c r="X9092"/>
      <c r="Y9092"/>
      <c r="Z9092"/>
      <c r="AA9092"/>
      <c r="AC9092"/>
      <c r="AR9092"/>
    </row>
    <row r="9093" spans="24:44">
      <c r="X9093"/>
      <c r="Y9093"/>
      <c r="Z9093"/>
      <c r="AA9093"/>
      <c r="AC9093"/>
      <c r="AR9093"/>
    </row>
    <row r="9094" spans="24:44">
      <c r="X9094"/>
      <c r="Y9094"/>
      <c r="Z9094"/>
      <c r="AA9094"/>
      <c r="AC9094"/>
      <c r="AR9094"/>
    </row>
    <row r="9095" spans="24:44">
      <c r="X9095"/>
      <c r="Y9095"/>
      <c r="Z9095"/>
      <c r="AA9095"/>
      <c r="AC9095"/>
      <c r="AR9095"/>
    </row>
    <row r="9096" spans="24:44">
      <c r="X9096"/>
      <c r="Y9096"/>
      <c r="Z9096"/>
      <c r="AA9096"/>
      <c r="AC9096"/>
      <c r="AR9096"/>
    </row>
    <row r="9097" spans="24:44">
      <c r="X9097"/>
      <c r="Y9097"/>
      <c r="Z9097"/>
      <c r="AA9097"/>
      <c r="AC9097"/>
      <c r="AR9097"/>
    </row>
    <row r="9098" spans="24:44">
      <c r="X9098"/>
      <c r="Y9098"/>
      <c r="Z9098"/>
      <c r="AA9098"/>
      <c r="AC9098"/>
      <c r="AR9098"/>
    </row>
    <row r="9099" spans="24:44">
      <c r="X9099"/>
      <c r="Y9099"/>
      <c r="Z9099"/>
      <c r="AA9099"/>
      <c r="AC9099"/>
      <c r="AR9099"/>
    </row>
    <row r="9100" spans="24:44">
      <c r="X9100"/>
      <c r="Y9100"/>
      <c r="Z9100"/>
      <c r="AA9100"/>
      <c r="AC9100"/>
      <c r="AR9100"/>
    </row>
    <row r="9101" spans="24:44">
      <c r="X9101"/>
      <c r="Y9101"/>
      <c r="Z9101"/>
      <c r="AA9101"/>
      <c r="AC9101"/>
      <c r="AR9101"/>
    </row>
    <row r="9102" spans="24:44">
      <c r="X9102"/>
      <c r="Y9102"/>
      <c r="Z9102"/>
      <c r="AA9102"/>
      <c r="AC9102"/>
      <c r="AR9102"/>
    </row>
    <row r="9103" spans="24:44">
      <c r="X9103"/>
      <c r="Y9103"/>
      <c r="Z9103"/>
      <c r="AA9103"/>
      <c r="AC9103"/>
      <c r="AR9103"/>
    </row>
    <row r="9104" spans="24:44">
      <c r="X9104"/>
      <c r="Y9104"/>
      <c r="Z9104"/>
      <c r="AA9104"/>
      <c r="AC9104"/>
      <c r="AR9104"/>
    </row>
    <row r="9105" spans="24:44">
      <c r="X9105"/>
      <c r="Y9105"/>
      <c r="Z9105"/>
      <c r="AA9105"/>
      <c r="AC9105"/>
      <c r="AR9105"/>
    </row>
    <row r="9106" spans="24:44">
      <c r="X9106"/>
      <c r="Y9106"/>
      <c r="Z9106"/>
      <c r="AA9106"/>
      <c r="AC9106"/>
      <c r="AR9106"/>
    </row>
    <row r="9107" spans="24:44">
      <c r="X9107"/>
      <c r="Y9107"/>
      <c r="Z9107"/>
      <c r="AA9107"/>
      <c r="AC9107"/>
      <c r="AR9107"/>
    </row>
    <row r="9108" spans="24:44">
      <c r="X9108"/>
      <c r="Y9108"/>
      <c r="Z9108"/>
      <c r="AA9108"/>
      <c r="AC9108"/>
      <c r="AR9108"/>
    </row>
    <row r="9109" spans="24:44">
      <c r="X9109"/>
      <c r="Y9109"/>
      <c r="Z9109"/>
      <c r="AA9109"/>
      <c r="AC9109"/>
      <c r="AR9109"/>
    </row>
    <row r="9110" spans="24:44">
      <c r="X9110"/>
      <c r="Y9110"/>
      <c r="Z9110"/>
      <c r="AA9110"/>
      <c r="AC9110"/>
      <c r="AR9110"/>
    </row>
    <row r="9111" spans="24:44">
      <c r="X9111"/>
      <c r="Y9111"/>
      <c r="Z9111"/>
      <c r="AA9111"/>
      <c r="AC9111"/>
      <c r="AR9111"/>
    </row>
    <row r="9112" spans="24:44">
      <c r="X9112"/>
      <c r="Y9112"/>
      <c r="Z9112"/>
      <c r="AA9112"/>
      <c r="AC9112"/>
      <c r="AR9112"/>
    </row>
    <row r="9113" spans="24:44">
      <c r="X9113"/>
      <c r="Y9113"/>
      <c r="Z9113"/>
      <c r="AA9113"/>
      <c r="AC9113"/>
      <c r="AR9113"/>
    </row>
    <row r="9114" spans="24:44">
      <c r="X9114"/>
      <c r="Y9114"/>
      <c r="Z9114"/>
      <c r="AA9114"/>
      <c r="AC9114"/>
      <c r="AR9114"/>
    </row>
    <row r="9115" spans="24:44">
      <c r="X9115"/>
      <c r="Y9115"/>
      <c r="Z9115"/>
      <c r="AA9115"/>
      <c r="AC9115"/>
      <c r="AR9115"/>
    </row>
    <row r="9116" spans="24:44">
      <c r="X9116"/>
      <c r="Y9116"/>
      <c r="Z9116"/>
      <c r="AA9116"/>
      <c r="AC9116"/>
      <c r="AR9116"/>
    </row>
    <row r="9117" spans="24:44">
      <c r="X9117"/>
      <c r="Y9117"/>
      <c r="Z9117"/>
      <c r="AA9117"/>
      <c r="AC9117"/>
      <c r="AR9117"/>
    </row>
    <row r="9118" spans="24:44">
      <c r="X9118"/>
      <c r="Y9118"/>
      <c r="Z9118"/>
      <c r="AA9118"/>
      <c r="AC9118"/>
      <c r="AR9118"/>
    </row>
    <row r="9119" spans="24:44">
      <c r="X9119"/>
      <c r="Y9119"/>
      <c r="Z9119"/>
      <c r="AA9119"/>
      <c r="AC9119"/>
      <c r="AR9119"/>
    </row>
    <row r="9120" spans="24:44">
      <c r="X9120"/>
      <c r="Y9120"/>
      <c r="Z9120"/>
      <c r="AA9120"/>
      <c r="AC9120"/>
      <c r="AR9120"/>
    </row>
    <row r="9121" spans="24:44">
      <c r="X9121"/>
      <c r="Y9121"/>
      <c r="Z9121"/>
      <c r="AA9121"/>
      <c r="AC9121"/>
      <c r="AR9121"/>
    </row>
    <row r="9122" spans="24:44">
      <c r="X9122"/>
      <c r="Y9122"/>
      <c r="Z9122"/>
      <c r="AA9122"/>
      <c r="AC9122"/>
      <c r="AR9122"/>
    </row>
    <row r="9123" spans="24:44">
      <c r="X9123"/>
      <c r="Y9123"/>
      <c r="Z9123"/>
      <c r="AA9123"/>
      <c r="AC9123"/>
      <c r="AR9123"/>
    </row>
    <row r="9124" spans="24:44">
      <c r="X9124"/>
      <c r="Y9124"/>
      <c r="Z9124"/>
      <c r="AA9124"/>
      <c r="AC9124"/>
      <c r="AR9124"/>
    </row>
    <row r="9125" spans="24:44">
      <c r="X9125"/>
      <c r="Y9125"/>
      <c r="Z9125"/>
      <c r="AA9125"/>
      <c r="AC9125"/>
      <c r="AR9125"/>
    </row>
    <row r="9126" spans="24:44">
      <c r="X9126"/>
      <c r="Y9126"/>
      <c r="Z9126"/>
      <c r="AA9126"/>
      <c r="AC9126"/>
      <c r="AR9126"/>
    </row>
    <row r="9127" spans="24:44">
      <c r="X9127"/>
      <c r="Y9127"/>
      <c r="Z9127"/>
      <c r="AA9127"/>
      <c r="AC9127"/>
      <c r="AR9127"/>
    </row>
    <row r="9128" spans="24:44">
      <c r="X9128"/>
      <c r="Y9128"/>
      <c r="Z9128"/>
      <c r="AA9128"/>
      <c r="AC9128"/>
      <c r="AR9128"/>
    </row>
    <row r="9129" spans="24:44">
      <c r="X9129"/>
      <c r="Y9129"/>
      <c r="Z9129"/>
      <c r="AA9129"/>
      <c r="AC9129"/>
      <c r="AR9129"/>
    </row>
    <row r="9130" spans="24:44">
      <c r="X9130"/>
      <c r="Y9130"/>
      <c r="Z9130"/>
      <c r="AA9130"/>
      <c r="AC9130"/>
      <c r="AR9130"/>
    </row>
    <row r="9131" spans="24:44">
      <c r="X9131"/>
      <c r="Y9131"/>
      <c r="Z9131"/>
      <c r="AA9131"/>
      <c r="AC9131"/>
      <c r="AR9131"/>
    </row>
    <row r="9132" spans="24:44">
      <c r="X9132"/>
      <c r="Y9132"/>
      <c r="Z9132"/>
      <c r="AA9132"/>
      <c r="AC9132"/>
      <c r="AR9132"/>
    </row>
    <row r="9133" spans="24:44">
      <c r="X9133"/>
      <c r="Y9133"/>
      <c r="Z9133"/>
      <c r="AA9133"/>
      <c r="AC9133"/>
      <c r="AR9133"/>
    </row>
    <row r="9134" spans="24:44">
      <c r="X9134"/>
      <c r="Y9134"/>
      <c r="Z9134"/>
      <c r="AA9134"/>
      <c r="AC9134"/>
      <c r="AR9134"/>
    </row>
    <row r="9135" spans="24:44">
      <c r="X9135"/>
      <c r="Y9135"/>
      <c r="Z9135"/>
      <c r="AA9135"/>
      <c r="AC9135"/>
      <c r="AR9135"/>
    </row>
    <row r="9136" spans="24:44">
      <c r="X9136"/>
      <c r="Y9136"/>
      <c r="Z9136"/>
      <c r="AA9136"/>
      <c r="AC9136"/>
      <c r="AR9136"/>
    </row>
    <row r="9137" spans="24:44">
      <c r="X9137"/>
      <c r="Y9137"/>
      <c r="Z9137"/>
      <c r="AA9137"/>
      <c r="AC9137"/>
      <c r="AR9137"/>
    </row>
    <row r="9138" spans="24:44">
      <c r="X9138"/>
      <c r="Y9138"/>
      <c r="Z9138"/>
      <c r="AA9138"/>
      <c r="AC9138"/>
      <c r="AR9138"/>
    </row>
    <row r="9139" spans="24:44">
      <c r="X9139"/>
      <c r="Y9139"/>
      <c r="Z9139"/>
      <c r="AA9139"/>
      <c r="AC9139"/>
      <c r="AR9139"/>
    </row>
    <row r="9140" spans="24:44">
      <c r="X9140"/>
      <c r="Y9140"/>
      <c r="Z9140"/>
      <c r="AA9140"/>
      <c r="AC9140"/>
      <c r="AR9140"/>
    </row>
    <row r="9141" spans="24:44">
      <c r="X9141"/>
      <c r="Y9141"/>
      <c r="Z9141"/>
      <c r="AA9141"/>
      <c r="AC9141"/>
      <c r="AR9141"/>
    </row>
    <row r="9142" spans="24:44">
      <c r="X9142"/>
      <c r="Y9142"/>
      <c r="Z9142"/>
      <c r="AA9142"/>
      <c r="AC9142"/>
      <c r="AR9142"/>
    </row>
    <row r="9143" spans="24:44">
      <c r="X9143"/>
      <c r="Y9143"/>
      <c r="Z9143"/>
      <c r="AA9143"/>
      <c r="AC9143"/>
      <c r="AR9143"/>
    </row>
    <row r="9144" spans="24:44">
      <c r="X9144"/>
      <c r="Y9144"/>
      <c r="Z9144"/>
      <c r="AA9144"/>
      <c r="AC9144"/>
      <c r="AR9144"/>
    </row>
    <row r="9145" spans="24:44">
      <c r="X9145"/>
      <c r="Y9145"/>
      <c r="Z9145"/>
      <c r="AA9145"/>
      <c r="AC9145"/>
      <c r="AR9145"/>
    </row>
    <row r="9146" spans="24:44">
      <c r="X9146"/>
      <c r="Y9146"/>
      <c r="Z9146"/>
      <c r="AA9146"/>
      <c r="AC9146"/>
      <c r="AR9146"/>
    </row>
    <row r="9147" spans="24:44">
      <c r="X9147"/>
      <c r="Y9147"/>
      <c r="Z9147"/>
      <c r="AA9147"/>
      <c r="AC9147"/>
      <c r="AR9147"/>
    </row>
    <row r="9148" spans="24:44">
      <c r="X9148"/>
      <c r="Y9148"/>
      <c r="Z9148"/>
      <c r="AA9148"/>
      <c r="AC9148"/>
      <c r="AR9148"/>
    </row>
    <row r="9149" spans="24:44">
      <c r="X9149"/>
      <c r="Y9149"/>
      <c r="Z9149"/>
      <c r="AA9149"/>
      <c r="AC9149"/>
      <c r="AR9149"/>
    </row>
    <row r="9150" spans="24:44">
      <c r="X9150"/>
      <c r="Y9150"/>
      <c r="Z9150"/>
      <c r="AA9150"/>
      <c r="AC9150"/>
      <c r="AR9150"/>
    </row>
    <row r="9151" spans="24:44">
      <c r="X9151"/>
      <c r="Y9151"/>
      <c r="Z9151"/>
      <c r="AA9151"/>
      <c r="AC9151"/>
      <c r="AR9151"/>
    </row>
    <row r="9152" spans="24:44">
      <c r="X9152"/>
      <c r="Y9152"/>
      <c r="Z9152"/>
      <c r="AA9152"/>
      <c r="AC9152"/>
      <c r="AR9152"/>
    </row>
    <row r="9153" spans="24:44">
      <c r="X9153"/>
      <c r="Y9153"/>
      <c r="Z9153"/>
      <c r="AA9153"/>
      <c r="AC9153"/>
      <c r="AR9153"/>
    </row>
    <row r="9154" spans="24:44">
      <c r="X9154"/>
      <c r="Y9154"/>
      <c r="Z9154"/>
      <c r="AA9154"/>
      <c r="AC9154"/>
      <c r="AR9154"/>
    </row>
    <row r="9155" spans="24:44">
      <c r="X9155"/>
      <c r="Y9155"/>
      <c r="Z9155"/>
      <c r="AA9155"/>
      <c r="AC9155"/>
      <c r="AR9155"/>
    </row>
    <row r="9156" spans="24:44">
      <c r="X9156"/>
      <c r="Y9156"/>
      <c r="Z9156"/>
      <c r="AA9156"/>
      <c r="AC9156"/>
      <c r="AR9156"/>
    </row>
    <row r="9157" spans="24:44">
      <c r="X9157"/>
      <c r="Y9157"/>
      <c r="Z9157"/>
      <c r="AA9157"/>
      <c r="AC9157"/>
      <c r="AR9157"/>
    </row>
    <row r="9158" spans="24:44">
      <c r="X9158"/>
      <c r="Y9158"/>
      <c r="Z9158"/>
      <c r="AA9158"/>
      <c r="AC9158"/>
      <c r="AR9158"/>
    </row>
    <row r="9159" spans="24:44">
      <c r="X9159"/>
      <c r="Y9159"/>
      <c r="Z9159"/>
      <c r="AA9159"/>
      <c r="AC9159"/>
      <c r="AR9159"/>
    </row>
    <row r="9160" spans="24:44">
      <c r="X9160"/>
      <c r="Y9160"/>
      <c r="Z9160"/>
      <c r="AA9160"/>
      <c r="AC9160"/>
      <c r="AR9160"/>
    </row>
    <row r="9161" spans="24:44">
      <c r="X9161"/>
      <c r="Y9161"/>
      <c r="Z9161"/>
      <c r="AA9161"/>
      <c r="AC9161"/>
      <c r="AR9161"/>
    </row>
    <row r="9162" spans="24:44">
      <c r="X9162"/>
      <c r="Y9162"/>
      <c r="Z9162"/>
      <c r="AA9162"/>
      <c r="AC9162"/>
      <c r="AR9162"/>
    </row>
    <row r="9163" spans="24:44">
      <c r="X9163"/>
      <c r="Y9163"/>
      <c r="Z9163"/>
      <c r="AA9163"/>
      <c r="AC9163"/>
      <c r="AR9163"/>
    </row>
    <row r="9164" spans="24:44">
      <c r="X9164"/>
      <c r="Y9164"/>
      <c r="Z9164"/>
      <c r="AA9164"/>
      <c r="AC9164"/>
      <c r="AR9164"/>
    </row>
    <row r="9165" spans="24:44">
      <c r="X9165"/>
      <c r="Y9165"/>
      <c r="Z9165"/>
      <c r="AA9165"/>
      <c r="AC9165"/>
      <c r="AR9165"/>
    </row>
    <row r="9166" spans="24:44">
      <c r="X9166"/>
      <c r="Y9166"/>
      <c r="Z9166"/>
      <c r="AA9166"/>
      <c r="AC9166"/>
      <c r="AR9166"/>
    </row>
    <row r="9167" spans="24:44">
      <c r="X9167"/>
      <c r="Y9167"/>
      <c r="Z9167"/>
      <c r="AA9167"/>
      <c r="AC9167"/>
      <c r="AR9167"/>
    </row>
    <row r="9168" spans="24:44">
      <c r="X9168"/>
      <c r="Y9168"/>
      <c r="Z9168"/>
      <c r="AA9168"/>
      <c r="AC9168"/>
      <c r="AR9168"/>
    </row>
    <row r="9169" spans="24:44">
      <c r="X9169"/>
      <c r="Y9169"/>
      <c r="Z9169"/>
      <c r="AA9169"/>
      <c r="AC9169"/>
      <c r="AR9169"/>
    </row>
    <row r="9170" spans="24:44">
      <c r="X9170"/>
      <c r="Y9170"/>
      <c r="Z9170"/>
      <c r="AA9170"/>
      <c r="AC9170"/>
      <c r="AR9170"/>
    </row>
    <row r="9171" spans="24:44">
      <c r="X9171"/>
      <c r="Y9171"/>
      <c r="Z9171"/>
      <c r="AA9171"/>
      <c r="AC9171"/>
      <c r="AR9171"/>
    </row>
    <row r="9172" spans="24:44">
      <c r="X9172"/>
      <c r="Y9172"/>
      <c r="Z9172"/>
      <c r="AA9172"/>
      <c r="AC9172"/>
      <c r="AR9172"/>
    </row>
    <row r="9173" spans="24:44">
      <c r="X9173"/>
      <c r="Y9173"/>
      <c r="Z9173"/>
      <c r="AA9173"/>
      <c r="AC9173"/>
      <c r="AR9173"/>
    </row>
    <row r="9174" spans="24:44">
      <c r="X9174"/>
      <c r="Y9174"/>
      <c r="Z9174"/>
      <c r="AA9174"/>
      <c r="AC9174"/>
      <c r="AR9174"/>
    </row>
    <row r="9175" spans="24:44">
      <c r="X9175"/>
      <c r="Y9175"/>
      <c r="Z9175"/>
      <c r="AA9175"/>
      <c r="AC9175"/>
      <c r="AR9175"/>
    </row>
    <row r="9176" spans="24:44">
      <c r="X9176"/>
      <c r="Y9176"/>
      <c r="Z9176"/>
      <c r="AA9176"/>
      <c r="AC9176"/>
      <c r="AR9176"/>
    </row>
    <row r="9177" spans="24:44">
      <c r="X9177"/>
      <c r="Y9177"/>
      <c r="Z9177"/>
      <c r="AA9177"/>
      <c r="AC9177"/>
      <c r="AR9177"/>
    </row>
    <row r="9178" spans="24:44">
      <c r="X9178"/>
      <c r="Y9178"/>
      <c r="Z9178"/>
      <c r="AA9178"/>
      <c r="AC9178"/>
      <c r="AR9178"/>
    </row>
    <row r="9179" spans="24:44">
      <c r="X9179"/>
      <c r="Y9179"/>
      <c r="Z9179"/>
      <c r="AA9179"/>
      <c r="AC9179"/>
      <c r="AR9179"/>
    </row>
    <row r="9180" spans="24:44">
      <c r="X9180"/>
      <c r="Y9180"/>
      <c r="Z9180"/>
      <c r="AA9180"/>
      <c r="AC9180"/>
      <c r="AR9180"/>
    </row>
    <row r="9181" spans="24:44">
      <c r="X9181"/>
      <c r="Y9181"/>
      <c r="Z9181"/>
      <c r="AA9181"/>
      <c r="AC9181"/>
      <c r="AR9181"/>
    </row>
    <row r="9182" spans="24:44">
      <c r="X9182"/>
      <c r="Y9182"/>
      <c r="Z9182"/>
      <c r="AA9182"/>
      <c r="AC9182"/>
      <c r="AR9182"/>
    </row>
    <row r="9183" spans="24:44">
      <c r="X9183"/>
      <c r="Y9183"/>
      <c r="Z9183"/>
      <c r="AA9183"/>
      <c r="AC9183"/>
      <c r="AR9183"/>
    </row>
    <row r="9184" spans="24:44">
      <c r="X9184"/>
      <c r="Y9184"/>
      <c r="Z9184"/>
      <c r="AA9184"/>
      <c r="AC9184"/>
      <c r="AR9184"/>
    </row>
    <row r="9185" spans="24:44">
      <c r="X9185"/>
      <c r="Y9185"/>
      <c r="Z9185"/>
      <c r="AA9185"/>
      <c r="AC9185"/>
      <c r="AR9185"/>
    </row>
    <row r="9186" spans="24:44">
      <c r="X9186"/>
      <c r="Y9186"/>
      <c r="Z9186"/>
      <c r="AA9186"/>
      <c r="AC9186"/>
      <c r="AR9186"/>
    </row>
    <row r="9187" spans="24:44">
      <c r="X9187"/>
      <c r="Y9187"/>
      <c r="Z9187"/>
      <c r="AA9187"/>
      <c r="AC9187"/>
      <c r="AR9187"/>
    </row>
    <row r="9188" spans="24:44">
      <c r="X9188"/>
      <c r="Y9188"/>
      <c r="Z9188"/>
      <c r="AA9188"/>
      <c r="AC9188"/>
      <c r="AR9188"/>
    </row>
    <row r="9189" spans="24:44">
      <c r="X9189"/>
      <c r="Y9189"/>
      <c r="Z9189"/>
      <c r="AA9189"/>
      <c r="AC9189"/>
      <c r="AR9189"/>
    </row>
    <row r="9190" spans="24:44">
      <c r="X9190"/>
      <c r="Y9190"/>
      <c r="Z9190"/>
      <c r="AA9190"/>
      <c r="AC9190"/>
      <c r="AR9190"/>
    </row>
    <row r="9191" spans="24:44">
      <c r="X9191"/>
      <c r="Y9191"/>
      <c r="Z9191"/>
      <c r="AA9191"/>
      <c r="AC9191"/>
      <c r="AR9191"/>
    </row>
    <row r="9192" spans="24:44">
      <c r="X9192"/>
      <c r="Y9192"/>
      <c r="Z9192"/>
      <c r="AA9192"/>
      <c r="AC9192"/>
      <c r="AR9192"/>
    </row>
    <row r="9193" spans="24:44">
      <c r="X9193"/>
      <c r="Y9193"/>
      <c r="Z9193"/>
      <c r="AA9193"/>
      <c r="AC9193"/>
      <c r="AR9193"/>
    </row>
    <row r="9194" spans="24:44">
      <c r="X9194"/>
      <c r="Y9194"/>
      <c r="Z9194"/>
      <c r="AA9194"/>
      <c r="AC9194"/>
      <c r="AR9194"/>
    </row>
    <row r="9195" spans="24:44">
      <c r="X9195"/>
      <c r="Y9195"/>
      <c r="Z9195"/>
      <c r="AA9195"/>
      <c r="AC9195"/>
      <c r="AR9195"/>
    </row>
    <row r="9196" spans="24:44">
      <c r="X9196"/>
      <c r="Y9196"/>
      <c r="Z9196"/>
      <c r="AA9196"/>
      <c r="AC9196"/>
      <c r="AR9196"/>
    </row>
    <row r="9197" spans="24:44">
      <c r="X9197"/>
      <c r="Y9197"/>
      <c r="Z9197"/>
      <c r="AA9197"/>
      <c r="AC9197"/>
      <c r="AR9197"/>
    </row>
    <row r="9198" spans="24:44">
      <c r="X9198"/>
      <c r="Y9198"/>
      <c r="Z9198"/>
      <c r="AA9198"/>
      <c r="AC9198"/>
      <c r="AR9198"/>
    </row>
    <row r="9199" spans="24:44">
      <c r="X9199"/>
      <c r="Y9199"/>
      <c r="Z9199"/>
      <c r="AA9199"/>
      <c r="AC9199"/>
      <c r="AR9199"/>
    </row>
    <row r="9200" spans="24:44">
      <c r="X9200"/>
      <c r="Y9200"/>
      <c r="Z9200"/>
      <c r="AA9200"/>
      <c r="AC9200"/>
      <c r="AR9200"/>
    </row>
    <row r="9201" spans="24:44">
      <c r="X9201"/>
      <c r="Y9201"/>
      <c r="Z9201"/>
      <c r="AA9201"/>
      <c r="AC9201"/>
      <c r="AR9201"/>
    </row>
    <row r="9202" spans="24:44">
      <c r="X9202"/>
      <c r="Y9202"/>
      <c r="Z9202"/>
      <c r="AA9202"/>
      <c r="AC9202"/>
      <c r="AR9202"/>
    </row>
    <row r="9203" spans="24:44">
      <c r="X9203"/>
      <c r="Y9203"/>
      <c r="Z9203"/>
      <c r="AA9203"/>
      <c r="AC9203"/>
      <c r="AR9203"/>
    </row>
    <row r="9204" spans="24:44">
      <c r="X9204"/>
      <c r="Y9204"/>
      <c r="Z9204"/>
      <c r="AA9204"/>
      <c r="AC9204"/>
      <c r="AR9204"/>
    </row>
    <row r="9205" spans="24:44">
      <c r="X9205"/>
      <c r="Y9205"/>
      <c r="Z9205"/>
      <c r="AA9205"/>
      <c r="AC9205"/>
      <c r="AR9205"/>
    </row>
    <row r="9206" spans="24:44">
      <c r="X9206"/>
      <c r="Y9206"/>
      <c r="Z9206"/>
      <c r="AA9206"/>
      <c r="AC9206"/>
      <c r="AR9206"/>
    </row>
    <row r="9207" spans="24:44">
      <c r="X9207"/>
      <c r="Y9207"/>
      <c r="Z9207"/>
      <c r="AA9207"/>
      <c r="AC9207"/>
      <c r="AR9207"/>
    </row>
    <row r="9208" spans="24:44">
      <c r="X9208"/>
      <c r="Y9208"/>
      <c r="Z9208"/>
      <c r="AA9208"/>
      <c r="AC9208"/>
      <c r="AR9208"/>
    </row>
    <row r="9209" spans="24:44">
      <c r="X9209"/>
      <c r="Y9209"/>
      <c r="Z9209"/>
      <c r="AA9209"/>
      <c r="AC9209"/>
      <c r="AR9209"/>
    </row>
    <row r="9210" spans="24:44">
      <c r="X9210"/>
      <c r="Y9210"/>
      <c r="Z9210"/>
      <c r="AA9210"/>
      <c r="AC9210"/>
      <c r="AR9210"/>
    </row>
    <row r="9211" spans="24:44">
      <c r="X9211"/>
      <c r="Y9211"/>
      <c r="Z9211"/>
      <c r="AA9211"/>
      <c r="AC9211"/>
      <c r="AR9211"/>
    </row>
    <row r="9212" spans="24:44">
      <c r="X9212"/>
      <c r="Y9212"/>
      <c r="Z9212"/>
      <c r="AA9212"/>
      <c r="AC9212"/>
      <c r="AR9212"/>
    </row>
    <row r="9213" spans="24:44">
      <c r="X9213"/>
      <c r="Y9213"/>
      <c r="Z9213"/>
      <c r="AA9213"/>
      <c r="AC9213"/>
      <c r="AR9213"/>
    </row>
    <row r="9214" spans="24:44">
      <c r="X9214"/>
      <c r="Y9214"/>
      <c r="Z9214"/>
      <c r="AA9214"/>
      <c r="AC9214"/>
      <c r="AR9214"/>
    </row>
    <row r="9215" spans="24:44">
      <c r="X9215"/>
      <c r="Y9215"/>
      <c r="Z9215"/>
      <c r="AA9215"/>
      <c r="AC9215"/>
      <c r="AR9215"/>
    </row>
    <row r="9216" spans="24:44">
      <c r="X9216"/>
      <c r="Y9216"/>
      <c r="Z9216"/>
      <c r="AA9216"/>
      <c r="AC9216"/>
      <c r="AR9216"/>
    </row>
    <row r="9217" spans="24:44">
      <c r="X9217"/>
      <c r="Y9217"/>
      <c r="Z9217"/>
      <c r="AA9217"/>
      <c r="AC9217"/>
      <c r="AR9217"/>
    </row>
    <row r="9218" spans="24:44">
      <c r="X9218"/>
      <c r="Y9218"/>
      <c r="Z9218"/>
      <c r="AA9218"/>
      <c r="AC9218"/>
      <c r="AR9218"/>
    </row>
    <row r="9219" spans="24:44">
      <c r="X9219"/>
      <c r="Y9219"/>
      <c r="Z9219"/>
      <c r="AA9219"/>
      <c r="AC9219"/>
      <c r="AR9219"/>
    </row>
    <row r="9220" spans="24:44">
      <c r="X9220"/>
      <c r="Y9220"/>
      <c r="Z9220"/>
      <c r="AA9220"/>
      <c r="AC9220"/>
      <c r="AR9220"/>
    </row>
    <row r="9221" spans="24:44">
      <c r="X9221"/>
      <c r="Y9221"/>
      <c r="Z9221"/>
      <c r="AA9221"/>
      <c r="AC9221"/>
      <c r="AR9221"/>
    </row>
    <row r="9222" spans="24:44">
      <c r="X9222"/>
      <c r="Y9222"/>
      <c r="Z9222"/>
      <c r="AA9222"/>
      <c r="AC9222"/>
      <c r="AR9222"/>
    </row>
    <row r="9223" spans="24:44">
      <c r="X9223"/>
      <c r="Y9223"/>
      <c r="Z9223"/>
      <c r="AA9223"/>
      <c r="AC9223"/>
      <c r="AR9223"/>
    </row>
    <row r="9224" spans="24:44">
      <c r="X9224"/>
      <c r="Y9224"/>
      <c r="Z9224"/>
      <c r="AA9224"/>
      <c r="AC9224"/>
      <c r="AR9224"/>
    </row>
    <row r="9225" spans="24:44">
      <c r="X9225"/>
      <c r="Y9225"/>
      <c r="Z9225"/>
      <c r="AA9225"/>
      <c r="AC9225"/>
      <c r="AR9225"/>
    </row>
    <row r="9226" spans="24:44">
      <c r="X9226"/>
      <c r="Y9226"/>
      <c r="Z9226"/>
      <c r="AA9226"/>
      <c r="AC9226"/>
      <c r="AR9226"/>
    </row>
    <row r="9227" spans="24:44">
      <c r="X9227"/>
      <c r="Y9227"/>
      <c r="Z9227"/>
      <c r="AA9227"/>
      <c r="AC9227"/>
      <c r="AR9227"/>
    </row>
    <row r="9228" spans="24:44">
      <c r="X9228"/>
      <c r="Y9228"/>
      <c r="Z9228"/>
      <c r="AA9228"/>
      <c r="AC9228"/>
      <c r="AR9228"/>
    </row>
    <row r="9229" spans="24:44">
      <c r="X9229"/>
      <c r="Y9229"/>
      <c r="Z9229"/>
      <c r="AA9229"/>
      <c r="AC9229"/>
      <c r="AR9229"/>
    </row>
    <row r="9230" spans="24:44">
      <c r="X9230"/>
      <c r="Y9230"/>
      <c r="Z9230"/>
      <c r="AA9230"/>
      <c r="AC9230"/>
      <c r="AR9230"/>
    </row>
    <row r="9231" spans="24:44">
      <c r="X9231"/>
      <c r="Y9231"/>
      <c r="Z9231"/>
      <c r="AA9231"/>
      <c r="AC9231"/>
      <c r="AR9231"/>
    </row>
    <row r="9232" spans="24:44">
      <c r="X9232"/>
      <c r="Y9232"/>
      <c r="Z9232"/>
      <c r="AA9232"/>
      <c r="AC9232"/>
      <c r="AR9232"/>
    </row>
    <row r="9233" spans="24:44">
      <c r="X9233"/>
      <c r="Y9233"/>
      <c r="Z9233"/>
      <c r="AA9233"/>
      <c r="AC9233"/>
      <c r="AR9233"/>
    </row>
    <row r="9234" spans="24:44">
      <c r="X9234"/>
      <c r="Y9234"/>
      <c r="Z9234"/>
      <c r="AA9234"/>
      <c r="AC9234"/>
      <c r="AR9234"/>
    </row>
    <row r="9235" spans="24:44">
      <c r="X9235"/>
      <c r="Y9235"/>
      <c r="Z9235"/>
      <c r="AA9235"/>
      <c r="AC9235"/>
      <c r="AR9235"/>
    </row>
    <row r="9236" spans="24:44">
      <c r="X9236"/>
      <c r="Y9236"/>
      <c r="Z9236"/>
      <c r="AA9236"/>
      <c r="AC9236"/>
      <c r="AR9236"/>
    </row>
    <row r="9237" spans="24:44">
      <c r="X9237"/>
      <c r="Y9237"/>
      <c r="Z9237"/>
      <c r="AA9237"/>
      <c r="AC9237"/>
      <c r="AR9237"/>
    </row>
    <row r="9238" spans="24:44">
      <c r="X9238"/>
      <c r="Y9238"/>
      <c r="Z9238"/>
      <c r="AA9238"/>
      <c r="AC9238"/>
      <c r="AR9238"/>
    </row>
    <row r="9239" spans="24:44">
      <c r="X9239"/>
      <c r="Y9239"/>
      <c r="Z9239"/>
      <c r="AA9239"/>
      <c r="AC9239"/>
      <c r="AR9239"/>
    </row>
    <row r="9240" spans="24:44">
      <c r="X9240"/>
      <c r="Y9240"/>
      <c r="Z9240"/>
      <c r="AA9240"/>
      <c r="AC9240"/>
      <c r="AR9240"/>
    </row>
    <row r="9241" spans="24:44">
      <c r="X9241"/>
      <c r="Y9241"/>
      <c r="Z9241"/>
      <c r="AA9241"/>
      <c r="AC9241"/>
      <c r="AR9241"/>
    </row>
    <row r="9242" spans="24:44">
      <c r="X9242"/>
      <c r="Y9242"/>
      <c r="Z9242"/>
      <c r="AA9242"/>
      <c r="AC9242"/>
      <c r="AR9242"/>
    </row>
    <row r="9243" spans="24:44">
      <c r="X9243"/>
      <c r="Y9243"/>
      <c r="Z9243"/>
      <c r="AA9243"/>
      <c r="AC9243"/>
      <c r="AR9243"/>
    </row>
    <row r="9244" spans="24:44">
      <c r="X9244"/>
      <c r="Y9244"/>
      <c r="Z9244"/>
      <c r="AA9244"/>
      <c r="AC9244"/>
      <c r="AR9244"/>
    </row>
    <row r="9245" spans="24:44">
      <c r="X9245"/>
      <c r="Y9245"/>
      <c r="Z9245"/>
      <c r="AA9245"/>
      <c r="AC9245"/>
      <c r="AR9245"/>
    </row>
    <row r="9246" spans="24:44">
      <c r="X9246"/>
      <c r="Y9246"/>
      <c r="Z9246"/>
      <c r="AA9246"/>
      <c r="AC9246"/>
      <c r="AR9246"/>
    </row>
    <row r="9247" spans="24:44">
      <c r="X9247"/>
      <c r="Y9247"/>
      <c r="Z9247"/>
      <c r="AA9247"/>
      <c r="AC9247"/>
      <c r="AR9247"/>
    </row>
    <row r="9248" spans="24:44">
      <c r="X9248"/>
      <c r="Y9248"/>
      <c r="Z9248"/>
      <c r="AA9248"/>
      <c r="AC9248"/>
      <c r="AR9248"/>
    </row>
    <row r="9249" spans="24:44">
      <c r="X9249"/>
      <c r="Y9249"/>
      <c r="Z9249"/>
      <c r="AA9249"/>
      <c r="AC9249"/>
      <c r="AR9249"/>
    </row>
    <row r="9250" spans="24:44">
      <c r="X9250"/>
      <c r="Y9250"/>
      <c r="Z9250"/>
      <c r="AA9250"/>
      <c r="AC9250"/>
      <c r="AR9250"/>
    </row>
    <row r="9251" spans="24:44">
      <c r="X9251"/>
      <c r="Y9251"/>
      <c r="Z9251"/>
      <c r="AA9251"/>
      <c r="AC9251"/>
      <c r="AR9251"/>
    </row>
    <row r="9252" spans="24:44">
      <c r="X9252"/>
      <c r="Y9252"/>
      <c r="Z9252"/>
      <c r="AA9252"/>
      <c r="AC9252"/>
      <c r="AR9252"/>
    </row>
    <row r="9253" spans="24:44">
      <c r="X9253"/>
      <c r="Y9253"/>
      <c r="Z9253"/>
      <c r="AA9253"/>
      <c r="AC9253"/>
      <c r="AR9253"/>
    </row>
    <row r="9254" spans="24:44">
      <c r="X9254"/>
      <c r="Y9254"/>
      <c r="Z9254"/>
      <c r="AA9254"/>
      <c r="AC9254"/>
      <c r="AR9254"/>
    </row>
    <row r="9255" spans="24:44">
      <c r="X9255"/>
      <c r="Y9255"/>
      <c r="Z9255"/>
      <c r="AA9255"/>
      <c r="AC9255"/>
      <c r="AR9255"/>
    </row>
    <row r="9256" spans="24:44">
      <c r="X9256"/>
      <c r="Y9256"/>
      <c r="Z9256"/>
      <c r="AA9256"/>
      <c r="AC9256"/>
      <c r="AR9256"/>
    </row>
    <row r="9257" spans="24:44">
      <c r="X9257"/>
      <c r="Y9257"/>
      <c r="Z9257"/>
      <c r="AA9257"/>
      <c r="AC9257"/>
      <c r="AR9257"/>
    </row>
    <row r="9258" spans="24:44">
      <c r="X9258"/>
      <c r="Y9258"/>
      <c r="Z9258"/>
      <c r="AA9258"/>
      <c r="AC9258"/>
      <c r="AR9258"/>
    </row>
    <row r="9259" spans="24:44">
      <c r="X9259"/>
      <c r="Y9259"/>
      <c r="Z9259"/>
      <c r="AA9259"/>
      <c r="AC9259"/>
      <c r="AR9259"/>
    </row>
    <row r="9260" spans="24:44">
      <c r="X9260"/>
      <c r="Y9260"/>
      <c r="Z9260"/>
      <c r="AA9260"/>
      <c r="AC9260"/>
      <c r="AR9260"/>
    </row>
    <row r="9261" spans="24:44">
      <c r="X9261"/>
      <c r="Y9261"/>
      <c r="Z9261"/>
      <c r="AA9261"/>
      <c r="AC9261"/>
      <c r="AR9261"/>
    </row>
    <row r="9262" spans="24:44">
      <c r="X9262"/>
      <c r="Y9262"/>
      <c r="Z9262"/>
      <c r="AA9262"/>
      <c r="AC9262"/>
      <c r="AR9262"/>
    </row>
    <row r="9263" spans="24:44">
      <c r="X9263"/>
      <c r="Y9263"/>
      <c r="Z9263"/>
      <c r="AA9263"/>
      <c r="AC9263"/>
      <c r="AR9263"/>
    </row>
    <row r="9264" spans="24:44">
      <c r="X9264"/>
      <c r="Y9264"/>
      <c r="Z9264"/>
      <c r="AA9264"/>
      <c r="AC9264"/>
      <c r="AR9264"/>
    </row>
    <row r="9265" spans="24:44">
      <c r="X9265"/>
      <c r="Y9265"/>
      <c r="Z9265"/>
      <c r="AA9265"/>
      <c r="AC9265"/>
      <c r="AR9265"/>
    </row>
    <row r="9266" spans="24:44">
      <c r="X9266"/>
      <c r="Y9266"/>
      <c r="Z9266"/>
      <c r="AA9266"/>
      <c r="AC9266"/>
      <c r="AR9266"/>
    </row>
    <row r="9267" spans="24:44">
      <c r="X9267"/>
      <c r="Y9267"/>
      <c r="Z9267"/>
      <c r="AA9267"/>
      <c r="AC9267"/>
      <c r="AR9267"/>
    </row>
    <row r="9268" spans="24:44">
      <c r="X9268"/>
      <c r="Y9268"/>
      <c r="Z9268"/>
      <c r="AA9268"/>
      <c r="AC9268"/>
      <c r="AR9268"/>
    </row>
    <row r="9269" spans="24:44">
      <c r="X9269"/>
      <c r="Y9269"/>
      <c r="Z9269"/>
      <c r="AA9269"/>
      <c r="AC9269"/>
      <c r="AR9269"/>
    </row>
    <row r="9270" spans="24:44">
      <c r="X9270"/>
      <c r="Y9270"/>
      <c r="Z9270"/>
      <c r="AA9270"/>
      <c r="AC9270"/>
      <c r="AR9270"/>
    </row>
    <row r="9271" spans="24:44">
      <c r="X9271"/>
      <c r="Y9271"/>
      <c r="Z9271"/>
      <c r="AA9271"/>
      <c r="AC9271"/>
      <c r="AR9271"/>
    </row>
    <row r="9272" spans="24:44">
      <c r="X9272"/>
      <c r="Y9272"/>
      <c r="Z9272"/>
      <c r="AA9272"/>
      <c r="AC9272"/>
      <c r="AR9272"/>
    </row>
    <row r="9273" spans="24:44">
      <c r="X9273"/>
      <c r="Y9273"/>
      <c r="Z9273"/>
      <c r="AA9273"/>
      <c r="AC9273"/>
      <c r="AR9273"/>
    </row>
    <row r="9274" spans="24:44">
      <c r="X9274"/>
      <c r="Y9274"/>
      <c r="Z9274"/>
      <c r="AA9274"/>
      <c r="AC9274"/>
      <c r="AR9274"/>
    </row>
    <row r="9275" spans="24:44">
      <c r="X9275"/>
      <c r="Y9275"/>
      <c r="Z9275"/>
      <c r="AA9275"/>
      <c r="AC9275"/>
      <c r="AR9275"/>
    </row>
    <row r="9276" spans="24:44">
      <c r="X9276"/>
      <c r="Y9276"/>
      <c r="Z9276"/>
      <c r="AA9276"/>
      <c r="AC9276"/>
      <c r="AR9276"/>
    </row>
    <row r="9277" spans="24:44">
      <c r="X9277"/>
      <c r="Y9277"/>
      <c r="Z9277"/>
      <c r="AA9277"/>
      <c r="AC9277"/>
      <c r="AR9277"/>
    </row>
    <row r="9278" spans="24:44">
      <c r="X9278"/>
      <c r="Y9278"/>
      <c r="Z9278"/>
      <c r="AA9278"/>
      <c r="AC9278"/>
      <c r="AR9278"/>
    </row>
    <row r="9279" spans="24:44">
      <c r="X9279"/>
      <c r="Y9279"/>
      <c r="Z9279"/>
      <c r="AA9279"/>
      <c r="AC9279"/>
      <c r="AR9279"/>
    </row>
    <row r="9280" spans="24:44">
      <c r="X9280"/>
      <c r="Y9280"/>
      <c r="Z9280"/>
      <c r="AA9280"/>
      <c r="AC9280"/>
      <c r="AR9280"/>
    </row>
    <row r="9281" spans="24:44">
      <c r="X9281"/>
      <c r="Y9281"/>
      <c r="Z9281"/>
      <c r="AA9281"/>
      <c r="AC9281"/>
      <c r="AR9281"/>
    </row>
    <row r="9282" spans="24:44">
      <c r="X9282"/>
      <c r="Y9282"/>
      <c r="Z9282"/>
      <c r="AA9282"/>
      <c r="AC9282"/>
      <c r="AR9282"/>
    </row>
    <row r="9283" spans="24:44">
      <c r="X9283"/>
      <c r="Y9283"/>
      <c r="Z9283"/>
      <c r="AA9283"/>
      <c r="AC9283"/>
      <c r="AR9283"/>
    </row>
    <row r="9284" spans="24:44">
      <c r="X9284"/>
      <c r="Y9284"/>
      <c r="Z9284"/>
      <c r="AA9284"/>
      <c r="AC9284"/>
      <c r="AR9284"/>
    </row>
    <row r="9285" spans="24:44">
      <c r="X9285"/>
      <c r="Y9285"/>
      <c r="Z9285"/>
      <c r="AA9285"/>
      <c r="AC9285"/>
      <c r="AR9285"/>
    </row>
    <row r="9286" spans="24:44">
      <c r="X9286"/>
      <c r="Y9286"/>
      <c r="Z9286"/>
      <c r="AA9286"/>
      <c r="AC9286"/>
      <c r="AR9286"/>
    </row>
    <row r="9287" spans="24:44">
      <c r="X9287"/>
      <c r="Y9287"/>
      <c r="Z9287"/>
      <c r="AA9287"/>
      <c r="AC9287"/>
      <c r="AR9287"/>
    </row>
    <row r="9288" spans="24:44">
      <c r="X9288"/>
      <c r="Y9288"/>
      <c r="Z9288"/>
      <c r="AA9288"/>
      <c r="AC9288"/>
      <c r="AR9288"/>
    </row>
    <row r="9289" spans="24:44">
      <c r="X9289"/>
      <c r="Y9289"/>
      <c r="Z9289"/>
      <c r="AA9289"/>
      <c r="AC9289"/>
      <c r="AR9289"/>
    </row>
    <row r="9290" spans="24:44">
      <c r="X9290"/>
      <c r="Y9290"/>
      <c r="Z9290"/>
      <c r="AA9290"/>
      <c r="AC9290"/>
      <c r="AR9290"/>
    </row>
    <row r="9291" spans="24:44">
      <c r="X9291"/>
      <c r="Y9291"/>
      <c r="Z9291"/>
      <c r="AA9291"/>
      <c r="AC9291"/>
      <c r="AR9291"/>
    </row>
    <row r="9292" spans="24:44">
      <c r="X9292"/>
      <c r="Y9292"/>
      <c r="Z9292"/>
      <c r="AA9292"/>
      <c r="AC9292"/>
      <c r="AR9292"/>
    </row>
    <row r="9293" spans="24:44">
      <c r="X9293"/>
      <c r="Y9293"/>
      <c r="Z9293"/>
      <c r="AA9293"/>
      <c r="AC9293"/>
      <c r="AR9293"/>
    </row>
    <row r="9294" spans="24:44">
      <c r="X9294"/>
      <c r="Y9294"/>
      <c r="Z9294"/>
      <c r="AA9294"/>
      <c r="AC9294"/>
      <c r="AR9294"/>
    </row>
    <row r="9295" spans="24:44">
      <c r="X9295"/>
      <c r="Y9295"/>
      <c r="Z9295"/>
      <c r="AA9295"/>
      <c r="AC9295"/>
      <c r="AR9295"/>
    </row>
    <row r="9296" spans="24:44">
      <c r="X9296"/>
      <c r="Y9296"/>
      <c r="Z9296"/>
      <c r="AA9296"/>
      <c r="AC9296"/>
      <c r="AR9296"/>
    </row>
    <row r="9297" spans="24:44">
      <c r="X9297"/>
      <c r="Y9297"/>
      <c r="Z9297"/>
      <c r="AA9297"/>
      <c r="AC9297"/>
      <c r="AR9297"/>
    </row>
    <row r="9298" spans="24:44">
      <c r="X9298"/>
      <c r="Y9298"/>
      <c r="Z9298"/>
      <c r="AA9298"/>
      <c r="AC9298"/>
      <c r="AR9298"/>
    </row>
    <row r="9299" spans="24:44">
      <c r="X9299"/>
      <c r="Y9299"/>
      <c r="Z9299"/>
      <c r="AA9299"/>
      <c r="AC9299"/>
      <c r="AR9299"/>
    </row>
    <row r="9300" spans="24:44">
      <c r="X9300"/>
      <c r="Y9300"/>
      <c r="Z9300"/>
      <c r="AA9300"/>
      <c r="AC9300"/>
      <c r="AR9300"/>
    </row>
    <row r="9301" spans="24:44">
      <c r="X9301"/>
      <c r="Y9301"/>
      <c r="Z9301"/>
      <c r="AA9301"/>
      <c r="AC9301"/>
      <c r="AR9301"/>
    </row>
    <row r="9302" spans="24:44">
      <c r="X9302"/>
      <c r="Y9302"/>
      <c r="Z9302"/>
      <c r="AA9302"/>
      <c r="AC9302"/>
      <c r="AR9302"/>
    </row>
    <row r="9303" spans="24:44">
      <c r="X9303"/>
      <c r="Y9303"/>
      <c r="Z9303"/>
      <c r="AA9303"/>
      <c r="AC9303"/>
      <c r="AR9303"/>
    </row>
    <row r="9304" spans="24:44">
      <c r="X9304"/>
      <c r="Y9304"/>
      <c r="Z9304"/>
      <c r="AA9304"/>
      <c r="AC9304"/>
      <c r="AR9304"/>
    </row>
    <row r="9305" spans="24:44">
      <c r="X9305"/>
      <c r="Y9305"/>
      <c r="Z9305"/>
      <c r="AA9305"/>
      <c r="AC9305"/>
      <c r="AR9305"/>
    </row>
    <row r="9306" spans="24:44">
      <c r="X9306"/>
      <c r="Y9306"/>
      <c r="Z9306"/>
      <c r="AA9306"/>
      <c r="AC9306"/>
      <c r="AR9306"/>
    </row>
    <row r="9307" spans="24:44">
      <c r="X9307"/>
      <c r="Y9307"/>
      <c r="Z9307"/>
      <c r="AA9307"/>
      <c r="AC9307"/>
      <c r="AR9307"/>
    </row>
    <row r="9308" spans="24:44">
      <c r="X9308"/>
      <c r="Y9308"/>
      <c r="Z9308"/>
      <c r="AA9308"/>
      <c r="AC9308"/>
      <c r="AR9308"/>
    </row>
    <row r="9309" spans="24:44">
      <c r="X9309"/>
      <c r="Y9309"/>
      <c r="Z9309"/>
      <c r="AA9309"/>
      <c r="AC9309"/>
      <c r="AR9309"/>
    </row>
    <row r="9310" spans="24:44">
      <c r="X9310"/>
      <c r="Y9310"/>
      <c r="Z9310"/>
      <c r="AA9310"/>
      <c r="AC9310"/>
      <c r="AR9310"/>
    </row>
    <row r="9311" spans="24:44">
      <c r="X9311"/>
      <c r="Y9311"/>
      <c r="Z9311"/>
      <c r="AA9311"/>
      <c r="AC9311"/>
      <c r="AR9311"/>
    </row>
    <row r="9312" spans="24:44">
      <c r="X9312"/>
      <c r="Y9312"/>
      <c r="Z9312"/>
      <c r="AA9312"/>
      <c r="AC9312"/>
      <c r="AR9312"/>
    </row>
    <row r="9313" spans="24:44">
      <c r="X9313"/>
      <c r="Y9313"/>
      <c r="Z9313"/>
      <c r="AA9313"/>
      <c r="AC9313"/>
      <c r="AR9313"/>
    </row>
    <row r="9314" spans="24:44">
      <c r="X9314"/>
      <c r="Y9314"/>
      <c r="Z9314"/>
      <c r="AA9314"/>
      <c r="AC9314"/>
      <c r="AR9314"/>
    </row>
    <row r="9315" spans="24:44">
      <c r="X9315"/>
      <c r="Y9315"/>
      <c r="Z9315"/>
      <c r="AA9315"/>
      <c r="AC9315"/>
      <c r="AR9315"/>
    </row>
    <row r="9316" spans="24:44">
      <c r="X9316"/>
      <c r="Y9316"/>
      <c r="Z9316"/>
      <c r="AA9316"/>
      <c r="AC9316"/>
      <c r="AR9316"/>
    </row>
    <row r="9317" spans="24:44">
      <c r="X9317"/>
      <c r="Y9317"/>
      <c r="Z9317"/>
      <c r="AA9317"/>
      <c r="AC9317"/>
      <c r="AR9317"/>
    </row>
    <row r="9318" spans="24:44">
      <c r="X9318"/>
      <c r="Y9318"/>
      <c r="Z9318"/>
      <c r="AA9318"/>
      <c r="AC9318"/>
      <c r="AR9318"/>
    </row>
    <row r="9319" spans="24:44">
      <c r="X9319"/>
      <c r="Y9319"/>
      <c r="Z9319"/>
      <c r="AA9319"/>
      <c r="AC9319"/>
      <c r="AR9319"/>
    </row>
    <row r="9320" spans="24:44">
      <c r="X9320"/>
      <c r="Y9320"/>
      <c r="Z9320"/>
      <c r="AA9320"/>
      <c r="AC9320"/>
      <c r="AR9320"/>
    </row>
    <row r="9321" spans="24:44">
      <c r="X9321"/>
      <c r="Y9321"/>
      <c r="Z9321"/>
      <c r="AA9321"/>
      <c r="AC9321"/>
      <c r="AR9321"/>
    </row>
    <row r="9322" spans="24:44">
      <c r="X9322"/>
      <c r="Y9322"/>
      <c r="Z9322"/>
      <c r="AA9322"/>
      <c r="AC9322"/>
      <c r="AR9322"/>
    </row>
    <row r="9323" spans="24:44">
      <c r="X9323"/>
      <c r="Y9323"/>
      <c r="Z9323"/>
      <c r="AA9323"/>
      <c r="AC9323"/>
      <c r="AR9323"/>
    </row>
    <row r="9324" spans="24:44">
      <c r="X9324"/>
      <c r="Y9324"/>
      <c r="Z9324"/>
      <c r="AA9324"/>
      <c r="AC9324"/>
      <c r="AR9324"/>
    </row>
    <row r="9325" spans="24:44">
      <c r="X9325"/>
      <c r="Y9325"/>
      <c r="Z9325"/>
      <c r="AA9325"/>
      <c r="AC9325"/>
      <c r="AR9325"/>
    </row>
    <row r="9326" spans="24:44">
      <c r="X9326"/>
      <c r="Y9326"/>
      <c r="Z9326"/>
      <c r="AA9326"/>
      <c r="AC9326"/>
      <c r="AR9326"/>
    </row>
    <row r="9327" spans="24:44">
      <c r="X9327"/>
      <c r="Y9327"/>
      <c r="Z9327"/>
      <c r="AA9327"/>
      <c r="AC9327"/>
      <c r="AR9327"/>
    </row>
    <row r="9328" spans="24:44">
      <c r="X9328"/>
      <c r="Y9328"/>
      <c r="Z9328"/>
      <c r="AA9328"/>
      <c r="AC9328"/>
      <c r="AR9328"/>
    </row>
    <row r="9329" spans="24:44">
      <c r="X9329"/>
      <c r="Y9329"/>
      <c r="Z9329"/>
      <c r="AA9329"/>
      <c r="AC9329"/>
      <c r="AR9329"/>
    </row>
    <row r="9330" spans="24:44">
      <c r="X9330"/>
      <c r="Y9330"/>
      <c r="Z9330"/>
      <c r="AA9330"/>
      <c r="AC9330"/>
      <c r="AR9330"/>
    </row>
    <row r="9331" spans="24:44">
      <c r="X9331"/>
      <c r="Y9331"/>
      <c r="Z9331"/>
      <c r="AA9331"/>
      <c r="AC9331"/>
      <c r="AR9331"/>
    </row>
    <row r="9332" spans="24:44">
      <c r="X9332"/>
      <c r="Y9332"/>
      <c r="Z9332"/>
      <c r="AA9332"/>
      <c r="AC9332"/>
      <c r="AR9332"/>
    </row>
    <row r="9333" spans="24:44">
      <c r="X9333"/>
      <c r="Y9333"/>
      <c r="Z9333"/>
      <c r="AA9333"/>
      <c r="AC9333"/>
      <c r="AR9333"/>
    </row>
    <row r="9334" spans="24:44">
      <c r="X9334"/>
      <c r="Y9334"/>
      <c r="Z9334"/>
      <c r="AA9334"/>
      <c r="AC9334"/>
      <c r="AR9334"/>
    </row>
    <row r="9335" spans="24:44">
      <c r="X9335"/>
      <c r="Y9335"/>
      <c r="Z9335"/>
      <c r="AA9335"/>
      <c r="AC9335"/>
      <c r="AR9335"/>
    </row>
    <row r="9336" spans="24:44">
      <c r="X9336"/>
      <c r="Y9336"/>
      <c r="Z9336"/>
      <c r="AA9336"/>
      <c r="AC9336"/>
      <c r="AR9336"/>
    </row>
    <row r="9337" spans="24:44">
      <c r="X9337"/>
      <c r="Y9337"/>
      <c r="Z9337"/>
      <c r="AA9337"/>
      <c r="AC9337"/>
      <c r="AR9337"/>
    </row>
    <row r="9338" spans="24:44">
      <c r="X9338"/>
      <c r="Y9338"/>
      <c r="Z9338"/>
      <c r="AA9338"/>
      <c r="AC9338"/>
      <c r="AR9338"/>
    </row>
    <row r="9339" spans="24:44">
      <c r="X9339"/>
      <c r="Y9339"/>
      <c r="Z9339"/>
      <c r="AA9339"/>
      <c r="AC9339"/>
      <c r="AR9339"/>
    </row>
    <row r="9340" spans="24:44">
      <c r="X9340"/>
      <c r="Y9340"/>
      <c r="Z9340"/>
      <c r="AA9340"/>
      <c r="AC9340"/>
      <c r="AR9340"/>
    </row>
    <row r="9341" spans="24:44">
      <c r="X9341"/>
      <c r="Y9341"/>
      <c r="Z9341"/>
      <c r="AA9341"/>
      <c r="AC9341"/>
      <c r="AR9341"/>
    </row>
    <row r="9342" spans="24:44">
      <c r="X9342"/>
      <c r="Y9342"/>
      <c r="Z9342"/>
      <c r="AA9342"/>
      <c r="AC9342"/>
      <c r="AR9342"/>
    </row>
    <row r="9343" spans="24:44">
      <c r="X9343"/>
      <c r="Y9343"/>
      <c r="Z9343"/>
      <c r="AA9343"/>
      <c r="AC9343"/>
      <c r="AR9343"/>
    </row>
    <row r="9344" spans="24:44">
      <c r="X9344"/>
      <c r="Y9344"/>
      <c r="Z9344"/>
      <c r="AA9344"/>
      <c r="AC9344"/>
      <c r="AR9344"/>
    </row>
    <row r="9345" spans="24:44">
      <c r="X9345"/>
      <c r="Y9345"/>
      <c r="Z9345"/>
      <c r="AA9345"/>
      <c r="AC9345"/>
      <c r="AR9345"/>
    </row>
    <row r="9346" spans="24:44">
      <c r="X9346"/>
      <c r="Y9346"/>
      <c r="Z9346"/>
      <c r="AA9346"/>
      <c r="AC9346"/>
      <c r="AR9346"/>
    </row>
    <row r="9347" spans="24:44">
      <c r="X9347"/>
      <c r="Y9347"/>
      <c r="Z9347"/>
      <c r="AA9347"/>
      <c r="AC9347"/>
      <c r="AR9347"/>
    </row>
    <row r="9348" spans="24:44">
      <c r="X9348"/>
      <c r="Y9348"/>
      <c r="Z9348"/>
      <c r="AA9348"/>
      <c r="AC9348"/>
      <c r="AR9348"/>
    </row>
    <row r="9349" spans="24:44">
      <c r="X9349"/>
      <c r="Y9349"/>
      <c r="Z9349"/>
      <c r="AA9349"/>
      <c r="AC9349"/>
      <c r="AR9349"/>
    </row>
    <row r="9350" spans="24:44">
      <c r="X9350"/>
      <c r="Y9350"/>
      <c r="Z9350"/>
      <c r="AA9350"/>
      <c r="AC9350"/>
      <c r="AR9350"/>
    </row>
    <row r="9351" spans="24:44">
      <c r="X9351"/>
      <c r="Y9351"/>
      <c r="Z9351"/>
      <c r="AA9351"/>
      <c r="AC9351"/>
      <c r="AR9351"/>
    </row>
    <row r="9352" spans="24:44">
      <c r="X9352"/>
      <c r="Y9352"/>
      <c r="Z9352"/>
      <c r="AA9352"/>
      <c r="AC9352"/>
      <c r="AR9352"/>
    </row>
    <row r="9353" spans="24:44">
      <c r="X9353"/>
      <c r="Y9353"/>
      <c r="Z9353"/>
      <c r="AA9353"/>
      <c r="AC9353"/>
      <c r="AR9353"/>
    </row>
    <row r="9354" spans="24:44">
      <c r="X9354"/>
      <c r="Y9354"/>
      <c r="Z9354"/>
      <c r="AA9354"/>
      <c r="AC9354"/>
      <c r="AR9354"/>
    </row>
    <row r="9355" spans="24:44">
      <c r="X9355"/>
      <c r="Y9355"/>
      <c r="Z9355"/>
      <c r="AA9355"/>
      <c r="AC9355"/>
      <c r="AR9355"/>
    </row>
    <row r="9356" spans="24:44">
      <c r="X9356"/>
      <c r="Y9356"/>
      <c r="Z9356"/>
      <c r="AA9356"/>
      <c r="AC9356"/>
      <c r="AR9356"/>
    </row>
    <row r="9357" spans="24:44">
      <c r="X9357"/>
      <c r="Y9357"/>
      <c r="Z9357"/>
      <c r="AA9357"/>
      <c r="AC9357"/>
      <c r="AR9357"/>
    </row>
    <row r="9358" spans="24:44">
      <c r="X9358"/>
      <c r="Y9358"/>
      <c r="Z9358"/>
      <c r="AA9358"/>
      <c r="AC9358"/>
      <c r="AR9358"/>
    </row>
    <row r="9359" spans="24:44">
      <c r="X9359"/>
      <c r="Y9359"/>
      <c r="Z9359"/>
      <c r="AA9359"/>
      <c r="AC9359"/>
      <c r="AR9359"/>
    </row>
    <row r="9360" spans="24:44">
      <c r="X9360"/>
      <c r="Y9360"/>
      <c r="Z9360"/>
      <c r="AA9360"/>
      <c r="AC9360"/>
      <c r="AR9360"/>
    </row>
    <row r="9361" spans="24:44">
      <c r="X9361"/>
      <c r="Y9361"/>
      <c r="Z9361"/>
      <c r="AA9361"/>
      <c r="AC9361"/>
      <c r="AR9361"/>
    </row>
    <row r="9362" spans="24:44">
      <c r="X9362"/>
      <c r="Y9362"/>
      <c r="Z9362"/>
      <c r="AA9362"/>
      <c r="AC9362"/>
      <c r="AR9362"/>
    </row>
    <row r="9363" spans="24:44">
      <c r="X9363"/>
      <c r="Y9363"/>
      <c r="Z9363"/>
      <c r="AA9363"/>
      <c r="AC9363"/>
      <c r="AR9363"/>
    </row>
    <row r="9364" spans="24:44">
      <c r="X9364"/>
      <c r="Y9364"/>
      <c r="Z9364"/>
      <c r="AA9364"/>
      <c r="AC9364"/>
      <c r="AR9364"/>
    </row>
    <row r="9365" spans="24:44">
      <c r="X9365"/>
      <c r="Y9365"/>
      <c r="Z9365"/>
      <c r="AA9365"/>
      <c r="AC9365"/>
      <c r="AR9365"/>
    </row>
    <row r="9366" spans="24:44">
      <c r="X9366"/>
      <c r="Y9366"/>
      <c r="Z9366"/>
      <c r="AA9366"/>
      <c r="AC9366"/>
      <c r="AR9366"/>
    </row>
    <row r="9367" spans="24:44">
      <c r="X9367"/>
      <c r="Y9367"/>
      <c r="Z9367"/>
      <c r="AA9367"/>
      <c r="AC9367"/>
      <c r="AR9367"/>
    </row>
    <row r="9368" spans="24:44">
      <c r="X9368"/>
      <c r="Y9368"/>
      <c r="Z9368"/>
      <c r="AA9368"/>
      <c r="AC9368"/>
      <c r="AR9368"/>
    </row>
    <row r="9369" spans="24:44">
      <c r="X9369"/>
      <c r="Y9369"/>
      <c r="Z9369"/>
      <c r="AA9369"/>
      <c r="AC9369"/>
      <c r="AR9369"/>
    </row>
    <row r="9370" spans="24:44">
      <c r="X9370"/>
      <c r="Y9370"/>
      <c r="Z9370"/>
      <c r="AA9370"/>
      <c r="AC9370"/>
      <c r="AR9370"/>
    </row>
    <row r="9371" spans="24:44">
      <c r="X9371"/>
      <c r="Y9371"/>
      <c r="Z9371"/>
      <c r="AA9371"/>
      <c r="AC9371"/>
      <c r="AR9371"/>
    </row>
    <row r="9372" spans="24:44">
      <c r="X9372"/>
      <c r="Y9372"/>
      <c r="Z9372"/>
      <c r="AA9372"/>
      <c r="AC9372"/>
      <c r="AR9372"/>
    </row>
    <row r="9373" spans="24:44">
      <c r="X9373"/>
      <c r="Y9373"/>
      <c r="Z9373"/>
      <c r="AA9373"/>
      <c r="AC9373"/>
      <c r="AR9373"/>
    </row>
    <row r="9374" spans="24:44">
      <c r="X9374"/>
      <c r="Y9374"/>
      <c r="Z9374"/>
      <c r="AA9374"/>
      <c r="AC9374"/>
      <c r="AR9374"/>
    </row>
    <row r="9375" spans="24:44">
      <c r="X9375"/>
      <c r="Y9375"/>
      <c r="Z9375"/>
      <c r="AA9375"/>
      <c r="AC9375"/>
      <c r="AR9375"/>
    </row>
    <row r="9376" spans="24:44">
      <c r="X9376"/>
      <c r="Y9376"/>
      <c r="Z9376"/>
      <c r="AA9376"/>
      <c r="AC9376"/>
      <c r="AR9376"/>
    </row>
    <row r="9377" spans="24:44">
      <c r="X9377"/>
      <c r="Y9377"/>
      <c r="Z9377"/>
      <c r="AA9377"/>
      <c r="AC9377"/>
      <c r="AR9377"/>
    </row>
    <row r="9378" spans="24:44">
      <c r="X9378"/>
      <c r="Y9378"/>
      <c r="Z9378"/>
      <c r="AA9378"/>
      <c r="AC9378"/>
      <c r="AR9378"/>
    </row>
    <row r="9379" spans="24:44">
      <c r="X9379"/>
      <c r="Y9379"/>
      <c r="Z9379"/>
      <c r="AA9379"/>
      <c r="AC9379"/>
      <c r="AR9379"/>
    </row>
    <row r="9380" spans="24:44">
      <c r="X9380"/>
      <c r="Y9380"/>
      <c r="Z9380"/>
      <c r="AA9380"/>
      <c r="AC9380"/>
      <c r="AR9380"/>
    </row>
    <row r="9381" spans="24:44">
      <c r="X9381"/>
      <c r="Y9381"/>
      <c r="Z9381"/>
      <c r="AA9381"/>
      <c r="AC9381"/>
      <c r="AR9381"/>
    </row>
    <row r="9382" spans="24:44">
      <c r="X9382"/>
      <c r="Y9382"/>
      <c r="Z9382"/>
      <c r="AA9382"/>
      <c r="AC9382"/>
      <c r="AR9382"/>
    </row>
    <row r="9383" spans="24:44">
      <c r="X9383"/>
      <c r="Y9383"/>
      <c r="Z9383"/>
      <c r="AA9383"/>
      <c r="AC9383"/>
      <c r="AR9383"/>
    </row>
    <row r="9384" spans="24:44">
      <c r="X9384"/>
      <c r="Y9384"/>
      <c r="Z9384"/>
      <c r="AA9384"/>
      <c r="AC9384"/>
      <c r="AR9384"/>
    </row>
    <row r="9385" spans="24:44">
      <c r="X9385"/>
      <c r="Y9385"/>
      <c r="Z9385"/>
      <c r="AA9385"/>
      <c r="AC9385"/>
      <c r="AR9385"/>
    </row>
    <row r="9386" spans="24:44">
      <c r="X9386"/>
      <c r="Y9386"/>
      <c r="Z9386"/>
      <c r="AA9386"/>
      <c r="AC9386"/>
      <c r="AR9386"/>
    </row>
    <row r="9387" spans="24:44">
      <c r="X9387"/>
      <c r="Y9387"/>
      <c r="Z9387"/>
      <c r="AA9387"/>
      <c r="AC9387"/>
      <c r="AR9387"/>
    </row>
    <row r="9388" spans="24:44">
      <c r="X9388"/>
      <c r="Y9388"/>
      <c r="Z9388"/>
      <c r="AA9388"/>
      <c r="AC9388"/>
      <c r="AR9388"/>
    </row>
    <row r="9389" spans="24:44">
      <c r="X9389"/>
      <c r="Y9389"/>
      <c r="Z9389"/>
      <c r="AA9389"/>
      <c r="AC9389"/>
      <c r="AR9389"/>
    </row>
    <row r="9390" spans="24:44">
      <c r="X9390"/>
      <c r="Y9390"/>
      <c r="Z9390"/>
      <c r="AA9390"/>
      <c r="AC9390"/>
      <c r="AR9390"/>
    </row>
    <row r="9391" spans="24:44">
      <c r="X9391"/>
      <c r="Y9391"/>
      <c r="Z9391"/>
      <c r="AA9391"/>
      <c r="AC9391"/>
      <c r="AR9391"/>
    </row>
    <row r="9392" spans="24:44">
      <c r="X9392"/>
      <c r="Y9392"/>
      <c r="Z9392"/>
      <c r="AA9392"/>
      <c r="AC9392"/>
      <c r="AR9392"/>
    </row>
    <row r="9393" spans="24:44">
      <c r="X9393"/>
      <c r="Y9393"/>
      <c r="Z9393"/>
      <c r="AA9393"/>
      <c r="AC9393"/>
      <c r="AR9393"/>
    </row>
    <row r="9394" spans="24:44">
      <c r="X9394"/>
      <c r="Y9394"/>
      <c r="Z9394"/>
      <c r="AA9394"/>
      <c r="AC9394"/>
      <c r="AR9394"/>
    </row>
    <row r="9395" spans="24:44">
      <c r="X9395"/>
      <c r="Y9395"/>
      <c r="Z9395"/>
      <c r="AA9395"/>
      <c r="AC9395"/>
      <c r="AR9395"/>
    </row>
    <row r="9396" spans="24:44">
      <c r="X9396"/>
      <c r="Y9396"/>
      <c r="Z9396"/>
      <c r="AA9396"/>
      <c r="AC9396"/>
      <c r="AR9396"/>
    </row>
    <row r="9397" spans="24:44">
      <c r="X9397"/>
      <c r="Y9397"/>
      <c r="Z9397"/>
      <c r="AA9397"/>
      <c r="AC9397"/>
      <c r="AR9397"/>
    </row>
    <row r="9398" spans="24:44">
      <c r="X9398"/>
      <c r="Y9398"/>
      <c r="Z9398"/>
      <c r="AA9398"/>
      <c r="AC9398"/>
      <c r="AR9398"/>
    </row>
    <row r="9399" spans="24:44">
      <c r="X9399"/>
      <c r="Y9399"/>
      <c r="Z9399"/>
      <c r="AA9399"/>
      <c r="AC9399"/>
      <c r="AR9399"/>
    </row>
    <row r="9400" spans="24:44">
      <c r="X9400"/>
      <c r="Y9400"/>
      <c r="Z9400"/>
      <c r="AA9400"/>
      <c r="AC9400"/>
      <c r="AR9400"/>
    </row>
    <row r="9401" spans="24:44">
      <c r="X9401"/>
      <c r="Y9401"/>
      <c r="Z9401"/>
      <c r="AA9401"/>
      <c r="AC9401"/>
      <c r="AR9401"/>
    </row>
    <row r="9402" spans="24:44">
      <c r="X9402"/>
      <c r="Y9402"/>
      <c r="Z9402"/>
      <c r="AA9402"/>
      <c r="AC9402"/>
      <c r="AR9402"/>
    </row>
    <row r="9403" spans="24:44">
      <c r="X9403"/>
      <c r="Y9403"/>
      <c r="Z9403"/>
      <c r="AA9403"/>
      <c r="AC9403"/>
      <c r="AR9403"/>
    </row>
    <row r="9404" spans="24:44">
      <c r="X9404"/>
      <c r="Y9404"/>
      <c r="Z9404"/>
      <c r="AA9404"/>
      <c r="AC9404"/>
      <c r="AR9404"/>
    </row>
    <row r="9405" spans="24:44">
      <c r="X9405"/>
      <c r="Y9405"/>
      <c r="Z9405"/>
      <c r="AA9405"/>
      <c r="AC9405"/>
      <c r="AR9405"/>
    </row>
    <row r="9406" spans="24:44">
      <c r="X9406"/>
      <c r="Y9406"/>
      <c r="Z9406"/>
      <c r="AA9406"/>
      <c r="AC9406"/>
      <c r="AR9406"/>
    </row>
    <row r="9407" spans="24:44">
      <c r="X9407"/>
      <c r="Y9407"/>
      <c r="Z9407"/>
      <c r="AA9407"/>
      <c r="AC9407"/>
      <c r="AR9407"/>
    </row>
    <row r="9408" spans="24:44">
      <c r="X9408"/>
      <c r="Y9408"/>
      <c r="Z9408"/>
      <c r="AA9408"/>
      <c r="AC9408"/>
      <c r="AR9408"/>
    </row>
    <row r="9409" spans="24:44">
      <c r="X9409"/>
      <c r="Y9409"/>
      <c r="Z9409"/>
      <c r="AA9409"/>
      <c r="AC9409"/>
      <c r="AR9409"/>
    </row>
    <row r="9410" spans="24:44">
      <c r="X9410"/>
      <c r="Y9410"/>
      <c r="Z9410"/>
      <c r="AA9410"/>
      <c r="AC9410"/>
      <c r="AR9410"/>
    </row>
    <row r="9411" spans="24:44">
      <c r="X9411"/>
      <c r="Y9411"/>
      <c r="Z9411"/>
      <c r="AA9411"/>
      <c r="AC9411"/>
      <c r="AR9411"/>
    </row>
    <row r="9412" spans="24:44">
      <c r="X9412"/>
      <c r="Y9412"/>
      <c r="Z9412"/>
      <c r="AA9412"/>
      <c r="AC9412"/>
      <c r="AR9412"/>
    </row>
    <row r="9413" spans="24:44">
      <c r="X9413"/>
      <c r="Y9413"/>
      <c r="Z9413"/>
      <c r="AA9413"/>
      <c r="AC9413"/>
      <c r="AR9413"/>
    </row>
    <row r="9414" spans="24:44">
      <c r="X9414"/>
      <c r="Y9414"/>
      <c r="Z9414"/>
      <c r="AA9414"/>
      <c r="AC9414"/>
      <c r="AR9414"/>
    </row>
    <row r="9415" spans="24:44">
      <c r="X9415"/>
      <c r="Y9415"/>
      <c r="Z9415"/>
      <c r="AA9415"/>
      <c r="AC9415"/>
      <c r="AR9415"/>
    </row>
    <row r="9416" spans="24:44">
      <c r="X9416"/>
      <c r="Y9416"/>
      <c r="Z9416"/>
      <c r="AA9416"/>
      <c r="AC9416"/>
      <c r="AR9416"/>
    </row>
    <row r="9417" spans="24:44">
      <c r="X9417"/>
      <c r="Y9417"/>
      <c r="Z9417"/>
      <c r="AA9417"/>
      <c r="AC9417"/>
      <c r="AR9417"/>
    </row>
    <row r="9418" spans="24:44">
      <c r="X9418"/>
      <c r="Y9418"/>
      <c r="Z9418"/>
      <c r="AA9418"/>
      <c r="AC9418"/>
      <c r="AR9418"/>
    </row>
    <row r="9419" spans="24:44">
      <c r="X9419"/>
      <c r="Y9419"/>
      <c r="Z9419"/>
      <c r="AA9419"/>
      <c r="AC9419"/>
      <c r="AR9419"/>
    </row>
    <row r="9420" spans="24:44">
      <c r="X9420"/>
      <c r="Y9420"/>
      <c r="Z9420"/>
      <c r="AA9420"/>
      <c r="AC9420"/>
      <c r="AR9420"/>
    </row>
    <row r="9421" spans="24:44">
      <c r="X9421"/>
      <c r="Y9421"/>
      <c r="Z9421"/>
      <c r="AA9421"/>
      <c r="AC9421"/>
      <c r="AR9421"/>
    </row>
    <row r="9422" spans="24:44">
      <c r="X9422"/>
      <c r="Y9422"/>
      <c r="Z9422"/>
      <c r="AA9422"/>
      <c r="AC9422"/>
      <c r="AR9422"/>
    </row>
    <row r="9423" spans="24:44">
      <c r="X9423"/>
      <c r="Y9423"/>
      <c r="Z9423"/>
      <c r="AA9423"/>
      <c r="AC9423"/>
      <c r="AR9423"/>
    </row>
    <row r="9424" spans="24:44">
      <c r="X9424"/>
      <c r="Y9424"/>
      <c r="Z9424"/>
      <c r="AA9424"/>
      <c r="AC9424"/>
      <c r="AR9424"/>
    </row>
    <row r="9425" spans="24:44">
      <c r="X9425"/>
      <c r="Y9425"/>
      <c r="Z9425"/>
      <c r="AA9425"/>
      <c r="AC9425"/>
      <c r="AR9425"/>
    </row>
    <row r="9426" spans="24:44">
      <c r="X9426"/>
      <c r="Y9426"/>
      <c r="Z9426"/>
      <c r="AA9426"/>
      <c r="AC9426"/>
      <c r="AR9426"/>
    </row>
    <row r="9427" spans="24:44">
      <c r="X9427"/>
      <c r="Y9427"/>
      <c r="Z9427"/>
      <c r="AA9427"/>
      <c r="AC9427"/>
      <c r="AR9427"/>
    </row>
    <row r="9428" spans="24:44">
      <c r="X9428"/>
      <c r="Y9428"/>
      <c r="Z9428"/>
      <c r="AA9428"/>
      <c r="AC9428"/>
      <c r="AR9428"/>
    </row>
    <row r="9429" spans="24:44">
      <c r="X9429"/>
      <c r="Y9429"/>
      <c r="Z9429"/>
      <c r="AA9429"/>
      <c r="AC9429"/>
      <c r="AR9429"/>
    </row>
    <row r="9430" spans="24:44">
      <c r="X9430"/>
      <c r="Y9430"/>
      <c r="Z9430"/>
      <c r="AA9430"/>
      <c r="AC9430"/>
      <c r="AR9430"/>
    </row>
    <row r="9431" spans="24:44">
      <c r="X9431"/>
      <c r="Y9431"/>
      <c r="Z9431"/>
      <c r="AA9431"/>
      <c r="AC9431"/>
      <c r="AR9431"/>
    </row>
    <row r="9432" spans="24:44">
      <c r="X9432"/>
      <c r="Y9432"/>
      <c r="Z9432"/>
      <c r="AA9432"/>
      <c r="AC9432"/>
      <c r="AR9432"/>
    </row>
    <row r="9433" spans="24:44">
      <c r="X9433"/>
      <c r="Y9433"/>
      <c r="Z9433"/>
      <c r="AA9433"/>
      <c r="AC9433"/>
      <c r="AR9433"/>
    </row>
    <row r="9434" spans="24:44">
      <c r="X9434"/>
      <c r="Y9434"/>
      <c r="Z9434"/>
      <c r="AA9434"/>
      <c r="AC9434"/>
      <c r="AR9434"/>
    </row>
    <row r="9435" spans="24:44">
      <c r="X9435"/>
      <c r="Y9435"/>
      <c r="Z9435"/>
      <c r="AA9435"/>
      <c r="AC9435"/>
      <c r="AR9435"/>
    </row>
    <row r="9436" spans="24:44">
      <c r="X9436"/>
      <c r="Y9436"/>
      <c r="Z9436"/>
      <c r="AA9436"/>
      <c r="AC9436"/>
      <c r="AR9436"/>
    </row>
    <row r="9437" spans="24:44">
      <c r="X9437"/>
      <c r="Y9437"/>
      <c r="Z9437"/>
      <c r="AA9437"/>
      <c r="AC9437"/>
      <c r="AR9437"/>
    </row>
    <row r="9438" spans="24:44">
      <c r="X9438"/>
      <c r="Y9438"/>
      <c r="Z9438"/>
      <c r="AA9438"/>
      <c r="AC9438"/>
      <c r="AR9438"/>
    </row>
    <row r="9439" spans="24:44">
      <c r="X9439"/>
      <c r="Y9439"/>
      <c r="Z9439"/>
      <c r="AA9439"/>
      <c r="AC9439"/>
      <c r="AR9439"/>
    </row>
    <row r="9440" spans="24:44">
      <c r="X9440"/>
      <c r="Y9440"/>
      <c r="Z9440"/>
      <c r="AA9440"/>
      <c r="AC9440"/>
      <c r="AR9440"/>
    </row>
    <row r="9441" spans="24:44">
      <c r="X9441"/>
      <c r="Y9441"/>
      <c r="Z9441"/>
      <c r="AA9441"/>
      <c r="AC9441"/>
      <c r="AR9441"/>
    </row>
    <row r="9442" spans="24:44">
      <c r="X9442"/>
      <c r="Y9442"/>
      <c r="Z9442"/>
      <c r="AA9442"/>
      <c r="AC9442"/>
      <c r="AR9442"/>
    </row>
    <row r="9443" spans="24:44">
      <c r="X9443"/>
      <c r="Y9443"/>
      <c r="Z9443"/>
      <c r="AA9443"/>
      <c r="AC9443"/>
      <c r="AR9443"/>
    </row>
    <row r="9444" spans="24:44">
      <c r="X9444"/>
      <c r="Y9444"/>
      <c r="Z9444"/>
      <c r="AA9444"/>
      <c r="AC9444"/>
      <c r="AR9444"/>
    </row>
    <row r="9445" spans="24:44">
      <c r="X9445"/>
      <c r="Y9445"/>
      <c r="Z9445"/>
      <c r="AA9445"/>
      <c r="AC9445"/>
      <c r="AR9445"/>
    </row>
    <row r="9446" spans="24:44">
      <c r="X9446"/>
      <c r="Y9446"/>
      <c r="Z9446"/>
      <c r="AA9446"/>
      <c r="AC9446"/>
      <c r="AR9446"/>
    </row>
    <row r="9447" spans="24:44">
      <c r="X9447"/>
      <c r="Y9447"/>
      <c r="Z9447"/>
      <c r="AA9447"/>
      <c r="AC9447"/>
      <c r="AR9447"/>
    </row>
    <row r="9448" spans="24:44">
      <c r="X9448"/>
      <c r="Y9448"/>
      <c r="Z9448"/>
      <c r="AA9448"/>
      <c r="AC9448"/>
      <c r="AR9448"/>
    </row>
    <row r="9449" spans="24:44">
      <c r="X9449"/>
      <c r="Y9449"/>
      <c r="Z9449"/>
      <c r="AA9449"/>
      <c r="AC9449"/>
      <c r="AR9449"/>
    </row>
    <row r="9450" spans="24:44">
      <c r="X9450"/>
      <c r="Y9450"/>
      <c r="Z9450"/>
      <c r="AA9450"/>
      <c r="AC9450"/>
      <c r="AR9450"/>
    </row>
    <row r="9451" spans="24:44">
      <c r="X9451"/>
      <c r="Y9451"/>
      <c r="Z9451"/>
      <c r="AA9451"/>
      <c r="AC9451"/>
      <c r="AR9451"/>
    </row>
    <row r="9452" spans="24:44">
      <c r="X9452"/>
      <c r="Y9452"/>
      <c r="Z9452"/>
      <c r="AA9452"/>
      <c r="AC9452"/>
      <c r="AR9452"/>
    </row>
    <row r="9453" spans="24:44">
      <c r="X9453"/>
      <c r="Y9453"/>
      <c r="Z9453"/>
      <c r="AA9453"/>
      <c r="AC9453"/>
      <c r="AR9453"/>
    </row>
    <row r="9454" spans="24:44">
      <c r="X9454"/>
      <c r="Y9454"/>
      <c r="Z9454"/>
      <c r="AA9454"/>
      <c r="AC9454"/>
      <c r="AR9454"/>
    </row>
    <row r="9455" spans="24:44">
      <c r="X9455"/>
      <c r="Y9455"/>
      <c r="Z9455"/>
      <c r="AA9455"/>
      <c r="AC9455"/>
      <c r="AR9455"/>
    </row>
    <row r="9456" spans="24:44">
      <c r="X9456"/>
      <c r="Y9456"/>
      <c r="Z9456"/>
      <c r="AA9456"/>
      <c r="AC9456"/>
      <c r="AR9456"/>
    </row>
    <row r="9457" spans="24:44">
      <c r="X9457"/>
      <c r="Y9457"/>
      <c r="Z9457"/>
      <c r="AA9457"/>
      <c r="AC9457"/>
      <c r="AR9457"/>
    </row>
    <row r="9458" spans="24:44">
      <c r="X9458"/>
      <c r="Y9458"/>
      <c r="Z9458"/>
      <c r="AA9458"/>
      <c r="AC9458"/>
      <c r="AR9458"/>
    </row>
    <row r="9459" spans="24:44">
      <c r="X9459"/>
      <c r="Y9459"/>
      <c r="Z9459"/>
      <c r="AA9459"/>
      <c r="AC9459"/>
      <c r="AR9459"/>
    </row>
    <row r="9460" spans="24:44">
      <c r="X9460"/>
      <c r="Y9460"/>
      <c r="Z9460"/>
      <c r="AA9460"/>
      <c r="AC9460"/>
      <c r="AR9460"/>
    </row>
    <row r="9461" spans="24:44">
      <c r="X9461"/>
      <c r="Y9461"/>
      <c r="Z9461"/>
      <c r="AA9461"/>
      <c r="AC9461"/>
      <c r="AR9461"/>
    </row>
    <row r="9462" spans="24:44">
      <c r="X9462"/>
      <c r="Y9462"/>
      <c r="Z9462"/>
      <c r="AA9462"/>
      <c r="AC9462"/>
      <c r="AR9462"/>
    </row>
    <row r="9463" spans="24:44">
      <c r="X9463"/>
      <c r="Y9463"/>
      <c r="Z9463"/>
      <c r="AA9463"/>
      <c r="AC9463"/>
      <c r="AR9463"/>
    </row>
    <row r="9464" spans="24:44">
      <c r="X9464"/>
      <c r="Y9464"/>
      <c r="Z9464"/>
      <c r="AA9464"/>
      <c r="AC9464"/>
      <c r="AR9464"/>
    </row>
    <row r="9465" spans="24:44">
      <c r="X9465"/>
      <c r="Y9465"/>
      <c r="Z9465"/>
      <c r="AA9465"/>
      <c r="AC9465"/>
      <c r="AR9465"/>
    </row>
    <row r="9466" spans="24:44">
      <c r="X9466"/>
      <c r="Y9466"/>
      <c r="Z9466"/>
      <c r="AA9466"/>
      <c r="AC9466"/>
      <c r="AR9466"/>
    </row>
    <row r="9467" spans="24:44">
      <c r="X9467"/>
      <c r="Y9467"/>
      <c r="Z9467"/>
      <c r="AA9467"/>
      <c r="AC9467"/>
      <c r="AR9467"/>
    </row>
    <row r="9468" spans="24:44">
      <c r="X9468"/>
      <c r="Y9468"/>
      <c r="Z9468"/>
      <c r="AA9468"/>
      <c r="AC9468"/>
      <c r="AR9468"/>
    </row>
    <row r="9469" spans="24:44">
      <c r="X9469"/>
      <c r="Y9469"/>
      <c r="Z9469"/>
      <c r="AA9469"/>
      <c r="AC9469"/>
      <c r="AR9469"/>
    </row>
    <row r="9470" spans="24:44">
      <c r="X9470"/>
      <c r="Y9470"/>
      <c r="Z9470"/>
      <c r="AA9470"/>
      <c r="AC9470"/>
      <c r="AR9470"/>
    </row>
    <row r="9471" spans="24:44">
      <c r="X9471"/>
      <c r="Y9471"/>
      <c r="Z9471"/>
      <c r="AA9471"/>
      <c r="AC9471"/>
      <c r="AR9471"/>
    </row>
    <row r="9472" spans="24:44">
      <c r="X9472"/>
      <c r="Y9472"/>
      <c r="Z9472"/>
      <c r="AA9472"/>
      <c r="AC9472"/>
      <c r="AR9472"/>
    </row>
    <row r="9473" spans="24:44">
      <c r="X9473"/>
      <c r="Y9473"/>
      <c r="Z9473"/>
      <c r="AA9473"/>
      <c r="AC9473"/>
      <c r="AR9473"/>
    </row>
    <row r="9474" spans="24:44">
      <c r="X9474"/>
      <c r="Y9474"/>
      <c r="Z9474"/>
      <c r="AA9474"/>
      <c r="AC9474"/>
      <c r="AR9474"/>
    </row>
    <row r="9475" spans="24:44">
      <c r="X9475"/>
      <c r="Y9475"/>
      <c r="Z9475"/>
      <c r="AA9475"/>
      <c r="AC9475"/>
      <c r="AR9475"/>
    </row>
    <row r="9476" spans="24:44">
      <c r="X9476"/>
      <c r="Y9476"/>
      <c r="Z9476"/>
      <c r="AA9476"/>
      <c r="AC9476"/>
      <c r="AR9476"/>
    </row>
    <row r="9477" spans="24:44">
      <c r="X9477"/>
      <c r="Y9477"/>
      <c r="Z9477"/>
      <c r="AA9477"/>
      <c r="AC9477"/>
      <c r="AR9477"/>
    </row>
    <row r="9478" spans="24:44">
      <c r="X9478"/>
      <c r="Y9478"/>
      <c r="Z9478"/>
      <c r="AA9478"/>
      <c r="AC9478"/>
      <c r="AR9478"/>
    </row>
    <row r="9479" spans="24:44">
      <c r="X9479"/>
      <c r="Y9479"/>
      <c r="Z9479"/>
      <c r="AA9479"/>
      <c r="AC9479"/>
      <c r="AR9479"/>
    </row>
    <row r="9480" spans="24:44">
      <c r="X9480"/>
      <c r="Y9480"/>
      <c r="Z9480"/>
      <c r="AA9480"/>
      <c r="AC9480"/>
      <c r="AR9480"/>
    </row>
    <row r="9481" spans="24:44">
      <c r="X9481"/>
      <c r="Y9481"/>
      <c r="Z9481"/>
      <c r="AA9481"/>
      <c r="AC9481"/>
      <c r="AR9481"/>
    </row>
    <row r="9482" spans="24:44">
      <c r="X9482"/>
      <c r="Y9482"/>
      <c r="Z9482"/>
      <c r="AA9482"/>
      <c r="AC9482"/>
      <c r="AR9482"/>
    </row>
    <row r="9483" spans="24:44">
      <c r="X9483"/>
      <c r="Y9483"/>
      <c r="Z9483"/>
      <c r="AA9483"/>
      <c r="AC9483"/>
      <c r="AR9483"/>
    </row>
    <row r="9484" spans="24:44">
      <c r="X9484"/>
      <c r="Y9484"/>
      <c r="Z9484"/>
      <c r="AA9484"/>
      <c r="AC9484"/>
      <c r="AR9484"/>
    </row>
    <row r="9485" spans="24:44">
      <c r="X9485"/>
      <c r="Y9485"/>
      <c r="Z9485"/>
      <c r="AA9485"/>
      <c r="AC9485"/>
      <c r="AR9485"/>
    </row>
    <row r="9486" spans="24:44">
      <c r="X9486"/>
      <c r="Y9486"/>
      <c r="Z9486"/>
      <c r="AA9486"/>
      <c r="AC9486"/>
      <c r="AR9486"/>
    </row>
    <row r="9487" spans="24:44">
      <c r="X9487"/>
      <c r="Y9487"/>
      <c r="Z9487"/>
      <c r="AA9487"/>
      <c r="AC9487"/>
      <c r="AR9487"/>
    </row>
    <row r="9488" spans="24:44">
      <c r="X9488"/>
      <c r="Y9488"/>
      <c r="Z9488"/>
      <c r="AA9488"/>
      <c r="AC9488"/>
      <c r="AR9488"/>
    </row>
    <row r="9489" spans="24:44">
      <c r="X9489"/>
      <c r="Y9489"/>
      <c r="Z9489"/>
      <c r="AA9489"/>
      <c r="AC9489"/>
      <c r="AR9489"/>
    </row>
    <row r="9490" spans="24:44">
      <c r="X9490"/>
      <c r="Y9490"/>
      <c r="Z9490"/>
      <c r="AA9490"/>
      <c r="AC9490"/>
      <c r="AR9490"/>
    </row>
    <row r="9491" spans="24:44">
      <c r="X9491"/>
      <c r="Y9491"/>
      <c r="Z9491"/>
      <c r="AA9491"/>
      <c r="AC9491"/>
      <c r="AR9491"/>
    </row>
    <row r="9492" spans="24:44">
      <c r="X9492"/>
      <c r="Y9492"/>
      <c r="Z9492"/>
      <c r="AA9492"/>
      <c r="AC9492"/>
      <c r="AR9492"/>
    </row>
    <row r="9493" spans="24:44">
      <c r="X9493"/>
      <c r="Y9493"/>
      <c r="Z9493"/>
      <c r="AA9493"/>
      <c r="AC9493"/>
      <c r="AR9493"/>
    </row>
    <row r="9494" spans="24:44">
      <c r="X9494"/>
      <c r="Y9494"/>
      <c r="Z9494"/>
      <c r="AA9494"/>
      <c r="AC9494"/>
      <c r="AR9494"/>
    </row>
    <row r="9495" spans="24:44">
      <c r="X9495"/>
      <c r="Y9495"/>
      <c r="Z9495"/>
      <c r="AA9495"/>
      <c r="AC9495"/>
      <c r="AR9495"/>
    </row>
    <row r="9496" spans="24:44">
      <c r="X9496"/>
      <c r="Y9496"/>
      <c r="Z9496"/>
      <c r="AA9496"/>
      <c r="AC9496"/>
      <c r="AR9496"/>
    </row>
    <row r="9497" spans="24:44">
      <c r="X9497"/>
      <c r="Y9497"/>
      <c r="Z9497"/>
      <c r="AA9497"/>
      <c r="AC9497"/>
      <c r="AR9497"/>
    </row>
    <row r="9498" spans="24:44">
      <c r="X9498"/>
      <c r="Y9498"/>
      <c r="Z9498"/>
      <c r="AA9498"/>
      <c r="AC9498"/>
      <c r="AR9498"/>
    </row>
    <row r="9499" spans="24:44">
      <c r="X9499"/>
      <c r="Y9499"/>
      <c r="Z9499"/>
      <c r="AA9499"/>
      <c r="AC9499"/>
      <c r="AR9499"/>
    </row>
    <row r="9500" spans="24:44">
      <c r="X9500"/>
      <c r="Y9500"/>
      <c r="Z9500"/>
      <c r="AA9500"/>
      <c r="AC9500"/>
      <c r="AR9500"/>
    </row>
    <row r="9501" spans="24:44">
      <c r="X9501"/>
      <c r="Y9501"/>
      <c r="Z9501"/>
      <c r="AA9501"/>
      <c r="AC9501"/>
      <c r="AR9501"/>
    </row>
    <row r="9502" spans="24:44">
      <c r="X9502"/>
      <c r="Y9502"/>
      <c r="Z9502"/>
      <c r="AA9502"/>
      <c r="AC9502"/>
      <c r="AR9502"/>
    </row>
    <row r="9503" spans="24:44">
      <c r="X9503"/>
      <c r="Y9503"/>
      <c r="Z9503"/>
      <c r="AA9503"/>
      <c r="AC9503"/>
      <c r="AR9503"/>
    </row>
    <row r="9504" spans="24:44">
      <c r="X9504"/>
      <c r="Y9504"/>
      <c r="Z9504"/>
      <c r="AA9504"/>
      <c r="AC9504"/>
      <c r="AR9504"/>
    </row>
    <row r="9505" spans="24:44">
      <c r="X9505"/>
      <c r="Y9505"/>
      <c r="Z9505"/>
      <c r="AA9505"/>
      <c r="AC9505"/>
      <c r="AR9505"/>
    </row>
    <row r="9506" spans="24:44">
      <c r="X9506"/>
      <c r="Y9506"/>
      <c r="Z9506"/>
      <c r="AA9506"/>
      <c r="AC9506"/>
      <c r="AR9506"/>
    </row>
    <row r="9507" spans="24:44">
      <c r="X9507"/>
      <c r="Y9507"/>
      <c r="Z9507"/>
      <c r="AA9507"/>
      <c r="AC9507"/>
      <c r="AR9507"/>
    </row>
    <row r="9508" spans="24:44">
      <c r="X9508"/>
      <c r="Y9508"/>
      <c r="Z9508"/>
      <c r="AA9508"/>
      <c r="AC9508"/>
      <c r="AR9508"/>
    </row>
    <row r="9509" spans="24:44">
      <c r="X9509"/>
      <c r="Y9509"/>
      <c r="Z9509"/>
      <c r="AA9509"/>
      <c r="AC9509"/>
      <c r="AR9509"/>
    </row>
    <row r="9510" spans="24:44">
      <c r="X9510"/>
      <c r="Y9510"/>
      <c r="Z9510"/>
      <c r="AA9510"/>
      <c r="AC9510"/>
      <c r="AR9510"/>
    </row>
    <row r="9511" spans="24:44">
      <c r="X9511"/>
      <c r="Y9511"/>
      <c r="Z9511"/>
      <c r="AA9511"/>
      <c r="AC9511"/>
      <c r="AR9511"/>
    </row>
    <row r="9512" spans="24:44">
      <c r="X9512"/>
      <c r="Y9512"/>
      <c r="Z9512"/>
      <c r="AA9512"/>
      <c r="AC9512"/>
      <c r="AR9512"/>
    </row>
    <row r="9513" spans="24:44">
      <c r="X9513"/>
      <c r="Y9513"/>
      <c r="Z9513"/>
      <c r="AA9513"/>
      <c r="AC9513"/>
      <c r="AR9513"/>
    </row>
    <row r="9514" spans="24:44">
      <c r="X9514"/>
      <c r="Y9514"/>
      <c r="Z9514"/>
      <c r="AA9514"/>
      <c r="AC9514"/>
      <c r="AR9514"/>
    </row>
    <row r="9515" spans="24:44">
      <c r="X9515"/>
      <c r="Y9515"/>
      <c r="Z9515"/>
      <c r="AA9515"/>
      <c r="AC9515"/>
      <c r="AR9515"/>
    </row>
    <row r="9516" spans="24:44">
      <c r="X9516"/>
      <c r="Y9516"/>
      <c r="Z9516"/>
      <c r="AA9516"/>
      <c r="AC9516"/>
      <c r="AR9516"/>
    </row>
    <row r="9517" spans="24:44">
      <c r="X9517"/>
      <c r="Y9517"/>
      <c r="Z9517"/>
      <c r="AA9517"/>
      <c r="AC9517"/>
      <c r="AR9517"/>
    </row>
    <row r="9518" spans="24:44">
      <c r="X9518"/>
      <c r="Y9518"/>
      <c r="Z9518"/>
      <c r="AA9518"/>
      <c r="AC9518"/>
      <c r="AR9518"/>
    </row>
    <row r="9519" spans="24:44">
      <c r="X9519"/>
      <c r="Y9519"/>
      <c r="Z9519"/>
      <c r="AA9519"/>
      <c r="AC9519"/>
      <c r="AR9519"/>
    </row>
    <row r="9520" spans="24:44">
      <c r="X9520"/>
      <c r="Y9520"/>
      <c r="Z9520"/>
      <c r="AA9520"/>
      <c r="AC9520"/>
      <c r="AR9520"/>
    </row>
    <row r="9521" spans="24:44">
      <c r="X9521"/>
      <c r="Y9521"/>
      <c r="Z9521"/>
      <c r="AA9521"/>
      <c r="AC9521"/>
      <c r="AR9521"/>
    </row>
    <row r="9522" spans="24:44">
      <c r="X9522"/>
      <c r="Y9522"/>
      <c r="Z9522"/>
      <c r="AA9522"/>
      <c r="AC9522"/>
      <c r="AR9522"/>
    </row>
    <row r="9523" spans="24:44">
      <c r="X9523"/>
      <c r="Y9523"/>
      <c r="Z9523"/>
      <c r="AA9523"/>
      <c r="AC9523"/>
      <c r="AR9523"/>
    </row>
    <row r="9524" spans="24:44">
      <c r="X9524"/>
      <c r="Y9524"/>
      <c r="Z9524"/>
      <c r="AA9524"/>
      <c r="AC9524"/>
      <c r="AR9524"/>
    </row>
    <row r="9525" spans="24:44">
      <c r="X9525"/>
      <c r="Y9525"/>
      <c r="Z9525"/>
      <c r="AA9525"/>
      <c r="AC9525"/>
      <c r="AR9525"/>
    </row>
    <row r="9526" spans="24:44">
      <c r="X9526"/>
      <c r="Y9526"/>
      <c r="Z9526"/>
      <c r="AA9526"/>
      <c r="AC9526"/>
      <c r="AR9526"/>
    </row>
    <row r="9527" spans="24:44">
      <c r="X9527"/>
      <c r="Y9527"/>
      <c r="Z9527"/>
      <c r="AA9527"/>
      <c r="AC9527"/>
      <c r="AR9527"/>
    </row>
    <row r="9528" spans="24:44">
      <c r="X9528"/>
      <c r="Y9528"/>
      <c r="Z9528"/>
      <c r="AA9528"/>
      <c r="AC9528"/>
      <c r="AR9528"/>
    </row>
    <row r="9529" spans="24:44">
      <c r="X9529"/>
      <c r="Y9529"/>
      <c r="Z9529"/>
      <c r="AA9529"/>
      <c r="AC9529"/>
      <c r="AR9529"/>
    </row>
    <row r="9530" spans="24:44">
      <c r="X9530"/>
      <c r="Y9530"/>
      <c r="Z9530"/>
      <c r="AA9530"/>
      <c r="AC9530"/>
      <c r="AR9530"/>
    </row>
    <row r="9531" spans="24:44">
      <c r="X9531"/>
      <c r="Y9531"/>
      <c r="Z9531"/>
      <c r="AA9531"/>
      <c r="AC9531"/>
      <c r="AR9531"/>
    </row>
    <row r="9532" spans="24:44">
      <c r="X9532"/>
      <c r="Y9532"/>
      <c r="Z9532"/>
      <c r="AA9532"/>
      <c r="AC9532"/>
      <c r="AR9532"/>
    </row>
    <row r="9533" spans="24:44">
      <c r="X9533"/>
      <c r="Y9533"/>
      <c r="Z9533"/>
      <c r="AA9533"/>
      <c r="AC9533"/>
      <c r="AR9533"/>
    </row>
    <row r="9534" spans="24:44">
      <c r="X9534"/>
      <c r="Y9534"/>
      <c r="Z9534"/>
      <c r="AA9534"/>
      <c r="AC9534"/>
      <c r="AR9534"/>
    </row>
    <row r="9535" spans="24:44">
      <c r="X9535"/>
      <c r="Y9535"/>
      <c r="Z9535"/>
      <c r="AA9535"/>
      <c r="AC9535"/>
      <c r="AR9535"/>
    </row>
    <row r="9536" spans="24:44">
      <c r="X9536"/>
      <c r="Y9536"/>
      <c r="Z9536"/>
      <c r="AA9536"/>
      <c r="AC9536"/>
      <c r="AR9536"/>
    </row>
    <row r="9537" spans="24:44">
      <c r="X9537"/>
      <c r="Y9537"/>
      <c r="Z9537"/>
      <c r="AA9537"/>
      <c r="AC9537"/>
      <c r="AR9537"/>
    </row>
    <row r="9538" spans="24:44">
      <c r="X9538"/>
      <c r="Y9538"/>
      <c r="Z9538"/>
      <c r="AA9538"/>
      <c r="AC9538"/>
      <c r="AR9538"/>
    </row>
    <row r="9539" spans="24:44">
      <c r="X9539"/>
      <c r="Y9539"/>
      <c r="Z9539"/>
      <c r="AA9539"/>
      <c r="AC9539"/>
      <c r="AR9539"/>
    </row>
    <row r="9540" spans="24:44">
      <c r="X9540"/>
      <c r="Y9540"/>
      <c r="Z9540"/>
      <c r="AA9540"/>
      <c r="AC9540"/>
      <c r="AR9540"/>
    </row>
    <row r="9541" spans="24:44">
      <c r="X9541"/>
      <c r="Y9541"/>
      <c r="Z9541"/>
      <c r="AA9541"/>
      <c r="AC9541"/>
      <c r="AR9541"/>
    </row>
    <row r="9542" spans="24:44">
      <c r="X9542"/>
      <c r="Y9542"/>
      <c r="Z9542"/>
      <c r="AA9542"/>
      <c r="AC9542"/>
      <c r="AR9542"/>
    </row>
    <row r="9543" spans="24:44">
      <c r="X9543"/>
      <c r="Y9543"/>
      <c r="Z9543"/>
      <c r="AA9543"/>
      <c r="AC9543"/>
      <c r="AR9543"/>
    </row>
    <row r="9544" spans="24:44">
      <c r="X9544"/>
      <c r="Y9544"/>
      <c r="Z9544"/>
      <c r="AA9544"/>
      <c r="AC9544"/>
      <c r="AR9544"/>
    </row>
    <row r="9545" spans="24:44">
      <c r="X9545"/>
      <c r="Y9545"/>
      <c r="Z9545"/>
      <c r="AA9545"/>
      <c r="AC9545"/>
      <c r="AR9545"/>
    </row>
    <row r="9546" spans="24:44">
      <c r="X9546"/>
      <c r="Y9546"/>
      <c r="Z9546"/>
      <c r="AA9546"/>
      <c r="AC9546"/>
      <c r="AR9546"/>
    </row>
    <row r="9547" spans="24:44">
      <c r="X9547"/>
      <c r="Y9547"/>
      <c r="Z9547"/>
      <c r="AA9547"/>
      <c r="AC9547"/>
      <c r="AR9547"/>
    </row>
    <row r="9548" spans="24:44">
      <c r="X9548"/>
      <c r="Y9548"/>
      <c r="Z9548"/>
      <c r="AA9548"/>
      <c r="AC9548"/>
      <c r="AR9548"/>
    </row>
    <row r="9549" spans="24:44">
      <c r="X9549"/>
      <c r="Y9549"/>
      <c r="Z9549"/>
      <c r="AA9549"/>
      <c r="AC9549"/>
      <c r="AR9549"/>
    </row>
    <row r="9550" spans="24:44">
      <c r="X9550"/>
      <c r="Y9550"/>
      <c r="Z9550"/>
      <c r="AA9550"/>
      <c r="AC9550"/>
      <c r="AR9550"/>
    </row>
    <row r="9551" spans="24:44">
      <c r="X9551"/>
      <c r="Y9551"/>
      <c r="Z9551"/>
      <c r="AA9551"/>
      <c r="AC9551"/>
      <c r="AR9551"/>
    </row>
    <row r="9552" spans="24:44">
      <c r="X9552"/>
      <c r="Y9552"/>
      <c r="Z9552"/>
      <c r="AA9552"/>
      <c r="AC9552"/>
      <c r="AR9552"/>
    </row>
    <row r="9553" spans="24:44">
      <c r="X9553"/>
      <c r="Y9553"/>
      <c r="Z9553"/>
      <c r="AA9553"/>
      <c r="AC9553"/>
      <c r="AR9553"/>
    </row>
    <row r="9554" spans="24:44">
      <c r="X9554"/>
      <c r="Y9554"/>
      <c r="Z9554"/>
      <c r="AA9554"/>
      <c r="AC9554"/>
      <c r="AR9554"/>
    </row>
    <row r="9555" spans="24:44">
      <c r="X9555"/>
      <c r="Y9555"/>
      <c r="Z9555"/>
      <c r="AA9555"/>
      <c r="AC9555"/>
      <c r="AR9555"/>
    </row>
    <row r="9556" spans="24:44">
      <c r="X9556"/>
      <c r="Y9556"/>
      <c r="Z9556"/>
      <c r="AA9556"/>
      <c r="AC9556"/>
      <c r="AR9556"/>
    </row>
    <row r="9557" spans="24:44">
      <c r="X9557"/>
      <c r="Y9557"/>
      <c r="Z9557"/>
      <c r="AA9557"/>
      <c r="AC9557"/>
      <c r="AR9557"/>
    </row>
    <row r="9558" spans="24:44">
      <c r="X9558"/>
      <c r="Y9558"/>
      <c r="Z9558"/>
      <c r="AA9558"/>
      <c r="AC9558"/>
      <c r="AR9558"/>
    </row>
    <row r="9559" spans="24:44">
      <c r="X9559"/>
      <c r="Y9559"/>
      <c r="Z9559"/>
      <c r="AA9559"/>
      <c r="AC9559"/>
      <c r="AR9559"/>
    </row>
    <row r="9560" spans="24:44">
      <c r="X9560"/>
      <c r="Y9560"/>
      <c r="Z9560"/>
      <c r="AA9560"/>
      <c r="AC9560"/>
      <c r="AR9560"/>
    </row>
    <row r="9561" spans="24:44">
      <c r="X9561"/>
      <c r="Y9561"/>
      <c r="Z9561"/>
      <c r="AA9561"/>
      <c r="AC9561"/>
      <c r="AR9561"/>
    </row>
    <row r="9562" spans="24:44">
      <c r="X9562"/>
      <c r="Y9562"/>
      <c r="Z9562"/>
      <c r="AA9562"/>
      <c r="AC9562"/>
      <c r="AR9562"/>
    </row>
    <row r="9563" spans="24:44">
      <c r="X9563"/>
      <c r="Y9563"/>
      <c r="Z9563"/>
      <c r="AA9563"/>
      <c r="AC9563"/>
      <c r="AR9563"/>
    </row>
    <row r="9564" spans="24:44">
      <c r="X9564"/>
      <c r="Y9564"/>
      <c r="Z9564"/>
      <c r="AA9564"/>
      <c r="AC9564"/>
      <c r="AR9564"/>
    </row>
    <row r="9565" spans="24:44">
      <c r="X9565"/>
      <c r="Y9565"/>
      <c r="Z9565"/>
      <c r="AA9565"/>
      <c r="AC9565"/>
      <c r="AR9565"/>
    </row>
    <row r="9566" spans="24:44">
      <c r="X9566"/>
      <c r="Y9566"/>
      <c r="Z9566"/>
      <c r="AA9566"/>
      <c r="AC9566"/>
      <c r="AR9566"/>
    </row>
    <row r="9567" spans="24:44">
      <c r="X9567"/>
      <c r="Y9567"/>
      <c r="Z9567"/>
      <c r="AA9567"/>
      <c r="AC9567"/>
      <c r="AR9567"/>
    </row>
    <row r="9568" spans="24:44">
      <c r="X9568"/>
      <c r="Y9568"/>
      <c r="Z9568"/>
      <c r="AA9568"/>
      <c r="AC9568"/>
      <c r="AR9568"/>
    </row>
    <row r="9569" spans="24:44">
      <c r="X9569"/>
      <c r="Y9569"/>
      <c r="Z9569"/>
      <c r="AA9569"/>
      <c r="AC9569"/>
      <c r="AR9569"/>
    </row>
    <row r="9570" spans="24:44">
      <c r="X9570"/>
      <c r="Y9570"/>
      <c r="Z9570"/>
      <c r="AA9570"/>
      <c r="AC9570"/>
      <c r="AR9570"/>
    </row>
    <row r="9571" spans="24:44">
      <c r="X9571"/>
      <c r="Y9571"/>
      <c r="Z9571"/>
      <c r="AA9571"/>
      <c r="AC9571"/>
      <c r="AR9571"/>
    </row>
    <row r="9572" spans="24:44">
      <c r="X9572"/>
      <c r="Y9572"/>
      <c r="Z9572"/>
      <c r="AA9572"/>
      <c r="AC9572"/>
      <c r="AR9572"/>
    </row>
    <row r="9573" spans="24:44">
      <c r="X9573"/>
      <c r="Y9573"/>
      <c r="Z9573"/>
      <c r="AA9573"/>
      <c r="AC9573"/>
      <c r="AR9573"/>
    </row>
    <row r="9574" spans="24:44">
      <c r="X9574"/>
      <c r="Y9574"/>
      <c r="Z9574"/>
      <c r="AA9574"/>
      <c r="AC9574"/>
      <c r="AR9574"/>
    </row>
    <row r="9575" spans="24:44">
      <c r="X9575"/>
      <c r="Y9575"/>
      <c r="Z9575"/>
      <c r="AA9575"/>
      <c r="AC9575"/>
      <c r="AR9575"/>
    </row>
    <row r="9576" spans="24:44">
      <c r="X9576"/>
      <c r="Y9576"/>
      <c r="Z9576"/>
      <c r="AA9576"/>
      <c r="AC9576"/>
      <c r="AR9576"/>
    </row>
    <row r="9577" spans="24:44">
      <c r="X9577"/>
      <c r="Y9577"/>
      <c r="Z9577"/>
      <c r="AA9577"/>
      <c r="AC9577"/>
      <c r="AR9577"/>
    </row>
    <row r="9578" spans="24:44">
      <c r="X9578"/>
      <c r="Y9578"/>
      <c r="Z9578"/>
      <c r="AA9578"/>
      <c r="AC9578"/>
      <c r="AR9578"/>
    </row>
    <row r="9579" spans="24:44">
      <c r="X9579"/>
      <c r="Y9579"/>
      <c r="Z9579"/>
      <c r="AA9579"/>
      <c r="AC9579"/>
      <c r="AR9579"/>
    </row>
    <row r="9580" spans="24:44">
      <c r="X9580"/>
      <c r="Y9580"/>
      <c r="Z9580"/>
      <c r="AA9580"/>
      <c r="AC9580"/>
      <c r="AR9580"/>
    </row>
    <row r="9581" spans="24:44">
      <c r="X9581"/>
      <c r="Y9581"/>
      <c r="Z9581"/>
      <c r="AA9581"/>
      <c r="AC9581"/>
      <c r="AR9581"/>
    </row>
    <row r="9582" spans="24:44">
      <c r="X9582"/>
      <c r="Y9582"/>
      <c r="Z9582"/>
      <c r="AA9582"/>
      <c r="AC9582"/>
      <c r="AR9582"/>
    </row>
    <row r="9583" spans="24:44">
      <c r="X9583"/>
      <c r="Y9583"/>
      <c r="Z9583"/>
      <c r="AA9583"/>
      <c r="AC9583"/>
      <c r="AR9583"/>
    </row>
    <row r="9584" spans="24:44">
      <c r="X9584"/>
      <c r="Y9584"/>
      <c r="Z9584"/>
      <c r="AA9584"/>
      <c r="AC9584"/>
      <c r="AR9584"/>
    </row>
    <row r="9585" spans="24:44">
      <c r="X9585"/>
      <c r="Y9585"/>
      <c r="Z9585"/>
      <c r="AA9585"/>
      <c r="AC9585"/>
      <c r="AR9585"/>
    </row>
    <row r="9586" spans="24:44">
      <c r="X9586"/>
      <c r="Y9586"/>
      <c r="Z9586"/>
      <c r="AA9586"/>
      <c r="AC9586"/>
      <c r="AR9586"/>
    </row>
    <row r="9587" spans="24:44">
      <c r="X9587"/>
      <c r="Y9587"/>
      <c r="Z9587"/>
      <c r="AA9587"/>
      <c r="AC9587"/>
      <c r="AR9587"/>
    </row>
    <row r="9588" spans="24:44">
      <c r="X9588"/>
      <c r="Y9588"/>
      <c r="Z9588"/>
      <c r="AA9588"/>
      <c r="AC9588"/>
      <c r="AR9588"/>
    </row>
    <row r="9589" spans="24:44">
      <c r="X9589"/>
      <c r="Y9589"/>
      <c r="Z9589"/>
      <c r="AA9589"/>
      <c r="AC9589"/>
      <c r="AR9589"/>
    </row>
    <row r="9590" spans="24:44">
      <c r="X9590"/>
      <c r="Y9590"/>
      <c r="Z9590"/>
      <c r="AA9590"/>
      <c r="AC9590"/>
      <c r="AR9590"/>
    </row>
    <row r="9591" spans="24:44">
      <c r="X9591"/>
      <c r="Y9591"/>
      <c r="Z9591"/>
      <c r="AA9591"/>
      <c r="AC9591"/>
      <c r="AR9591"/>
    </row>
    <row r="9592" spans="24:44">
      <c r="X9592"/>
      <c r="Y9592"/>
      <c r="Z9592"/>
      <c r="AA9592"/>
      <c r="AC9592"/>
      <c r="AR9592"/>
    </row>
    <row r="9593" spans="24:44">
      <c r="X9593"/>
      <c r="Y9593"/>
      <c r="Z9593"/>
      <c r="AA9593"/>
      <c r="AC9593"/>
      <c r="AR9593"/>
    </row>
    <row r="9594" spans="24:44">
      <c r="X9594"/>
      <c r="Y9594"/>
      <c r="Z9594"/>
      <c r="AA9594"/>
      <c r="AC9594"/>
      <c r="AR9594"/>
    </row>
    <row r="9595" spans="24:44">
      <c r="X9595"/>
      <c r="Y9595"/>
      <c r="Z9595"/>
      <c r="AA9595"/>
      <c r="AC9595"/>
      <c r="AR9595"/>
    </row>
    <row r="9596" spans="24:44">
      <c r="X9596"/>
      <c r="Y9596"/>
      <c r="Z9596"/>
      <c r="AA9596"/>
      <c r="AC9596"/>
      <c r="AR9596"/>
    </row>
    <row r="9597" spans="24:44">
      <c r="X9597"/>
      <c r="Y9597"/>
      <c r="Z9597"/>
      <c r="AA9597"/>
      <c r="AC9597"/>
      <c r="AR9597"/>
    </row>
    <row r="9598" spans="24:44">
      <c r="X9598"/>
      <c r="Y9598"/>
      <c r="Z9598"/>
      <c r="AA9598"/>
      <c r="AC9598"/>
      <c r="AR9598"/>
    </row>
    <row r="9599" spans="24:44">
      <c r="X9599"/>
      <c r="Y9599"/>
      <c r="Z9599"/>
      <c r="AA9599"/>
      <c r="AC9599"/>
      <c r="AR9599"/>
    </row>
    <row r="9600" spans="24:44">
      <c r="X9600"/>
      <c r="Y9600"/>
      <c r="Z9600"/>
      <c r="AA9600"/>
      <c r="AC9600"/>
      <c r="AR9600"/>
    </row>
    <row r="9601" spans="24:44">
      <c r="X9601"/>
      <c r="Y9601"/>
      <c r="Z9601"/>
      <c r="AA9601"/>
      <c r="AC9601"/>
      <c r="AR9601"/>
    </row>
    <row r="9602" spans="24:44">
      <c r="X9602"/>
      <c r="Y9602"/>
      <c r="Z9602"/>
      <c r="AA9602"/>
      <c r="AC9602"/>
      <c r="AR9602"/>
    </row>
    <row r="9603" spans="24:44">
      <c r="X9603"/>
      <c r="Y9603"/>
      <c r="Z9603"/>
      <c r="AA9603"/>
      <c r="AC9603"/>
      <c r="AR9603"/>
    </row>
    <row r="9604" spans="24:44">
      <c r="X9604"/>
      <c r="Y9604"/>
      <c r="Z9604"/>
      <c r="AA9604"/>
      <c r="AC9604"/>
      <c r="AR9604"/>
    </row>
    <row r="9605" spans="24:44">
      <c r="X9605"/>
      <c r="Y9605"/>
      <c r="Z9605"/>
      <c r="AA9605"/>
      <c r="AC9605"/>
      <c r="AR9605"/>
    </row>
    <row r="9606" spans="24:44">
      <c r="X9606"/>
      <c r="Y9606"/>
      <c r="Z9606"/>
      <c r="AA9606"/>
      <c r="AC9606"/>
      <c r="AR9606"/>
    </row>
    <row r="9607" spans="24:44">
      <c r="X9607"/>
      <c r="Y9607"/>
      <c r="Z9607"/>
      <c r="AA9607"/>
      <c r="AC9607"/>
      <c r="AR9607"/>
    </row>
    <row r="9608" spans="24:44">
      <c r="X9608"/>
      <c r="Y9608"/>
      <c r="Z9608"/>
      <c r="AA9608"/>
      <c r="AC9608"/>
      <c r="AR9608"/>
    </row>
    <row r="9609" spans="24:44">
      <c r="X9609"/>
      <c r="Y9609"/>
      <c r="Z9609"/>
      <c r="AA9609"/>
      <c r="AC9609"/>
      <c r="AR9609"/>
    </row>
    <row r="9610" spans="24:44">
      <c r="X9610"/>
      <c r="Y9610"/>
      <c r="Z9610"/>
      <c r="AA9610"/>
      <c r="AC9610"/>
      <c r="AR9610"/>
    </row>
    <row r="9611" spans="24:44">
      <c r="X9611"/>
      <c r="Y9611"/>
      <c r="Z9611"/>
      <c r="AA9611"/>
      <c r="AC9611"/>
      <c r="AR9611"/>
    </row>
    <row r="9612" spans="24:44">
      <c r="X9612"/>
      <c r="Y9612"/>
      <c r="Z9612"/>
      <c r="AA9612"/>
      <c r="AC9612"/>
      <c r="AR9612"/>
    </row>
    <row r="9613" spans="24:44">
      <c r="X9613"/>
      <c r="Y9613"/>
      <c r="Z9613"/>
      <c r="AA9613"/>
      <c r="AC9613"/>
      <c r="AR9613"/>
    </row>
    <row r="9614" spans="24:44">
      <c r="X9614"/>
      <c r="Y9614"/>
      <c r="Z9614"/>
      <c r="AA9614"/>
      <c r="AC9614"/>
      <c r="AR9614"/>
    </row>
    <row r="9615" spans="24:44">
      <c r="X9615"/>
      <c r="Y9615"/>
      <c r="Z9615"/>
      <c r="AA9615"/>
      <c r="AC9615"/>
      <c r="AR9615"/>
    </row>
    <row r="9616" spans="24:44">
      <c r="X9616"/>
      <c r="Y9616"/>
      <c r="Z9616"/>
      <c r="AA9616"/>
      <c r="AC9616"/>
      <c r="AR9616"/>
    </row>
    <row r="9617" spans="24:44">
      <c r="X9617"/>
      <c r="Y9617"/>
      <c r="Z9617"/>
      <c r="AA9617"/>
      <c r="AC9617"/>
      <c r="AR9617"/>
    </row>
    <row r="9618" spans="24:44">
      <c r="X9618"/>
      <c r="Y9618"/>
      <c r="Z9618"/>
      <c r="AA9618"/>
      <c r="AC9618"/>
      <c r="AR9618"/>
    </row>
    <row r="9619" spans="24:44">
      <c r="X9619"/>
      <c r="Y9619"/>
      <c r="Z9619"/>
      <c r="AA9619"/>
      <c r="AC9619"/>
      <c r="AR9619"/>
    </row>
    <row r="9620" spans="24:44">
      <c r="X9620"/>
      <c r="Y9620"/>
      <c r="Z9620"/>
      <c r="AA9620"/>
      <c r="AC9620"/>
      <c r="AR9620"/>
    </row>
    <row r="9621" spans="24:44">
      <c r="X9621"/>
      <c r="Y9621"/>
      <c r="Z9621"/>
      <c r="AA9621"/>
      <c r="AC9621"/>
      <c r="AR9621"/>
    </row>
    <row r="9622" spans="24:44">
      <c r="X9622"/>
      <c r="Y9622"/>
      <c r="Z9622"/>
      <c r="AA9622"/>
      <c r="AC9622"/>
      <c r="AR9622"/>
    </row>
    <row r="9623" spans="24:44">
      <c r="X9623"/>
      <c r="Y9623"/>
      <c r="Z9623"/>
      <c r="AA9623"/>
      <c r="AC9623"/>
      <c r="AR9623"/>
    </row>
    <row r="9624" spans="24:44">
      <c r="X9624"/>
      <c r="Y9624"/>
      <c r="Z9624"/>
      <c r="AA9624"/>
      <c r="AC9624"/>
      <c r="AR9624"/>
    </row>
    <row r="9625" spans="24:44">
      <c r="X9625"/>
      <c r="Y9625"/>
      <c r="Z9625"/>
      <c r="AA9625"/>
      <c r="AC9625"/>
      <c r="AR9625"/>
    </row>
    <row r="9626" spans="24:44">
      <c r="X9626"/>
      <c r="Y9626"/>
      <c r="Z9626"/>
      <c r="AA9626"/>
      <c r="AC9626"/>
      <c r="AR9626"/>
    </row>
    <row r="9627" spans="24:44">
      <c r="X9627"/>
      <c r="Y9627"/>
      <c r="Z9627"/>
      <c r="AA9627"/>
      <c r="AC9627"/>
      <c r="AR9627"/>
    </row>
    <row r="9628" spans="24:44">
      <c r="X9628"/>
      <c r="Y9628"/>
      <c r="Z9628"/>
      <c r="AA9628"/>
      <c r="AC9628"/>
      <c r="AR9628"/>
    </row>
    <row r="9629" spans="24:44">
      <c r="X9629"/>
      <c r="Y9629"/>
      <c r="Z9629"/>
      <c r="AA9629"/>
      <c r="AC9629"/>
      <c r="AR9629"/>
    </row>
    <row r="9630" spans="24:44">
      <c r="X9630"/>
      <c r="Y9630"/>
      <c r="Z9630"/>
      <c r="AA9630"/>
      <c r="AC9630"/>
      <c r="AR9630"/>
    </row>
    <row r="9631" spans="24:44">
      <c r="X9631"/>
      <c r="Y9631"/>
      <c r="Z9631"/>
      <c r="AA9631"/>
      <c r="AC9631"/>
      <c r="AR9631"/>
    </row>
    <row r="9632" spans="24:44">
      <c r="X9632"/>
      <c r="Y9632"/>
      <c r="Z9632"/>
      <c r="AA9632"/>
      <c r="AC9632"/>
      <c r="AR9632"/>
    </row>
    <row r="9633" spans="24:44">
      <c r="X9633"/>
      <c r="Y9633"/>
      <c r="Z9633"/>
      <c r="AA9633"/>
      <c r="AC9633"/>
      <c r="AR9633"/>
    </row>
    <row r="9634" spans="24:44">
      <c r="X9634"/>
      <c r="Y9634"/>
      <c r="Z9634"/>
      <c r="AA9634"/>
      <c r="AC9634"/>
      <c r="AR9634"/>
    </row>
    <row r="9635" spans="24:44">
      <c r="X9635"/>
      <c r="Y9635"/>
      <c r="Z9635"/>
      <c r="AA9635"/>
      <c r="AC9635"/>
      <c r="AR9635"/>
    </row>
    <row r="9636" spans="24:44">
      <c r="X9636"/>
      <c r="Y9636"/>
      <c r="Z9636"/>
      <c r="AA9636"/>
      <c r="AC9636"/>
      <c r="AR9636"/>
    </row>
    <row r="9637" spans="24:44">
      <c r="X9637"/>
      <c r="Y9637"/>
      <c r="Z9637"/>
      <c r="AA9637"/>
      <c r="AC9637"/>
      <c r="AR9637"/>
    </row>
    <row r="9638" spans="24:44">
      <c r="X9638"/>
      <c r="Y9638"/>
      <c r="Z9638"/>
      <c r="AA9638"/>
      <c r="AC9638"/>
      <c r="AR9638"/>
    </row>
    <row r="9639" spans="24:44">
      <c r="X9639"/>
      <c r="Y9639"/>
      <c r="Z9639"/>
      <c r="AA9639"/>
      <c r="AC9639"/>
      <c r="AR9639"/>
    </row>
    <row r="9640" spans="24:44">
      <c r="X9640"/>
      <c r="Y9640"/>
      <c r="Z9640"/>
      <c r="AA9640"/>
      <c r="AC9640"/>
      <c r="AR9640"/>
    </row>
    <row r="9641" spans="24:44">
      <c r="X9641"/>
      <c r="Y9641"/>
      <c r="Z9641"/>
      <c r="AA9641"/>
      <c r="AC9641"/>
      <c r="AR9641"/>
    </row>
    <row r="9642" spans="24:44">
      <c r="X9642"/>
      <c r="Y9642"/>
      <c r="Z9642"/>
      <c r="AA9642"/>
      <c r="AC9642"/>
      <c r="AR9642"/>
    </row>
    <row r="9643" spans="24:44">
      <c r="X9643"/>
      <c r="Y9643"/>
      <c r="Z9643"/>
      <c r="AA9643"/>
      <c r="AC9643"/>
      <c r="AR9643"/>
    </row>
    <row r="9644" spans="24:44">
      <c r="X9644"/>
      <c r="Y9644"/>
      <c r="Z9644"/>
      <c r="AA9644"/>
      <c r="AC9644"/>
      <c r="AR9644"/>
    </row>
    <row r="9645" spans="24:44">
      <c r="X9645"/>
      <c r="Y9645"/>
      <c r="Z9645"/>
      <c r="AA9645"/>
      <c r="AC9645"/>
      <c r="AR9645"/>
    </row>
    <row r="9646" spans="24:44">
      <c r="X9646"/>
      <c r="Y9646"/>
      <c r="Z9646"/>
      <c r="AA9646"/>
      <c r="AC9646"/>
      <c r="AR9646"/>
    </row>
    <row r="9647" spans="24:44">
      <c r="X9647"/>
      <c r="Y9647"/>
      <c r="Z9647"/>
      <c r="AA9647"/>
      <c r="AC9647"/>
      <c r="AR9647"/>
    </row>
    <row r="9648" spans="24:44">
      <c r="X9648"/>
      <c r="Y9648"/>
      <c r="Z9648"/>
      <c r="AA9648"/>
      <c r="AC9648"/>
      <c r="AR9648"/>
    </row>
    <row r="9649" spans="24:44">
      <c r="X9649"/>
      <c r="Y9649"/>
      <c r="Z9649"/>
      <c r="AA9649"/>
      <c r="AC9649"/>
      <c r="AR9649"/>
    </row>
    <row r="9650" spans="24:44">
      <c r="X9650"/>
      <c r="Y9650"/>
      <c r="Z9650"/>
      <c r="AA9650"/>
      <c r="AC9650"/>
      <c r="AR9650"/>
    </row>
    <row r="9651" spans="24:44">
      <c r="X9651"/>
      <c r="Y9651"/>
      <c r="Z9651"/>
      <c r="AA9651"/>
      <c r="AC9651"/>
      <c r="AR9651"/>
    </row>
    <row r="9652" spans="24:44">
      <c r="X9652"/>
      <c r="Y9652"/>
      <c r="Z9652"/>
      <c r="AA9652"/>
      <c r="AC9652"/>
      <c r="AR9652"/>
    </row>
    <row r="9653" spans="24:44">
      <c r="X9653"/>
      <c r="Y9653"/>
      <c r="Z9653"/>
      <c r="AA9653"/>
      <c r="AC9653"/>
      <c r="AR9653"/>
    </row>
    <row r="9654" spans="24:44">
      <c r="X9654"/>
      <c r="Y9654"/>
      <c r="Z9654"/>
      <c r="AA9654"/>
      <c r="AC9654"/>
      <c r="AR9654"/>
    </row>
    <row r="9655" spans="24:44">
      <c r="X9655"/>
      <c r="Y9655"/>
      <c r="Z9655"/>
      <c r="AA9655"/>
      <c r="AC9655"/>
      <c r="AR9655"/>
    </row>
    <row r="9656" spans="24:44">
      <c r="X9656"/>
      <c r="Y9656"/>
      <c r="Z9656"/>
      <c r="AA9656"/>
      <c r="AC9656"/>
      <c r="AR9656"/>
    </row>
    <row r="9657" spans="24:44">
      <c r="X9657"/>
      <c r="Y9657"/>
      <c r="Z9657"/>
      <c r="AA9657"/>
      <c r="AC9657"/>
      <c r="AR9657"/>
    </row>
    <row r="9658" spans="24:44">
      <c r="X9658"/>
      <c r="Y9658"/>
      <c r="Z9658"/>
      <c r="AA9658"/>
      <c r="AC9658"/>
      <c r="AR9658"/>
    </row>
    <row r="9659" spans="24:44">
      <c r="X9659"/>
      <c r="Y9659"/>
      <c r="Z9659"/>
      <c r="AA9659"/>
      <c r="AC9659"/>
      <c r="AR9659"/>
    </row>
    <row r="9660" spans="24:44">
      <c r="X9660"/>
      <c r="Y9660"/>
      <c r="Z9660"/>
      <c r="AA9660"/>
      <c r="AC9660"/>
      <c r="AR9660"/>
    </row>
    <row r="9661" spans="24:44">
      <c r="X9661"/>
      <c r="Y9661"/>
      <c r="Z9661"/>
      <c r="AA9661"/>
      <c r="AC9661"/>
      <c r="AR9661"/>
    </row>
    <row r="9662" spans="24:44">
      <c r="X9662"/>
      <c r="Y9662"/>
      <c r="Z9662"/>
      <c r="AA9662"/>
      <c r="AC9662"/>
      <c r="AR9662"/>
    </row>
    <row r="9663" spans="24:44">
      <c r="X9663"/>
      <c r="Y9663"/>
      <c r="Z9663"/>
      <c r="AA9663"/>
      <c r="AC9663"/>
      <c r="AR9663"/>
    </row>
    <row r="9664" spans="24:44">
      <c r="X9664"/>
      <c r="Y9664"/>
      <c r="Z9664"/>
      <c r="AA9664"/>
      <c r="AC9664"/>
      <c r="AR9664"/>
    </row>
    <row r="9665" spans="24:44">
      <c r="X9665"/>
      <c r="Y9665"/>
      <c r="Z9665"/>
      <c r="AA9665"/>
      <c r="AC9665"/>
      <c r="AR9665"/>
    </row>
    <row r="9666" spans="24:44">
      <c r="X9666"/>
      <c r="Y9666"/>
      <c r="Z9666"/>
      <c r="AA9666"/>
      <c r="AC9666"/>
      <c r="AR9666"/>
    </row>
    <row r="9667" spans="24:44">
      <c r="X9667"/>
      <c r="Y9667"/>
      <c r="Z9667"/>
      <c r="AA9667"/>
      <c r="AC9667"/>
      <c r="AR9667"/>
    </row>
    <row r="9668" spans="24:44">
      <c r="X9668"/>
      <c r="Y9668"/>
      <c r="Z9668"/>
      <c r="AA9668"/>
      <c r="AC9668"/>
      <c r="AR9668"/>
    </row>
    <row r="9669" spans="24:44">
      <c r="X9669"/>
      <c r="Y9669"/>
      <c r="Z9669"/>
      <c r="AA9669"/>
      <c r="AC9669"/>
      <c r="AR9669"/>
    </row>
    <row r="9670" spans="24:44">
      <c r="X9670"/>
      <c r="Y9670"/>
      <c r="Z9670"/>
      <c r="AA9670"/>
      <c r="AC9670"/>
      <c r="AR9670"/>
    </row>
    <row r="9671" spans="24:44">
      <c r="X9671"/>
      <c r="Y9671"/>
      <c r="Z9671"/>
      <c r="AA9671"/>
      <c r="AC9671"/>
      <c r="AR9671"/>
    </row>
    <row r="9672" spans="24:44">
      <c r="X9672"/>
      <c r="Y9672"/>
      <c r="Z9672"/>
      <c r="AA9672"/>
      <c r="AC9672"/>
      <c r="AR9672"/>
    </row>
    <row r="9673" spans="24:44">
      <c r="X9673"/>
      <c r="Y9673"/>
      <c r="Z9673"/>
      <c r="AA9673"/>
      <c r="AC9673"/>
      <c r="AR9673"/>
    </row>
    <row r="9674" spans="24:44">
      <c r="X9674"/>
      <c r="Y9674"/>
      <c r="Z9674"/>
      <c r="AA9674"/>
      <c r="AC9674"/>
      <c r="AR9674"/>
    </row>
    <row r="9675" spans="24:44">
      <c r="X9675"/>
      <c r="Y9675"/>
      <c r="Z9675"/>
      <c r="AA9675"/>
      <c r="AC9675"/>
      <c r="AR9675"/>
    </row>
    <row r="9676" spans="24:44">
      <c r="X9676"/>
      <c r="Y9676"/>
      <c r="Z9676"/>
      <c r="AA9676"/>
      <c r="AC9676"/>
      <c r="AR9676"/>
    </row>
    <row r="9677" spans="24:44">
      <c r="X9677"/>
      <c r="Y9677"/>
      <c r="Z9677"/>
      <c r="AA9677"/>
      <c r="AC9677"/>
      <c r="AR9677"/>
    </row>
    <row r="9678" spans="24:44">
      <c r="X9678"/>
      <c r="Y9678"/>
      <c r="Z9678"/>
      <c r="AA9678"/>
      <c r="AC9678"/>
      <c r="AR9678"/>
    </row>
    <row r="9679" spans="24:44">
      <c r="X9679"/>
      <c r="Y9679"/>
      <c r="Z9679"/>
      <c r="AA9679"/>
      <c r="AC9679"/>
      <c r="AR9679"/>
    </row>
    <row r="9680" spans="24:44">
      <c r="X9680"/>
      <c r="Y9680"/>
      <c r="Z9680"/>
      <c r="AA9680"/>
      <c r="AC9680"/>
      <c r="AR9680"/>
    </row>
    <row r="9681" spans="24:44">
      <c r="X9681"/>
      <c r="Y9681"/>
      <c r="Z9681"/>
      <c r="AA9681"/>
      <c r="AC9681"/>
      <c r="AR9681"/>
    </row>
    <row r="9682" spans="24:44">
      <c r="X9682"/>
      <c r="Y9682"/>
      <c r="Z9682"/>
      <c r="AA9682"/>
      <c r="AC9682"/>
      <c r="AR9682"/>
    </row>
    <row r="9683" spans="24:44">
      <c r="X9683"/>
      <c r="Y9683"/>
      <c r="Z9683"/>
      <c r="AA9683"/>
      <c r="AC9683"/>
      <c r="AR9683"/>
    </row>
    <row r="9684" spans="24:44">
      <c r="X9684"/>
      <c r="Y9684"/>
      <c r="Z9684"/>
      <c r="AA9684"/>
      <c r="AC9684"/>
      <c r="AR9684"/>
    </row>
    <row r="9685" spans="24:44">
      <c r="X9685"/>
      <c r="Y9685"/>
      <c r="Z9685"/>
      <c r="AA9685"/>
      <c r="AC9685"/>
      <c r="AR9685"/>
    </row>
    <row r="9686" spans="24:44">
      <c r="X9686"/>
      <c r="Y9686"/>
      <c r="Z9686"/>
      <c r="AA9686"/>
      <c r="AC9686"/>
      <c r="AR9686"/>
    </row>
    <row r="9687" spans="24:44">
      <c r="X9687"/>
      <c r="Y9687"/>
      <c r="Z9687"/>
      <c r="AA9687"/>
      <c r="AC9687"/>
      <c r="AR9687"/>
    </row>
    <row r="9688" spans="24:44">
      <c r="X9688"/>
      <c r="Y9688"/>
      <c r="Z9688"/>
      <c r="AA9688"/>
      <c r="AC9688"/>
      <c r="AR9688"/>
    </row>
    <row r="9689" spans="24:44">
      <c r="X9689"/>
      <c r="Y9689"/>
      <c r="Z9689"/>
      <c r="AA9689"/>
      <c r="AC9689"/>
      <c r="AR9689"/>
    </row>
    <row r="9690" spans="24:44">
      <c r="X9690"/>
      <c r="Y9690"/>
      <c r="Z9690"/>
      <c r="AA9690"/>
      <c r="AC9690"/>
      <c r="AR9690"/>
    </row>
    <row r="9691" spans="24:44">
      <c r="X9691"/>
      <c r="Y9691"/>
      <c r="Z9691"/>
      <c r="AA9691"/>
      <c r="AC9691"/>
      <c r="AR9691"/>
    </row>
    <row r="9692" spans="24:44">
      <c r="X9692"/>
      <c r="Y9692"/>
      <c r="Z9692"/>
      <c r="AA9692"/>
      <c r="AC9692"/>
      <c r="AR9692"/>
    </row>
    <row r="9693" spans="24:44">
      <c r="X9693"/>
      <c r="Y9693"/>
      <c r="Z9693"/>
      <c r="AA9693"/>
      <c r="AC9693"/>
      <c r="AR9693"/>
    </row>
    <row r="9694" spans="24:44">
      <c r="X9694"/>
      <c r="Y9694"/>
      <c r="Z9694"/>
      <c r="AA9694"/>
      <c r="AC9694"/>
      <c r="AR9694"/>
    </row>
    <row r="9695" spans="24:44">
      <c r="X9695"/>
      <c r="Y9695"/>
      <c r="Z9695"/>
      <c r="AA9695"/>
      <c r="AC9695"/>
      <c r="AR9695"/>
    </row>
    <row r="9696" spans="24:44">
      <c r="X9696"/>
      <c r="Y9696"/>
      <c r="Z9696"/>
      <c r="AA9696"/>
      <c r="AC9696"/>
      <c r="AR9696"/>
    </row>
    <row r="9697" spans="24:44">
      <c r="X9697"/>
      <c r="Y9697"/>
      <c r="Z9697"/>
      <c r="AA9697"/>
      <c r="AC9697"/>
      <c r="AR9697"/>
    </row>
    <row r="9698" spans="24:44">
      <c r="X9698"/>
      <c r="Y9698"/>
      <c r="Z9698"/>
      <c r="AA9698"/>
      <c r="AC9698"/>
      <c r="AR9698"/>
    </row>
    <row r="9699" spans="24:44">
      <c r="X9699"/>
      <c r="Y9699"/>
      <c r="Z9699"/>
      <c r="AA9699"/>
      <c r="AC9699"/>
      <c r="AR9699"/>
    </row>
    <row r="9700" spans="24:44">
      <c r="X9700"/>
      <c r="Y9700"/>
      <c r="Z9700"/>
      <c r="AA9700"/>
      <c r="AC9700"/>
      <c r="AR9700"/>
    </row>
    <row r="9701" spans="24:44">
      <c r="X9701"/>
      <c r="Y9701"/>
      <c r="Z9701"/>
      <c r="AA9701"/>
      <c r="AC9701"/>
      <c r="AR9701"/>
    </row>
    <row r="9702" spans="24:44">
      <c r="X9702"/>
      <c r="Y9702"/>
      <c r="Z9702"/>
      <c r="AA9702"/>
      <c r="AC9702"/>
      <c r="AR9702"/>
    </row>
    <row r="9703" spans="24:44">
      <c r="X9703"/>
      <c r="Y9703"/>
      <c r="Z9703"/>
      <c r="AA9703"/>
      <c r="AC9703"/>
      <c r="AR9703"/>
    </row>
    <row r="9704" spans="24:44">
      <c r="X9704"/>
      <c r="Y9704"/>
      <c r="Z9704"/>
      <c r="AA9704"/>
      <c r="AC9704"/>
      <c r="AR9704"/>
    </row>
    <row r="9705" spans="24:44">
      <c r="X9705"/>
      <c r="Y9705"/>
      <c r="Z9705"/>
      <c r="AA9705"/>
      <c r="AC9705"/>
      <c r="AR9705"/>
    </row>
    <row r="9706" spans="24:44">
      <c r="X9706"/>
      <c r="Y9706"/>
      <c r="Z9706"/>
      <c r="AA9706"/>
      <c r="AC9706"/>
      <c r="AR9706"/>
    </row>
    <row r="9707" spans="24:44">
      <c r="X9707"/>
      <c r="Y9707"/>
      <c r="Z9707"/>
      <c r="AA9707"/>
      <c r="AC9707"/>
      <c r="AR9707"/>
    </row>
    <row r="9708" spans="24:44">
      <c r="X9708"/>
      <c r="Y9708"/>
      <c r="Z9708"/>
      <c r="AA9708"/>
      <c r="AC9708"/>
      <c r="AR9708"/>
    </row>
    <row r="9709" spans="24:44">
      <c r="X9709"/>
      <c r="Y9709"/>
      <c r="Z9709"/>
      <c r="AA9709"/>
      <c r="AC9709"/>
      <c r="AR9709"/>
    </row>
    <row r="9710" spans="24:44">
      <c r="X9710"/>
      <c r="Y9710"/>
      <c r="Z9710"/>
      <c r="AA9710"/>
      <c r="AC9710"/>
      <c r="AR9710"/>
    </row>
    <row r="9711" spans="24:44">
      <c r="X9711"/>
      <c r="Y9711"/>
      <c r="Z9711"/>
      <c r="AA9711"/>
      <c r="AC9711"/>
      <c r="AR9711"/>
    </row>
    <row r="9712" spans="24:44">
      <c r="X9712"/>
      <c r="Y9712"/>
      <c r="Z9712"/>
      <c r="AA9712"/>
      <c r="AC9712"/>
      <c r="AR9712"/>
    </row>
    <row r="9713" spans="24:44">
      <c r="X9713"/>
      <c r="Y9713"/>
      <c r="Z9713"/>
      <c r="AA9713"/>
      <c r="AC9713"/>
      <c r="AR9713"/>
    </row>
    <row r="9714" spans="24:44">
      <c r="X9714"/>
      <c r="Y9714"/>
      <c r="Z9714"/>
      <c r="AA9714"/>
      <c r="AC9714"/>
      <c r="AR9714"/>
    </row>
    <row r="9715" spans="24:44">
      <c r="X9715"/>
      <c r="Y9715"/>
      <c r="Z9715"/>
      <c r="AA9715"/>
      <c r="AC9715"/>
      <c r="AR9715"/>
    </row>
    <row r="9716" spans="24:44">
      <c r="X9716"/>
      <c r="Y9716"/>
      <c r="Z9716"/>
      <c r="AA9716"/>
      <c r="AC9716"/>
      <c r="AR9716"/>
    </row>
    <row r="9717" spans="24:44">
      <c r="X9717"/>
      <c r="Y9717"/>
      <c r="Z9717"/>
      <c r="AA9717"/>
      <c r="AC9717"/>
      <c r="AR9717"/>
    </row>
    <row r="9718" spans="24:44">
      <c r="X9718"/>
      <c r="Y9718"/>
      <c r="Z9718"/>
      <c r="AA9718"/>
      <c r="AC9718"/>
      <c r="AR9718"/>
    </row>
    <row r="9719" spans="24:44">
      <c r="X9719"/>
      <c r="Y9719"/>
      <c r="Z9719"/>
      <c r="AA9719"/>
      <c r="AC9719"/>
      <c r="AR9719"/>
    </row>
    <row r="9720" spans="24:44">
      <c r="X9720"/>
      <c r="Y9720"/>
      <c r="Z9720"/>
      <c r="AA9720"/>
      <c r="AC9720"/>
      <c r="AR9720"/>
    </row>
    <row r="9721" spans="24:44">
      <c r="X9721"/>
      <c r="Y9721"/>
      <c r="Z9721"/>
      <c r="AA9721"/>
      <c r="AC9721"/>
      <c r="AR9721"/>
    </row>
    <row r="9722" spans="24:44">
      <c r="X9722"/>
      <c r="Y9722"/>
      <c r="Z9722"/>
      <c r="AA9722"/>
      <c r="AC9722"/>
      <c r="AR9722"/>
    </row>
    <row r="9723" spans="24:44">
      <c r="X9723"/>
      <c r="Y9723"/>
      <c r="Z9723"/>
      <c r="AA9723"/>
      <c r="AC9723"/>
      <c r="AR9723"/>
    </row>
    <row r="9724" spans="24:44">
      <c r="X9724"/>
      <c r="Y9724"/>
      <c r="Z9724"/>
      <c r="AA9724"/>
      <c r="AC9724"/>
      <c r="AR9724"/>
    </row>
    <row r="9725" spans="24:44">
      <c r="X9725"/>
      <c r="Y9725"/>
      <c r="Z9725"/>
      <c r="AA9725"/>
      <c r="AC9725"/>
      <c r="AR9725"/>
    </row>
    <row r="9726" spans="24:44">
      <c r="X9726"/>
      <c r="Y9726"/>
      <c r="Z9726"/>
      <c r="AA9726"/>
      <c r="AC9726"/>
      <c r="AR9726"/>
    </row>
    <row r="9727" spans="24:44">
      <c r="X9727"/>
      <c r="Y9727"/>
      <c r="Z9727"/>
      <c r="AA9727"/>
      <c r="AC9727"/>
      <c r="AR9727"/>
    </row>
    <row r="9728" spans="24:44">
      <c r="X9728"/>
      <c r="Y9728"/>
      <c r="Z9728"/>
      <c r="AA9728"/>
      <c r="AC9728"/>
      <c r="AR9728"/>
    </row>
    <row r="9729" spans="24:44">
      <c r="X9729"/>
      <c r="Y9729"/>
      <c r="Z9729"/>
      <c r="AA9729"/>
      <c r="AC9729"/>
      <c r="AR9729"/>
    </row>
    <row r="9730" spans="24:44">
      <c r="X9730"/>
      <c r="Y9730"/>
      <c r="Z9730"/>
      <c r="AA9730"/>
      <c r="AC9730"/>
      <c r="AR9730"/>
    </row>
    <row r="9731" spans="24:44">
      <c r="X9731"/>
      <c r="Y9731"/>
      <c r="Z9731"/>
      <c r="AA9731"/>
      <c r="AC9731"/>
      <c r="AR9731"/>
    </row>
    <row r="9732" spans="24:44">
      <c r="X9732"/>
      <c r="Y9732"/>
      <c r="Z9732"/>
      <c r="AA9732"/>
      <c r="AC9732"/>
      <c r="AR9732"/>
    </row>
    <row r="9733" spans="24:44">
      <c r="X9733"/>
      <c r="Y9733"/>
      <c r="Z9733"/>
      <c r="AA9733"/>
      <c r="AC9733"/>
      <c r="AR9733"/>
    </row>
    <row r="9734" spans="24:44">
      <c r="X9734"/>
      <c r="Y9734"/>
      <c r="Z9734"/>
      <c r="AA9734"/>
      <c r="AC9734"/>
      <c r="AR9734"/>
    </row>
    <row r="9735" spans="24:44">
      <c r="X9735"/>
      <c r="Y9735"/>
      <c r="Z9735"/>
      <c r="AA9735"/>
      <c r="AC9735"/>
      <c r="AR9735"/>
    </row>
    <row r="9736" spans="24:44">
      <c r="X9736"/>
      <c r="Y9736"/>
      <c r="Z9736"/>
      <c r="AA9736"/>
      <c r="AC9736"/>
      <c r="AR9736"/>
    </row>
    <row r="9737" spans="24:44">
      <c r="X9737"/>
      <c r="Y9737"/>
      <c r="Z9737"/>
      <c r="AA9737"/>
      <c r="AC9737"/>
      <c r="AR9737"/>
    </row>
    <row r="9738" spans="24:44">
      <c r="X9738"/>
      <c r="Y9738"/>
      <c r="Z9738"/>
      <c r="AA9738"/>
      <c r="AC9738"/>
      <c r="AR9738"/>
    </row>
    <row r="9739" spans="24:44">
      <c r="X9739"/>
      <c r="Y9739"/>
      <c r="Z9739"/>
      <c r="AA9739"/>
      <c r="AC9739"/>
      <c r="AR9739"/>
    </row>
    <row r="9740" spans="24:44">
      <c r="X9740"/>
      <c r="Y9740"/>
      <c r="Z9740"/>
      <c r="AA9740"/>
      <c r="AC9740"/>
      <c r="AR9740"/>
    </row>
    <row r="9741" spans="24:44">
      <c r="X9741"/>
      <c r="Y9741"/>
      <c r="Z9741"/>
      <c r="AA9741"/>
      <c r="AC9741"/>
      <c r="AR9741"/>
    </row>
    <row r="9742" spans="24:44">
      <c r="X9742"/>
      <c r="Y9742"/>
      <c r="Z9742"/>
      <c r="AA9742"/>
      <c r="AC9742"/>
      <c r="AR9742"/>
    </row>
    <row r="9743" spans="24:44">
      <c r="X9743"/>
      <c r="Y9743"/>
      <c r="Z9743"/>
      <c r="AA9743"/>
      <c r="AC9743"/>
      <c r="AR9743"/>
    </row>
    <row r="9744" spans="24:44">
      <c r="X9744"/>
      <c r="Y9744"/>
      <c r="Z9744"/>
      <c r="AA9744"/>
      <c r="AC9744"/>
      <c r="AR9744"/>
    </row>
    <row r="9745" spans="24:44">
      <c r="X9745"/>
      <c r="Y9745"/>
      <c r="Z9745"/>
      <c r="AA9745"/>
      <c r="AC9745"/>
      <c r="AR9745"/>
    </row>
    <row r="9746" spans="24:44">
      <c r="X9746"/>
      <c r="Y9746"/>
      <c r="Z9746"/>
      <c r="AA9746"/>
      <c r="AC9746"/>
      <c r="AR9746"/>
    </row>
    <row r="9747" spans="24:44">
      <c r="X9747"/>
      <c r="Y9747"/>
      <c r="Z9747"/>
      <c r="AA9747"/>
      <c r="AC9747"/>
      <c r="AR9747"/>
    </row>
    <row r="9748" spans="24:44">
      <c r="X9748"/>
      <c r="Y9748"/>
      <c r="Z9748"/>
      <c r="AA9748"/>
      <c r="AC9748"/>
      <c r="AR9748"/>
    </row>
    <row r="9749" spans="24:44">
      <c r="X9749"/>
      <c r="Y9749"/>
      <c r="Z9749"/>
      <c r="AA9749"/>
      <c r="AC9749"/>
      <c r="AR9749"/>
    </row>
    <row r="9750" spans="24:44">
      <c r="X9750"/>
      <c r="Y9750"/>
      <c r="Z9750"/>
      <c r="AA9750"/>
      <c r="AC9750"/>
      <c r="AR9750"/>
    </row>
    <row r="9751" spans="24:44">
      <c r="X9751"/>
      <c r="Y9751"/>
      <c r="Z9751"/>
      <c r="AA9751"/>
      <c r="AC9751"/>
      <c r="AR9751"/>
    </row>
    <row r="9752" spans="24:44">
      <c r="X9752"/>
      <c r="Y9752"/>
      <c r="Z9752"/>
      <c r="AA9752"/>
      <c r="AC9752"/>
      <c r="AR9752"/>
    </row>
    <row r="9753" spans="24:44">
      <c r="X9753"/>
      <c r="Y9753"/>
      <c r="Z9753"/>
      <c r="AA9753"/>
      <c r="AC9753"/>
      <c r="AR9753"/>
    </row>
    <row r="9754" spans="24:44">
      <c r="X9754"/>
      <c r="Y9754"/>
      <c r="Z9754"/>
      <c r="AA9754"/>
      <c r="AC9754"/>
      <c r="AR9754"/>
    </row>
    <row r="9755" spans="24:44">
      <c r="X9755"/>
      <c r="Y9755"/>
      <c r="Z9755"/>
      <c r="AA9755"/>
      <c r="AC9755"/>
      <c r="AR9755"/>
    </row>
    <row r="9756" spans="24:44">
      <c r="X9756"/>
      <c r="Y9756"/>
      <c r="Z9756"/>
      <c r="AA9756"/>
      <c r="AC9756"/>
      <c r="AR9756"/>
    </row>
    <row r="9757" spans="24:44">
      <c r="X9757"/>
      <c r="Y9757"/>
      <c r="Z9757"/>
      <c r="AA9757"/>
      <c r="AC9757"/>
      <c r="AR9757"/>
    </row>
    <row r="9758" spans="24:44">
      <c r="X9758"/>
      <c r="Y9758"/>
      <c r="Z9758"/>
      <c r="AA9758"/>
      <c r="AC9758"/>
      <c r="AR9758"/>
    </row>
    <row r="9759" spans="24:44">
      <c r="X9759"/>
      <c r="Y9759"/>
      <c r="Z9759"/>
      <c r="AA9759"/>
      <c r="AC9759"/>
      <c r="AR9759"/>
    </row>
    <row r="9760" spans="24:44">
      <c r="X9760"/>
      <c r="Y9760"/>
      <c r="Z9760"/>
      <c r="AA9760"/>
      <c r="AC9760"/>
      <c r="AR9760"/>
    </row>
    <row r="9761" spans="24:44">
      <c r="X9761"/>
      <c r="Y9761"/>
      <c r="Z9761"/>
      <c r="AA9761"/>
      <c r="AC9761"/>
      <c r="AR9761"/>
    </row>
    <row r="9762" spans="24:44">
      <c r="X9762"/>
      <c r="Y9762"/>
      <c r="Z9762"/>
      <c r="AA9762"/>
      <c r="AC9762"/>
      <c r="AR9762"/>
    </row>
    <row r="9763" spans="24:44">
      <c r="X9763"/>
      <c r="Y9763"/>
      <c r="Z9763"/>
      <c r="AA9763"/>
      <c r="AC9763"/>
      <c r="AR9763"/>
    </row>
    <row r="9764" spans="24:44">
      <c r="X9764"/>
      <c r="Y9764"/>
      <c r="Z9764"/>
      <c r="AA9764"/>
      <c r="AC9764"/>
      <c r="AR9764"/>
    </row>
    <row r="9765" spans="24:44">
      <c r="X9765"/>
      <c r="Y9765"/>
      <c r="Z9765"/>
      <c r="AA9765"/>
      <c r="AC9765"/>
      <c r="AR9765"/>
    </row>
    <row r="9766" spans="24:44">
      <c r="X9766"/>
      <c r="Y9766"/>
      <c r="Z9766"/>
      <c r="AA9766"/>
      <c r="AC9766"/>
      <c r="AR9766"/>
    </row>
    <row r="9767" spans="24:44">
      <c r="X9767"/>
      <c r="Y9767"/>
      <c r="Z9767"/>
      <c r="AA9767"/>
      <c r="AC9767"/>
      <c r="AR9767"/>
    </row>
    <row r="9768" spans="24:44">
      <c r="X9768"/>
      <c r="Y9768"/>
      <c r="Z9768"/>
      <c r="AA9768"/>
      <c r="AC9768"/>
      <c r="AR9768"/>
    </row>
    <row r="9769" spans="24:44">
      <c r="X9769"/>
      <c r="Y9769"/>
      <c r="Z9769"/>
      <c r="AA9769"/>
      <c r="AC9769"/>
      <c r="AR9769"/>
    </row>
    <row r="9770" spans="24:44">
      <c r="X9770"/>
      <c r="Y9770"/>
      <c r="Z9770"/>
      <c r="AA9770"/>
      <c r="AC9770"/>
      <c r="AR9770"/>
    </row>
    <row r="9771" spans="24:44">
      <c r="X9771"/>
      <c r="Y9771"/>
      <c r="Z9771"/>
      <c r="AA9771"/>
      <c r="AC9771"/>
      <c r="AR9771"/>
    </row>
    <row r="9772" spans="24:44">
      <c r="X9772"/>
      <c r="Y9772"/>
      <c r="Z9772"/>
      <c r="AA9772"/>
      <c r="AC9772"/>
      <c r="AR9772"/>
    </row>
    <row r="9773" spans="24:44">
      <c r="X9773"/>
      <c r="Y9773"/>
      <c r="Z9773"/>
      <c r="AA9773"/>
      <c r="AC9773"/>
      <c r="AR9773"/>
    </row>
    <row r="9774" spans="24:44">
      <c r="X9774"/>
      <c r="Y9774"/>
      <c r="Z9774"/>
      <c r="AA9774"/>
      <c r="AC9774"/>
      <c r="AR9774"/>
    </row>
    <row r="9775" spans="24:44">
      <c r="X9775"/>
      <c r="Y9775"/>
      <c r="Z9775"/>
      <c r="AA9775"/>
      <c r="AC9775"/>
      <c r="AR9775"/>
    </row>
    <row r="9776" spans="24:44">
      <c r="X9776"/>
      <c r="Y9776"/>
      <c r="Z9776"/>
      <c r="AA9776"/>
      <c r="AC9776"/>
      <c r="AR9776"/>
    </row>
    <row r="9777" spans="24:44">
      <c r="X9777"/>
      <c r="Y9777"/>
      <c r="Z9777"/>
      <c r="AA9777"/>
      <c r="AC9777"/>
      <c r="AR9777"/>
    </row>
    <row r="9778" spans="24:44">
      <c r="X9778"/>
      <c r="Y9778"/>
      <c r="Z9778"/>
      <c r="AA9778"/>
      <c r="AC9778"/>
      <c r="AR9778"/>
    </row>
    <row r="9779" spans="24:44">
      <c r="X9779"/>
      <c r="Y9779"/>
      <c r="Z9779"/>
      <c r="AA9779"/>
      <c r="AC9779"/>
      <c r="AR9779"/>
    </row>
    <row r="9780" spans="24:44">
      <c r="X9780"/>
      <c r="Y9780"/>
      <c r="Z9780"/>
      <c r="AA9780"/>
      <c r="AC9780"/>
      <c r="AR9780"/>
    </row>
    <row r="9781" spans="24:44">
      <c r="X9781"/>
      <c r="Y9781"/>
      <c r="Z9781"/>
      <c r="AA9781"/>
      <c r="AC9781"/>
      <c r="AR9781"/>
    </row>
    <row r="9782" spans="24:44">
      <c r="X9782"/>
      <c r="Y9782"/>
      <c r="Z9782"/>
      <c r="AA9782"/>
      <c r="AC9782"/>
      <c r="AR9782"/>
    </row>
    <row r="9783" spans="24:44">
      <c r="X9783"/>
      <c r="Y9783"/>
      <c r="Z9783"/>
      <c r="AA9783"/>
      <c r="AC9783"/>
      <c r="AR9783"/>
    </row>
    <row r="9784" spans="24:44">
      <c r="X9784"/>
      <c r="Y9784"/>
      <c r="Z9784"/>
      <c r="AA9784"/>
      <c r="AC9784"/>
      <c r="AR9784"/>
    </row>
    <row r="9785" spans="24:44">
      <c r="X9785"/>
      <c r="Y9785"/>
      <c r="Z9785"/>
      <c r="AA9785"/>
      <c r="AC9785"/>
      <c r="AR9785"/>
    </row>
    <row r="9786" spans="24:44">
      <c r="X9786"/>
      <c r="Y9786"/>
      <c r="Z9786"/>
      <c r="AA9786"/>
      <c r="AC9786"/>
      <c r="AR9786"/>
    </row>
    <row r="9787" spans="24:44">
      <c r="X9787"/>
      <c r="Y9787"/>
      <c r="Z9787"/>
      <c r="AA9787"/>
      <c r="AC9787"/>
      <c r="AR9787"/>
    </row>
    <row r="9788" spans="24:44">
      <c r="X9788"/>
      <c r="Y9788"/>
      <c r="Z9788"/>
      <c r="AA9788"/>
      <c r="AC9788"/>
      <c r="AR9788"/>
    </row>
    <row r="9789" spans="24:44">
      <c r="X9789"/>
      <c r="Y9789"/>
      <c r="Z9789"/>
      <c r="AA9789"/>
      <c r="AC9789"/>
      <c r="AR9789"/>
    </row>
    <row r="9790" spans="24:44">
      <c r="X9790"/>
      <c r="Y9790"/>
      <c r="Z9790"/>
      <c r="AA9790"/>
      <c r="AC9790"/>
      <c r="AR9790"/>
    </row>
    <row r="9791" spans="24:44">
      <c r="X9791"/>
      <c r="Y9791"/>
      <c r="Z9791"/>
      <c r="AA9791"/>
      <c r="AC9791"/>
      <c r="AR9791"/>
    </row>
    <row r="9792" spans="24:44">
      <c r="X9792"/>
      <c r="Y9792"/>
      <c r="Z9792"/>
      <c r="AA9792"/>
      <c r="AC9792"/>
      <c r="AR9792"/>
    </row>
    <row r="9793" spans="24:44">
      <c r="X9793"/>
      <c r="Y9793"/>
      <c r="Z9793"/>
      <c r="AA9793"/>
      <c r="AC9793"/>
      <c r="AR9793"/>
    </row>
    <row r="9794" spans="24:44">
      <c r="X9794"/>
      <c r="Y9794"/>
      <c r="Z9794"/>
      <c r="AA9794"/>
      <c r="AC9794"/>
      <c r="AR9794"/>
    </row>
    <row r="9795" spans="24:44">
      <c r="X9795"/>
      <c r="Y9795"/>
      <c r="Z9795"/>
      <c r="AA9795"/>
      <c r="AC9795"/>
      <c r="AR9795"/>
    </row>
    <row r="9796" spans="24:44">
      <c r="X9796"/>
      <c r="Y9796"/>
      <c r="Z9796"/>
      <c r="AA9796"/>
      <c r="AC9796"/>
      <c r="AR9796"/>
    </row>
    <row r="9797" spans="24:44">
      <c r="X9797"/>
      <c r="Y9797"/>
      <c r="Z9797"/>
      <c r="AA9797"/>
      <c r="AC9797"/>
      <c r="AR9797"/>
    </row>
    <row r="9798" spans="24:44">
      <c r="X9798"/>
      <c r="Y9798"/>
      <c r="Z9798"/>
      <c r="AA9798"/>
      <c r="AC9798"/>
      <c r="AR9798"/>
    </row>
    <row r="9799" spans="24:44">
      <c r="X9799"/>
      <c r="Y9799"/>
      <c r="Z9799"/>
      <c r="AA9799"/>
      <c r="AC9799"/>
      <c r="AR9799"/>
    </row>
    <row r="9800" spans="24:44">
      <c r="X9800"/>
      <c r="Y9800"/>
      <c r="Z9800"/>
      <c r="AA9800"/>
      <c r="AC9800"/>
      <c r="AR9800"/>
    </row>
    <row r="9801" spans="24:44">
      <c r="X9801"/>
      <c r="Y9801"/>
      <c r="Z9801"/>
      <c r="AA9801"/>
      <c r="AC9801"/>
      <c r="AR9801"/>
    </row>
    <row r="9802" spans="24:44">
      <c r="X9802"/>
      <c r="Y9802"/>
      <c r="Z9802"/>
      <c r="AA9802"/>
      <c r="AC9802"/>
      <c r="AR9802"/>
    </row>
    <row r="9803" spans="24:44">
      <c r="X9803"/>
      <c r="Y9803"/>
      <c r="Z9803"/>
      <c r="AA9803"/>
      <c r="AC9803"/>
      <c r="AR9803"/>
    </row>
    <row r="9804" spans="24:44">
      <c r="X9804"/>
      <c r="Y9804"/>
      <c r="Z9804"/>
      <c r="AA9804"/>
      <c r="AC9804"/>
      <c r="AR9804"/>
    </row>
    <row r="9805" spans="24:44">
      <c r="X9805"/>
      <c r="Y9805"/>
      <c r="Z9805"/>
      <c r="AA9805"/>
      <c r="AC9805"/>
      <c r="AR9805"/>
    </row>
    <row r="9806" spans="24:44">
      <c r="X9806"/>
      <c r="Y9806"/>
      <c r="Z9806"/>
      <c r="AA9806"/>
      <c r="AC9806"/>
      <c r="AR9806"/>
    </row>
    <row r="9807" spans="24:44">
      <c r="X9807"/>
      <c r="Y9807"/>
      <c r="Z9807"/>
      <c r="AA9807"/>
      <c r="AC9807"/>
      <c r="AR9807"/>
    </row>
    <row r="9808" spans="24:44">
      <c r="X9808"/>
      <c r="Y9808"/>
      <c r="Z9808"/>
      <c r="AA9808"/>
      <c r="AC9808"/>
      <c r="AR9808"/>
    </row>
    <row r="9809" spans="24:44">
      <c r="X9809"/>
      <c r="Y9809"/>
      <c r="Z9809"/>
      <c r="AA9809"/>
      <c r="AC9809"/>
      <c r="AR9809"/>
    </row>
    <row r="9810" spans="24:44">
      <c r="X9810"/>
      <c r="Y9810"/>
      <c r="Z9810"/>
      <c r="AA9810"/>
      <c r="AC9810"/>
      <c r="AR9810"/>
    </row>
    <row r="9811" spans="24:44">
      <c r="X9811"/>
      <c r="Y9811"/>
      <c r="Z9811"/>
      <c r="AA9811"/>
      <c r="AC9811"/>
      <c r="AR9811"/>
    </row>
    <row r="9812" spans="24:44">
      <c r="X9812"/>
      <c r="Y9812"/>
      <c r="Z9812"/>
      <c r="AA9812"/>
      <c r="AC9812"/>
      <c r="AR9812"/>
    </row>
    <row r="9813" spans="24:44">
      <c r="X9813"/>
      <c r="Y9813"/>
      <c r="Z9813"/>
      <c r="AA9813"/>
      <c r="AC9813"/>
      <c r="AR9813"/>
    </row>
    <row r="9814" spans="24:44">
      <c r="X9814"/>
      <c r="Y9814"/>
      <c r="Z9814"/>
      <c r="AA9814"/>
      <c r="AC9814"/>
      <c r="AR9814"/>
    </row>
    <row r="9815" spans="24:44">
      <c r="X9815"/>
      <c r="Y9815"/>
      <c r="Z9815"/>
      <c r="AA9815"/>
      <c r="AC9815"/>
      <c r="AR9815"/>
    </row>
    <row r="9816" spans="24:44">
      <c r="X9816"/>
      <c r="Y9816"/>
      <c r="Z9816"/>
      <c r="AA9816"/>
      <c r="AC9816"/>
      <c r="AR9816"/>
    </row>
    <row r="9817" spans="24:44">
      <c r="X9817"/>
      <c r="Y9817"/>
      <c r="Z9817"/>
      <c r="AA9817"/>
      <c r="AC9817"/>
      <c r="AR9817"/>
    </row>
    <row r="9818" spans="24:44">
      <c r="X9818"/>
      <c r="Y9818"/>
      <c r="Z9818"/>
      <c r="AA9818"/>
      <c r="AC9818"/>
      <c r="AR9818"/>
    </row>
    <row r="9819" spans="24:44">
      <c r="X9819"/>
      <c r="Y9819"/>
      <c r="Z9819"/>
      <c r="AA9819"/>
      <c r="AC9819"/>
      <c r="AR9819"/>
    </row>
    <row r="9820" spans="24:44">
      <c r="X9820"/>
      <c r="Y9820"/>
      <c r="Z9820"/>
      <c r="AA9820"/>
      <c r="AC9820"/>
      <c r="AR9820"/>
    </row>
    <row r="9821" spans="24:44">
      <c r="X9821"/>
      <c r="Y9821"/>
      <c r="Z9821"/>
      <c r="AA9821"/>
      <c r="AC9821"/>
      <c r="AR9821"/>
    </row>
    <row r="9822" spans="24:44">
      <c r="X9822"/>
      <c r="Y9822"/>
      <c r="Z9822"/>
      <c r="AA9822"/>
      <c r="AC9822"/>
      <c r="AR9822"/>
    </row>
    <row r="9823" spans="24:44">
      <c r="X9823"/>
      <c r="Y9823"/>
      <c r="Z9823"/>
      <c r="AA9823"/>
      <c r="AC9823"/>
      <c r="AR9823"/>
    </row>
    <row r="9824" spans="24:44">
      <c r="X9824"/>
      <c r="Y9824"/>
      <c r="Z9824"/>
      <c r="AA9824"/>
      <c r="AC9824"/>
      <c r="AR9824"/>
    </row>
    <row r="9825" spans="24:44">
      <c r="X9825"/>
      <c r="Y9825"/>
      <c r="Z9825"/>
      <c r="AA9825"/>
      <c r="AC9825"/>
      <c r="AR9825"/>
    </row>
    <row r="9826" spans="24:44">
      <c r="X9826"/>
      <c r="Y9826"/>
      <c r="Z9826"/>
      <c r="AA9826"/>
      <c r="AC9826"/>
      <c r="AR9826"/>
    </row>
    <row r="9827" spans="24:44">
      <c r="X9827"/>
      <c r="Y9827"/>
      <c r="Z9827"/>
      <c r="AA9827"/>
      <c r="AC9827"/>
      <c r="AR9827"/>
    </row>
    <row r="9828" spans="24:44">
      <c r="X9828"/>
      <c r="Y9828"/>
      <c r="Z9828"/>
      <c r="AA9828"/>
      <c r="AC9828"/>
      <c r="AR9828"/>
    </row>
    <row r="9829" spans="24:44">
      <c r="X9829"/>
      <c r="Y9829"/>
      <c r="Z9829"/>
      <c r="AA9829"/>
      <c r="AC9829"/>
      <c r="AR9829"/>
    </row>
    <row r="9830" spans="24:44">
      <c r="X9830"/>
      <c r="Y9830"/>
      <c r="Z9830"/>
      <c r="AA9830"/>
      <c r="AC9830"/>
      <c r="AR9830"/>
    </row>
    <row r="9831" spans="24:44">
      <c r="X9831"/>
      <c r="Y9831"/>
      <c r="Z9831"/>
      <c r="AA9831"/>
      <c r="AC9831"/>
      <c r="AR9831"/>
    </row>
    <row r="9832" spans="24:44">
      <c r="X9832"/>
      <c r="Y9832"/>
      <c r="Z9832"/>
      <c r="AA9832"/>
      <c r="AC9832"/>
      <c r="AR9832"/>
    </row>
    <row r="9833" spans="24:44">
      <c r="X9833"/>
      <c r="Y9833"/>
      <c r="Z9833"/>
      <c r="AA9833"/>
      <c r="AC9833"/>
      <c r="AR9833"/>
    </row>
    <row r="9834" spans="24:44">
      <c r="X9834"/>
      <c r="Y9834"/>
      <c r="Z9834"/>
      <c r="AA9834"/>
      <c r="AC9834"/>
      <c r="AR9834"/>
    </row>
    <row r="9835" spans="24:44">
      <c r="X9835"/>
      <c r="Y9835"/>
      <c r="Z9835"/>
      <c r="AA9835"/>
      <c r="AC9835"/>
      <c r="AR9835"/>
    </row>
    <row r="9836" spans="24:44">
      <c r="X9836"/>
      <c r="Y9836"/>
      <c r="Z9836"/>
      <c r="AA9836"/>
      <c r="AC9836"/>
      <c r="AR9836"/>
    </row>
    <row r="9837" spans="24:44">
      <c r="X9837"/>
      <c r="Y9837"/>
      <c r="Z9837"/>
      <c r="AA9837"/>
      <c r="AC9837"/>
      <c r="AR9837"/>
    </row>
    <row r="9838" spans="24:44">
      <c r="X9838"/>
      <c r="Y9838"/>
      <c r="Z9838"/>
      <c r="AA9838"/>
      <c r="AC9838"/>
      <c r="AR9838"/>
    </row>
    <row r="9839" spans="24:44">
      <c r="X9839"/>
      <c r="Y9839"/>
      <c r="Z9839"/>
      <c r="AA9839"/>
      <c r="AC9839"/>
      <c r="AR9839"/>
    </row>
    <row r="9840" spans="24:44">
      <c r="X9840"/>
      <c r="Y9840"/>
      <c r="Z9840"/>
      <c r="AA9840"/>
      <c r="AC9840"/>
      <c r="AR9840"/>
    </row>
    <row r="9841" spans="24:44">
      <c r="X9841"/>
      <c r="Y9841"/>
      <c r="Z9841"/>
      <c r="AA9841"/>
      <c r="AC9841"/>
      <c r="AR9841"/>
    </row>
    <row r="9842" spans="24:44">
      <c r="X9842"/>
      <c r="Y9842"/>
      <c r="Z9842"/>
      <c r="AA9842"/>
      <c r="AC9842"/>
      <c r="AR9842"/>
    </row>
    <row r="9843" spans="24:44">
      <c r="X9843"/>
      <c r="Y9843"/>
      <c r="Z9843"/>
      <c r="AA9843"/>
      <c r="AC9843"/>
      <c r="AR9843"/>
    </row>
    <row r="9844" spans="24:44">
      <c r="X9844"/>
      <c r="Y9844"/>
      <c r="Z9844"/>
      <c r="AA9844"/>
      <c r="AC9844"/>
      <c r="AR9844"/>
    </row>
    <row r="9845" spans="24:44">
      <c r="X9845"/>
      <c r="Y9845"/>
      <c r="Z9845"/>
      <c r="AA9845"/>
      <c r="AC9845"/>
      <c r="AR9845"/>
    </row>
    <row r="9846" spans="24:44">
      <c r="X9846"/>
      <c r="Y9846"/>
      <c r="Z9846"/>
      <c r="AA9846"/>
      <c r="AC9846"/>
      <c r="AR9846"/>
    </row>
    <row r="9847" spans="24:44">
      <c r="X9847"/>
      <c r="Y9847"/>
      <c r="Z9847"/>
      <c r="AA9847"/>
      <c r="AC9847"/>
      <c r="AR9847"/>
    </row>
    <row r="9848" spans="24:44">
      <c r="X9848"/>
      <c r="Y9848"/>
      <c r="Z9848"/>
      <c r="AA9848"/>
      <c r="AC9848"/>
      <c r="AR9848"/>
    </row>
    <row r="9849" spans="24:44">
      <c r="X9849"/>
      <c r="Y9849"/>
      <c r="Z9849"/>
      <c r="AA9849"/>
      <c r="AC9849"/>
      <c r="AR9849"/>
    </row>
    <row r="9850" spans="24:44">
      <c r="X9850"/>
      <c r="Y9850"/>
      <c r="Z9850"/>
      <c r="AA9850"/>
      <c r="AC9850"/>
      <c r="AR9850"/>
    </row>
    <row r="9851" spans="24:44">
      <c r="X9851"/>
      <c r="Y9851"/>
      <c r="Z9851"/>
      <c r="AA9851"/>
      <c r="AC9851"/>
      <c r="AR9851"/>
    </row>
    <row r="9852" spans="24:44">
      <c r="X9852"/>
      <c r="Y9852"/>
      <c r="Z9852"/>
      <c r="AA9852"/>
      <c r="AC9852"/>
      <c r="AR9852"/>
    </row>
    <row r="9853" spans="24:44">
      <c r="X9853"/>
      <c r="Y9853"/>
      <c r="Z9853"/>
      <c r="AA9853"/>
      <c r="AC9853"/>
      <c r="AR9853"/>
    </row>
    <row r="9854" spans="24:44">
      <c r="X9854"/>
      <c r="Y9854"/>
      <c r="Z9854"/>
      <c r="AA9854"/>
      <c r="AC9854"/>
      <c r="AR9854"/>
    </row>
    <row r="9855" spans="24:44">
      <c r="X9855"/>
      <c r="Y9855"/>
      <c r="Z9855"/>
      <c r="AA9855"/>
      <c r="AC9855"/>
      <c r="AR9855"/>
    </row>
    <row r="9856" spans="24:44">
      <c r="X9856"/>
      <c r="Y9856"/>
      <c r="Z9856"/>
      <c r="AA9856"/>
      <c r="AC9856"/>
      <c r="AR9856"/>
    </row>
    <row r="9857" spans="24:44">
      <c r="X9857"/>
      <c r="Y9857"/>
      <c r="Z9857"/>
      <c r="AA9857"/>
      <c r="AC9857"/>
      <c r="AR9857"/>
    </row>
    <row r="9858" spans="24:44">
      <c r="X9858"/>
      <c r="Y9858"/>
      <c r="Z9858"/>
      <c r="AA9858"/>
      <c r="AC9858"/>
      <c r="AR9858"/>
    </row>
    <row r="9859" spans="24:44">
      <c r="X9859"/>
      <c r="Y9859"/>
      <c r="Z9859"/>
      <c r="AA9859"/>
      <c r="AC9859"/>
      <c r="AR9859"/>
    </row>
    <row r="9860" spans="24:44">
      <c r="X9860"/>
      <c r="Y9860"/>
      <c r="Z9860"/>
      <c r="AA9860"/>
      <c r="AC9860"/>
      <c r="AR9860"/>
    </row>
    <row r="9861" spans="24:44">
      <c r="X9861"/>
      <c r="Y9861"/>
      <c r="Z9861"/>
      <c r="AA9861"/>
      <c r="AC9861"/>
      <c r="AR9861"/>
    </row>
    <row r="9862" spans="24:44">
      <c r="X9862"/>
      <c r="Y9862"/>
      <c r="Z9862"/>
      <c r="AA9862"/>
      <c r="AC9862"/>
      <c r="AR9862"/>
    </row>
    <row r="9863" spans="24:44">
      <c r="X9863"/>
      <c r="Y9863"/>
      <c r="Z9863"/>
      <c r="AA9863"/>
      <c r="AC9863"/>
      <c r="AR9863"/>
    </row>
    <row r="9864" spans="24:44">
      <c r="X9864"/>
      <c r="Y9864"/>
      <c r="Z9864"/>
      <c r="AA9864"/>
      <c r="AC9864"/>
      <c r="AR9864"/>
    </row>
    <row r="9865" spans="24:44">
      <c r="X9865"/>
      <c r="Y9865"/>
      <c r="Z9865"/>
      <c r="AA9865"/>
      <c r="AC9865"/>
      <c r="AR9865"/>
    </row>
    <row r="9866" spans="24:44">
      <c r="X9866"/>
      <c r="Y9866"/>
      <c r="Z9866"/>
      <c r="AA9866"/>
      <c r="AC9866"/>
      <c r="AR9866"/>
    </row>
    <row r="9867" spans="24:44">
      <c r="X9867"/>
      <c r="Y9867"/>
      <c r="Z9867"/>
      <c r="AA9867"/>
      <c r="AC9867"/>
      <c r="AR9867"/>
    </row>
    <row r="9868" spans="24:44">
      <c r="X9868"/>
      <c r="Y9868"/>
      <c r="Z9868"/>
      <c r="AA9868"/>
      <c r="AC9868"/>
      <c r="AR9868"/>
    </row>
    <row r="9869" spans="24:44">
      <c r="X9869"/>
      <c r="Y9869"/>
      <c r="Z9869"/>
      <c r="AA9869"/>
      <c r="AC9869"/>
      <c r="AR9869"/>
    </row>
    <row r="9870" spans="24:44">
      <c r="X9870"/>
      <c r="Y9870"/>
      <c r="Z9870"/>
      <c r="AA9870"/>
      <c r="AC9870"/>
      <c r="AR9870"/>
    </row>
    <row r="9871" spans="24:44">
      <c r="X9871"/>
      <c r="Y9871"/>
      <c r="Z9871"/>
      <c r="AA9871"/>
      <c r="AC9871"/>
      <c r="AR9871"/>
    </row>
    <row r="9872" spans="24:44">
      <c r="X9872"/>
      <c r="Y9872"/>
      <c r="Z9872"/>
      <c r="AA9872"/>
      <c r="AC9872"/>
      <c r="AR9872"/>
    </row>
    <row r="9873" spans="24:44">
      <c r="X9873"/>
      <c r="Y9873"/>
      <c r="Z9873"/>
      <c r="AA9873"/>
      <c r="AC9873"/>
      <c r="AR9873"/>
    </row>
    <row r="9874" spans="24:44">
      <c r="X9874"/>
      <c r="Y9874"/>
      <c r="Z9874"/>
      <c r="AA9874"/>
      <c r="AC9874"/>
      <c r="AR9874"/>
    </row>
    <row r="9875" spans="24:44">
      <c r="X9875"/>
      <c r="Y9875"/>
      <c r="Z9875"/>
      <c r="AA9875"/>
      <c r="AC9875"/>
      <c r="AR9875"/>
    </row>
    <row r="9876" spans="24:44">
      <c r="X9876"/>
      <c r="Y9876"/>
      <c r="Z9876"/>
      <c r="AA9876"/>
      <c r="AC9876"/>
      <c r="AR9876"/>
    </row>
    <row r="9877" spans="24:44">
      <c r="X9877"/>
      <c r="Y9877"/>
      <c r="Z9877"/>
      <c r="AA9877"/>
      <c r="AC9877"/>
      <c r="AR9877"/>
    </row>
    <row r="9878" spans="24:44">
      <c r="X9878"/>
      <c r="Y9878"/>
      <c r="Z9878"/>
      <c r="AA9878"/>
      <c r="AC9878"/>
      <c r="AR9878"/>
    </row>
    <row r="9879" spans="24:44">
      <c r="X9879"/>
      <c r="Y9879"/>
      <c r="Z9879"/>
      <c r="AA9879"/>
      <c r="AC9879"/>
      <c r="AR9879"/>
    </row>
    <row r="9880" spans="24:44">
      <c r="X9880"/>
      <c r="Y9880"/>
      <c r="Z9880"/>
      <c r="AA9880"/>
      <c r="AC9880"/>
      <c r="AR9880"/>
    </row>
    <row r="9881" spans="24:44">
      <c r="X9881"/>
      <c r="Y9881"/>
      <c r="Z9881"/>
      <c r="AA9881"/>
      <c r="AC9881"/>
      <c r="AR9881"/>
    </row>
    <row r="9882" spans="24:44">
      <c r="X9882"/>
      <c r="Y9882"/>
      <c r="Z9882"/>
      <c r="AA9882"/>
      <c r="AC9882"/>
      <c r="AR9882"/>
    </row>
    <row r="9883" spans="24:44">
      <c r="X9883"/>
      <c r="Y9883"/>
      <c r="Z9883"/>
      <c r="AA9883"/>
      <c r="AC9883"/>
      <c r="AR9883"/>
    </row>
    <row r="9884" spans="24:44">
      <c r="X9884"/>
      <c r="Y9884"/>
      <c r="Z9884"/>
      <c r="AA9884"/>
      <c r="AC9884"/>
      <c r="AR9884"/>
    </row>
    <row r="9885" spans="24:44">
      <c r="X9885"/>
      <c r="Y9885"/>
      <c r="Z9885"/>
      <c r="AA9885"/>
      <c r="AC9885"/>
      <c r="AR9885"/>
    </row>
    <row r="9886" spans="24:44">
      <c r="X9886"/>
      <c r="Y9886"/>
      <c r="Z9886"/>
      <c r="AA9886"/>
      <c r="AC9886"/>
      <c r="AR9886"/>
    </row>
    <row r="9887" spans="24:44">
      <c r="X9887"/>
      <c r="Y9887"/>
      <c r="Z9887"/>
      <c r="AA9887"/>
      <c r="AC9887"/>
      <c r="AR9887"/>
    </row>
    <row r="9888" spans="24:44">
      <c r="X9888"/>
      <c r="Y9888"/>
      <c r="Z9888"/>
      <c r="AA9888"/>
      <c r="AC9888"/>
      <c r="AR9888"/>
    </row>
    <row r="9889" spans="24:44">
      <c r="X9889"/>
      <c r="Y9889"/>
      <c r="Z9889"/>
      <c r="AA9889"/>
      <c r="AC9889"/>
      <c r="AR9889"/>
    </row>
    <row r="9890" spans="24:44">
      <c r="X9890"/>
      <c r="Y9890"/>
      <c r="Z9890"/>
      <c r="AA9890"/>
      <c r="AC9890"/>
      <c r="AR9890"/>
    </row>
    <row r="9891" spans="24:44">
      <c r="X9891"/>
      <c r="Y9891"/>
      <c r="Z9891"/>
      <c r="AA9891"/>
      <c r="AC9891"/>
      <c r="AR9891"/>
    </row>
    <row r="9892" spans="24:44">
      <c r="X9892"/>
      <c r="Y9892"/>
      <c r="Z9892"/>
      <c r="AA9892"/>
      <c r="AC9892"/>
      <c r="AR9892"/>
    </row>
    <row r="9893" spans="24:44">
      <c r="X9893"/>
      <c r="Y9893"/>
      <c r="Z9893"/>
      <c r="AA9893"/>
      <c r="AC9893"/>
      <c r="AR9893"/>
    </row>
    <row r="9894" spans="24:44">
      <c r="X9894"/>
      <c r="Y9894"/>
      <c r="Z9894"/>
      <c r="AA9894"/>
      <c r="AC9894"/>
      <c r="AR9894"/>
    </row>
    <row r="9895" spans="24:44">
      <c r="X9895"/>
      <c r="Y9895"/>
      <c r="Z9895"/>
      <c r="AA9895"/>
      <c r="AC9895"/>
      <c r="AR9895"/>
    </row>
    <row r="9896" spans="24:44">
      <c r="X9896"/>
      <c r="Y9896"/>
      <c r="Z9896"/>
      <c r="AA9896"/>
      <c r="AC9896"/>
      <c r="AR9896"/>
    </row>
    <row r="9897" spans="24:44">
      <c r="X9897"/>
      <c r="Y9897"/>
      <c r="Z9897"/>
      <c r="AA9897"/>
      <c r="AC9897"/>
      <c r="AR9897"/>
    </row>
    <row r="9898" spans="24:44">
      <c r="X9898"/>
      <c r="Y9898"/>
      <c r="Z9898"/>
      <c r="AA9898"/>
      <c r="AC9898"/>
      <c r="AR9898"/>
    </row>
    <row r="9899" spans="24:44">
      <c r="X9899"/>
      <c r="Y9899"/>
      <c r="Z9899"/>
      <c r="AA9899"/>
      <c r="AC9899"/>
      <c r="AR9899"/>
    </row>
    <row r="9900" spans="24:44">
      <c r="X9900"/>
      <c r="Y9900"/>
      <c r="Z9900"/>
      <c r="AA9900"/>
      <c r="AC9900"/>
      <c r="AR9900"/>
    </row>
    <row r="9901" spans="24:44">
      <c r="X9901"/>
      <c r="Y9901"/>
      <c r="Z9901"/>
      <c r="AA9901"/>
      <c r="AC9901"/>
      <c r="AR9901"/>
    </row>
    <row r="9902" spans="24:44">
      <c r="X9902"/>
      <c r="Y9902"/>
      <c r="Z9902"/>
      <c r="AA9902"/>
      <c r="AC9902"/>
      <c r="AR9902"/>
    </row>
    <row r="9903" spans="24:44">
      <c r="X9903"/>
      <c r="Y9903"/>
      <c r="Z9903"/>
      <c r="AA9903"/>
      <c r="AC9903"/>
      <c r="AR9903"/>
    </row>
    <row r="9904" spans="24:44">
      <c r="X9904"/>
      <c r="Y9904"/>
      <c r="Z9904"/>
      <c r="AA9904"/>
      <c r="AC9904"/>
      <c r="AR9904"/>
    </row>
    <row r="9905" spans="24:44">
      <c r="X9905"/>
      <c r="Y9905"/>
      <c r="Z9905"/>
      <c r="AA9905"/>
      <c r="AC9905"/>
      <c r="AR9905"/>
    </row>
    <row r="9906" spans="24:44">
      <c r="X9906"/>
      <c r="Y9906"/>
      <c r="Z9906"/>
      <c r="AA9906"/>
      <c r="AC9906"/>
      <c r="AR9906"/>
    </row>
    <row r="9907" spans="24:44">
      <c r="X9907"/>
      <c r="Y9907"/>
      <c r="Z9907"/>
      <c r="AA9907"/>
      <c r="AC9907"/>
      <c r="AR9907"/>
    </row>
    <row r="9908" spans="24:44">
      <c r="X9908"/>
      <c r="Y9908"/>
      <c r="Z9908"/>
      <c r="AA9908"/>
      <c r="AC9908"/>
      <c r="AR9908"/>
    </row>
    <row r="9909" spans="24:44">
      <c r="X9909"/>
      <c r="Y9909"/>
      <c r="Z9909"/>
      <c r="AA9909"/>
      <c r="AC9909"/>
      <c r="AR9909"/>
    </row>
    <row r="9910" spans="24:44">
      <c r="X9910"/>
      <c r="Y9910"/>
      <c r="Z9910"/>
      <c r="AA9910"/>
      <c r="AC9910"/>
      <c r="AR9910"/>
    </row>
    <row r="9911" spans="24:44">
      <c r="X9911"/>
      <c r="Y9911"/>
      <c r="Z9911"/>
      <c r="AA9911"/>
      <c r="AC9911"/>
      <c r="AR9911"/>
    </row>
    <row r="9912" spans="24:44">
      <c r="X9912"/>
      <c r="Y9912"/>
      <c r="Z9912"/>
      <c r="AA9912"/>
      <c r="AC9912"/>
      <c r="AR9912"/>
    </row>
    <row r="9913" spans="24:44">
      <c r="X9913"/>
      <c r="Y9913"/>
      <c r="Z9913"/>
      <c r="AA9913"/>
      <c r="AC9913"/>
      <c r="AR9913"/>
    </row>
    <row r="9914" spans="24:44">
      <c r="X9914"/>
      <c r="Y9914"/>
      <c r="Z9914"/>
      <c r="AA9914"/>
      <c r="AC9914"/>
      <c r="AR9914"/>
    </row>
    <row r="9915" spans="24:44">
      <c r="X9915"/>
      <c r="Y9915"/>
      <c r="Z9915"/>
      <c r="AA9915"/>
      <c r="AC9915"/>
      <c r="AR9915"/>
    </row>
    <row r="9916" spans="24:44">
      <c r="X9916"/>
      <c r="Y9916"/>
      <c r="Z9916"/>
      <c r="AA9916"/>
      <c r="AC9916"/>
      <c r="AR9916"/>
    </row>
    <row r="9917" spans="24:44">
      <c r="X9917"/>
      <c r="Y9917"/>
      <c r="Z9917"/>
      <c r="AA9917"/>
      <c r="AC9917"/>
      <c r="AR9917"/>
    </row>
    <row r="9918" spans="24:44">
      <c r="X9918"/>
      <c r="Y9918"/>
      <c r="Z9918"/>
      <c r="AA9918"/>
      <c r="AC9918"/>
      <c r="AR9918"/>
    </row>
    <row r="9919" spans="24:44">
      <c r="X9919"/>
      <c r="Y9919"/>
      <c r="Z9919"/>
      <c r="AA9919"/>
      <c r="AC9919"/>
      <c r="AR9919"/>
    </row>
    <row r="9920" spans="24:44">
      <c r="X9920"/>
      <c r="Y9920"/>
      <c r="Z9920"/>
      <c r="AA9920"/>
      <c r="AC9920"/>
      <c r="AR9920"/>
    </row>
    <row r="9921" spans="24:44">
      <c r="X9921"/>
      <c r="Y9921"/>
      <c r="Z9921"/>
      <c r="AA9921"/>
      <c r="AC9921"/>
      <c r="AR9921"/>
    </row>
    <row r="9922" spans="24:44">
      <c r="X9922"/>
      <c r="Y9922"/>
      <c r="Z9922"/>
      <c r="AA9922"/>
      <c r="AC9922"/>
      <c r="AR9922"/>
    </row>
    <row r="9923" spans="24:44">
      <c r="X9923"/>
      <c r="Y9923"/>
      <c r="Z9923"/>
      <c r="AA9923"/>
      <c r="AC9923"/>
      <c r="AR9923"/>
    </row>
    <row r="9924" spans="24:44">
      <c r="X9924"/>
      <c r="Y9924"/>
      <c r="Z9924"/>
      <c r="AA9924"/>
      <c r="AC9924"/>
      <c r="AR9924"/>
    </row>
    <row r="9925" spans="24:44">
      <c r="X9925"/>
      <c r="Y9925"/>
      <c r="Z9925"/>
      <c r="AA9925"/>
      <c r="AC9925"/>
      <c r="AR9925"/>
    </row>
    <row r="9926" spans="24:44">
      <c r="X9926"/>
      <c r="Y9926"/>
      <c r="Z9926"/>
      <c r="AA9926"/>
      <c r="AC9926"/>
      <c r="AR9926"/>
    </row>
    <row r="9927" spans="24:44">
      <c r="X9927"/>
      <c r="Y9927"/>
      <c r="Z9927"/>
      <c r="AA9927"/>
      <c r="AC9927"/>
      <c r="AR9927"/>
    </row>
    <row r="9928" spans="24:44">
      <c r="X9928"/>
      <c r="Y9928"/>
      <c r="Z9928"/>
      <c r="AA9928"/>
      <c r="AC9928"/>
      <c r="AR9928"/>
    </row>
    <row r="9929" spans="24:44">
      <c r="X9929"/>
      <c r="Y9929"/>
      <c r="Z9929"/>
      <c r="AA9929"/>
      <c r="AC9929"/>
      <c r="AR9929"/>
    </row>
    <row r="9930" spans="24:44">
      <c r="X9930"/>
      <c r="Y9930"/>
      <c r="Z9930"/>
      <c r="AA9930"/>
      <c r="AC9930"/>
      <c r="AR9930"/>
    </row>
    <row r="9931" spans="24:44">
      <c r="X9931"/>
      <c r="Y9931"/>
      <c r="Z9931"/>
      <c r="AA9931"/>
      <c r="AC9931"/>
      <c r="AR9931"/>
    </row>
    <row r="9932" spans="24:44">
      <c r="X9932"/>
      <c r="Y9932"/>
      <c r="Z9932"/>
      <c r="AA9932"/>
      <c r="AC9932"/>
      <c r="AR9932"/>
    </row>
    <row r="9933" spans="24:44">
      <c r="X9933"/>
      <c r="Y9933"/>
      <c r="Z9933"/>
      <c r="AA9933"/>
      <c r="AC9933"/>
      <c r="AR9933"/>
    </row>
    <row r="9934" spans="24:44">
      <c r="X9934"/>
      <c r="Y9934"/>
      <c r="Z9934"/>
      <c r="AA9934"/>
      <c r="AC9934"/>
      <c r="AR9934"/>
    </row>
    <row r="9935" spans="24:44">
      <c r="X9935"/>
      <c r="Y9935"/>
      <c r="Z9935"/>
      <c r="AA9935"/>
      <c r="AC9935"/>
      <c r="AR9935"/>
    </row>
    <row r="9936" spans="24:44">
      <c r="X9936"/>
      <c r="Y9936"/>
      <c r="Z9936"/>
      <c r="AA9936"/>
      <c r="AC9936"/>
      <c r="AR9936"/>
    </row>
    <row r="9937" spans="24:44">
      <c r="X9937"/>
      <c r="Y9937"/>
      <c r="Z9937"/>
      <c r="AA9937"/>
      <c r="AC9937"/>
      <c r="AR9937"/>
    </row>
    <row r="9938" spans="24:44">
      <c r="X9938"/>
      <c r="Y9938"/>
      <c r="Z9938"/>
      <c r="AA9938"/>
      <c r="AC9938"/>
      <c r="AR9938"/>
    </row>
    <row r="9939" spans="24:44">
      <c r="X9939"/>
      <c r="Y9939"/>
      <c r="Z9939"/>
      <c r="AA9939"/>
      <c r="AC9939"/>
      <c r="AR9939"/>
    </row>
    <row r="9940" spans="24:44">
      <c r="X9940"/>
      <c r="Y9940"/>
      <c r="Z9940"/>
      <c r="AA9940"/>
      <c r="AC9940"/>
      <c r="AR9940"/>
    </row>
    <row r="9941" spans="24:44">
      <c r="X9941"/>
      <c r="Y9941"/>
      <c r="Z9941"/>
      <c r="AA9941"/>
      <c r="AC9941"/>
      <c r="AR9941"/>
    </row>
    <row r="9942" spans="24:44">
      <c r="X9942"/>
      <c r="Y9942"/>
      <c r="Z9942"/>
      <c r="AA9942"/>
      <c r="AC9942"/>
      <c r="AR9942"/>
    </row>
    <row r="9943" spans="24:44">
      <c r="X9943"/>
      <c r="Y9943"/>
      <c r="Z9943"/>
      <c r="AA9943"/>
      <c r="AC9943"/>
      <c r="AR9943"/>
    </row>
    <row r="9944" spans="24:44">
      <c r="X9944"/>
      <c r="Y9944"/>
      <c r="Z9944"/>
      <c r="AA9944"/>
      <c r="AC9944"/>
      <c r="AR9944"/>
    </row>
    <row r="9945" spans="24:44">
      <c r="X9945"/>
      <c r="Y9945"/>
      <c r="Z9945"/>
      <c r="AA9945"/>
      <c r="AC9945"/>
      <c r="AR9945"/>
    </row>
    <row r="9946" spans="24:44">
      <c r="X9946"/>
      <c r="Y9946"/>
      <c r="Z9946"/>
      <c r="AA9946"/>
      <c r="AC9946"/>
      <c r="AR9946"/>
    </row>
    <row r="9947" spans="24:44">
      <c r="X9947"/>
      <c r="Y9947"/>
      <c r="Z9947"/>
      <c r="AA9947"/>
      <c r="AC9947"/>
      <c r="AR9947"/>
    </row>
    <row r="9948" spans="24:44">
      <c r="X9948"/>
      <c r="Y9948"/>
      <c r="Z9948"/>
      <c r="AA9948"/>
      <c r="AC9948"/>
      <c r="AR9948"/>
    </row>
    <row r="9949" spans="24:44">
      <c r="X9949"/>
      <c r="Y9949"/>
      <c r="Z9949"/>
      <c r="AA9949"/>
      <c r="AC9949"/>
      <c r="AR9949"/>
    </row>
    <row r="9950" spans="24:44">
      <c r="X9950"/>
      <c r="Y9950"/>
      <c r="Z9950"/>
      <c r="AA9950"/>
      <c r="AC9950"/>
      <c r="AR9950"/>
    </row>
    <row r="9951" spans="24:44">
      <c r="X9951"/>
      <c r="Y9951"/>
      <c r="Z9951"/>
      <c r="AA9951"/>
      <c r="AC9951"/>
      <c r="AR9951"/>
    </row>
    <row r="9952" spans="24:44">
      <c r="X9952"/>
      <c r="Y9952"/>
      <c r="Z9952"/>
      <c r="AA9952"/>
      <c r="AC9952"/>
      <c r="AR9952"/>
    </row>
    <row r="9953" spans="24:44">
      <c r="X9953"/>
      <c r="Y9953"/>
      <c r="Z9953"/>
      <c r="AA9953"/>
      <c r="AC9953"/>
      <c r="AR9953"/>
    </row>
    <row r="9954" spans="24:44">
      <c r="X9954"/>
      <c r="Y9954"/>
      <c r="Z9954"/>
      <c r="AA9954"/>
      <c r="AC9954"/>
      <c r="AR9954"/>
    </row>
    <row r="9955" spans="24:44">
      <c r="X9955"/>
      <c r="Y9955"/>
      <c r="Z9955"/>
      <c r="AA9955"/>
      <c r="AC9955"/>
      <c r="AR9955"/>
    </row>
    <row r="9956" spans="24:44">
      <c r="X9956"/>
      <c r="Y9956"/>
      <c r="Z9956"/>
      <c r="AA9956"/>
      <c r="AC9956"/>
      <c r="AR9956"/>
    </row>
    <row r="9957" spans="24:44">
      <c r="X9957"/>
      <c r="Y9957"/>
      <c r="Z9957"/>
      <c r="AA9957"/>
      <c r="AC9957"/>
      <c r="AR9957"/>
    </row>
    <row r="9958" spans="24:44">
      <c r="X9958"/>
      <c r="Y9958"/>
      <c r="Z9958"/>
      <c r="AA9958"/>
      <c r="AC9958"/>
      <c r="AR9958"/>
    </row>
    <row r="9959" spans="24:44">
      <c r="X9959"/>
      <c r="Y9959"/>
      <c r="Z9959"/>
      <c r="AA9959"/>
      <c r="AC9959"/>
      <c r="AR9959"/>
    </row>
    <row r="9960" spans="24:44">
      <c r="X9960"/>
      <c r="Y9960"/>
      <c r="Z9960"/>
      <c r="AA9960"/>
      <c r="AC9960"/>
      <c r="AR9960"/>
    </row>
    <row r="9961" spans="24:44">
      <c r="X9961"/>
      <c r="Y9961"/>
      <c r="Z9961"/>
      <c r="AA9961"/>
      <c r="AC9961"/>
      <c r="AR9961"/>
    </row>
    <row r="9962" spans="24:44">
      <c r="X9962"/>
      <c r="Y9962"/>
      <c r="Z9962"/>
      <c r="AA9962"/>
      <c r="AC9962"/>
      <c r="AR9962"/>
    </row>
    <row r="9963" spans="24:44">
      <c r="X9963"/>
      <c r="Y9963"/>
      <c r="Z9963"/>
      <c r="AA9963"/>
      <c r="AC9963"/>
      <c r="AR9963"/>
    </row>
    <row r="9964" spans="24:44">
      <c r="X9964"/>
      <c r="Y9964"/>
      <c r="Z9964"/>
      <c r="AA9964"/>
      <c r="AC9964"/>
      <c r="AR9964"/>
    </row>
    <row r="9965" spans="24:44">
      <c r="X9965"/>
      <c r="Y9965"/>
      <c r="Z9965"/>
      <c r="AA9965"/>
      <c r="AC9965"/>
      <c r="AR9965"/>
    </row>
    <row r="9966" spans="24:44">
      <c r="X9966"/>
      <c r="Y9966"/>
      <c r="Z9966"/>
      <c r="AA9966"/>
      <c r="AC9966"/>
      <c r="AR9966"/>
    </row>
    <row r="9967" spans="24:44">
      <c r="X9967"/>
      <c r="Y9967"/>
      <c r="Z9967"/>
      <c r="AA9967"/>
      <c r="AC9967"/>
      <c r="AR9967"/>
    </row>
    <row r="9968" spans="24:44">
      <c r="X9968"/>
      <c r="Y9968"/>
      <c r="Z9968"/>
      <c r="AA9968"/>
      <c r="AC9968"/>
      <c r="AR9968"/>
    </row>
    <row r="9969" spans="24:44">
      <c r="X9969"/>
      <c r="Y9969"/>
      <c r="Z9969"/>
      <c r="AA9969"/>
      <c r="AC9969"/>
      <c r="AR9969"/>
    </row>
    <row r="9970" spans="24:44">
      <c r="X9970"/>
      <c r="Y9970"/>
      <c r="Z9970"/>
      <c r="AA9970"/>
      <c r="AC9970"/>
      <c r="AR9970"/>
    </row>
    <row r="9971" spans="24:44">
      <c r="X9971"/>
      <c r="Y9971"/>
      <c r="Z9971"/>
      <c r="AA9971"/>
      <c r="AC9971"/>
      <c r="AR9971"/>
    </row>
    <row r="9972" spans="24:44">
      <c r="X9972"/>
      <c r="Y9972"/>
      <c r="Z9972"/>
      <c r="AA9972"/>
      <c r="AC9972"/>
      <c r="AR9972"/>
    </row>
    <row r="9973" spans="24:44">
      <c r="X9973"/>
      <c r="Y9973"/>
      <c r="Z9973"/>
      <c r="AA9973"/>
      <c r="AC9973"/>
      <c r="AR9973"/>
    </row>
    <row r="9974" spans="24:44">
      <c r="X9974"/>
      <c r="Y9974"/>
      <c r="Z9974"/>
      <c r="AA9974"/>
      <c r="AC9974"/>
      <c r="AR9974"/>
    </row>
    <row r="9975" spans="24:44">
      <c r="X9975"/>
      <c r="Y9975"/>
      <c r="Z9975"/>
      <c r="AA9975"/>
      <c r="AC9975"/>
      <c r="AR9975"/>
    </row>
    <row r="9976" spans="24:44">
      <c r="X9976"/>
      <c r="Y9976"/>
      <c r="Z9976"/>
      <c r="AA9976"/>
      <c r="AC9976"/>
      <c r="AR9976"/>
    </row>
    <row r="9977" spans="24:44">
      <c r="X9977"/>
      <c r="Y9977"/>
      <c r="Z9977"/>
      <c r="AA9977"/>
      <c r="AC9977"/>
      <c r="AR9977"/>
    </row>
    <row r="9978" spans="24:44">
      <c r="X9978"/>
      <c r="Y9978"/>
      <c r="Z9978"/>
      <c r="AA9978"/>
      <c r="AC9978"/>
      <c r="AR9978"/>
    </row>
    <row r="9979" spans="24:44">
      <c r="X9979"/>
      <c r="Y9979"/>
      <c r="Z9979"/>
      <c r="AA9979"/>
      <c r="AC9979"/>
      <c r="AR9979"/>
    </row>
    <row r="9980" spans="24:44">
      <c r="X9980"/>
      <c r="Y9980"/>
      <c r="Z9980"/>
      <c r="AA9980"/>
      <c r="AC9980"/>
      <c r="AR9980"/>
    </row>
    <row r="9981" spans="24:44">
      <c r="X9981"/>
      <c r="Y9981"/>
      <c r="Z9981"/>
      <c r="AA9981"/>
      <c r="AC9981"/>
      <c r="AR9981"/>
    </row>
    <row r="9982" spans="24:44">
      <c r="X9982"/>
      <c r="Y9982"/>
      <c r="Z9982"/>
      <c r="AA9982"/>
      <c r="AC9982"/>
      <c r="AR9982"/>
    </row>
    <row r="9983" spans="24:44">
      <c r="X9983"/>
      <c r="Y9983"/>
      <c r="Z9983"/>
      <c r="AA9983"/>
      <c r="AC9983"/>
      <c r="AR9983"/>
    </row>
    <row r="9984" spans="24:44">
      <c r="X9984"/>
      <c r="Y9984"/>
      <c r="Z9984"/>
      <c r="AA9984"/>
      <c r="AC9984"/>
      <c r="AR9984"/>
    </row>
    <row r="9985" spans="24:44">
      <c r="X9985"/>
      <c r="Y9985"/>
      <c r="Z9985"/>
      <c r="AA9985"/>
      <c r="AC9985"/>
      <c r="AR9985"/>
    </row>
    <row r="9986" spans="24:44">
      <c r="X9986"/>
      <c r="Y9986"/>
      <c r="Z9986"/>
      <c r="AA9986"/>
      <c r="AC9986"/>
      <c r="AR9986"/>
    </row>
    <row r="9987" spans="24:44">
      <c r="X9987"/>
      <c r="Y9987"/>
      <c r="Z9987"/>
      <c r="AA9987"/>
      <c r="AC9987"/>
      <c r="AR9987"/>
    </row>
    <row r="9988" spans="24:44">
      <c r="X9988"/>
      <c r="Y9988"/>
      <c r="Z9988"/>
      <c r="AA9988"/>
      <c r="AC9988"/>
      <c r="AR9988"/>
    </row>
    <row r="9989" spans="24:44">
      <c r="X9989"/>
      <c r="Y9989"/>
      <c r="Z9989"/>
      <c r="AA9989"/>
      <c r="AC9989"/>
      <c r="AR9989"/>
    </row>
    <row r="9990" spans="24:44">
      <c r="X9990"/>
      <c r="Y9990"/>
      <c r="Z9990"/>
      <c r="AA9990"/>
      <c r="AC9990"/>
      <c r="AR9990"/>
    </row>
    <row r="9991" spans="24:44">
      <c r="X9991"/>
      <c r="Y9991"/>
      <c r="Z9991"/>
      <c r="AA9991"/>
      <c r="AC9991"/>
      <c r="AR9991"/>
    </row>
    <row r="9992" spans="24:44">
      <c r="X9992"/>
      <c r="Y9992"/>
      <c r="Z9992"/>
      <c r="AA9992"/>
      <c r="AC9992"/>
      <c r="AR9992"/>
    </row>
    <row r="9993" spans="24:44">
      <c r="X9993"/>
      <c r="Y9993"/>
      <c r="Z9993"/>
      <c r="AA9993"/>
      <c r="AC9993"/>
      <c r="AR9993"/>
    </row>
    <row r="9994" spans="24:44">
      <c r="X9994"/>
      <c r="Y9994"/>
      <c r="Z9994"/>
      <c r="AA9994"/>
      <c r="AC9994"/>
      <c r="AR9994"/>
    </row>
    <row r="9995" spans="24:44">
      <c r="X9995"/>
      <c r="Y9995"/>
      <c r="Z9995"/>
      <c r="AA9995"/>
      <c r="AC9995"/>
      <c r="AR9995"/>
    </row>
    <row r="9996" spans="24:44">
      <c r="X9996"/>
      <c r="Y9996"/>
      <c r="Z9996"/>
      <c r="AA9996"/>
      <c r="AC9996"/>
      <c r="AR9996"/>
    </row>
    <row r="9997" spans="24:44">
      <c r="X9997"/>
      <c r="Y9997"/>
      <c r="Z9997"/>
      <c r="AA9997"/>
      <c r="AC9997"/>
      <c r="AR9997"/>
    </row>
    <row r="9998" spans="24:44">
      <c r="X9998"/>
      <c r="Y9998"/>
      <c r="Z9998"/>
      <c r="AA9998"/>
      <c r="AC9998"/>
      <c r="AR9998"/>
    </row>
    <row r="9999" spans="24:44">
      <c r="X9999"/>
      <c r="Y9999"/>
      <c r="Z9999"/>
      <c r="AA9999"/>
      <c r="AC9999"/>
      <c r="AR9999"/>
    </row>
    <row r="10000" spans="24:44">
      <c r="X10000"/>
      <c r="Y10000"/>
      <c r="Z10000"/>
      <c r="AA10000"/>
      <c r="AC10000"/>
      <c r="AR10000"/>
    </row>
    <row r="10001" spans="24:44">
      <c r="X10001"/>
      <c r="Y10001"/>
      <c r="Z10001"/>
      <c r="AA10001"/>
      <c r="AC10001"/>
      <c r="AR10001"/>
    </row>
    <row r="10002" spans="24:44">
      <c r="X10002"/>
      <c r="Y10002"/>
      <c r="Z10002"/>
      <c r="AA10002"/>
      <c r="AC10002"/>
      <c r="AR10002"/>
    </row>
    <row r="10003" spans="24:44">
      <c r="X10003"/>
      <c r="Y10003"/>
      <c r="Z10003"/>
      <c r="AA10003"/>
      <c r="AC10003"/>
      <c r="AR10003"/>
    </row>
    <row r="10004" spans="24:44">
      <c r="X10004"/>
      <c r="Y10004"/>
      <c r="Z10004"/>
      <c r="AA10004"/>
      <c r="AC10004"/>
      <c r="AR10004"/>
    </row>
    <row r="10005" spans="24:44">
      <c r="X10005"/>
      <c r="Y10005"/>
      <c r="Z10005"/>
      <c r="AA10005"/>
      <c r="AC10005"/>
      <c r="AR10005"/>
    </row>
    <row r="10006" spans="24:44">
      <c r="X10006"/>
      <c r="Y10006"/>
      <c r="Z10006"/>
      <c r="AA10006"/>
      <c r="AC10006"/>
      <c r="AR10006"/>
    </row>
    <row r="10007" spans="24:44">
      <c r="X10007"/>
      <c r="Y10007"/>
      <c r="Z10007"/>
      <c r="AA10007"/>
      <c r="AC10007"/>
      <c r="AR10007"/>
    </row>
    <row r="10008" spans="24:44">
      <c r="X10008"/>
      <c r="Y10008"/>
      <c r="Z10008"/>
      <c r="AA10008"/>
      <c r="AC10008"/>
      <c r="AR10008"/>
    </row>
    <row r="10009" spans="24:44">
      <c r="X10009"/>
      <c r="Y10009"/>
      <c r="Z10009"/>
      <c r="AA10009"/>
      <c r="AC10009"/>
      <c r="AR10009"/>
    </row>
    <row r="10010" spans="24:44">
      <c r="X10010"/>
      <c r="Y10010"/>
      <c r="Z10010"/>
      <c r="AA10010"/>
      <c r="AC10010"/>
      <c r="AR10010"/>
    </row>
    <row r="10011" spans="24:44">
      <c r="X10011"/>
      <c r="Y10011"/>
      <c r="Z10011"/>
      <c r="AA10011"/>
      <c r="AC10011"/>
      <c r="AR10011"/>
    </row>
    <row r="10012" spans="24:44">
      <c r="X10012"/>
      <c r="Y10012"/>
      <c r="Z10012"/>
      <c r="AA10012"/>
      <c r="AC10012"/>
      <c r="AR10012"/>
    </row>
    <row r="10013" spans="24:44">
      <c r="X10013"/>
      <c r="Y10013"/>
      <c r="Z10013"/>
      <c r="AA10013"/>
      <c r="AC10013"/>
      <c r="AR10013"/>
    </row>
    <row r="10014" spans="24:44">
      <c r="X10014"/>
      <c r="Y10014"/>
      <c r="Z10014"/>
      <c r="AA10014"/>
      <c r="AC10014"/>
      <c r="AR10014"/>
    </row>
    <row r="10015" spans="24:44">
      <c r="X10015"/>
      <c r="Y10015"/>
      <c r="Z10015"/>
      <c r="AA10015"/>
      <c r="AC10015"/>
      <c r="AR10015"/>
    </row>
    <row r="10016" spans="24:44">
      <c r="X10016"/>
      <c r="Y10016"/>
      <c r="Z10016"/>
      <c r="AA10016"/>
      <c r="AC10016"/>
      <c r="AR10016"/>
    </row>
    <row r="10017" spans="24:44">
      <c r="X10017"/>
      <c r="Y10017"/>
      <c r="Z10017"/>
      <c r="AA10017"/>
      <c r="AC10017"/>
      <c r="AR10017"/>
    </row>
    <row r="10018" spans="24:44">
      <c r="X10018"/>
      <c r="Y10018"/>
      <c r="Z10018"/>
      <c r="AA10018"/>
      <c r="AC10018"/>
      <c r="AR10018"/>
    </row>
    <row r="10019" spans="24:44">
      <c r="X10019"/>
      <c r="Y10019"/>
      <c r="Z10019"/>
      <c r="AA10019"/>
      <c r="AC10019"/>
      <c r="AR10019"/>
    </row>
    <row r="10020" spans="24:44">
      <c r="X10020"/>
      <c r="Y10020"/>
      <c r="Z10020"/>
      <c r="AA10020"/>
      <c r="AC10020"/>
      <c r="AR10020"/>
    </row>
    <row r="10021" spans="24:44">
      <c r="X10021"/>
      <c r="Y10021"/>
      <c r="Z10021"/>
      <c r="AA10021"/>
      <c r="AC10021"/>
      <c r="AR10021"/>
    </row>
    <row r="10022" spans="24:44">
      <c r="X10022"/>
      <c r="Y10022"/>
      <c r="Z10022"/>
      <c r="AA10022"/>
      <c r="AC10022"/>
      <c r="AR10022"/>
    </row>
    <row r="10023" spans="24:44">
      <c r="X10023"/>
      <c r="Y10023"/>
      <c r="Z10023"/>
      <c r="AA10023"/>
      <c r="AC10023"/>
      <c r="AR10023"/>
    </row>
    <row r="10024" spans="24:44">
      <c r="X10024"/>
      <c r="Y10024"/>
      <c r="Z10024"/>
      <c r="AA10024"/>
      <c r="AC10024"/>
      <c r="AR10024"/>
    </row>
    <row r="10025" spans="24:44">
      <c r="X10025"/>
      <c r="Y10025"/>
      <c r="Z10025"/>
      <c r="AA10025"/>
      <c r="AC10025"/>
      <c r="AR10025"/>
    </row>
    <row r="10026" spans="24:44">
      <c r="X10026"/>
      <c r="Y10026"/>
      <c r="Z10026"/>
      <c r="AA10026"/>
      <c r="AC10026"/>
      <c r="AR10026"/>
    </row>
    <row r="10027" spans="24:44">
      <c r="X10027"/>
      <c r="Y10027"/>
      <c r="Z10027"/>
      <c r="AA10027"/>
      <c r="AC10027"/>
      <c r="AR10027"/>
    </row>
    <row r="10028" spans="24:44">
      <c r="X10028"/>
      <c r="Y10028"/>
      <c r="Z10028"/>
      <c r="AA10028"/>
      <c r="AC10028"/>
      <c r="AR10028"/>
    </row>
    <row r="10029" spans="24:44">
      <c r="X10029"/>
      <c r="Y10029"/>
      <c r="Z10029"/>
      <c r="AA10029"/>
      <c r="AC10029"/>
      <c r="AR10029"/>
    </row>
    <row r="10030" spans="24:44">
      <c r="X10030"/>
      <c r="Y10030"/>
      <c r="Z10030"/>
      <c r="AA10030"/>
      <c r="AC10030"/>
      <c r="AR10030"/>
    </row>
    <row r="10031" spans="24:44">
      <c r="X10031"/>
      <c r="Y10031"/>
      <c r="Z10031"/>
      <c r="AA10031"/>
      <c r="AC10031"/>
      <c r="AR10031"/>
    </row>
    <row r="10032" spans="24:44">
      <c r="X10032"/>
      <c r="Y10032"/>
      <c r="Z10032"/>
      <c r="AA10032"/>
      <c r="AC10032"/>
      <c r="AR10032"/>
    </row>
    <row r="10033" spans="24:44">
      <c r="X10033"/>
      <c r="Y10033"/>
      <c r="Z10033"/>
      <c r="AA10033"/>
      <c r="AC10033"/>
      <c r="AR10033"/>
    </row>
    <row r="10034" spans="24:44">
      <c r="X10034"/>
      <c r="Y10034"/>
      <c r="Z10034"/>
      <c r="AA10034"/>
      <c r="AC10034"/>
      <c r="AR10034"/>
    </row>
    <row r="10035" spans="24:44">
      <c r="X10035"/>
      <c r="Y10035"/>
      <c r="Z10035"/>
      <c r="AA10035"/>
      <c r="AC10035"/>
      <c r="AR10035"/>
    </row>
    <row r="10036" spans="24:44">
      <c r="X10036"/>
      <c r="Y10036"/>
      <c r="Z10036"/>
      <c r="AA10036"/>
      <c r="AC10036"/>
      <c r="AR10036"/>
    </row>
    <row r="10037" spans="24:44">
      <c r="X10037"/>
      <c r="Y10037"/>
      <c r="Z10037"/>
      <c r="AA10037"/>
      <c r="AC10037"/>
      <c r="AR10037"/>
    </row>
    <row r="10038" spans="24:44">
      <c r="X10038"/>
      <c r="Y10038"/>
      <c r="Z10038"/>
      <c r="AA10038"/>
      <c r="AC10038"/>
      <c r="AR10038"/>
    </row>
    <row r="10039" spans="24:44">
      <c r="X10039"/>
      <c r="Y10039"/>
      <c r="Z10039"/>
      <c r="AA10039"/>
      <c r="AC10039"/>
      <c r="AR10039"/>
    </row>
    <row r="10040" spans="24:44">
      <c r="X10040"/>
      <c r="Y10040"/>
      <c r="Z10040"/>
      <c r="AA10040"/>
      <c r="AC10040"/>
      <c r="AR10040"/>
    </row>
    <row r="10041" spans="24:44">
      <c r="X10041"/>
      <c r="Y10041"/>
      <c r="Z10041"/>
      <c r="AA10041"/>
      <c r="AC10041"/>
      <c r="AR10041"/>
    </row>
    <row r="10042" spans="24:44">
      <c r="X10042"/>
      <c r="Y10042"/>
      <c r="Z10042"/>
      <c r="AA10042"/>
      <c r="AC10042"/>
      <c r="AR10042"/>
    </row>
    <row r="10043" spans="24:44">
      <c r="X10043"/>
      <c r="Y10043"/>
      <c r="Z10043"/>
      <c r="AA10043"/>
      <c r="AC10043"/>
      <c r="AR10043"/>
    </row>
    <row r="10044" spans="24:44">
      <c r="X10044"/>
      <c r="Y10044"/>
      <c r="Z10044"/>
      <c r="AA10044"/>
      <c r="AC10044"/>
      <c r="AR10044"/>
    </row>
    <row r="10045" spans="24:44">
      <c r="X10045"/>
      <c r="Y10045"/>
      <c r="Z10045"/>
      <c r="AA10045"/>
      <c r="AC10045"/>
      <c r="AR10045"/>
    </row>
    <row r="10046" spans="24:44">
      <c r="X10046"/>
      <c r="Y10046"/>
      <c r="Z10046"/>
      <c r="AA10046"/>
      <c r="AC10046"/>
      <c r="AR10046"/>
    </row>
    <row r="10047" spans="24:44">
      <c r="X10047"/>
      <c r="Y10047"/>
      <c r="Z10047"/>
      <c r="AA10047"/>
      <c r="AC10047"/>
      <c r="AR10047"/>
    </row>
    <row r="10048" spans="24:44">
      <c r="X10048"/>
      <c r="Y10048"/>
      <c r="Z10048"/>
      <c r="AA10048"/>
      <c r="AC10048"/>
      <c r="AR10048"/>
    </row>
    <row r="10049" spans="24:44">
      <c r="X10049"/>
      <c r="Y10049"/>
      <c r="Z10049"/>
      <c r="AA10049"/>
      <c r="AC10049"/>
      <c r="AR10049"/>
    </row>
    <row r="10050" spans="24:44">
      <c r="X10050"/>
      <c r="Y10050"/>
      <c r="Z10050"/>
      <c r="AA10050"/>
      <c r="AC10050"/>
      <c r="AR10050"/>
    </row>
    <row r="10051" spans="24:44">
      <c r="X10051"/>
      <c r="Y10051"/>
      <c r="Z10051"/>
      <c r="AA10051"/>
      <c r="AC10051"/>
      <c r="AR10051"/>
    </row>
    <row r="10052" spans="24:44">
      <c r="X10052"/>
      <c r="Y10052"/>
      <c r="Z10052"/>
      <c r="AA10052"/>
      <c r="AC10052"/>
      <c r="AR10052"/>
    </row>
    <row r="10053" spans="24:44">
      <c r="X10053"/>
      <c r="Y10053"/>
      <c r="Z10053"/>
      <c r="AA10053"/>
      <c r="AC10053"/>
      <c r="AR10053"/>
    </row>
    <row r="10054" spans="24:44">
      <c r="X10054"/>
      <c r="Y10054"/>
      <c r="Z10054"/>
      <c r="AA10054"/>
      <c r="AC10054"/>
      <c r="AR10054"/>
    </row>
    <row r="10055" spans="24:44">
      <c r="X10055"/>
      <c r="Y10055"/>
      <c r="Z10055"/>
      <c r="AA10055"/>
      <c r="AC10055"/>
      <c r="AR10055"/>
    </row>
    <row r="10056" spans="24:44">
      <c r="X10056"/>
      <c r="Y10056"/>
      <c r="Z10056"/>
      <c r="AA10056"/>
      <c r="AC10056"/>
      <c r="AR10056"/>
    </row>
    <row r="10057" spans="24:44">
      <c r="X10057"/>
      <c r="Y10057"/>
      <c r="Z10057"/>
      <c r="AA10057"/>
      <c r="AC10057"/>
      <c r="AR10057"/>
    </row>
    <row r="10058" spans="24:44">
      <c r="X10058"/>
      <c r="Y10058"/>
      <c r="Z10058"/>
      <c r="AA10058"/>
      <c r="AC10058"/>
      <c r="AR10058"/>
    </row>
    <row r="10059" spans="24:44">
      <c r="X10059"/>
      <c r="Y10059"/>
      <c r="Z10059"/>
      <c r="AA10059"/>
      <c r="AC10059"/>
      <c r="AR10059"/>
    </row>
    <row r="10060" spans="24:44">
      <c r="X10060"/>
      <c r="Y10060"/>
      <c r="Z10060"/>
      <c r="AA10060"/>
      <c r="AC10060"/>
      <c r="AR10060"/>
    </row>
    <row r="10061" spans="24:44">
      <c r="X10061"/>
      <c r="Y10061"/>
      <c r="Z10061"/>
      <c r="AA10061"/>
      <c r="AC10061"/>
      <c r="AR10061"/>
    </row>
    <row r="10062" spans="24:44">
      <c r="X10062"/>
      <c r="Y10062"/>
      <c r="Z10062"/>
      <c r="AA10062"/>
      <c r="AC10062"/>
      <c r="AR10062"/>
    </row>
    <row r="10063" spans="24:44">
      <c r="X10063"/>
      <c r="Y10063"/>
      <c r="Z10063"/>
      <c r="AA10063"/>
      <c r="AC10063"/>
      <c r="AR10063"/>
    </row>
    <row r="10064" spans="24:44">
      <c r="X10064"/>
      <c r="Y10064"/>
      <c r="Z10064"/>
      <c r="AA10064"/>
      <c r="AC10064"/>
      <c r="AR10064"/>
    </row>
    <row r="10065" spans="24:44">
      <c r="X10065"/>
      <c r="Y10065"/>
      <c r="Z10065"/>
      <c r="AA10065"/>
      <c r="AC10065"/>
      <c r="AR10065"/>
    </row>
    <row r="10066" spans="24:44">
      <c r="X10066"/>
      <c r="Y10066"/>
      <c r="Z10066"/>
      <c r="AA10066"/>
      <c r="AC10066"/>
      <c r="AR10066"/>
    </row>
    <row r="10067" spans="24:44">
      <c r="X10067"/>
      <c r="Y10067"/>
      <c r="Z10067"/>
      <c r="AA10067"/>
      <c r="AC10067"/>
      <c r="AR10067"/>
    </row>
    <row r="10068" spans="24:44">
      <c r="X10068"/>
      <c r="Y10068"/>
      <c r="Z10068"/>
      <c r="AA10068"/>
      <c r="AC10068"/>
      <c r="AR10068"/>
    </row>
    <row r="10069" spans="24:44">
      <c r="X10069"/>
      <c r="Y10069"/>
      <c r="Z10069"/>
      <c r="AA10069"/>
      <c r="AC10069"/>
      <c r="AR10069"/>
    </row>
    <row r="10070" spans="24:44">
      <c r="X10070"/>
      <c r="Y10070"/>
      <c r="Z10070"/>
      <c r="AA10070"/>
      <c r="AC10070"/>
      <c r="AR10070"/>
    </row>
    <row r="10071" spans="24:44">
      <c r="X10071"/>
      <c r="Y10071"/>
      <c r="Z10071"/>
      <c r="AA10071"/>
      <c r="AC10071"/>
      <c r="AR10071"/>
    </row>
    <row r="10072" spans="24:44">
      <c r="X10072"/>
      <c r="Y10072"/>
      <c r="Z10072"/>
      <c r="AA10072"/>
      <c r="AC10072"/>
      <c r="AR10072"/>
    </row>
    <row r="10073" spans="24:44">
      <c r="X10073"/>
      <c r="Y10073"/>
      <c r="Z10073"/>
      <c r="AA10073"/>
      <c r="AC10073"/>
      <c r="AR10073"/>
    </row>
    <row r="10074" spans="24:44">
      <c r="X10074"/>
      <c r="Y10074"/>
      <c r="Z10074"/>
      <c r="AA10074"/>
      <c r="AC10074"/>
      <c r="AR10074"/>
    </row>
    <row r="10075" spans="24:44">
      <c r="X10075"/>
      <c r="Y10075"/>
      <c r="Z10075"/>
      <c r="AA10075"/>
      <c r="AC10075"/>
      <c r="AR10075"/>
    </row>
    <row r="10076" spans="24:44">
      <c r="X10076"/>
      <c r="Y10076"/>
      <c r="Z10076"/>
      <c r="AA10076"/>
      <c r="AC10076"/>
      <c r="AR10076"/>
    </row>
    <row r="10077" spans="24:44">
      <c r="X10077"/>
      <c r="Y10077"/>
      <c r="Z10077"/>
      <c r="AA10077"/>
      <c r="AC10077"/>
      <c r="AR10077"/>
    </row>
    <row r="10078" spans="24:44">
      <c r="X10078"/>
      <c r="Y10078"/>
      <c r="Z10078"/>
      <c r="AA10078"/>
      <c r="AC10078"/>
      <c r="AR10078"/>
    </row>
    <row r="10079" spans="24:44">
      <c r="X10079"/>
      <c r="Y10079"/>
      <c r="Z10079"/>
      <c r="AA10079"/>
      <c r="AC10079"/>
      <c r="AR10079"/>
    </row>
    <row r="10080" spans="24:44">
      <c r="X10080"/>
      <c r="Y10080"/>
      <c r="Z10080"/>
      <c r="AA10080"/>
      <c r="AC10080"/>
      <c r="AR10080"/>
    </row>
    <row r="10081" spans="24:44">
      <c r="X10081"/>
      <c r="Y10081"/>
      <c r="Z10081"/>
      <c r="AA10081"/>
      <c r="AC10081"/>
      <c r="AR10081"/>
    </row>
    <row r="10082" spans="24:44">
      <c r="X10082"/>
      <c r="Y10082"/>
      <c r="Z10082"/>
      <c r="AA10082"/>
      <c r="AC10082"/>
      <c r="AR10082"/>
    </row>
    <row r="10083" spans="24:44">
      <c r="X10083"/>
      <c r="Y10083"/>
      <c r="Z10083"/>
      <c r="AA10083"/>
      <c r="AC10083"/>
      <c r="AR10083"/>
    </row>
    <row r="10084" spans="24:44">
      <c r="X10084"/>
      <c r="Y10084"/>
      <c r="Z10084"/>
      <c r="AA10084"/>
      <c r="AC10084"/>
      <c r="AR10084"/>
    </row>
    <row r="10085" spans="24:44">
      <c r="X10085"/>
      <c r="Y10085"/>
      <c r="Z10085"/>
      <c r="AA10085"/>
      <c r="AC10085"/>
      <c r="AR10085"/>
    </row>
    <row r="10086" spans="24:44">
      <c r="X10086"/>
      <c r="Y10086"/>
      <c r="Z10086"/>
      <c r="AA10086"/>
      <c r="AC10086"/>
      <c r="AR10086"/>
    </row>
    <row r="10087" spans="24:44">
      <c r="X10087"/>
      <c r="Y10087"/>
      <c r="Z10087"/>
      <c r="AA10087"/>
      <c r="AC10087"/>
      <c r="AR10087"/>
    </row>
    <row r="10088" spans="24:44">
      <c r="X10088"/>
      <c r="Y10088"/>
      <c r="Z10088"/>
      <c r="AA10088"/>
      <c r="AC10088"/>
      <c r="AR10088"/>
    </row>
    <row r="10089" spans="24:44">
      <c r="X10089"/>
      <c r="Y10089"/>
      <c r="Z10089"/>
      <c r="AA10089"/>
      <c r="AC10089"/>
      <c r="AR10089"/>
    </row>
    <row r="10090" spans="24:44">
      <c r="X10090"/>
      <c r="Y10090"/>
      <c r="Z10090"/>
      <c r="AA10090"/>
      <c r="AC10090"/>
      <c r="AR10090"/>
    </row>
    <row r="10091" spans="24:44">
      <c r="X10091"/>
      <c r="Y10091"/>
      <c r="Z10091"/>
      <c r="AA10091"/>
      <c r="AC10091"/>
      <c r="AR10091"/>
    </row>
    <row r="10092" spans="24:44">
      <c r="X10092"/>
      <c r="Y10092"/>
      <c r="Z10092"/>
      <c r="AA10092"/>
      <c r="AC10092"/>
      <c r="AR10092"/>
    </row>
    <row r="10093" spans="24:44">
      <c r="X10093"/>
      <c r="Y10093"/>
      <c r="Z10093"/>
      <c r="AA10093"/>
      <c r="AC10093"/>
      <c r="AR10093"/>
    </row>
    <row r="10094" spans="24:44">
      <c r="X10094"/>
      <c r="Y10094"/>
      <c r="Z10094"/>
      <c r="AA10094"/>
      <c r="AC10094"/>
      <c r="AR10094"/>
    </row>
    <row r="10095" spans="24:44">
      <c r="X10095"/>
      <c r="Y10095"/>
      <c r="Z10095"/>
      <c r="AA10095"/>
      <c r="AC10095"/>
      <c r="AR10095"/>
    </row>
    <row r="10096" spans="24:44">
      <c r="X10096"/>
      <c r="Y10096"/>
      <c r="Z10096"/>
      <c r="AA10096"/>
      <c r="AC10096"/>
      <c r="AR10096"/>
    </row>
    <row r="10097" spans="24:44">
      <c r="X10097"/>
      <c r="Y10097"/>
      <c r="Z10097"/>
      <c r="AA10097"/>
      <c r="AC10097"/>
      <c r="AR10097"/>
    </row>
    <row r="10098" spans="24:44">
      <c r="X10098"/>
      <c r="Y10098"/>
      <c r="Z10098"/>
      <c r="AA10098"/>
      <c r="AC10098"/>
      <c r="AR10098"/>
    </row>
    <row r="10099" spans="24:44">
      <c r="X10099"/>
      <c r="Y10099"/>
      <c r="Z10099"/>
      <c r="AA10099"/>
      <c r="AC10099"/>
      <c r="AR10099"/>
    </row>
    <row r="10100" spans="24:44">
      <c r="X10100"/>
      <c r="Y10100"/>
      <c r="Z10100"/>
      <c r="AA10100"/>
      <c r="AC10100"/>
      <c r="AR10100"/>
    </row>
    <row r="10101" spans="24:44">
      <c r="X10101"/>
      <c r="Y10101"/>
      <c r="Z10101"/>
      <c r="AA10101"/>
      <c r="AC10101"/>
      <c r="AR10101"/>
    </row>
    <row r="10102" spans="24:44">
      <c r="X10102"/>
      <c r="Y10102"/>
      <c r="Z10102"/>
      <c r="AA10102"/>
      <c r="AC10102"/>
      <c r="AR10102"/>
    </row>
    <row r="10103" spans="24:44">
      <c r="X10103"/>
      <c r="Y10103"/>
      <c r="Z10103"/>
      <c r="AA10103"/>
      <c r="AC10103"/>
      <c r="AR10103"/>
    </row>
    <row r="10104" spans="24:44">
      <c r="X10104"/>
      <c r="Y10104"/>
      <c r="Z10104"/>
      <c r="AA10104"/>
      <c r="AC10104"/>
      <c r="AR10104"/>
    </row>
    <row r="10105" spans="24:44">
      <c r="X10105"/>
      <c r="Y10105"/>
      <c r="Z10105"/>
      <c r="AA10105"/>
      <c r="AC10105"/>
      <c r="AR10105"/>
    </row>
    <row r="10106" spans="24:44">
      <c r="X10106"/>
      <c r="Y10106"/>
      <c r="Z10106"/>
      <c r="AA10106"/>
      <c r="AC10106"/>
      <c r="AR10106"/>
    </row>
    <row r="10107" spans="24:44">
      <c r="X10107"/>
      <c r="Y10107"/>
      <c r="Z10107"/>
      <c r="AA10107"/>
      <c r="AC10107"/>
      <c r="AR10107"/>
    </row>
    <row r="10108" spans="24:44">
      <c r="X10108"/>
      <c r="Y10108"/>
      <c r="Z10108"/>
      <c r="AA10108"/>
      <c r="AC10108"/>
      <c r="AR10108"/>
    </row>
    <row r="10109" spans="24:44">
      <c r="X10109"/>
      <c r="Y10109"/>
      <c r="Z10109"/>
      <c r="AA10109"/>
      <c r="AC10109"/>
      <c r="AR10109"/>
    </row>
    <row r="10110" spans="24:44">
      <c r="X10110"/>
      <c r="Y10110"/>
      <c r="Z10110"/>
      <c r="AA10110"/>
      <c r="AC10110"/>
      <c r="AR10110"/>
    </row>
    <row r="10111" spans="24:44">
      <c r="X10111"/>
      <c r="Y10111"/>
      <c r="Z10111"/>
      <c r="AA10111"/>
      <c r="AC10111"/>
      <c r="AR10111"/>
    </row>
    <row r="10112" spans="24:44">
      <c r="X10112"/>
      <c r="Y10112"/>
      <c r="Z10112"/>
      <c r="AA10112"/>
      <c r="AC10112"/>
      <c r="AR10112"/>
    </row>
    <row r="10113" spans="24:44">
      <c r="X10113"/>
      <c r="Y10113"/>
      <c r="Z10113"/>
      <c r="AA10113"/>
      <c r="AC10113"/>
      <c r="AR10113"/>
    </row>
    <row r="10114" spans="24:44">
      <c r="X10114"/>
      <c r="Y10114"/>
      <c r="Z10114"/>
      <c r="AA10114"/>
      <c r="AC10114"/>
      <c r="AR10114"/>
    </row>
    <row r="10115" spans="24:44">
      <c r="X10115"/>
      <c r="Y10115"/>
      <c r="Z10115"/>
      <c r="AA10115"/>
      <c r="AC10115"/>
      <c r="AR10115"/>
    </row>
    <row r="10116" spans="24:44">
      <c r="X10116"/>
      <c r="Y10116"/>
      <c r="Z10116"/>
      <c r="AA10116"/>
      <c r="AC10116"/>
      <c r="AR10116"/>
    </row>
    <row r="10117" spans="24:44">
      <c r="X10117"/>
      <c r="Y10117"/>
      <c r="Z10117"/>
      <c r="AA10117"/>
      <c r="AC10117"/>
      <c r="AR10117"/>
    </row>
    <row r="10118" spans="24:44">
      <c r="X10118"/>
      <c r="Y10118"/>
      <c r="Z10118"/>
      <c r="AA10118"/>
      <c r="AC10118"/>
      <c r="AR10118"/>
    </row>
    <row r="10119" spans="24:44">
      <c r="X10119"/>
      <c r="Y10119"/>
      <c r="Z10119"/>
      <c r="AA10119"/>
      <c r="AC10119"/>
      <c r="AR10119"/>
    </row>
    <row r="10120" spans="24:44">
      <c r="X10120"/>
      <c r="Y10120"/>
      <c r="Z10120"/>
      <c r="AA10120"/>
      <c r="AC10120"/>
      <c r="AR10120"/>
    </row>
    <row r="10121" spans="24:44">
      <c r="X10121"/>
      <c r="Y10121"/>
      <c r="Z10121"/>
      <c r="AA10121"/>
      <c r="AC10121"/>
      <c r="AR10121"/>
    </row>
    <row r="10122" spans="24:44">
      <c r="X10122"/>
      <c r="Y10122"/>
      <c r="Z10122"/>
      <c r="AA10122"/>
      <c r="AC10122"/>
      <c r="AR10122"/>
    </row>
    <row r="10123" spans="24:44">
      <c r="X10123"/>
      <c r="Y10123"/>
      <c r="Z10123"/>
      <c r="AA10123"/>
      <c r="AC10123"/>
      <c r="AR10123"/>
    </row>
    <row r="10124" spans="24:44">
      <c r="X10124"/>
      <c r="Y10124"/>
      <c r="Z10124"/>
      <c r="AA10124"/>
      <c r="AC10124"/>
      <c r="AR10124"/>
    </row>
    <row r="10125" spans="24:44">
      <c r="X10125"/>
      <c r="Y10125"/>
      <c r="Z10125"/>
      <c r="AA10125"/>
      <c r="AC10125"/>
      <c r="AR10125"/>
    </row>
    <row r="10126" spans="24:44">
      <c r="X10126"/>
      <c r="Y10126"/>
      <c r="Z10126"/>
      <c r="AA10126"/>
      <c r="AC10126"/>
      <c r="AR10126"/>
    </row>
    <row r="10127" spans="24:44">
      <c r="X10127"/>
      <c r="Y10127"/>
      <c r="Z10127"/>
      <c r="AA10127"/>
      <c r="AC10127"/>
      <c r="AR10127"/>
    </row>
    <row r="10128" spans="24:44">
      <c r="X10128"/>
      <c r="Y10128"/>
      <c r="Z10128"/>
      <c r="AA10128"/>
      <c r="AC10128"/>
      <c r="AR10128"/>
    </row>
    <row r="10129" spans="24:44">
      <c r="X10129"/>
      <c r="Y10129"/>
      <c r="Z10129"/>
      <c r="AA10129"/>
      <c r="AC10129"/>
      <c r="AR10129"/>
    </row>
    <row r="10130" spans="24:44">
      <c r="X10130"/>
      <c r="Y10130"/>
      <c r="Z10130"/>
      <c r="AA10130"/>
      <c r="AC10130"/>
      <c r="AR10130"/>
    </row>
    <row r="10131" spans="24:44">
      <c r="X10131"/>
      <c r="Y10131"/>
      <c r="Z10131"/>
      <c r="AA10131"/>
      <c r="AC10131"/>
      <c r="AR10131"/>
    </row>
    <row r="10132" spans="24:44">
      <c r="X10132"/>
      <c r="Y10132"/>
      <c r="Z10132"/>
      <c r="AA10132"/>
      <c r="AC10132"/>
      <c r="AR10132"/>
    </row>
    <row r="10133" spans="24:44">
      <c r="X10133"/>
      <c r="Y10133"/>
      <c r="Z10133"/>
      <c r="AA10133"/>
      <c r="AC10133"/>
      <c r="AR10133"/>
    </row>
    <row r="10134" spans="24:44">
      <c r="X10134"/>
      <c r="Y10134"/>
      <c r="Z10134"/>
      <c r="AA10134"/>
      <c r="AC10134"/>
      <c r="AR10134"/>
    </row>
    <row r="10135" spans="24:44">
      <c r="X10135"/>
      <c r="Y10135"/>
      <c r="Z10135"/>
      <c r="AA10135"/>
      <c r="AC10135"/>
      <c r="AR10135"/>
    </row>
    <row r="10136" spans="24:44">
      <c r="X10136"/>
      <c r="Y10136"/>
      <c r="Z10136"/>
      <c r="AA10136"/>
      <c r="AC10136"/>
      <c r="AR10136"/>
    </row>
    <row r="10137" spans="24:44">
      <c r="X10137"/>
      <c r="Y10137"/>
      <c r="Z10137"/>
      <c r="AA10137"/>
      <c r="AC10137"/>
      <c r="AR10137"/>
    </row>
    <row r="10138" spans="24:44">
      <c r="X10138"/>
      <c r="Y10138"/>
      <c r="Z10138"/>
      <c r="AA10138"/>
      <c r="AC10138"/>
      <c r="AR10138"/>
    </row>
    <row r="10139" spans="24:44">
      <c r="X10139"/>
      <c r="Y10139"/>
      <c r="Z10139"/>
      <c r="AA10139"/>
      <c r="AC10139"/>
      <c r="AR10139"/>
    </row>
    <row r="10140" spans="24:44">
      <c r="X10140"/>
      <c r="Y10140"/>
      <c r="Z10140"/>
      <c r="AA10140"/>
      <c r="AC10140"/>
      <c r="AR10140"/>
    </row>
    <row r="10141" spans="24:44">
      <c r="X10141"/>
      <c r="Y10141"/>
      <c r="Z10141"/>
      <c r="AA10141"/>
      <c r="AC10141"/>
      <c r="AR10141"/>
    </row>
    <row r="10142" spans="24:44">
      <c r="X10142"/>
      <c r="Y10142"/>
      <c r="Z10142"/>
      <c r="AA10142"/>
      <c r="AC10142"/>
      <c r="AR10142"/>
    </row>
    <row r="10143" spans="24:44">
      <c r="X10143"/>
      <c r="Y10143"/>
      <c r="Z10143"/>
      <c r="AA10143"/>
      <c r="AC10143"/>
      <c r="AR10143"/>
    </row>
    <row r="10144" spans="24:44">
      <c r="X10144"/>
      <c r="Y10144"/>
      <c r="Z10144"/>
      <c r="AA10144"/>
      <c r="AC10144"/>
      <c r="AR10144"/>
    </row>
    <row r="10145" spans="24:44">
      <c r="X10145"/>
      <c r="Y10145"/>
      <c r="Z10145"/>
      <c r="AA10145"/>
      <c r="AC10145"/>
      <c r="AR10145"/>
    </row>
    <row r="10146" spans="24:44">
      <c r="X10146"/>
      <c r="Y10146"/>
      <c r="Z10146"/>
      <c r="AA10146"/>
      <c r="AC10146"/>
      <c r="AR10146"/>
    </row>
    <row r="10147" spans="24:44">
      <c r="X10147"/>
      <c r="Y10147"/>
      <c r="Z10147"/>
      <c r="AA10147"/>
      <c r="AC10147"/>
      <c r="AR10147"/>
    </row>
    <row r="10148" spans="24:44">
      <c r="X10148"/>
      <c r="Y10148"/>
      <c r="Z10148"/>
      <c r="AA10148"/>
      <c r="AC10148"/>
      <c r="AR10148"/>
    </row>
    <row r="10149" spans="24:44">
      <c r="X10149"/>
      <c r="Y10149"/>
      <c r="Z10149"/>
      <c r="AA10149"/>
      <c r="AC10149"/>
      <c r="AR10149"/>
    </row>
    <row r="10150" spans="24:44">
      <c r="X10150"/>
      <c r="Y10150"/>
      <c r="Z10150"/>
      <c r="AA10150"/>
      <c r="AC10150"/>
      <c r="AR10150"/>
    </row>
    <row r="10151" spans="24:44">
      <c r="X10151"/>
      <c r="Y10151"/>
      <c r="Z10151"/>
      <c r="AA10151"/>
      <c r="AC10151"/>
      <c r="AR10151"/>
    </row>
    <row r="10152" spans="24:44">
      <c r="X10152"/>
      <c r="Y10152"/>
      <c r="Z10152"/>
      <c r="AA10152"/>
      <c r="AC10152"/>
      <c r="AR10152"/>
    </row>
    <row r="10153" spans="24:44">
      <c r="X10153"/>
      <c r="Y10153"/>
      <c r="Z10153"/>
      <c r="AA10153"/>
      <c r="AC10153"/>
      <c r="AR10153"/>
    </row>
    <row r="10154" spans="24:44">
      <c r="X10154"/>
      <c r="Y10154"/>
      <c r="Z10154"/>
      <c r="AA10154"/>
      <c r="AC10154"/>
      <c r="AR10154"/>
    </row>
    <row r="10155" spans="24:44">
      <c r="X10155"/>
      <c r="Y10155"/>
      <c r="Z10155"/>
      <c r="AA10155"/>
      <c r="AC10155"/>
      <c r="AR10155"/>
    </row>
    <row r="10156" spans="24:44">
      <c r="X10156"/>
      <c r="Y10156"/>
      <c r="Z10156"/>
      <c r="AA10156"/>
      <c r="AC10156"/>
      <c r="AR10156"/>
    </row>
    <row r="10157" spans="24:44">
      <c r="X10157"/>
      <c r="Y10157"/>
      <c r="Z10157"/>
      <c r="AA10157"/>
      <c r="AC10157"/>
      <c r="AR10157"/>
    </row>
    <row r="10158" spans="24:44">
      <c r="X10158"/>
      <c r="Y10158"/>
      <c r="Z10158"/>
      <c r="AA10158"/>
      <c r="AC10158"/>
      <c r="AR10158"/>
    </row>
    <row r="10159" spans="24:44">
      <c r="X10159"/>
      <c r="Y10159"/>
      <c r="Z10159"/>
      <c r="AA10159"/>
      <c r="AC10159"/>
      <c r="AR10159"/>
    </row>
    <row r="10160" spans="24:44">
      <c r="X10160"/>
      <c r="Y10160"/>
      <c r="Z10160"/>
      <c r="AA10160"/>
      <c r="AC10160"/>
      <c r="AR10160"/>
    </row>
    <row r="10161" spans="24:44">
      <c r="X10161"/>
      <c r="Y10161"/>
      <c r="Z10161"/>
      <c r="AA10161"/>
      <c r="AC10161"/>
      <c r="AR10161"/>
    </row>
    <row r="10162" spans="24:44">
      <c r="X10162"/>
      <c r="Y10162"/>
      <c r="Z10162"/>
      <c r="AA10162"/>
      <c r="AC10162"/>
      <c r="AR10162"/>
    </row>
    <row r="10163" spans="24:44">
      <c r="X10163"/>
      <c r="Y10163"/>
      <c r="Z10163"/>
      <c r="AA10163"/>
      <c r="AC10163"/>
      <c r="AR10163"/>
    </row>
    <row r="10164" spans="24:44">
      <c r="X10164"/>
      <c r="Y10164"/>
      <c r="Z10164"/>
      <c r="AA10164"/>
      <c r="AC10164"/>
      <c r="AR10164"/>
    </row>
    <row r="10165" spans="24:44">
      <c r="X10165"/>
      <c r="Y10165"/>
      <c r="Z10165"/>
      <c r="AA10165"/>
      <c r="AC10165"/>
      <c r="AR10165"/>
    </row>
    <row r="10166" spans="24:44">
      <c r="X10166"/>
      <c r="Y10166"/>
      <c r="Z10166"/>
      <c r="AA10166"/>
      <c r="AC10166"/>
      <c r="AR10166"/>
    </row>
    <row r="10167" spans="24:44">
      <c r="X10167"/>
      <c r="Y10167"/>
      <c r="Z10167"/>
      <c r="AA10167"/>
      <c r="AC10167"/>
      <c r="AR10167"/>
    </row>
    <row r="10168" spans="24:44">
      <c r="X10168"/>
      <c r="Y10168"/>
      <c r="Z10168"/>
      <c r="AA10168"/>
      <c r="AC10168"/>
      <c r="AR10168"/>
    </row>
    <row r="10169" spans="24:44">
      <c r="X10169"/>
      <c r="Y10169"/>
      <c r="Z10169"/>
      <c r="AA10169"/>
      <c r="AC10169"/>
      <c r="AR10169"/>
    </row>
    <row r="10170" spans="24:44">
      <c r="X10170"/>
      <c r="Y10170"/>
      <c r="Z10170"/>
      <c r="AA10170"/>
      <c r="AC10170"/>
      <c r="AR10170"/>
    </row>
    <row r="10171" spans="24:44">
      <c r="X10171"/>
      <c r="Y10171"/>
      <c r="Z10171"/>
      <c r="AA10171"/>
      <c r="AC10171"/>
      <c r="AR10171"/>
    </row>
    <row r="10172" spans="24:44">
      <c r="X10172"/>
      <c r="Y10172"/>
      <c r="Z10172"/>
      <c r="AA10172"/>
      <c r="AC10172"/>
      <c r="AR10172"/>
    </row>
    <row r="10173" spans="24:44">
      <c r="X10173"/>
      <c r="Y10173"/>
      <c r="Z10173"/>
      <c r="AA10173"/>
      <c r="AC10173"/>
      <c r="AR10173"/>
    </row>
    <row r="10174" spans="24:44">
      <c r="X10174"/>
      <c r="Y10174"/>
      <c r="Z10174"/>
      <c r="AA10174"/>
      <c r="AC10174"/>
      <c r="AR10174"/>
    </row>
    <row r="10175" spans="24:44">
      <c r="X10175"/>
      <c r="Y10175"/>
      <c r="Z10175"/>
      <c r="AA10175"/>
      <c r="AC10175"/>
      <c r="AR10175"/>
    </row>
    <row r="10176" spans="24:44">
      <c r="X10176"/>
      <c r="Y10176"/>
      <c r="Z10176"/>
      <c r="AA10176"/>
      <c r="AC10176"/>
      <c r="AR10176"/>
    </row>
    <row r="10177" spans="24:44">
      <c r="X10177"/>
      <c r="Y10177"/>
      <c r="Z10177"/>
      <c r="AA10177"/>
      <c r="AC10177"/>
      <c r="AR10177"/>
    </row>
    <row r="10178" spans="24:44">
      <c r="X10178"/>
      <c r="Y10178"/>
      <c r="Z10178"/>
      <c r="AA10178"/>
      <c r="AC10178"/>
      <c r="AR10178"/>
    </row>
    <row r="10179" spans="24:44">
      <c r="X10179"/>
      <c r="Y10179"/>
      <c r="Z10179"/>
      <c r="AA10179"/>
      <c r="AC10179"/>
      <c r="AR10179"/>
    </row>
    <row r="10180" spans="24:44">
      <c r="X10180"/>
      <c r="Y10180"/>
      <c r="Z10180"/>
      <c r="AA10180"/>
      <c r="AC10180"/>
      <c r="AR10180"/>
    </row>
    <row r="10181" spans="24:44">
      <c r="X10181"/>
      <c r="Y10181"/>
      <c r="Z10181"/>
      <c r="AA10181"/>
      <c r="AC10181"/>
      <c r="AR10181"/>
    </row>
    <row r="10182" spans="24:44">
      <c r="X10182"/>
      <c r="Y10182"/>
      <c r="Z10182"/>
      <c r="AA10182"/>
      <c r="AC10182"/>
      <c r="AR10182"/>
    </row>
    <row r="10183" spans="24:44">
      <c r="X10183"/>
      <c r="Y10183"/>
      <c r="Z10183"/>
      <c r="AA10183"/>
      <c r="AC10183"/>
      <c r="AR10183"/>
    </row>
    <row r="10184" spans="24:44">
      <c r="X10184"/>
      <c r="Y10184"/>
      <c r="Z10184"/>
      <c r="AA10184"/>
      <c r="AC10184"/>
      <c r="AR10184"/>
    </row>
    <row r="10185" spans="24:44">
      <c r="X10185"/>
      <c r="Y10185"/>
      <c r="Z10185"/>
      <c r="AA10185"/>
      <c r="AC10185"/>
      <c r="AR10185"/>
    </row>
    <row r="10186" spans="24:44">
      <c r="X10186"/>
      <c r="Y10186"/>
      <c r="Z10186"/>
      <c r="AA10186"/>
      <c r="AC10186"/>
      <c r="AR10186"/>
    </row>
    <row r="10187" spans="24:44">
      <c r="X10187"/>
      <c r="Y10187"/>
      <c r="Z10187"/>
      <c r="AA10187"/>
      <c r="AC10187"/>
      <c r="AR10187"/>
    </row>
    <row r="10188" spans="24:44">
      <c r="X10188"/>
      <c r="Y10188"/>
      <c r="Z10188"/>
      <c r="AA10188"/>
      <c r="AC10188"/>
      <c r="AR10188"/>
    </row>
    <row r="10189" spans="24:44">
      <c r="X10189"/>
      <c r="Y10189"/>
      <c r="Z10189"/>
      <c r="AA10189"/>
      <c r="AC10189"/>
      <c r="AR10189"/>
    </row>
    <row r="10190" spans="24:44">
      <c r="X10190"/>
      <c r="Y10190"/>
      <c r="Z10190"/>
      <c r="AA10190"/>
      <c r="AC10190"/>
      <c r="AR10190"/>
    </row>
    <row r="10191" spans="24:44">
      <c r="X10191"/>
      <c r="Y10191"/>
      <c r="Z10191"/>
      <c r="AA10191"/>
      <c r="AC10191"/>
      <c r="AR10191"/>
    </row>
    <row r="10192" spans="24:44">
      <c r="X10192"/>
      <c r="Y10192"/>
      <c r="Z10192"/>
      <c r="AA10192"/>
      <c r="AC10192"/>
      <c r="AR10192"/>
    </row>
    <row r="10193" spans="24:44">
      <c r="X10193"/>
      <c r="Y10193"/>
      <c r="Z10193"/>
      <c r="AA10193"/>
      <c r="AC10193"/>
      <c r="AR10193"/>
    </row>
    <row r="10194" spans="24:44">
      <c r="X10194"/>
      <c r="Y10194"/>
      <c r="Z10194"/>
      <c r="AA10194"/>
      <c r="AC10194"/>
      <c r="AR10194"/>
    </row>
    <row r="10195" spans="24:44">
      <c r="X10195"/>
      <c r="Y10195"/>
      <c r="Z10195"/>
      <c r="AA10195"/>
      <c r="AC10195"/>
      <c r="AR10195"/>
    </row>
    <row r="10196" spans="24:44">
      <c r="X10196"/>
      <c r="Y10196"/>
      <c r="Z10196"/>
      <c r="AA10196"/>
      <c r="AC10196"/>
      <c r="AR10196"/>
    </row>
    <row r="10197" spans="24:44">
      <c r="X10197"/>
      <c r="Y10197"/>
      <c r="Z10197"/>
      <c r="AA10197"/>
      <c r="AC10197"/>
      <c r="AR10197"/>
    </row>
    <row r="10198" spans="24:44">
      <c r="X10198"/>
      <c r="Y10198"/>
      <c r="Z10198"/>
      <c r="AA10198"/>
      <c r="AC10198"/>
      <c r="AR10198"/>
    </row>
    <row r="10199" spans="24:44">
      <c r="X10199"/>
      <c r="Y10199"/>
      <c r="Z10199"/>
      <c r="AA10199"/>
      <c r="AC10199"/>
      <c r="AR10199"/>
    </row>
    <row r="10200" spans="24:44">
      <c r="X10200"/>
      <c r="Y10200"/>
      <c r="Z10200"/>
      <c r="AA10200"/>
      <c r="AC10200"/>
      <c r="AR10200"/>
    </row>
    <row r="10201" spans="24:44">
      <c r="X10201"/>
      <c r="Y10201"/>
      <c r="Z10201"/>
      <c r="AA10201"/>
      <c r="AC10201"/>
      <c r="AR10201"/>
    </row>
    <row r="10202" spans="24:44">
      <c r="X10202"/>
      <c r="Y10202"/>
      <c r="Z10202"/>
      <c r="AA10202"/>
      <c r="AC10202"/>
      <c r="AR10202"/>
    </row>
    <row r="10203" spans="24:44">
      <c r="X10203"/>
      <c r="Y10203"/>
      <c r="Z10203"/>
      <c r="AA10203"/>
      <c r="AC10203"/>
      <c r="AR10203"/>
    </row>
    <row r="10204" spans="24:44">
      <c r="X10204"/>
      <c r="Y10204"/>
      <c r="Z10204"/>
      <c r="AA10204"/>
      <c r="AC10204"/>
      <c r="AR10204"/>
    </row>
    <row r="10205" spans="24:44">
      <c r="X10205"/>
      <c r="Y10205"/>
      <c r="Z10205"/>
      <c r="AA10205"/>
      <c r="AC10205"/>
      <c r="AR10205"/>
    </row>
    <row r="10206" spans="24:44">
      <c r="X10206"/>
      <c r="Y10206"/>
      <c r="Z10206"/>
      <c r="AA10206"/>
      <c r="AC10206"/>
      <c r="AR10206"/>
    </row>
    <row r="10207" spans="24:44">
      <c r="X10207"/>
      <c r="Y10207"/>
      <c r="Z10207"/>
      <c r="AA10207"/>
      <c r="AC10207"/>
      <c r="AR10207"/>
    </row>
    <row r="10208" spans="24:44">
      <c r="X10208"/>
      <c r="Y10208"/>
      <c r="Z10208"/>
      <c r="AA10208"/>
      <c r="AC10208"/>
      <c r="AR10208"/>
    </row>
    <row r="10209" spans="24:44">
      <c r="X10209"/>
      <c r="Y10209"/>
      <c r="Z10209"/>
      <c r="AA10209"/>
      <c r="AC10209"/>
      <c r="AR10209"/>
    </row>
    <row r="10210" spans="24:44">
      <c r="X10210"/>
      <c r="Y10210"/>
      <c r="Z10210"/>
      <c r="AA10210"/>
      <c r="AC10210"/>
      <c r="AR10210"/>
    </row>
    <row r="10211" spans="24:44">
      <c r="X10211"/>
      <c r="Y10211"/>
      <c r="Z10211"/>
      <c r="AA10211"/>
      <c r="AC10211"/>
      <c r="AR10211"/>
    </row>
    <row r="10212" spans="24:44">
      <c r="X10212"/>
      <c r="Y10212"/>
      <c r="Z10212"/>
      <c r="AA10212"/>
      <c r="AC10212"/>
      <c r="AR10212"/>
    </row>
    <row r="10213" spans="24:44">
      <c r="X10213"/>
      <c r="Y10213"/>
      <c r="Z10213"/>
      <c r="AA10213"/>
      <c r="AC10213"/>
      <c r="AR10213"/>
    </row>
    <row r="10214" spans="24:44">
      <c r="X10214"/>
      <c r="Y10214"/>
      <c r="Z10214"/>
      <c r="AA10214"/>
      <c r="AC10214"/>
      <c r="AR10214"/>
    </row>
    <row r="10215" spans="24:44">
      <c r="X10215"/>
      <c r="Y10215"/>
      <c r="Z10215"/>
      <c r="AA10215"/>
      <c r="AC10215"/>
      <c r="AR10215"/>
    </row>
    <row r="10216" spans="24:44">
      <c r="X10216"/>
      <c r="Y10216"/>
      <c r="Z10216"/>
      <c r="AA10216"/>
      <c r="AC10216"/>
      <c r="AR10216"/>
    </row>
    <row r="10217" spans="24:44">
      <c r="X10217"/>
      <c r="Y10217"/>
      <c r="Z10217"/>
      <c r="AA10217"/>
      <c r="AC10217"/>
      <c r="AR10217"/>
    </row>
    <row r="10218" spans="24:44">
      <c r="X10218"/>
      <c r="Y10218"/>
      <c r="Z10218"/>
      <c r="AA10218"/>
      <c r="AC10218"/>
      <c r="AR10218"/>
    </row>
    <row r="10219" spans="24:44">
      <c r="X10219"/>
      <c r="Y10219"/>
      <c r="Z10219"/>
      <c r="AA10219"/>
      <c r="AC10219"/>
      <c r="AR10219"/>
    </row>
    <row r="10220" spans="24:44">
      <c r="X10220"/>
      <c r="Y10220"/>
      <c r="Z10220"/>
      <c r="AA10220"/>
      <c r="AC10220"/>
      <c r="AR10220"/>
    </row>
    <row r="10221" spans="24:44">
      <c r="X10221"/>
      <c r="Y10221"/>
      <c r="Z10221"/>
      <c r="AA10221"/>
      <c r="AC10221"/>
      <c r="AR10221"/>
    </row>
    <row r="10222" spans="24:44">
      <c r="X10222"/>
      <c r="Y10222"/>
      <c r="Z10222"/>
      <c r="AA10222"/>
      <c r="AC10222"/>
      <c r="AR10222"/>
    </row>
    <row r="10223" spans="24:44">
      <c r="X10223"/>
      <c r="Y10223"/>
      <c r="Z10223"/>
      <c r="AA10223"/>
      <c r="AC10223"/>
      <c r="AR10223"/>
    </row>
    <row r="10224" spans="24:44">
      <c r="X10224"/>
      <c r="Y10224"/>
      <c r="Z10224"/>
      <c r="AA10224"/>
      <c r="AC10224"/>
      <c r="AR10224"/>
    </row>
    <row r="10225" spans="24:44">
      <c r="X10225"/>
      <c r="Y10225"/>
      <c r="Z10225"/>
      <c r="AA10225"/>
      <c r="AC10225"/>
      <c r="AR10225"/>
    </row>
    <row r="10226" spans="24:44">
      <c r="X10226"/>
      <c r="Y10226"/>
      <c r="Z10226"/>
      <c r="AA10226"/>
      <c r="AC10226"/>
      <c r="AR10226"/>
    </row>
    <row r="10227" spans="24:44">
      <c r="X10227"/>
      <c r="Y10227"/>
      <c r="Z10227"/>
      <c r="AA10227"/>
      <c r="AC10227"/>
      <c r="AR10227"/>
    </row>
    <row r="10228" spans="24:44">
      <c r="X10228"/>
      <c r="Y10228"/>
      <c r="Z10228"/>
      <c r="AA10228"/>
      <c r="AC10228"/>
      <c r="AR10228"/>
    </row>
    <row r="10229" spans="24:44">
      <c r="X10229"/>
      <c r="Y10229"/>
      <c r="Z10229"/>
      <c r="AA10229"/>
      <c r="AC10229"/>
      <c r="AR10229"/>
    </row>
    <row r="10230" spans="24:44">
      <c r="X10230"/>
      <c r="Y10230"/>
      <c r="Z10230"/>
      <c r="AA10230"/>
      <c r="AC10230"/>
      <c r="AR10230"/>
    </row>
    <row r="10231" spans="24:44">
      <c r="X10231"/>
      <c r="Y10231"/>
      <c r="Z10231"/>
      <c r="AA10231"/>
      <c r="AC10231"/>
      <c r="AR10231"/>
    </row>
    <row r="10232" spans="24:44">
      <c r="X10232"/>
      <c r="Y10232"/>
      <c r="Z10232"/>
      <c r="AA10232"/>
      <c r="AC10232"/>
      <c r="AR10232"/>
    </row>
    <row r="10233" spans="24:44">
      <c r="X10233"/>
      <c r="Y10233"/>
      <c r="Z10233"/>
      <c r="AA10233"/>
      <c r="AC10233"/>
      <c r="AR10233"/>
    </row>
    <row r="10234" spans="24:44">
      <c r="X10234"/>
      <c r="Y10234"/>
      <c r="Z10234"/>
      <c r="AA10234"/>
      <c r="AC10234"/>
      <c r="AR10234"/>
    </row>
    <row r="10235" spans="24:44">
      <c r="X10235"/>
      <c r="Y10235"/>
      <c r="Z10235"/>
      <c r="AA10235"/>
      <c r="AC10235"/>
      <c r="AR10235"/>
    </row>
    <row r="10236" spans="24:44">
      <c r="X10236"/>
      <c r="Y10236"/>
      <c r="Z10236"/>
      <c r="AA10236"/>
      <c r="AC10236"/>
      <c r="AR10236"/>
    </row>
    <row r="10237" spans="24:44">
      <c r="X10237"/>
      <c r="Y10237"/>
      <c r="Z10237"/>
      <c r="AA10237"/>
      <c r="AC10237"/>
      <c r="AR10237"/>
    </row>
    <row r="10238" spans="24:44">
      <c r="X10238"/>
      <c r="Y10238"/>
      <c r="Z10238"/>
      <c r="AA10238"/>
      <c r="AC10238"/>
      <c r="AR10238"/>
    </row>
    <row r="10239" spans="24:44">
      <c r="X10239"/>
      <c r="Y10239"/>
      <c r="Z10239"/>
      <c r="AA10239"/>
      <c r="AC10239"/>
      <c r="AR10239"/>
    </row>
    <row r="10240" spans="24:44">
      <c r="X10240"/>
      <c r="Y10240"/>
      <c r="Z10240"/>
      <c r="AA10240"/>
      <c r="AC10240"/>
      <c r="AR10240"/>
    </row>
    <row r="10241" spans="24:44">
      <c r="X10241"/>
      <c r="Y10241"/>
      <c r="Z10241"/>
      <c r="AA10241"/>
      <c r="AC10241"/>
      <c r="AR10241"/>
    </row>
    <row r="10242" spans="24:44">
      <c r="X10242"/>
      <c r="Y10242"/>
      <c r="Z10242"/>
      <c r="AA10242"/>
      <c r="AC10242"/>
      <c r="AR10242"/>
    </row>
    <row r="10243" spans="24:44">
      <c r="X10243"/>
      <c r="Y10243"/>
      <c r="Z10243"/>
      <c r="AA10243"/>
      <c r="AC10243"/>
      <c r="AR10243"/>
    </row>
    <row r="10244" spans="24:44">
      <c r="X10244"/>
      <c r="Y10244"/>
      <c r="Z10244"/>
      <c r="AA10244"/>
      <c r="AC10244"/>
      <c r="AR10244"/>
    </row>
    <row r="10245" spans="24:44">
      <c r="X10245"/>
      <c r="Y10245"/>
      <c r="Z10245"/>
      <c r="AA10245"/>
      <c r="AC10245"/>
      <c r="AR10245"/>
    </row>
    <row r="10246" spans="24:44">
      <c r="X10246"/>
      <c r="Y10246"/>
      <c r="Z10246"/>
      <c r="AA10246"/>
      <c r="AC10246"/>
      <c r="AR10246"/>
    </row>
    <row r="10247" spans="24:44">
      <c r="X10247"/>
      <c r="Y10247"/>
      <c r="Z10247"/>
      <c r="AA10247"/>
      <c r="AC10247"/>
      <c r="AR10247"/>
    </row>
    <row r="10248" spans="24:44">
      <c r="X10248"/>
      <c r="Y10248"/>
      <c r="Z10248"/>
      <c r="AA10248"/>
      <c r="AC10248"/>
      <c r="AR10248"/>
    </row>
    <row r="10249" spans="24:44">
      <c r="X10249"/>
      <c r="Y10249"/>
      <c r="Z10249"/>
      <c r="AA10249"/>
      <c r="AC10249"/>
      <c r="AR10249"/>
    </row>
    <row r="10250" spans="24:44">
      <c r="X10250"/>
      <c r="Y10250"/>
      <c r="Z10250"/>
      <c r="AA10250"/>
      <c r="AC10250"/>
      <c r="AR10250"/>
    </row>
    <row r="10251" spans="24:44">
      <c r="X10251"/>
      <c r="Y10251"/>
      <c r="Z10251"/>
      <c r="AA10251"/>
      <c r="AC10251"/>
      <c r="AR10251"/>
    </row>
    <row r="10252" spans="24:44">
      <c r="X10252"/>
      <c r="Y10252"/>
      <c r="Z10252"/>
      <c r="AA10252"/>
      <c r="AC10252"/>
      <c r="AR10252"/>
    </row>
    <row r="10253" spans="24:44">
      <c r="X10253"/>
      <c r="Y10253"/>
      <c r="Z10253"/>
      <c r="AA10253"/>
      <c r="AC10253"/>
      <c r="AR10253"/>
    </row>
    <row r="10254" spans="24:44">
      <c r="X10254"/>
      <c r="Y10254"/>
      <c r="Z10254"/>
      <c r="AA10254"/>
      <c r="AC10254"/>
      <c r="AR10254"/>
    </row>
    <row r="10255" spans="24:44">
      <c r="X10255"/>
      <c r="Y10255"/>
      <c r="Z10255"/>
      <c r="AA10255"/>
      <c r="AC10255"/>
      <c r="AR10255"/>
    </row>
    <row r="10256" spans="24:44">
      <c r="X10256"/>
      <c r="Y10256"/>
      <c r="Z10256"/>
      <c r="AA10256"/>
      <c r="AC10256"/>
      <c r="AR10256"/>
    </row>
    <row r="10257" spans="24:44">
      <c r="X10257"/>
      <c r="Y10257"/>
      <c r="Z10257"/>
      <c r="AA10257"/>
      <c r="AC10257"/>
      <c r="AR10257"/>
    </row>
    <row r="10258" spans="24:44">
      <c r="X10258"/>
      <c r="Y10258"/>
      <c r="Z10258"/>
      <c r="AA10258"/>
      <c r="AC10258"/>
      <c r="AR10258"/>
    </row>
    <row r="10259" spans="24:44">
      <c r="X10259"/>
      <c r="Y10259"/>
      <c r="Z10259"/>
      <c r="AA10259"/>
      <c r="AC10259"/>
      <c r="AR10259"/>
    </row>
    <row r="10260" spans="24:44">
      <c r="X10260"/>
      <c r="Y10260"/>
      <c r="Z10260"/>
      <c r="AA10260"/>
      <c r="AC10260"/>
      <c r="AR10260"/>
    </row>
    <row r="10261" spans="24:44">
      <c r="X10261"/>
      <c r="Y10261"/>
      <c r="Z10261"/>
      <c r="AA10261"/>
      <c r="AC10261"/>
      <c r="AR10261"/>
    </row>
    <row r="10262" spans="24:44">
      <c r="X10262"/>
      <c r="Y10262"/>
      <c r="Z10262"/>
      <c r="AA10262"/>
      <c r="AC10262"/>
      <c r="AR10262"/>
    </row>
    <row r="10263" spans="24:44">
      <c r="X10263"/>
      <c r="Y10263"/>
      <c r="Z10263"/>
      <c r="AA10263"/>
      <c r="AC10263"/>
      <c r="AR10263"/>
    </row>
    <row r="10264" spans="24:44">
      <c r="X10264"/>
      <c r="Y10264"/>
      <c r="Z10264"/>
      <c r="AA10264"/>
      <c r="AC10264"/>
      <c r="AR10264"/>
    </row>
    <row r="10265" spans="24:44">
      <c r="X10265"/>
      <c r="Y10265"/>
      <c r="Z10265"/>
      <c r="AA10265"/>
      <c r="AC10265"/>
      <c r="AR10265"/>
    </row>
    <row r="10266" spans="24:44">
      <c r="X10266"/>
      <c r="Y10266"/>
      <c r="Z10266"/>
      <c r="AA10266"/>
      <c r="AC10266"/>
      <c r="AR10266"/>
    </row>
    <row r="10267" spans="24:44">
      <c r="X10267"/>
      <c r="Y10267"/>
      <c r="Z10267"/>
      <c r="AA10267"/>
      <c r="AC10267"/>
      <c r="AR10267"/>
    </row>
    <row r="10268" spans="24:44">
      <c r="X10268"/>
      <c r="Y10268"/>
      <c r="Z10268"/>
      <c r="AA10268"/>
      <c r="AC10268"/>
      <c r="AR10268"/>
    </row>
    <row r="10269" spans="24:44">
      <c r="X10269"/>
      <c r="Y10269"/>
      <c r="Z10269"/>
      <c r="AA10269"/>
      <c r="AC10269"/>
      <c r="AR10269"/>
    </row>
    <row r="10270" spans="24:44">
      <c r="X10270"/>
      <c r="Y10270"/>
      <c r="Z10270"/>
      <c r="AA10270"/>
      <c r="AC10270"/>
      <c r="AR10270"/>
    </row>
    <row r="10271" spans="24:44">
      <c r="X10271"/>
      <c r="Y10271"/>
      <c r="Z10271"/>
      <c r="AA10271"/>
      <c r="AC10271"/>
      <c r="AR10271"/>
    </row>
    <row r="10272" spans="24:44">
      <c r="X10272"/>
      <c r="Y10272"/>
      <c r="Z10272"/>
      <c r="AA10272"/>
      <c r="AC10272"/>
      <c r="AR10272"/>
    </row>
    <row r="10273" spans="24:44">
      <c r="X10273"/>
      <c r="Y10273"/>
      <c r="Z10273"/>
      <c r="AA10273"/>
      <c r="AC10273"/>
      <c r="AR10273"/>
    </row>
    <row r="10274" spans="24:44">
      <c r="X10274"/>
      <c r="Y10274"/>
      <c r="Z10274"/>
      <c r="AA10274"/>
      <c r="AC10274"/>
      <c r="AR10274"/>
    </row>
    <row r="10275" spans="24:44">
      <c r="X10275"/>
      <c r="Y10275"/>
      <c r="Z10275"/>
      <c r="AA10275"/>
      <c r="AC10275"/>
      <c r="AR10275"/>
    </row>
    <row r="10276" spans="24:44">
      <c r="X10276"/>
      <c r="Y10276"/>
      <c r="Z10276"/>
      <c r="AA10276"/>
      <c r="AC10276"/>
      <c r="AR10276"/>
    </row>
    <row r="10277" spans="24:44">
      <c r="X10277"/>
      <c r="Y10277"/>
      <c r="Z10277"/>
      <c r="AA10277"/>
      <c r="AC10277"/>
      <c r="AR10277"/>
    </row>
    <row r="10278" spans="24:44">
      <c r="X10278"/>
      <c r="Y10278"/>
      <c r="Z10278"/>
      <c r="AA10278"/>
      <c r="AC10278"/>
      <c r="AR10278"/>
    </row>
    <row r="10279" spans="24:44">
      <c r="X10279"/>
      <c r="Y10279"/>
      <c r="Z10279"/>
      <c r="AA10279"/>
      <c r="AC10279"/>
      <c r="AR10279"/>
    </row>
    <row r="10280" spans="24:44">
      <c r="X10280"/>
      <c r="Y10280"/>
      <c r="Z10280"/>
      <c r="AA10280"/>
      <c r="AC10280"/>
      <c r="AR10280"/>
    </row>
    <row r="10281" spans="24:44">
      <c r="X10281"/>
      <c r="Y10281"/>
      <c r="Z10281"/>
      <c r="AA10281"/>
      <c r="AC10281"/>
      <c r="AR10281"/>
    </row>
    <row r="10282" spans="24:44">
      <c r="X10282"/>
      <c r="Y10282"/>
      <c r="Z10282"/>
      <c r="AA10282"/>
      <c r="AC10282"/>
      <c r="AR10282"/>
    </row>
    <row r="10283" spans="24:44">
      <c r="X10283"/>
      <c r="Y10283"/>
      <c r="Z10283"/>
      <c r="AA10283"/>
      <c r="AC10283"/>
      <c r="AR10283"/>
    </row>
    <row r="10284" spans="24:44">
      <c r="X10284"/>
      <c r="Y10284"/>
      <c r="Z10284"/>
      <c r="AA10284"/>
      <c r="AC10284"/>
      <c r="AR10284"/>
    </row>
    <row r="10285" spans="24:44">
      <c r="X10285"/>
      <c r="Y10285"/>
      <c r="Z10285"/>
      <c r="AA10285"/>
      <c r="AC10285"/>
      <c r="AR10285"/>
    </row>
    <row r="10286" spans="24:44">
      <c r="X10286"/>
      <c r="Y10286"/>
      <c r="Z10286"/>
      <c r="AA10286"/>
      <c r="AC10286"/>
      <c r="AR10286"/>
    </row>
    <row r="10287" spans="24:44">
      <c r="X10287"/>
      <c r="Y10287"/>
      <c r="Z10287"/>
      <c r="AA10287"/>
      <c r="AC10287"/>
      <c r="AR10287"/>
    </row>
    <row r="10288" spans="24:44">
      <c r="X10288"/>
      <c r="Y10288"/>
      <c r="Z10288"/>
      <c r="AA10288"/>
      <c r="AC10288"/>
      <c r="AR10288"/>
    </row>
    <row r="10289" spans="24:44">
      <c r="X10289"/>
      <c r="Y10289"/>
      <c r="Z10289"/>
      <c r="AA10289"/>
      <c r="AC10289"/>
      <c r="AR10289"/>
    </row>
    <row r="10290" spans="24:44">
      <c r="X10290"/>
      <c r="Y10290"/>
      <c r="Z10290"/>
      <c r="AA10290"/>
      <c r="AC10290"/>
      <c r="AR10290"/>
    </row>
    <row r="10291" spans="24:44">
      <c r="X10291"/>
      <c r="Y10291"/>
      <c r="Z10291"/>
      <c r="AA10291"/>
      <c r="AC10291"/>
      <c r="AR10291"/>
    </row>
    <row r="10292" spans="24:44">
      <c r="X10292"/>
      <c r="Y10292"/>
      <c r="Z10292"/>
      <c r="AA10292"/>
      <c r="AC10292"/>
      <c r="AR10292"/>
    </row>
    <row r="10293" spans="24:44">
      <c r="X10293"/>
      <c r="Y10293"/>
      <c r="Z10293"/>
      <c r="AA10293"/>
      <c r="AC10293"/>
      <c r="AR10293"/>
    </row>
    <row r="10294" spans="24:44">
      <c r="X10294"/>
      <c r="Y10294"/>
      <c r="Z10294"/>
      <c r="AA10294"/>
      <c r="AC10294"/>
      <c r="AR10294"/>
    </row>
    <row r="10295" spans="24:44">
      <c r="X10295"/>
      <c r="Y10295"/>
      <c r="Z10295"/>
      <c r="AA10295"/>
      <c r="AC10295"/>
      <c r="AR10295"/>
    </row>
    <row r="10296" spans="24:44">
      <c r="X10296"/>
      <c r="Y10296"/>
      <c r="Z10296"/>
      <c r="AA10296"/>
      <c r="AC10296"/>
      <c r="AR10296"/>
    </row>
    <row r="10297" spans="24:44">
      <c r="X10297"/>
      <c r="Y10297"/>
      <c r="Z10297"/>
      <c r="AA10297"/>
      <c r="AC10297"/>
      <c r="AR10297"/>
    </row>
    <row r="10298" spans="24:44">
      <c r="X10298"/>
      <c r="Y10298"/>
      <c r="Z10298"/>
      <c r="AA10298"/>
      <c r="AC10298"/>
      <c r="AR10298"/>
    </row>
    <row r="10299" spans="24:44">
      <c r="X10299"/>
      <c r="Y10299"/>
      <c r="Z10299"/>
      <c r="AA10299"/>
      <c r="AC10299"/>
      <c r="AR10299"/>
    </row>
    <row r="10300" spans="24:44">
      <c r="X10300"/>
      <c r="Y10300"/>
      <c r="Z10300"/>
      <c r="AA10300"/>
      <c r="AC10300"/>
      <c r="AR10300"/>
    </row>
    <row r="10301" spans="24:44">
      <c r="X10301"/>
      <c r="Y10301"/>
      <c r="Z10301"/>
      <c r="AA10301"/>
      <c r="AC10301"/>
      <c r="AR10301"/>
    </row>
    <row r="10302" spans="24:44">
      <c r="X10302"/>
      <c r="Y10302"/>
      <c r="Z10302"/>
      <c r="AA10302"/>
      <c r="AC10302"/>
      <c r="AR10302"/>
    </row>
    <row r="10303" spans="24:44">
      <c r="X10303"/>
      <c r="Y10303"/>
      <c r="Z10303"/>
      <c r="AA10303"/>
      <c r="AC10303"/>
      <c r="AR10303"/>
    </row>
    <row r="10304" spans="24:44">
      <c r="X10304"/>
      <c r="Y10304"/>
      <c r="Z10304"/>
      <c r="AA10304"/>
      <c r="AC10304"/>
      <c r="AR10304"/>
    </row>
    <row r="10305" spans="24:44">
      <c r="X10305"/>
      <c r="Y10305"/>
      <c r="Z10305"/>
      <c r="AA10305"/>
      <c r="AC10305"/>
      <c r="AR10305"/>
    </row>
    <row r="10306" spans="24:44">
      <c r="X10306"/>
      <c r="Y10306"/>
      <c r="Z10306"/>
      <c r="AA10306"/>
      <c r="AC10306"/>
      <c r="AR10306"/>
    </row>
    <row r="10307" spans="24:44">
      <c r="X10307"/>
      <c r="Y10307"/>
      <c r="Z10307"/>
      <c r="AA10307"/>
      <c r="AC10307"/>
      <c r="AR10307"/>
    </row>
    <row r="10308" spans="24:44">
      <c r="X10308"/>
      <c r="Y10308"/>
      <c r="Z10308"/>
      <c r="AA10308"/>
      <c r="AC10308"/>
      <c r="AR10308"/>
    </row>
    <row r="10309" spans="24:44">
      <c r="X10309"/>
      <c r="Y10309"/>
      <c r="Z10309"/>
      <c r="AA10309"/>
      <c r="AC10309"/>
      <c r="AR10309"/>
    </row>
    <row r="10310" spans="24:44">
      <c r="X10310"/>
      <c r="Y10310"/>
      <c r="Z10310"/>
      <c r="AA10310"/>
      <c r="AC10310"/>
      <c r="AR10310"/>
    </row>
    <row r="10311" spans="24:44">
      <c r="X10311"/>
      <c r="Y10311"/>
      <c r="Z10311"/>
      <c r="AA10311"/>
      <c r="AC10311"/>
      <c r="AR10311"/>
    </row>
    <row r="10312" spans="24:44">
      <c r="X10312"/>
      <c r="Y10312"/>
      <c r="Z10312"/>
      <c r="AA10312"/>
      <c r="AC10312"/>
      <c r="AR10312"/>
    </row>
    <row r="10313" spans="24:44">
      <c r="X10313"/>
      <c r="Y10313"/>
      <c r="Z10313"/>
      <c r="AA10313"/>
      <c r="AC10313"/>
      <c r="AR10313"/>
    </row>
    <row r="10314" spans="24:44">
      <c r="X10314"/>
      <c r="Y10314"/>
      <c r="Z10314"/>
      <c r="AA10314"/>
      <c r="AC10314"/>
      <c r="AR10314"/>
    </row>
    <row r="10315" spans="24:44">
      <c r="X10315"/>
      <c r="Y10315"/>
      <c r="Z10315"/>
      <c r="AA10315"/>
      <c r="AC10315"/>
      <c r="AR10315"/>
    </row>
    <row r="10316" spans="24:44">
      <c r="X10316"/>
      <c r="Y10316"/>
      <c r="Z10316"/>
      <c r="AA10316"/>
      <c r="AC10316"/>
      <c r="AR10316"/>
    </row>
    <row r="10317" spans="24:44">
      <c r="X10317"/>
      <c r="Y10317"/>
      <c r="Z10317"/>
      <c r="AA10317"/>
      <c r="AC10317"/>
      <c r="AR10317"/>
    </row>
    <row r="10318" spans="24:44">
      <c r="X10318"/>
      <c r="Y10318"/>
      <c r="Z10318"/>
      <c r="AA10318"/>
      <c r="AC10318"/>
      <c r="AR10318"/>
    </row>
    <row r="10319" spans="24:44">
      <c r="X10319"/>
      <c r="Y10319"/>
      <c r="Z10319"/>
      <c r="AA10319"/>
      <c r="AC10319"/>
      <c r="AR10319"/>
    </row>
    <row r="10320" spans="24:44">
      <c r="X10320"/>
      <c r="Y10320"/>
      <c r="Z10320"/>
      <c r="AA10320"/>
      <c r="AC10320"/>
      <c r="AR10320"/>
    </row>
    <row r="10321" spans="24:44">
      <c r="X10321"/>
      <c r="Y10321"/>
      <c r="Z10321"/>
      <c r="AA10321"/>
      <c r="AC10321"/>
      <c r="AR10321"/>
    </row>
    <row r="10322" spans="24:44">
      <c r="X10322"/>
      <c r="Y10322"/>
      <c r="Z10322"/>
      <c r="AA10322"/>
      <c r="AC10322"/>
      <c r="AR10322"/>
    </row>
    <row r="10323" spans="24:44">
      <c r="X10323"/>
      <c r="Y10323"/>
      <c r="Z10323"/>
      <c r="AA10323"/>
      <c r="AC10323"/>
      <c r="AR10323"/>
    </row>
    <row r="10324" spans="24:44">
      <c r="X10324"/>
      <c r="Y10324"/>
      <c r="Z10324"/>
      <c r="AA10324"/>
      <c r="AC10324"/>
      <c r="AR10324"/>
    </row>
    <row r="10325" spans="24:44">
      <c r="X10325"/>
      <c r="Y10325"/>
      <c r="Z10325"/>
      <c r="AA10325"/>
      <c r="AC10325"/>
      <c r="AR10325"/>
    </row>
    <row r="10326" spans="24:44">
      <c r="X10326"/>
      <c r="Y10326"/>
      <c r="Z10326"/>
      <c r="AA10326"/>
      <c r="AC10326"/>
      <c r="AR10326"/>
    </row>
    <row r="10327" spans="24:44">
      <c r="X10327"/>
      <c r="Y10327"/>
      <c r="Z10327"/>
      <c r="AA10327"/>
      <c r="AC10327"/>
      <c r="AR10327"/>
    </row>
    <row r="10328" spans="24:44">
      <c r="X10328"/>
      <c r="Y10328"/>
      <c r="Z10328"/>
      <c r="AA10328"/>
      <c r="AC10328"/>
      <c r="AR10328"/>
    </row>
    <row r="10329" spans="24:44">
      <c r="X10329"/>
      <c r="Y10329"/>
      <c r="Z10329"/>
      <c r="AA10329"/>
      <c r="AC10329"/>
      <c r="AR10329"/>
    </row>
    <row r="10330" spans="24:44">
      <c r="X10330"/>
      <c r="Y10330"/>
      <c r="Z10330"/>
      <c r="AA10330"/>
      <c r="AC10330"/>
      <c r="AR10330"/>
    </row>
    <row r="10331" spans="24:44">
      <c r="X10331"/>
      <c r="Y10331"/>
      <c r="Z10331"/>
      <c r="AA10331"/>
      <c r="AC10331"/>
      <c r="AR10331"/>
    </row>
    <row r="10332" spans="24:44">
      <c r="X10332"/>
      <c r="Y10332"/>
      <c r="Z10332"/>
      <c r="AA10332"/>
      <c r="AC10332"/>
      <c r="AR10332"/>
    </row>
    <row r="10333" spans="24:44">
      <c r="X10333"/>
      <c r="Y10333"/>
      <c r="Z10333"/>
      <c r="AA10333"/>
      <c r="AC10333"/>
      <c r="AR10333"/>
    </row>
    <row r="10334" spans="24:44">
      <c r="X10334"/>
      <c r="Y10334"/>
      <c r="Z10334"/>
      <c r="AA10334"/>
      <c r="AC10334"/>
      <c r="AR10334"/>
    </row>
    <row r="10335" spans="24:44">
      <c r="X10335"/>
      <c r="Y10335"/>
      <c r="Z10335"/>
      <c r="AA10335"/>
      <c r="AC10335"/>
      <c r="AR10335"/>
    </row>
    <row r="10336" spans="24:44">
      <c r="X10336"/>
      <c r="Y10336"/>
      <c r="Z10336"/>
      <c r="AA10336"/>
      <c r="AC10336"/>
      <c r="AR10336"/>
    </row>
    <row r="10337" spans="24:44">
      <c r="X10337"/>
      <c r="Y10337"/>
      <c r="Z10337"/>
      <c r="AA10337"/>
      <c r="AC10337"/>
      <c r="AR10337"/>
    </row>
    <row r="10338" spans="24:44">
      <c r="X10338"/>
      <c r="Y10338"/>
      <c r="Z10338"/>
      <c r="AA10338"/>
      <c r="AC10338"/>
      <c r="AR10338"/>
    </row>
    <row r="10339" spans="24:44">
      <c r="X10339"/>
      <c r="Y10339"/>
      <c r="Z10339"/>
      <c r="AA10339"/>
      <c r="AC10339"/>
      <c r="AR10339"/>
    </row>
    <row r="10340" spans="24:44">
      <c r="X10340"/>
      <c r="Y10340"/>
      <c r="Z10340"/>
      <c r="AA10340"/>
      <c r="AC10340"/>
      <c r="AR10340"/>
    </row>
    <row r="10341" spans="24:44">
      <c r="X10341"/>
      <c r="Y10341"/>
      <c r="Z10341"/>
      <c r="AA10341"/>
      <c r="AC10341"/>
      <c r="AR10341"/>
    </row>
    <row r="10342" spans="24:44">
      <c r="X10342"/>
      <c r="Y10342"/>
      <c r="Z10342"/>
      <c r="AA10342"/>
      <c r="AC10342"/>
      <c r="AR10342"/>
    </row>
    <row r="10343" spans="24:44">
      <c r="X10343"/>
      <c r="Y10343"/>
      <c r="Z10343"/>
      <c r="AA10343"/>
      <c r="AC10343"/>
      <c r="AR10343"/>
    </row>
    <row r="10344" spans="24:44">
      <c r="X10344"/>
      <c r="Y10344"/>
      <c r="Z10344"/>
      <c r="AA10344"/>
      <c r="AC10344"/>
      <c r="AR10344"/>
    </row>
    <row r="10345" spans="24:44">
      <c r="X10345"/>
      <c r="Y10345"/>
      <c r="Z10345"/>
      <c r="AA10345"/>
      <c r="AC10345"/>
      <c r="AR10345"/>
    </row>
    <row r="10346" spans="24:44">
      <c r="X10346"/>
      <c r="Y10346"/>
      <c r="Z10346"/>
      <c r="AA10346"/>
      <c r="AC10346"/>
      <c r="AR10346"/>
    </row>
    <row r="10347" spans="24:44">
      <c r="X10347"/>
      <c r="Y10347"/>
      <c r="Z10347"/>
      <c r="AA10347"/>
      <c r="AC10347"/>
      <c r="AR10347"/>
    </row>
    <row r="10348" spans="24:44">
      <c r="X10348"/>
      <c r="Y10348"/>
      <c r="Z10348"/>
      <c r="AA10348"/>
      <c r="AC10348"/>
      <c r="AR10348"/>
    </row>
    <row r="10349" spans="24:44">
      <c r="X10349"/>
      <c r="Y10349"/>
      <c r="Z10349"/>
      <c r="AA10349"/>
      <c r="AC10349"/>
      <c r="AR10349"/>
    </row>
    <row r="10350" spans="24:44">
      <c r="X10350"/>
      <c r="Y10350"/>
      <c r="Z10350"/>
      <c r="AA10350"/>
      <c r="AC10350"/>
      <c r="AR10350"/>
    </row>
    <row r="10351" spans="24:44">
      <c r="X10351"/>
      <c r="Y10351"/>
      <c r="Z10351"/>
      <c r="AA10351"/>
      <c r="AC10351"/>
      <c r="AR10351"/>
    </row>
    <row r="10352" spans="24:44">
      <c r="X10352"/>
      <c r="Y10352"/>
      <c r="Z10352"/>
      <c r="AA10352"/>
      <c r="AC10352"/>
      <c r="AR10352"/>
    </row>
    <row r="10353" spans="24:44">
      <c r="X10353"/>
      <c r="Y10353"/>
      <c r="Z10353"/>
      <c r="AA10353"/>
      <c r="AC10353"/>
      <c r="AR10353"/>
    </row>
    <row r="10354" spans="24:44">
      <c r="X10354"/>
      <c r="Y10354"/>
      <c r="Z10354"/>
      <c r="AA10354"/>
      <c r="AC10354"/>
      <c r="AR10354"/>
    </row>
    <row r="10355" spans="24:44">
      <c r="X10355"/>
      <c r="Y10355"/>
      <c r="Z10355"/>
      <c r="AA10355"/>
      <c r="AC10355"/>
      <c r="AR10355"/>
    </row>
    <row r="10356" spans="24:44">
      <c r="X10356"/>
      <c r="Y10356"/>
      <c r="Z10356"/>
      <c r="AA10356"/>
      <c r="AC10356"/>
      <c r="AR10356"/>
    </row>
    <row r="10357" spans="24:44">
      <c r="X10357"/>
      <c r="Y10357"/>
      <c r="Z10357"/>
      <c r="AA10357"/>
      <c r="AC10357"/>
      <c r="AR10357"/>
    </row>
    <row r="10358" spans="24:44">
      <c r="X10358"/>
      <c r="Y10358"/>
      <c r="Z10358"/>
      <c r="AA10358"/>
      <c r="AC10358"/>
      <c r="AR10358"/>
    </row>
    <row r="10359" spans="24:44">
      <c r="X10359"/>
      <c r="Y10359"/>
      <c r="Z10359"/>
      <c r="AA10359"/>
      <c r="AC10359"/>
      <c r="AR10359"/>
    </row>
    <row r="10360" spans="24:44">
      <c r="X10360"/>
      <c r="Y10360"/>
      <c r="Z10360"/>
      <c r="AA10360"/>
      <c r="AC10360"/>
      <c r="AR10360"/>
    </row>
    <row r="10361" spans="24:44">
      <c r="X10361"/>
      <c r="Y10361"/>
      <c r="Z10361"/>
      <c r="AA10361"/>
      <c r="AC10361"/>
      <c r="AR10361"/>
    </row>
    <row r="10362" spans="24:44">
      <c r="X10362"/>
      <c r="Y10362"/>
      <c r="Z10362"/>
      <c r="AA10362"/>
      <c r="AC10362"/>
      <c r="AR10362"/>
    </row>
    <row r="10363" spans="24:44">
      <c r="X10363"/>
      <c r="Y10363"/>
      <c r="Z10363"/>
      <c r="AA10363"/>
      <c r="AC10363"/>
      <c r="AR10363"/>
    </row>
    <row r="10364" spans="24:44">
      <c r="X10364"/>
      <c r="Y10364"/>
      <c r="Z10364"/>
      <c r="AA10364"/>
      <c r="AC10364"/>
      <c r="AR10364"/>
    </row>
    <row r="10365" spans="24:44">
      <c r="X10365"/>
      <c r="Y10365"/>
      <c r="Z10365"/>
      <c r="AA10365"/>
      <c r="AC10365"/>
      <c r="AR10365"/>
    </row>
    <row r="10366" spans="24:44">
      <c r="X10366"/>
      <c r="Y10366"/>
      <c r="Z10366"/>
      <c r="AA10366"/>
      <c r="AC10366"/>
      <c r="AR10366"/>
    </row>
    <row r="10367" spans="24:44">
      <c r="X10367"/>
      <c r="Y10367"/>
      <c r="Z10367"/>
      <c r="AA10367"/>
      <c r="AC10367"/>
      <c r="AR10367"/>
    </row>
    <row r="10368" spans="24:44">
      <c r="X10368"/>
      <c r="Y10368"/>
      <c r="Z10368"/>
      <c r="AA10368"/>
      <c r="AC10368"/>
      <c r="AR10368"/>
    </row>
    <row r="10369" spans="24:44">
      <c r="X10369"/>
      <c r="Y10369"/>
      <c r="Z10369"/>
      <c r="AA10369"/>
      <c r="AC10369"/>
      <c r="AR10369"/>
    </row>
    <row r="10370" spans="24:44">
      <c r="X10370"/>
      <c r="Y10370"/>
      <c r="Z10370"/>
      <c r="AA10370"/>
      <c r="AC10370"/>
      <c r="AR10370"/>
    </row>
    <row r="10371" spans="24:44">
      <c r="X10371"/>
      <c r="Y10371"/>
      <c r="Z10371"/>
      <c r="AA10371"/>
      <c r="AC10371"/>
      <c r="AR10371"/>
    </row>
    <row r="10372" spans="24:44">
      <c r="X10372"/>
      <c r="Y10372"/>
      <c r="Z10372"/>
      <c r="AA10372"/>
      <c r="AC10372"/>
      <c r="AR10372"/>
    </row>
    <row r="10373" spans="24:44">
      <c r="X10373"/>
      <c r="Y10373"/>
      <c r="Z10373"/>
      <c r="AA10373"/>
      <c r="AC10373"/>
      <c r="AR10373"/>
    </row>
    <row r="10374" spans="24:44">
      <c r="X10374"/>
      <c r="Y10374"/>
      <c r="Z10374"/>
      <c r="AA10374"/>
      <c r="AC10374"/>
      <c r="AR10374"/>
    </row>
    <row r="10375" spans="24:44">
      <c r="X10375"/>
      <c r="Y10375"/>
      <c r="Z10375"/>
      <c r="AA10375"/>
      <c r="AC10375"/>
      <c r="AR10375"/>
    </row>
    <row r="10376" spans="24:44">
      <c r="X10376"/>
      <c r="Y10376"/>
      <c r="Z10376"/>
      <c r="AA10376"/>
      <c r="AC10376"/>
      <c r="AR10376"/>
    </row>
    <row r="10377" spans="24:44">
      <c r="X10377"/>
      <c r="Y10377"/>
      <c r="Z10377"/>
      <c r="AA10377"/>
      <c r="AC10377"/>
      <c r="AR10377"/>
    </row>
    <row r="10378" spans="24:44">
      <c r="X10378"/>
      <c r="Y10378"/>
      <c r="Z10378"/>
      <c r="AA10378"/>
      <c r="AC10378"/>
      <c r="AR10378"/>
    </row>
    <row r="10379" spans="24:44">
      <c r="X10379"/>
      <c r="Y10379"/>
      <c r="Z10379"/>
      <c r="AA10379"/>
      <c r="AC10379"/>
      <c r="AR10379"/>
    </row>
    <row r="10380" spans="24:44">
      <c r="X10380"/>
      <c r="Y10380"/>
      <c r="Z10380"/>
      <c r="AA10380"/>
      <c r="AC10380"/>
      <c r="AR10380"/>
    </row>
    <row r="10381" spans="24:44">
      <c r="X10381"/>
      <c r="Y10381"/>
      <c r="Z10381"/>
      <c r="AA10381"/>
      <c r="AC10381"/>
      <c r="AR10381"/>
    </row>
    <row r="10382" spans="24:44">
      <c r="X10382"/>
      <c r="Y10382"/>
      <c r="Z10382"/>
      <c r="AA10382"/>
      <c r="AC10382"/>
      <c r="AR10382"/>
    </row>
    <row r="10383" spans="24:44">
      <c r="X10383"/>
      <c r="Y10383"/>
      <c r="Z10383"/>
      <c r="AA10383"/>
      <c r="AC10383"/>
      <c r="AR10383"/>
    </row>
    <row r="10384" spans="24:44">
      <c r="X10384"/>
      <c r="Y10384"/>
      <c r="Z10384"/>
      <c r="AA10384"/>
      <c r="AC10384"/>
      <c r="AR10384"/>
    </row>
    <row r="10385" spans="24:44">
      <c r="X10385"/>
      <c r="Y10385"/>
      <c r="Z10385"/>
      <c r="AA10385"/>
      <c r="AC10385"/>
      <c r="AR10385"/>
    </row>
    <row r="10386" spans="24:44">
      <c r="X10386"/>
      <c r="Y10386"/>
      <c r="Z10386"/>
      <c r="AA10386"/>
      <c r="AC10386"/>
      <c r="AR10386"/>
    </row>
    <row r="10387" spans="24:44">
      <c r="X10387"/>
      <c r="Y10387"/>
      <c r="Z10387"/>
      <c r="AA10387"/>
      <c r="AC10387"/>
      <c r="AR10387"/>
    </row>
    <row r="10388" spans="24:44">
      <c r="X10388"/>
      <c r="Y10388"/>
      <c r="Z10388"/>
      <c r="AA10388"/>
      <c r="AC10388"/>
      <c r="AR10388"/>
    </row>
    <row r="10389" spans="24:44">
      <c r="X10389"/>
      <c r="Y10389"/>
      <c r="Z10389"/>
      <c r="AA10389"/>
      <c r="AC10389"/>
      <c r="AR10389"/>
    </row>
    <row r="10390" spans="24:44">
      <c r="X10390"/>
      <c r="Y10390"/>
      <c r="Z10390"/>
      <c r="AA10390"/>
      <c r="AC10390"/>
      <c r="AR10390"/>
    </row>
    <row r="10391" spans="24:44">
      <c r="X10391"/>
      <c r="Y10391"/>
      <c r="Z10391"/>
      <c r="AA10391"/>
      <c r="AC10391"/>
      <c r="AR10391"/>
    </row>
    <row r="10392" spans="24:44">
      <c r="X10392"/>
      <c r="Y10392"/>
      <c r="Z10392"/>
      <c r="AA10392"/>
      <c r="AC10392"/>
      <c r="AR10392"/>
    </row>
    <row r="10393" spans="24:44">
      <c r="X10393"/>
      <c r="Y10393"/>
      <c r="Z10393"/>
      <c r="AA10393"/>
      <c r="AC10393"/>
      <c r="AR10393"/>
    </row>
    <row r="10394" spans="24:44">
      <c r="X10394"/>
      <c r="Y10394"/>
      <c r="Z10394"/>
      <c r="AA10394"/>
      <c r="AC10394"/>
      <c r="AR10394"/>
    </row>
    <row r="10395" spans="24:44">
      <c r="X10395"/>
      <c r="Y10395"/>
      <c r="Z10395"/>
      <c r="AA10395"/>
      <c r="AC10395"/>
      <c r="AR10395"/>
    </row>
    <row r="10396" spans="24:44">
      <c r="X10396"/>
      <c r="Y10396"/>
      <c r="Z10396"/>
      <c r="AA10396"/>
      <c r="AC10396"/>
      <c r="AR10396"/>
    </row>
    <row r="10397" spans="24:44">
      <c r="X10397"/>
      <c r="Y10397"/>
      <c r="Z10397"/>
      <c r="AA10397"/>
      <c r="AC10397"/>
      <c r="AR10397"/>
    </row>
    <row r="10398" spans="24:44">
      <c r="X10398"/>
      <c r="Y10398"/>
      <c r="Z10398"/>
      <c r="AA10398"/>
      <c r="AC10398"/>
      <c r="AR10398"/>
    </row>
    <row r="10399" spans="24:44">
      <c r="X10399"/>
      <c r="Y10399"/>
      <c r="Z10399"/>
      <c r="AA10399"/>
      <c r="AC10399"/>
      <c r="AR10399"/>
    </row>
    <row r="10400" spans="24:44">
      <c r="X10400"/>
      <c r="Y10400"/>
      <c r="Z10400"/>
      <c r="AA10400"/>
      <c r="AC10400"/>
      <c r="AR10400"/>
    </row>
    <row r="10401" spans="24:44">
      <c r="X10401"/>
      <c r="Y10401"/>
      <c r="Z10401"/>
      <c r="AA10401"/>
      <c r="AC10401"/>
      <c r="AR10401"/>
    </row>
    <row r="10402" spans="24:44">
      <c r="X10402"/>
      <c r="Y10402"/>
      <c r="Z10402"/>
      <c r="AA10402"/>
      <c r="AC10402"/>
      <c r="AR10402"/>
    </row>
    <row r="10403" spans="24:44">
      <c r="X10403"/>
      <c r="Y10403"/>
      <c r="Z10403"/>
      <c r="AA10403"/>
      <c r="AC10403"/>
      <c r="AR10403"/>
    </row>
    <row r="10404" spans="24:44">
      <c r="X10404"/>
      <c r="Y10404"/>
      <c r="Z10404"/>
      <c r="AA10404"/>
      <c r="AC10404"/>
      <c r="AR10404"/>
    </row>
    <row r="10405" spans="24:44">
      <c r="X10405"/>
      <c r="Y10405"/>
      <c r="Z10405"/>
      <c r="AA10405"/>
      <c r="AC10405"/>
      <c r="AR10405"/>
    </row>
    <row r="10406" spans="24:44">
      <c r="X10406"/>
      <c r="Y10406"/>
      <c r="Z10406"/>
      <c r="AA10406"/>
      <c r="AC10406"/>
      <c r="AR10406"/>
    </row>
    <row r="10407" spans="24:44">
      <c r="X10407"/>
      <c r="Y10407"/>
      <c r="Z10407"/>
      <c r="AA10407"/>
      <c r="AC10407"/>
      <c r="AR10407"/>
    </row>
    <row r="10408" spans="24:44">
      <c r="X10408"/>
      <c r="Y10408"/>
      <c r="Z10408"/>
      <c r="AA10408"/>
      <c r="AC10408"/>
      <c r="AR10408"/>
    </row>
    <row r="10409" spans="24:44">
      <c r="X10409"/>
      <c r="Y10409"/>
      <c r="Z10409"/>
      <c r="AA10409"/>
      <c r="AC10409"/>
      <c r="AR10409"/>
    </row>
    <row r="10410" spans="24:44">
      <c r="X10410"/>
      <c r="Y10410"/>
      <c r="Z10410"/>
      <c r="AA10410"/>
      <c r="AC10410"/>
      <c r="AR10410"/>
    </row>
    <row r="10411" spans="24:44">
      <c r="X10411"/>
      <c r="Y10411"/>
      <c r="Z10411"/>
      <c r="AA10411"/>
      <c r="AC10411"/>
      <c r="AR10411"/>
    </row>
    <row r="10412" spans="24:44">
      <c r="X10412"/>
      <c r="Y10412"/>
      <c r="Z10412"/>
      <c r="AA10412"/>
      <c r="AC10412"/>
      <c r="AR10412"/>
    </row>
    <row r="10413" spans="24:44">
      <c r="X10413"/>
      <c r="Y10413"/>
      <c r="Z10413"/>
      <c r="AA10413"/>
      <c r="AC10413"/>
      <c r="AR10413"/>
    </row>
    <row r="10414" spans="24:44">
      <c r="X10414"/>
      <c r="Y10414"/>
      <c r="Z10414"/>
      <c r="AA10414"/>
      <c r="AC10414"/>
      <c r="AR10414"/>
    </row>
    <row r="10415" spans="24:44">
      <c r="X10415"/>
      <c r="Y10415"/>
      <c r="Z10415"/>
      <c r="AA10415"/>
      <c r="AC10415"/>
      <c r="AR10415"/>
    </row>
    <row r="10416" spans="24:44">
      <c r="X10416"/>
      <c r="Y10416"/>
      <c r="Z10416"/>
      <c r="AA10416"/>
      <c r="AC10416"/>
      <c r="AR10416"/>
    </row>
    <row r="10417" spans="24:44">
      <c r="X10417"/>
      <c r="Y10417"/>
      <c r="Z10417"/>
      <c r="AA10417"/>
      <c r="AC10417"/>
      <c r="AR10417"/>
    </row>
    <row r="10418" spans="24:44">
      <c r="X10418"/>
      <c r="Y10418"/>
      <c r="Z10418"/>
      <c r="AA10418"/>
      <c r="AC10418"/>
      <c r="AR10418"/>
    </row>
    <row r="10419" spans="24:44">
      <c r="X10419"/>
      <c r="Y10419"/>
      <c r="Z10419"/>
      <c r="AA10419"/>
      <c r="AC10419"/>
      <c r="AR10419"/>
    </row>
    <row r="10420" spans="24:44">
      <c r="X10420"/>
      <c r="Y10420"/>
      <c r="Z10420"/>
      <c r="AA10420"/>
      <c r="AC10420"/>
      <c r="AR10420"/>
    </row>
    <row r="10421" spans="24:44">
      <c r="X10421"/>
      <c r="Y10421"/>
      <c r="Z10421"/>
      <c r="AA10421"/>
      <c r="AC10421"/>
      <c r="AR10421"/>
    </row>
    <row r="10422" spans="24:44">
      <c r="X10422"/>
      <c r="Y10422"/>
      <c r="Z10422"/>
      <c r="AA10422"/>
      <c r="AC10422"/>
      <c r="AR10422"/>
    </row>
    <row r="10423" spans="24:44">
      <c r="X10423"/>
      <c r="Y10423"/>
      <c r="Z10423"/>
      <c r="AA10423"/>
      <c r="AC10423"/>
      <c r="AR10423"/>
    </row>
    <row r="10424" spans="24:44">
      <c r="X10424"/>
      <c r="Y10424"/>
      <c r="Z10424"/>
      <c r="AA10424"/>
      <c r="AC10424"/>
      <c r="AR10424"/>
    </row>
    <row r="10425" spans="24:44">
      <c r="X10425"/>
      <c r="Y10425"/>
      <c r="Z10425"/>
      <c r="AA10425"/>
      <c r="AC10425"/>
      <c r="AR10425"/>
    </row>
    <row r="10426" spans="24:44">
      <c r="X10426"/>
      <c r="Y10426"/>
      <c r="Z10426"/>
      <c r="AA10426"/>
      <c r="AC10426"/>
      <c r="AR10426"/>
    </row>
    <row r="10427" spans="24:44">
      <c r="X10427"/>
      <c r="Y10427"/>
      <c r="Z10427"/>
      <c r="AA10427"/>
      <c r="AC10427"/>
      <c r="AR10427"/>
    </row>
    <row r="10428" spans="24:44">
      <c r="X10428"/>
      <c r="Y10428"/>
      <c r="Z10428"/>
      <c r="AA10428"/>
      <c r="AC10428"/>
      <c r="AR10428"/>
    </row>
    <row r="10429" spans="24:44">
      <c r="X10429"/>
      <c r="Y10429"/>
      <c r="Z10429"/>
      <c r="AA10429"/>
      <c r="AC10429"/>
      <c r="AR10429"/>
    </row>
    <row r="10430" spans="24:44">
      <c r="X10430"/>
      <c r="Y10430"/>
      <c r="Z10430"/>
      <c r="AA10430"/>
      <c r="AC10430"/>
      <c r="AR10430"/>
    </row>
    <row r="10431" spans="24:44">
      <c r="X10431"/>
      <c r="Y10431"/>
      <c r="Z10431"/>
      <c r="AA10431"/>
      <c r="AC10431"/>
      <c r="AR10431"/>
    </row>
    <row r="10432" spans="24:44">
      <c r="X10432"/>
      <c r="Y10432"/>
      <c r="Z10432"/>
      <c r="AA10432"/>
      <c r="AC10432"/>
      <c r="AR10432"/>
    </row>
    <row r="10433" spans="24:44">
      <c r="X10433"/>
      <c r="Y10433"/>
      <c r="Z10433"/>
      <c r="AA10433"/>
      <c r="AC10433"/>
      <c r="AR10433"/>
    </row>
    <row r="10434" spans="24:44">
      <c r="X10434"/>
      <c r="Y10434"/>
      <c r="Z10434"/>
      <c r="AA10434"/>
      <c r="AC10434"/>
      <c r="AR10434"/>
    </row>
    <row r="10435" spans="24:44">
      <c r="X10435"/>
      <c r="Y10435"/>
      <c r="Z10435"/>
      <c r="AA10435"/>
      <c r="AC10435"/>
      <c r="AR10435"/>
    </row>
    <row r="10436" spans="24:44">
      <c r="X10436"/>
      <c r="Y10436"/>
      <c r="Z10436"/>
      <c r="AA10436"/>
      <c r="AC10436"/>
      <c r="AR10436"/>
    </row>
    <row r="10437" spans="24:44">
      <c r="X10437"/>
      <c r="Y10437"/>
      <c r="Z10437"/>
      <c r="AA10437"/>
      <c r="AC10437"/>
      <c r="AR10437"/>
    </row>
    <row r="10438" spans="24:44">
      <c r="X10438"/>
      <c r="Y10438"/>
      <c r="Z10438"/>
      <c r="AA10438"/>
      <c r="AC10438"/>
      <c r="AR10438"/>
    </row>
    <row r="10439" spans="24:44">
      <c r="X10439"/>
      <c r="Y10439"/>
      <c r="Z10439"/>
      <c r="AA10439"/>
      <c r="AC10439"/>
      <c r="AR10439"/>
    </row>
    <row r="10440" spans="24:44">
      <c r="X10440"/>
      <c r="Y10440"/>
      <c r="Z10440"/>
      <c r="AA10440"/>
      <c r="AC10440"/>
      <c r="AR10440"/>
    </row>
    <row r="10441" spans="24:44">
      <c r="X10441"/>
      <c r="Y10441"/>
      <c r="Z10441"/>
      <c r="AA10441"/>
      <c r="AC10441"/>
      <c r="AR10441"/>
    </row>
    <row r="10442" spans="24:44">
      <c r="X10442"/>
      <c r="Y10442"/>
      <c r="Z10442"/>
      <c r="AA10442"/>
      <c r="AC10442"/>
      <c r="AR10442"/>
    </row>
    <row r="10443" spans="24:44">
      <c r="X10443"/>
      <c r="Y10443"/>
      <c r="Z10443"/>
      <c r="AA10443"/>
      <c r="AC10443"/>
      <c r="AR10443"/>
    </row>
    <row r="10444" spans="24:44">
      <c r="X10444"/>
      <c r="Y10444"/>
      <c r="Z10444"/>
      <c r="AA10444"/>
      <c r="AC10444"/>
      <c r="AR10444"/>
    </row>
    <row r="10445" spans="24:44">
      <c r="X10445"/>
      <c r="Y10445"/>
      <c r="Z10445"/>
      <c r="AA10445"/>
      <c r="AC10445"/>
      <c r="AR10445"/>
    </row>
    <row r="10446" spans="24:44">
      <c r="X10446"/>
      <c r="Y10446"/>
      <c r="Z10446"/>
      <c r="AA10446"/>
      <c r="AC10446"/>
      <c r="AR10446"/>
    </row>
    <row r="10447" spans="24:44">
      <c r="X10447"/>
      <c r="Y10447"/>
      <c r="Z10447"/>
      <c r="AA10447"/>
      <c r="AC10447"/>
      <c r="AR10447"/>
    </row>
    <row r="10448" spans="24:44">
      <c r="X10448"/>
      <c r="Y10448"/>
      <c r="Z10448"/>
      <c r="AA10448"/>
      <c r="AC10448"/>
      <c r="AR10448"/>
    </row>
    <row r="10449" spans="24:44">
      <c r="X10449"/>
      <c r="Y10449"/>
      <c r="Z10449"/>
      <c r="AA10449"/>
      <c r="AC10449"/>
      <c r="AR10449"/>
    </row>
    <row r="10450" spans="24:44">
      <c r="X10450"/>
      <c r="Y10450"/>
      <c r="Z10450"/>
      <c r="AA10450"/>
      <c r="AC10450"/>
      <c r="AR10450"/>
    </row>
    <row r="10451" spans="24:44">
      <c r="X10451"/>
      <c r="Y10451"/>
      <c r="Z10451"/>
      <c r="AA10451"/>
      <c r="AC10451"/>
      <c r="AR10451"/>
    </row>
    <row r="10452" spans="24:44">
      <c r="X10452"/>
      <c r="Y10452"/>
      <c r="Z10452"/>
      <c r="AA10452"/>
      <c r="AC10452"/>
      <c r="AR10452"/>
    </row>
    <row r="10453" spans="24:44">
      <c r="X10453"/>
      <c r="Y10453"/>
      <c r="Z10453"/>
      <c r="AA10453"/>
      <c r="AC10453"/>
      <c r="AR10453"/>
    </row>
    <row r="10454" spans="24:44">
      <c r="X10454"/>
      <c r="Y10454"/>
      <c r="Z10454"/>
      <c r="AA10454"/>
      <c r="AC10454"/>
      <c r="AR10454"/>
    </row>
    <row r="10455" spans="24:44">
      <c r="X10455"/>
      <c r="Y10455"/>
      <c r="Z10455"/>
      <c r="AA10455"/>
      <c r="AC10455"/>
      <c r="AR10455"/>
    </row>
    <row r="10456" spans="24:44">
      <c r="X10456"/>
      <c r="Y10456"/>
      <c r="Z10456"/>
      <c r="AA10456"/>
      <c r="AC10456"/>
      <c r="AR10456"/>
    </row>
    <row r="10457" spans="24:44">
      <c r="X10457"/>
      <c r="Y10457"/>
      <c r="Z10457"/>
      <c r="AA10457"/>
      <c r="AC10457"/>
      <c r="AR10457"/>
    </row>
    <row r="10458" spans="24:44">
      <c r="X10458"/>
      <c r="Y10458"/>
      <c r="Z10458"/>
      <c r="AA10458"/>
      <c r="AC10458"/>
      <c r="AR10458"/>
    </row>
    <row r="10459" spans="24:44">
      <c r="X10459"/>
      <c r="Y10459"/>
      <c r="Z10459"/>
      <c r="AA10459"/>
      <c r="AC10459"/>
      <c r="AR10459"/>
    </row>
    <row r="10460" spans="24:44">
      <c r="X10460"/>
      <c r="Y10460"/>
      <c r="Z10460"/>
      <c r="AA10460"/>
      <c r="AC10460"/>
      <c r="AR10460"/>
    </row>
    <row r="10461" spans="24:44">
      <c r="X10461"/>
      <c r="Y10461"/>
      <c r="Z10461"/>
      <c r="AA10461"/>
      <c r="AC10461"/>
      <c r="AR10461"/>
    </row>
    <row r="10462" spans="24:44">
      <c r="X10462"/>
      <c r="Y10462"/>
      <c r="Z10462"/>
      <c r="AA10462"/>
      <c r="AC10462"/>
      <c r="AR10462"/>
    </row>
    <row r="10463" spans="24:44">
      <c r="X10463"/>
      <c r="Y10463"/>
      <c r="Z10463"/>
      <c r="AA10463"/>
      <c r="AC10463"/>
      <c r="AR10463"/>
    </row>
    <row r="10464" spans="24:44">
      <c r="X10464"/>
      <c r="Y10464"/>
      <c r="Z10464"/>
      <c r="AA10464"/>
      <c r="AC10464"/>
      <c r="AR10464"/>
    </row>
    <row r="10465" spans="24:44">
      <c r="X10465"/>
      <c r="Y10465"/>
      <c r="Z10465"/>
      <c r="AA10465"/>
      <c r="AC10465"/>
      <c r="AR10465"/>
    </row>
    <row r="10466" spans="24:44">
      <c r="X10466"/>
      <c r="Y10466"/>
      <c r="Z10466"/>
      <c r="AA10466"/>
      <c r="AC10466"/>
      <c r="AR10466"/>
    </row>
    <row r="10467" spans="24:44">
      <c r="X10467"/>
      <c r="Y10467"/>
      <c r="Z10467"/>
      <c r="AA10467"/>
      <c r="AC10467"/>
      <c r="AR10467"/>
    </row>
    <row r="10468" spans="24:44">
      <c r="X10468"/>
      <c r="Y10468"/>
      <c r="Z10468"/>
      <c r="AA10468"/>
      <c r="AC10468"/>
      <c r="AR10468"/>
    </row>
    <row r="10469" spans="24:44">
      <c r="X10469"/>
      <c r="Y10469"/>
      <c r="Z10469"/>
      <c r="AA10469"/>
      <c r="AC10469"/>
      <c r="AR10469"/>
    </row>
    <row r="10470" spans="24:44">
      <c r="X10470"/>
      <c r="Y10470"/>
      <c r="Z10470"/>
      <c r="AA10470"/>
      <c r="AC10470"/>
      <c r="AR10470"/>
    </row>
    <row r="10471" spans="24:44">
      <c r="X10471"/>
      <c r="Y10471"/>
      <c r="Z10471"/>
      <c r="AA10471"/>
      <c r="AC10471"/>
      <c r="AR10471"/>
    </row>
    <row r="10472" spans="24:44">
      <c r="X10472"/>
      <c r="Y10472"/>
      <c r="Z10472"/>
      <c r="AA10472"/>
      <c r="AC10472"/>
      <c r="AR10472"/>
    </row>
    <row r="10473" spans="24:44">
      <c r="X10473"/>
      <c r="Y10473"/>
      <c r="Z10473"/>
      <c r="AA10473"/>
      <c r="AC10473"/>
      <c r="AR10473"/>
    </row>
    <row r="10474" spans="24:44">
      <c r="X10474"/>
      <c r="Y10474"/>
      <c r="Z10474"/>
      <c r="AA10474"/>
      <c r="AC10474"/>
      <c r="AR10474"/>
    </row>
    <row r="10475" spans="24:44">
      <c r="X10475"/>
      <c r="Y10475"/>
      <c r="Z10475"/>
      <c r="AA10475"/>
      <c r="AC10475"/>
      <c r="AR10475"/>
    </row>
    <row r="10476" spans="24:44">
      <c r="X10476"/>
      <c r="Y10476"/>
      <c r="Z10476"/>
      <c r="AA10476"/>
      <c r="AC10476"/>
      <c r="AR10476"/>
    </row>
    <row r="10477" spans="24:44">
      <c r="X10477"/>
      <c r="Y10477"/>
      <c r="Z10477"/>
      <c r="AA10477"/>
      <c r="AC10477"/>
      <c r="AR10477"/>
    </row>
    <row r="10478" spans="24:44">
      <c r="X10478"/>
      <c r="Y10478"/>
      <c r="Z10478"/>
      <c r="AA10478"/>
      <c r="AC10478"/>
      <c r="AR10478"/>
    </row>
    <row r="10479" spans="24:44">
      <c r="X10479"/>
      <c r="Y10479"/>
      <c r="Z10479"/>
      <c r="AA10479"/>
      <c r="AC10479"/>
      <c r="AR10479"/>
    </row>
    <row r="10480" spans="24:44">
      <c r="X10480"/>
      <c r="Y10480"/>
      <c r="Z10480"/>
      <c r="AA10480"/>
      <c r="AC10480"/>
      <c r="AR10480"/>
    </row>
    <row r="10481" spans="24:44">
      <c r="X10481"/>
      <c r="Y10481"/>
      <c r="Z10481"/>
      <c r="AA10481"/>
      <c r="AC10481"/>
      <c r="AR10481"/>
    </row>
    <row r="10482" spans="24:44">
      <c r="X10482"/>
      <c r="Y10482"/>
      <c r="Z10482"/>
      <c r="AA10482"/>
      <c r="AC10482"/>
      <c r="AR10482"/>
    </row>
    <row r="10483" spans="24:44">
      <c r="X10483"/>
      <c r="Y10483"/>
      <c r="Z10483"/>
      <c r="AA10483"/>
      <c r="AC10483"/>
      <c r="AR10483"/>
    </row>
    <row r="10484" spans="24:44">
      <c r="X10484"/>
      <c r="Y10484"/>
      <c r="Z10484"/>
      <c r="AA10484"/>
      <c r="AC10484"/>
      <c r="AR10484"/>
    </row>
    <row r="10485" spans="24:44">
      <c r="X10485"/>
      <c r="Y10485"/>
      <c r="Z10485"/>
      <c r="AA10485"/>
      <c r="AC10485"/>
      <c r="AR10485"/>
    </row>
    <row r="10486" spans="24:44">
      <c r="X10486"/>
      <c r="Y10486"/>
      <c r="Z10486"/>
      <c r="AA10486"/>
      <c r="AC10486"/>
      <c r="AR10486"/>
    </row>
    <row r="10487" spans="24:44">
      <c r="X10487"/>
      <c r="Y10487"/>
      <c r="Z10487"/>
      <c r="AA10487"/>
      <c r="AC10487"/>
      <c r="AR10487"/>
    </row>
    <row r="10488" spans="24:44">
      <c r="X10488"/>
      <c r="Y10488"/>
      <c r="Z10488"/>
      <c r="AA10488"/>
      <c r="AC10488"/>
      <c r="AR10488"/>
    </row>
    <row r="10489" spans="24:44">
      <c r="X10489"/>
      <c r="Y10489"/>
      <c r="Z10489"/>
      <c r="AA10489"/>
      <c r="AC10489"/>
      <c r="AR10489"/>
    </row>
    <row r="10490" spans="24:44">
      <c r="X10490"/>
      <c r="Y10490"/>
      <c r="Z10490"/>
      <c r="AA10490"/>
      <c r="AC10490"/>
      <c r="AR10490"/>
    </row>
    <row r="10491" spans="24:44">
      <c r="X10491"/>
      <c r="Y10491"/>
      <c r="Z10491"/>
      <c r="AA10491"/>
      <c r="AC10491"/>
      <c r="AR10491"/>
    </row>
    <row r="10492" spans="24:44">
      <c r="X10492"/>
      <c r="Y10492"/>
      <c r="Z10492"/>
      <c r="AA10492"/>
      <c r="AC10492"/>
      <c r="AR10492"/>
    </row>
    <row r="10493" spans="24:44">
      <c r="X10493"/>
      <c r="Y10493"/>
      <c r="Z10493"/>
      <c r="AA10493"/>
      <c r="AC10493"/>
      <c r="AR10493"/>
    </row>
    <row r="10494" spans="24:44">
      <c r="X10494"/>
      <c r="Y10494"/>
      <c r="Z10494"/>
      <c r="AA10494"/>
      <c r="AC10494"/>
      <c r="AR10494"/>
    </row>
    <row r="10495" spans="24:44">
      <c r="X10495"/>
      <c r="Y10495"/>
      <c r="Z10495"/>
      <c r="AA10495"/>
      <c r="AC10495"/>
      <c r="AR10495"/>
    </row>
    <row r="10496" spans="24:44">
      <c r="X10496"/>
      <c r="Y10496"/>
      <c r="Z10496"/>
      <c r="AA10496"/>
      <c r="AC10496"/>
      <c r="AR10496"/>
    </row>
    <row r="10497" spans="24:44">
      <c r="X10497"/>
      <c r="Y10497"/>
      <c r="Z10497"/>
      <c r="AA10497"/>
      <c r="AC10497"/>
      <c r="AR10497"/>
    </row>
    <row r="10498" spans="24:44">
      <c r="X10498"/>
      <c r="Y10498"/>
      <c r="Z10498"/>
      <c r="AA10498"/>
      <c r="AC10498"/>
      <c r="AR10498"/>
    </row>
    <row r="10499" spans="24:44">
      <c r="X10499"/>
      <c r="Y10499"/>
      <c r="Z10499"/>
      <c r="AA10499"/>
      <c r="AC10499"/>
      <c r="AR10499"/>
    </row>
    <row r="10500" spans="24:44">
      <c r="X10500"/>
      <c r="Y10500"/>
      <c r="Z10500"/>
      <c r="AA10500"/>
      <c r="AC10500"/>
      <c r="AR10500"/>
    </row>
    <row r="10501" spans="24:44">
      <c r="X10501"/>
      <c r="Y10501"/>
      <c r="Z10501"/>
      <c r="AA10501"/>
      <c r="AC10501"/>
      <c r="AR10501"/>
    </row>
    <row r="10502" spans="24:44">
      <c r="X10502"/>
      <c r="Y10502"/>
      <c r="Z10502"/>
      <c r="AA10502"/>
      <c r="AC10502"/>
      <c r="AR10502"/>
    </row>
    <row r="10503" spans="24:44">
      <c r="X10503"/>
      <c r="Y10503"/>
      <c r="Z10503"/>
      <c r="AA10503"/>
      <c r="AC10503"/>
      <c r="AR10503"/>
    </row>
    <row r="10504" spans="24:44">
      <c r="X10504"/>
      <c r="Y10504"/>
      <c r="Z10504"/>
      <c r="AA10504"/>
      <c r="AC10504"/>
      <c r="AR10504"/>
    </row>
    <row r="10505" spans="24:44">
      <c r="X10505"/>
      <c r="Y10505"/>
      <c r="Z10505"/>
      <c r="AA10505"/>
      <c r="AC10505"/>
      <c r="AR10505"/>
    </row>
    <row r="10506" spans="24:44">
      <c r="X10506"/>
      <c r="Y10506"/>
      <c r="Z10506"/>
      <c r="AA10506"/>
      <c r="AC10506"/>
      <c r="AR10506"/>
    </row>
    <row r="10507" spans="24:44">
      <c r="X10507"/>
      <c r="Y10507"/>
      <c r="Z10507"/>
      <c r="AA10507"/>
      <c r="AC10507"/>
      <c r="AR10507"/>
    </row>
    <row r="10508" spans="24:44">
      <c r="X10508"/>
      <c r="Y10508"/>
      <c r="Z10508"/>
      <c r="AA10508"/>
      <c r="AC10508"/>
      <c r="AR10508"/>
    </row>
    <row r="10509" spans="24:44">
      <c r="X10509"/>
      <c r="Y10509"/>
      <c r="Z10509"/>
      <c r="AA10509"/>
      <c r="AC10509"/>
      <c r="AR10509"/>
    </row>
    <row r="10510" spans="24:44">
      <c r="X10510"/>
      <c r="Y10510"/>
      <c r="Z10510"/>
      <c r="AA10510"/>
      <c r="AC10510"/>
      <c r="AR10510"/>
    </row>
    <row r="10511" spans="24:44">
      <c r="X10511"/>
      <c r="Y10511"/>
      <c r="Z10511"/>
      <c r="AA10511"/>
      <c r="AC10511"/>
      <c r="AR10511"/>
    </row>
    <row r="10512" spans="24:44">
      <c r="X10512"/>
      <c r="Y10512"/>
      <c r="Z10512"/>
      <c r="AA10512"/>
      <c r="AC10512"/>
      <c r="AR10512"/>
    </row>
    <row r="10513" spans="24:44">
      <c r="X10513"/>
      <c r="Y10513"/>
      <c r="Z10513"/>
      <c r="AA10513"/>
      <c r="AC10513"/>
      <c r="AR10513"/>
    </row>
    <row r="10514" spans="24:44">
      <c r="X10514"/>
      <c r="Y10514"/>
      <c r="Z10514"/>
      <c r="AA10514"/>
      <c r="AC10514"/>
      <c r="AR10514"/>
    </row>
    <row r="10515" spans="24:44">
      <c r="X10515"/>
      <c r="Y10515"/>
      <c r="Z10515"/>
      <c r="AA10515"/>
      <c r="AC10515"/>
      <c r="AR10515"/>
    </row>
    <row r="10516" spans="24:44">
      <c r="X10516"/>
      <c r="Y10516"/>
      <c r="Z10516"/>
      <c r="AA10516"/>
      <c r="AC10516"/>
      <c r="AR10516"/>
    </row>
    <row r="10517" spans="24:44">
      <c r="X10517"/>
      <c r="Y10517"/>
      <c r="Z10517"/>
      <c r="AA10517"/>
      <c r="AC10517"/>
      <c r="AR10517"/>
    </row>
    <row r="10518" spans="24:44">
      <c r="X10518"/>
      <c r="Y10518"/>
      <c r="Z10518"/>
      <c r="AA10518"/>
      <c r="AC10518"/>
      <c r="AR10518"/>
    </row>
    <row r="10519" spans="24:44">
      <c r="X10519"/>
      <c r="Y10519"/>
      <c r="Z10519"/>
      <c r="AA10519"/>
      <c r="AC10519"/>
      <c r="AR10519"/>
    </row>
    <row r="10520" spans="24:44">
      <c r="X10520"/>
      <c r="Y10520"/>
      <c r="Z10520"/>
      <c r="AA10520"/>
      <c r="AC10520"/>
      <c r="AR10520"/>
    </row>
    <row r="10521" spans="24:44">
      <c r="X10521"/>
      <c r="Y10521"/>
      <c r="Z10521"/>
      <c r="AA10521"/>
      <c r="AC10521"/>
      <c r="AR10521"/>
    </row>
    <row r="10522" spans="24:44">
      <c r="X10522"/>
      <c r="Y10522"/>
      <c r="Z10522"/>
      <c r="AA10522"/>
      <c r="AC10522"/>
      <c r="AR10522"/>
    </row>
    <row r="10523" spans="24:44">
      <c r="X10523"/>
      <c r="Y10523"/>
      <c r="Z10523"/>
      <c r="AA10523"/>
      <c r="AC10523"/>
      <c r="AR10523"/>
    </row>
    <row r="10524" spans="24:44">
      <c r="X10524"/>
      <c r="Y10524"/>
      <c r="Z10524"/>
      <c r="AA10524"/>
      <c r="AC10524"/>
      <c r="AR10524"/>
    </row>
    <row r="10525" spans="24:44">
      <c r="X10525"/>
      <c r="Y10525"/>
      <c r="Z10525"/>
      <c r="AA10525"/>
      <c r="AC10525"/>
      <c r="AR10525"/>
    </row>
    <row r="10526" spans="24:44">
      <c r="X10526"/>
      <c r="Y10526"/>
      <c r="Z10526"/>
      <c r="AA10526"/>
      <c r="AC10526"/>
      <c r="AR10526"/>
    </row>
    <row r="10527" spans="24:44">
      <c r="X10527"/>
      <c r="Y10527"/>
      <c r="Z10527"/>
      <c r="AA10527"/>
      <c r="AC10527"/>
      <c r="AR10527"/>
    </row>
    <row r="10528" spans="24:44">
      <c r="X10528"/>
      <c r="Y10528"/>
      <c r="Z10528"/>
      <c r="AA10528"/>
      <c r="AC10528"/>
      <c r="AR10528"/>
    </row>
    <row r="10529" spans="24:44">
      <c r="X10529"/>
      <c r="Y10529"/>
      <c r="Z10529"/>
      <c r="AA10529"/>
      <c r="AC10529"/>
      <c r="AR10529"/>
    </row>
    <row r="10530" spans="24:44">
      <c r="X10530"/>
      <c r="Y10530"/>
      <c r="Z10530"/>
      <c r="AA10530"/>
      <c r="AC10530"/>
      <c r="AR10530"/>
    </row>
    <row r="10531" spans="24:44">
      <c r="X10531"/>
      <c r="Y10531"/>
      <c r="Z10531"/>
      <c r="AA10531"/>
      <c r="AC10531"/>
      <c r="AR10531"/>
    </row>
    <row r="10532" spans="24:44">
      <c r="X10532"/>
      <c r="Y10532"/>
      <c r="Z10532"/>
      <c r="AA10532"/>
      <c r="AC10532"/>
      <c r="AR10532"/>
    </row>
    <row r="10533" spans="24:44">
      <c r="X10533"/>
      <c r="Y10533"/>
      <c r="Z10533"/>
      <c r="AA10533"/>
      <c r="AC10533"/>
      <c r="AR10533"/>
    </row>
    <row r="10534" spans="24:44">
      <c r="X10534"/>
      <c r="Y10534"/>
      <c r="Z10534"/>
      <c r="AA10534"/>
      <c r="AC10534"/>
      <c r="AR10534"/>
    </row>
    <row r="10535" spans="24:44">
      <c r="X10535"/>
      <c r="Y10535"/>
      <c r="Z10535"/>
      <c r="AA10535"/>
      <c r="AC10535"/>
      <c r="AR10535"/>
    </row>
    <row r="10536" spans="24:44">
      <c r="X10536"/>
      <c r="Y10536"/>
      <c r="Z10536"/>
      <c r="AA10536"/>
      <c r="AC10536"/>
      <c r="AR10536"/>
    </row>
    <row r="10537" spans="24:44">
      <c r="X10537"/>
      <c r="Y10537"/>
      <c r="Z10537"/>
      <c r="AA10537"/>
      <c r="AC10537"/>
      <c r="AR10537"/>
    </row>
    <row r="10538" spans="24:44">
      <c r="X10538"/>
      <c r="Y10538"/>
      <c r="Z10538"/>
      <c r="AA10538"/>
      <c r="AC10538"/>
      <c r="AR10538"/>
    </row>
    <row r="10539" spans="24:44">
      <c r="X10539"/>
      <c r="Y10539"/>
      <c r="Z10539"/>
      <c r="AA10539"/>
      <c r="AC10539"/>
      <c r="AR10539"/>
    </row>
    <row r="10540" spans="24:44">
      <c r="X10540"/>
      <c r="Y10540"/>
      <c r="Z10540"/>
      <c r="AA10540"/>
      <c r="AC10540"/>
      <c r="AR10540"/>
    </row>
    <row r="10541" spans="24:44">
      <c r="X10541"/>
      <c r="Y10541"/>
      <c r="Z10541"/>
      <c r="AA10541"/>
      <c r="AC10541"/>
      <c r="AR10541"/>
    </row>
    <row r="10542" spans="24:44">
      <c r="X10542"/>
      <c r="Y10542"/>
      <c r="Z10542"/>
      <c r="AA10542"/>
      <c r="AC10542"/>
      <c r="AR10542"/>
    </row>
    <row r="10543" spans="24:44">
      <c r="X10543"/>
      <c r="Y10543"/>
      <c r="Z10543"/>
      <c r="AA10543"/>
      <c r="AC10543"/>
      <c r="AR10543"/>
    </row>
    <row r="10544" spans="24:44">
      <c r="X10544"/>
      <c r="Y10544"/>
      <c r="Z10544"/>
      <c r="AA10544"/>
      <c r="AC10544"/>
      <c r="AR10544"/>
    </row>
    <row r="10545" spans="24:44">
      <c r="X10545"/>
      <c r="Y10545"/>
      <c r="Z10545"/>
      <c r="AA10545"/>
      <c r="AC10545"/>
      <c r="AR10545"/>
    </row>
    <row r="10546" spans="24:44">
      <c r="X10546"/>
      <c r="Y10546"/>
      <c r="Z10546"/>
      <c r="AA10546"/>
      <c r="AC10546"/>
      <c r="AR10546"/>
    </row>
    <row r="10547" spans="24:44">
      <c r="X10547"/>
      <c r="Y10547"/>
      <c r="Z10547"/>
      <c r="AA10547"/>
      <c r="AC10547"/>
      <c r="AR10547"/>
    </row>
    <row r="10548" spans="24:44">
      <c r="X10548"/>
      <c r="Y10548"/>
      <c r="Z10548"/>
      <c r="AA10548"/>
      <c r="AC10548"/>
      <c r="AR10548"/>
    </row>
    <row r="10549" spans="24:44">
      <c r="X10549"/>
      <c r="Y10549"/>
      <c r="Z10549"/>
      <c r="AA10549"/>
      <c r="AC10549"/>
      <c r="AR10549"/>
    </row>
    <row r="10550" spans="24:44">
      <c r="X10550"/>
      <c r="Y10550"/>
      <c r="Z10550"/>
      <c r="AA10550"/>
      <c r="AC10550"/>
      <c r="AR10550"/>
    </row>
    <row r="10551" spans="24:44">
      <c r="X10551"/>
      <c r="Y10551"/>
      <c r="Z10551"/>
      <c r="AA10551"/>
      <c r="AC10551"/>
      <c r="AR10551"/>
    </row>
    <row r="10552" spans="24:44">
      <c r="X10552"/>
      <c r="Y10552"/>
      <c r="Z10552"/>
      <c r="AA10552"/>
      <c r="AC10552"/>
      <c r="AR10552"/>
    </row>
    <row r="10553" spans="24:44">
      <c r="X10553"/>
      <c r="Y10553"/>
      <c r="Z10553"/>
      <c r="AA10553"/>
      <c r="AC10553"/>
      <c r="AR10553"/>
    </row>
    <row r="10554" spans="24:44">
      <c r="X10554"/>
      <c r="Y10554"/>
      <c r="Z10554"/>
      <c r="AA10554"/>
      <c r="AC10554"/>
      <c r="AR10554"/>
    </row>
    <row r="10555" spans="24:44">
      <c r="X10555"/>
      <c r="Y10555"/>
      <c r="Z10555"/>
      <c r="AA10555"/>
      <c r="AC10555"/>
      <c r="AR10555"/>
    </row>
    <row r="10556" spans="24:44">
      <c r="X10556"/>
      <c r="Y10556"/>
      <c r="Z10556"/>
      <c r="AA10556"/>
      <c r="AC10556"/>
      <c r="AR10556"/>
    </row>
    <row r="10557" spans="24:44">
      <c r="X10557"/>
      <c r="Y10557"/>
      <c r="Z10557"/>
      <c r="AA10557"/>
      <c r="AC10557"/>
      <c r="AR10557"/>
    </row>
    <row r="10558" spans="24:44">
      <c r="X10558"/>
      <c r="Y10558"/>
      <c r="Z10558"/>
      <c r="AA10558"/>
      <c r="AC10558"/>
      <c r="AR10558"/>
    </row>
    <row r="10559" spans="24:44">
      <c r="X10559"/>
      <c r="Y10559"/>
      <c r="Z10559"/>
      <c r="AA10559"/>
      <c r="AC10559"/>
      <c r="AR10559"/>
    </row>
    <row r="10560" spans="24:44">
      <c r="X10560"/>
      <c r="Y10560"/>
      <c r="Z10560"/>
      <c r="AA10560"/>
      <c r="AC10560"/>
      <c r="AR10560"/>
    </row>
    <row r="10561" spans="24:44">
      <c r="X10561"/>
      <c r="Y10561"/>
      <c r="Z10561"/>
      <c r="AA10561"/>
      <c r="AC10561"/>
      <c r="AR10561"/>
    </row>
    <row r="10562" spans="24:44">
      <c r="X10562"/>
      <c r="Y10562"/>
      <c r="Z10562"/>
      <c r="AA10562"/>
      <c r="AC10562"/>
      <c r="AR10562"/>
    </row>
    <row r="10563" spans="24:44">
      <c r="X10563"/>
      <c r="Y10563"/>
      <c r="Z10563"/>
      <c r="AA10563"/>
      <c r="AC10563"/>
      <c r="AR10563"/>
    </row>
    <row r="10564" spans="24:44">
      <c r="X10564"/>
      <c r="Y10564"/>
      <c r="Z10564"/>
      <c r="AA10564"/>
      <c r="AC10564"/>
      <c r="AR10564"/>
    </row>
    <row r="10565" spans="24:44">
      <c r="X10565"/>
      <c r="Y10565"/>
      <c r="Z10565"/>
      <c r="AA10565"/>
      <c r="AC10565"/>
      <c r="AR10565"/>
    </row>
    <row r="10566" spans="24:44">
      <c r="X10566"/>
      <c r="Y10566"/>
      <c r="Z10566"/>
      <c r="AA10566"/>
      <c r="AC10566"/>
      <c r="AR10566"/>
    </row>
    <row r="10567" spans="24:44">
      <c r="X10567"/>
      <c r="Y10567"/>
      <c r="Z10567"/>
      <c r="AA10567"/>
      <c r="AC10567"/>
      <c r="AR10567"/>
    </row>
    <row r="10568" spans="24:44">
      <c r="X10568"/>
      <c r="Y10568"/>
      <c r="Z10568"/>
      <c r="AA10568"/>
      <c r="AC10568"/>
      <c r="AR10568"/>
    </row>
    <row r="10569" spans="24:44">
      <c r="X10569"/>
      <c r="Y10569"/>
      <c r="Z10569"/>
      <c r="AA10569"/>
      <c r="AC10569"/>
      <c r="AR10569"/>
    </row>
    <row r="10570" spans="24:44">
      <c r="X10570"/>
      <c r="Y10570"/>
      <c r="Z10570"/>
      <c r="AA10570"/>
      <c r="AC10570"/>
      <c r="AR10570"/>
    </row>
    <row r="10571" spans="24:44">
      <c r="X10571"/>
      <c r="Y10571"/>
      <c r="Z10571"/>
      <c r="AA10571"/>
      <c r="AC10571"/>
      <c r="AR10571"/>
    </row>
    <row r="10572" spans="24:44">
      <c r="X10572"/>
      <c r="Y10572"/>
      <c r="Z10572"/>
      <c r="AA10572"/>
      <c r="AC10572"/>
      <c r="AR10572"/>
    </row>
    <row r="10573" spans="24:44">
      <c r="X10573"/>
      <c r="Y10573"/>
      <c r="Z10573"/>
      <c r="AA10573"/>
      <c r="AC10573"/>
      <c r="AR10573"/>
    </row>
    <row r="10574" spans="24:44">
      <c r="X10574"/>
      <c r="Y10574"/>
      <c r="Z10574"/>
      <c r="AA10574"/>
      <c r="AC10574"/>
      <c r="AR10574"/>
    </row>
    <row r="10575" spans="24:44">
      <c r="X10575"/>
      <c r="Y10575"/>
      <c r="Z10575"/>
      <c r="AA10575"/>
      <c r="AC10575"/>
      <c r="AR10575"/>
    </row>
    <row r="10576" spans="24:44">
      <c r="X10576"/>
      <c r="Y10576"/>
      <c r="Z10576"/>
      <c r="AA10576"/>
      <c r="AC10576"/>
      <c r="AR10576"/>
    </row>
    <row r="10577" spans="24:44">
      <c r="X10577"/>
      <c r="Y10577"/>
      <c r="Z10577"/>
      <c r="AA10577"/>
      <c r="AC10577"/>
      <c r="AR10577"/>
    </row>
    <row r="10578" spans="24:44">
      <c r="X10578"/>
      <c r="Y10578"/>
      <c r="Z10578"/>
      <c r="AA10578"/>
      <c r="AC10578"/>
      <c r="AR10578"/>
    </row>
    <row r="10579" spans="24:44">
      <c r="X10579"/>
      <c r="Y10579"/>
      <c r="Z10579"/>
      <c r="AA10579"/>
      <c r="AC10579"/>
      <c r="AR10579"/>
    </row>
    <row r="10580" spans="24:44">
      <c r="X10580"/>
      <c r="Y10580"/>
      <c r="Z10580"/>
      <c r="AA10580"/>
      <c r="AC10580"/>
      <c r="AR10580"/>
    </row>
    <row r="10581" spans="24:44">
      <c r="X10581"/>
      <c r="Y10581"/>
      <c r="Z10581"/>
      <c r="AA10581"/>
      <c r="AC10581"/>
      <c r="AR10581"/>
    </row>
    <row r="10582" spans="24:44">
      <c r="X10582"/>
      <c r="Y10582"/>
      <c r="Z10582"/>
      <c r="AA10582"/>
      <c r="AC10582"/>
      <c r="AR10582"/>
    </row>
    <row r="10583" spans="24:44">
      <c r="X10583"/>
      <c r="Y10583"/>
      <c r="Z10583"/>
      <c r="AA10583"/>
      <c r="AC10583"/>
      <c r="AR10583"/>
    </row>
    <row r="10584" spans="24:44">
      <c r="X10584"/>
      <c r="Y10584"/>
      <c r="Z10584"/>
      <c r="AA10584"/>
      <c r="AC10584"/>
      <c r="AR10584"/>
    </row>
    <row r="10585" spans="24:44">
      <c r="X10585"/>
      <c r="Y10585"/>
      <c r="Z10585"/>
      <c r="AA10585"/>
      <c r="AC10585"/>
      <c r="AR10585"/>
    </row>
    <row r="10586" spans="24:44">
      <c r="X10586"/>
      <c r="Y10586"/>
      <c r="Z10586"/>
      <c r="AA10586"/>
      <c r="AC10586"/>
      <c r="AR10586"/>
    </row>
    <row r="10587" spans="24:44">
      <c r="X10587"/>
      <c r="Y10587"/>
      <c r="Z10587"/>
      <c r="AA10587"/>
      <c r="AC10587"/>
      <c r="AR10587"/>
    </row>
    <row r="10588" spans="24:44">
      <c r="X10588"/>
      <c r="Y10588"/>
      <c r="Z10588"/>
      <c r="AA10588"/>
      <c r="AC10588"/>
      <c r="AR10588"/>
    </row>
    <row r="10589" spans="24:44">
      <c r="X10589"/>
      <c r="Y10589"/>
      <c r="Z10589"/>
      <c r="AA10589"/>
      <c r="AC10589"/>
      <c r="AR10589"/>
    </row>
    <row r="10590" spans="24:44">
      <c r="X10590"/>
      <c r="Y10590"/>
      <c r="Z10590"/>
      <c r="AA10590"/>
      <c r="AC10590"/>
      <c r="AR10590"/>
    </row>
    <row r="10591" spans="24:44">
      <c r="X10591"/>
      <c r="Y10591"/>
      <c r="Z10591"/>
      <c r="AA10591"/>
      <c r="AC10591"/>
      <c r="AR10591"/>
    </row>
    <row r="10592" spans="24:44">
      <c r="X10592"/>
      <c r="Y10592"/>
      <c r="Z10592"/>
      <c r="AA10592"/>
      <c r="AC10592"/>
      <c r="AR10592"/>
    </row>
    <row r="10593" spans="24:44">
      <c r="X10593"/>
      <c r="Y10593"/>
      <c r="Z10593"/>
      <c r="AA10593"/>
      <c r="AC10593"/>
      <c r="AR10593"/>
    </row>
    <row r="10594" spans="24:44">
      <c r="X10594"/>
      <c r="Y10594"/>
      <c r="Z10594"/>
      <c r="AA10594"/>
      <c r="AC10594"/>
      <c r="AR10594"/>
    </row>
    <row r="10595" spans="24:44">
      <c r="X10595"/>
      <c r="Y10595"/>
      <c r="Z10595"/>
      <c r="AA10595"/>
      <c r="AC10595"/>
      <c r="AR10595"/>
    </row>
    <row r="10596" spans="24:44">
      <c r="X10596"/>
      <c r="Y10596"/>
      <c r="Z10596"/>
      <c r="AA10596"/>
      <c r="AC10596"/>
      <c r="AR10596"/>
    </row>
    <row r="10597" spans="24:44">
      <c r="X10597"/>
      <c r="Y10597"/>
      <c r="Z10597"/>
      <c r="AA10597"/>
      <c r="AC10597"/>
      <c r="AR10597"/>
    </row>
    <row r="10598" spans="24:44">
      <c r="X10598"/>
      <c r="Y10598"/>
      <c r="Z10598"/>
      <c r="AA10598"/>
      <c r="AC10598"/>
      <c r="AR10598"/>
    </row>
    <row r="10599" spans="24:44">
      <c r="X10599"/>
      <c r="Y10599"/>
      <c r="Z10599"/>
      <c r="AA10599"/>
      <c r="AC10599"/>
      <c r="AR10599"/>
    </row>
    <row r="10600" spans="24:44">
      <c r="X10600"/>
      <c r="Y10600"/>
      <c r="Z10600"/>
      <c r="AA10600"/>
      <c r="AC10600"/>
      <c r="AR10600"/>
    </row>
    <row r="10601" spans="24:44">
      <c r="X10601"/>
      <c r="Y10601"/>
      <c r="Z10601"/>
      <c r="AA10601"/>
      <c r="AC10601"/>
      <c r="AR10601"/>
    </row>
    <row r="10602" spans="24:44">
      <c r="X10602"/>
      <c r="Y10602"/>
      <c r="Z10602"/>
      <c r="AA10602"/>
      <c r="AC10602"/>
      <c r="AR10602"/>
    </row>
    <row r="10603" spans="24:44">
      <c r="X10603"/>
      <c r="Y10603"/>
      <c r="Z10603"/>
      <c r="AA10603"/>
      <c r="AC10603"/>
      <c r="AR10603"/>
    </row>
    <row r="10604" spans="24:44">
      <c r="X10604"/>
      <c r="Y10604"/>
      <c r="Z10604"/>
      <c r="AA10604"/>
      <c r="AC10604"/>
      <c r="AR10604"/>
    </row>
    <row r="10605" spans="24:44">
      <c r="X10605"/>
      <c r="Y10605"/>
      <c r="Z10605"/>
      <c r="AA10605"/>
      <c r="AC10605"/>
      <c r="AR10605"/>
    </row>
    <row r="10606" spans="24:44">
      <c r="X10606"/>
      <c r="Y10606"/>
      <c r="Z10606"/>
      <c r="AA10606"/>
      <c r="AC10606"/>
      <c r="AR10606"/>
    </row>
    <row r="10607" spans="24:44">
      <c r="X10607"/>
      <c r="Y10607"/>
      <c r="Z10607"/>
      <c r="AA10607"/>
      <c r="AC10607"/>
      <c r="AR10607"/>
    </row>
    <row r="10608" spans="24:44">
      <c r="X10608"/>
      <c r="Y10608"/>
      <c r="Z10608"/>
      <c r="AA10608"/>
      <c r="AC10608"/>
      <c r="AR10608"/>
    </row>
    <row r="10609" spans="24:44">
      <c r="X10609"/>
      <c r="Y10609"/>
      <c r="Z10609"/>
      <c r="AA10609"/>
      <c r="AC10609"/>
      <c r="AR10609"/>
    </row>
    <row r="10610" spans="24:44">
      <c r="X10610"/>
      <c r="Y10610"/>
      <c r="Z10610"/>
      <c r="AA10610"/>
      <c r="AC10610"/>
      <c r="AR10610"/>
    </row>
    <row r="10611" spans="24:44">
      <c r="X10611"/>
      <c r="Y10611"/>
      <c r="Z10611"/>
      <c r="AA10611"/>
      <c r="AC10611"/>
      <c r="AR10611"/>
    </row>
    <row r="10612" spans="24:44">
      <c r="X10612"/>
      <c r="Y10612"/>
      <c r="Z10612"/>
      <c r="AA10612"/>
      <c r="AC10612"/>
      <c r="AR10612"/>
    </row>
    <row r="10613" spans="24:44">
      <c r="X10613"/>
      <c r="Y10613"/>
      <c r="Z10613"/>
      <c r="AA10613"/>
      <c r="AC10613"/>
      <c r="AR10613"/>
    </row>
    <row r="10614" spans="24:44">
      <c r="X10614"/>
      <c r="Y10614"/>
      <c r="Z10614"/>
      <c r="AA10614"/>
      <c r="AC10614"/>
      <c r="AR10614"/>
    </row>
    <row r="10615" spans="24:44">
      <c r="X10615"/>
      <c r="Y10615"/>
      <c r="Z10615"/>
      <c r="AA10615"/>
      <c r="AC10615"/>
      <c r="AR10615"/>
    </row>
    <row r="10616" spans="24:44">
      <c r="X10616"/>
      <c r="Y10616"/>
      <c r="Z10616"/>
      <c r="AA10616"/>
      <c r="AC10616"/>
      <c r="AR10616"/>
    </row>
    <row r="10617" spans="24:44">
      <c r="X10617"/>
      <c r="Y10617"/>
      <c r="Z10617"/>
      <c r="AA10617"/>
      <c r="AC10617"/>
      <c r="AR10617"/>
    </row>
    <row r="10618" spans="24:44">
      <c r="X10618"/>
      <c r="Y10618"/>
      <c r="Z10618"/>
      <c r="AA10618"/>
      <c r="AC10618"/>
      <c r="AR10618"/>
    </row>
    <row r="10619" spans="24:44">
      <c r="X10619"/>
      <c r="Y10619"/>
      <c r="Z10619"/>
      <c r="AA10619"/>
      <c r="AC10619"/>
      <c r="AR10619"/>
    </row>
    <row r="10620" spans="24:44">
      <c r="X10620"/>
      <c r="Y10620"/>
      <c r="Z10620"/>
      <c r="AA10620"/>
      <c r="AC10620"/>
      <c r="AR10620"/>
    </row>
    <row r="10621" spans="24:44">
      <c r="X10621"/>
      <c r="Y10621"/>
      <c r="Z10621"/>
      <c r="AA10621"/>
      <c r="AC10621"/>
      <c r="AR10621"/>
    </row>
    <row r="10622" spans="24:44">
      <c r="X10622"/>
      <c r="Y10622"/>
      <c r="Z10622"/>
      <c r="AA10622"/>
      <c r="AC10622"/>
      <c r="AR10622"/>
    </row>
    <row r="10623" spans="24:44">
      <c r="X10623"/>
      <c r="Y10623"/>
      <c r="Z10623"/>
      <c r="AA10623"/>
      <c r="AC10623"/>
      <c r="AR10623"/>
    </row>
    <row r="10624" spans="24:44">
      <c r="X10624"/>
      <c r="Y10624"/>
      <c r="Z10624"/>
      <c r="AA10624"/>
      <c r="AC10624"/>
      <c r="AR10624"/>
    </row>
    <row r="10625" spans="24:44">
      <c r="X10625"/>
      <c r="Y10625"/>
      <c r="Z10625"/>
      <c r="AA10625"/>
      <c r="AC10625"/>
      <c r="AR10625"/>
    </row>
    <row r="10626" spans="24:44">
      <c r="X10626"/>
      <c r="Y10626"/>
      <c r="Z10626"/>
      <c r="AA10626"/>
      <c r="AC10626"/>
      <c r="AR10626"/>
    </row>
    <row r="10627" spans="24:44">
      <c r="X10627"/>
      <c r="Y10627"/>
      <c r="Z10627"/>
      <c r="AA10627"/>
      <c r="AC10627"/>
      <c r="AR10627"/>
    </row>
    <row r="10628" spans="24:44">
      <c r="X10628"/>
      <c r="Y10628"/>
      <c r="Z10628"/>
      <c r="AA10628"/>
      <c r="AC10628"/>
      <c r="AR10628"/>
    </row>
    <row r="10629" spans="24:44">
      <c r="X10629"/>
      <c r="Y10629"/>
      <c r="Z10629"/>
      <c r="AA10629"/>
      <c r="AC10629"/>
      <c r="AR10629"/>
    </row>
    <row r="10630" spans="24:44">
      <c r="X10630"/>
      <c r="Y10630"/>
      <c r="Z10630"/>
      <c r="AA10630"/>
      <c r="AC10630"/>
      <c r="AR10630"/>
    </row>
    <row r="10631" spans="24:44">
      <c r="X10631"/>
      <c r="Y10631"/>
      <c r="Z10631"/>
      <c r="AA10631"/>
      <c r="AC10631"/>
      <c r="AR10631"/>
    </row>
    <row r="10632" spans="24:44">
      <c r="X10632"/>
      <c r="Y10632"/>
      <c r="Z10632"/>
      <c r="AA10632"/>
      <c r="AC10632"/>
      <c r="AR10632"/>
    </row>
    <row r="10633" spans="24:44">
      <c r="X10633"/>
      <c r="Y10633"/>
      <c r="Z10633"/>
      <c r="AA10633"/>
      <c r="AC10633"/>
      <c r="AR10633"/>
    </row>
    <row r="10634" spans="24:44">
      <c r="X10634"/>
      <c r="Y10634"/>
      <c r="Z10634"/>
      <c r="AA10634"/>
      <c r="AC10634"/>
      <c r="AR10634"/>
    </row>
    <row r="10635" spans="24:44">
      <c r="X10635"/>
      <c r="Y10635"/>
      <c r="Z10635"/>
      <c r="AA10635"/>
      <c r="AC10635"/>
      <c r="AR10635"/>
    </row>
    <row r="10636" spans="24:44">
      <c r="X10636"/>
      <c r="Y10636"/>
      <c r="Z10636"/>
      <c r="AA10636"/>
      <c r="AC10636"/>
      <c r="AR10636"/>
    </row>
    <row r="10637" spans="24:44">
      <c r="X10637"/>
      <c r="Y10637"/>
      <c r="Z10637"/>
      <c r="AA10637"/>
      <c r="AC10637"/>
      <c r="AR10637"/>
    </row>
    <row r="10638" spans="24:44">
      <c r="X10638"/>
      <c r="Y10638"/>
      <c r="Z10638"/>
      <c r="AA10638"/>
      <c r="AC10638"/>
      <c r="AR10638"/>
    </row>
    <row r="10639" spans="24:44">
      <c r="X10639"/>
      <c r="Y10639"/>
      <c r="Z10639"/>
      <c r="AA10639"/>
      <c r="AC10639"/>
      <c r="AR10639"/>
    </row>
    <row r="10640" spans="24:44">
      <c r="X10640"/>
      <c r="Y10640"/>
      <c r="Z10640"/>
      <c r="AA10640"/>
      <c r="AC10640"/>
      <c r="AR10640"/>
    </row>
    <row r="10641" spans="24:44">
      <c r="X10641"/>
      <c r="Y10641"/>
      <c r="Z10641"/>
      <c r="AA10641"/>
      <c r="AC10641"/>
      <c r="AR10641"/>
    </row>
    <row r="10642" spans="24:44">
      <c r="X10642"/>
      <c r="Y10642"/>
      <c r="Z10642"/>
      <c r="AA10642"/>
      <c r="AC10642"/>
      <c r="AR10642"/>
    </row>
    <row r="10643" spans="24:44">
      <c r="X10643"/>
      <c r="Y10643"/>
      <c r="Z10643"/>
      <c r="AA10643"/>
      <c r="AC10643"/>
      <c r="AR10643"/>
    </row>
    <row r="10644" spans="24:44">
      <c r="X10644"/>
      <c r="Y10644"/>
      <c r="Z10644"/>
      <c r="AA10644"/>
      <c r="AC10644"/>
      <c r="AR10644"/>
    </row>
    <row r="10645" spans="24:44">
      <c r="X10645"/>
      <c r="Y10645"/>
      <c r="Z10645"/>
      <c r="AA10645"/>
      <c r="AC10645"/>
      <c r="AR10645"/>
    </row>
    <row r="10646" spans="24:44">
      <c r="X10646"/>
      <c r="Y10646"/>
      <c r="Z10646"/>
      <c r="AA10646"/>
      <c r="AC10646"/>
      <c r="AR10646"/>
    </row>
    <row r="10647" spans="24:44">
      <c r="X10647"/>
      <c r="Y10647"/>
      <c r="Z10647"/>
      <c r="AA10647"/>
      <c r="AC10647"/>
      <c r="AR10647"/>
    </row>
    <row r="10648" spans="24:44">
      <c r="X10648"/>
      <c r="Y10648"/>
      <c r="Z10648"/>
      <c r="AA10648"/>
      <c r="AC10648"/>
      <c r="AR10648"/>
    </row>
    <row r="10649" spans="24:44">
      <c r="X10649"/>
      <c r="Y10649"/>
      <c r="Z10649"/>
      <c r="AA10649"/>
      <c r="AC10649"/>
      <c r="AR10649"/>
    </row>
    <row r="10650" spans="24:44">
      <c r="X10650"/>
      <c r="Y10650"/>
      <c r="Z10650"/>
      <c r="AA10650"/>
      <c r="AC10650"/>
      <c r="AR10650"/>
    </row>
    <row r="10651" spans="24:44">
      <c r="X10651"/>
      <c r="Y10651"/>
      <c r="Z10651"/>
      <c r="AA10651"/>
      <c r="AC10651"/>
      <c r="AR10651"/>
    </row>
    <row r="10652" spans="24:44">
      <c r="X10652"/>
      <c r="Y10652"/>
      <c r="Z10652"/>
      <c r="AA10652"/>
      <c r="AC10652"/>
      <c r="AR10652"/>
    </row>
    <row r="10653" spans="24:44">
      <c r="X10653"/>
      <c r="Y10653"/>
      <c r="Z10653"/>
      <c r="AA10653"/>
      <c r="AC10653"/>
      <c r="AR10653"/>
    </row>
    <row r="10654" spans="24:44">
      <c r="X10654"/>
      <c r="Y10654"/>
      <c r="Z10654"/>
      <c r="AA10654"/>
      <c r="AC10654"/>
      <c r="AR10654"/>
    </row>
    <row r="10655" spans="24:44">
      <c r="X10655"/>
      <c r="Y10655"/>
      <c r="Z10655"/>
      <c r="AA10655"/>
      <c r="AC10655"/>
      <c r="AR10655"/>
    </row>
    <row r="10656" spans="24:44">
      <c r="X10656"/>
      <c r="Y10656"/>
      <c r="Z10656"/>
      <c r="AA10656"/>
      <c r="AC10656"/>
      <c r="AR10656"/>
    </row>
    <row r="10657" spans="24:44">
      <c r="X10657"/>
      <c r="Y10657"/>
      <c r="Z10657"/>
      <c r="AA10657"/>
      <c r="AC10657"/>
      <c r="AR10657"/>
    </row>
    <row r="10658" spans="24:44">
      <c r="X10658"/>
      <c r="Y10658"/>
      <c r="Z10658"/>
      <c r="AA10658"/>
      <c r="AC10658"/>
      <c r="AR10658"/>
    </row>
    <row r="10659" spans="24:44">
      <c r="X10659"/>
      <c r="Y10659"/>
      <c r="Z10659"/>
      <c r="AA10659"/>
      <c r="AC10659"/>
      <c r="AR10659"/>
    </row>
    <row r="10660" spans="24:44">
      <c r="X10660"/>
      <c r="Y10660"/>
      <c r="Z10660"/>
      <c r="AA10660"/>
      <c r="AC10660"/>
      <c r="AR10660"/>
    </row>
    <row r="10661" spans="24:44">
      <c r="X10661"/>
      <c r="Y10661"/>
      <c r="Z10661"/>
      <c r="AA10661"/>
      <c r="AC10661"/>
      <c r="AR10661"/>
    </row>
    <row r="10662" spans="24:44">
      <c r="X10662"/>
      <c r="Y10662"/>
      <c r="Z10662"/>
      <c r="AA10662"/>
      <c r="AC10662"/>
      <c r="AR10662"/>
    </row>
    <row r="10663" spans="24:44">
      <c r="X10663"/>
      <c r="Y10663"/>
      <c r="Z10663"/>
      <c r="AA10663"/>
      <c r="AC10663"/>
      <c r="AR10663"/>
    </row>
    <row r="10664" spans="24:44">
      <c r="X10664"/>
      <c r="Y10664"/>
      <c r="Z10664"/>
      <c r="AA10664"/>
      <c r="AC10664"/>
      <c r="AR10664"/>
    </row>
    <row r="10665" spans="24:44">
      <c r="X10665"/>
      <c r="Y10665"/>
      <c r="Z10665"/>
      <c r="AA10665"/>
      <c r="AC10665"/>
      <c r="AR10665"/>
    </row>
    <row r="10666" spans="24:44">
      <c r="X10666"/>
      <c r="Y10666"/>
      <c r="Z10666"/>
      <c r="AA10666"/>
      <c r="AC10666"/>
      <c r="AR10666"/>
    </row>
    <row r="10667" spans="24:44">
      <c r="X10667"/>
      <c r="Y10667"/>
      <c r="Z10667"/>
      <c r="AA10667"/>
      <c r="AC10667"/>
      <c r="AR10667"/>
    </row>
    <row r="10668" spans="24:44">
      <c r="X10668"/>
      <c r="Y10668"/>
      <c r="Z10668"/>
      <c r="AA10668"/>
      <c r="AC10668"/>
      <c r="AR10668"/>
    </row>
    <row r="10669" spans="24:44">
      <c r="X10669"/>
      <c r="Y10669"/>
      <c r="Z10669"/>
      <c r="AA10669"/>
      <c r="AC10669"/>
      <c r="AR10669"/>
    </row>
    <row r="10670" spans="24:44">
      <c r="X10670"/>
      <c r="Y10670"/>
      <c r="Z10670"/>
      <c r="AA10670"/>
      <c r="AC10670"/>
      <c r="AR10670"/>
    </row>
    <row r="10671" spans="24:44">
      <c r="X10671"/>
      <c r="Y10671"/>
      <c r="Z10671"/>
      <c r="AA10671"/>
      <c r="AC10671"/>
      <c r="AR10671"/>
    </row>
    <row r="10672" spans="24:44">
      <c r="X10672"/>
      <c r="Y10672"/>
      <c r="Z10672"/>
      <c r="AA10672"/>
      <c r="AC10672"/>
      <c r="AR10672"/>
    </row>
    <row r="10673" spans="24:44">
      <c r="X10673"/>
      <c r="Y10673"/>
      <c r="Z10673"/>
      <c r="AA10673"/>
      <c r="AC10673"/>
      <c r="AR10673"/>
    </row>
    <row r="10674" spans="24:44">
      <c r="X10674"/>
      <c r="Y10674"/>
      <c r="Z10674"/>
      <c r="AA10674"/>
      <c r="AC10674"/>
      <c r="AR10674"/>
    </row>
    <row r="10675" spans="24:44">
      <c r="X10675"/>
      <c r="Y10675"/>
      <c r="Z10675"/>
      <c r="AA10675"/>
      <c r="AC10675"/>
      <c r="AR10675"/>
    </row>
    <row r="10676" spans="24:44">
      <c r="X10676"/>
      <c r="Y10676"/>
      <c r="Z10676"/>
      <c r="AA10676"/>
      <c r="AC10676"/>
      <c r="AR10676"/>
    </row>
    <row r="10677" spans="24:44">
      <c r="X10677"/>
      <c r="Y10677"/>
      <c r="Z10677"/>
      <c r="AA10677"/>
      <c r="AC10677"/>
      <c r="AR10677"/>
    </row>
    <row r="10678" spans="24:44">
      <c r="X10678"/>
      <c r="Y10678"/>
      <c r="Z10678"/>
      <c r="AA10678"/>
      <c r="AC10678"/>
      <c r="AR10678"/>
    </row>
    <row r="10679" spans="24:44">
      <c r="X10679"/>
      <c r="Y10679"/>
      <c r="Z10679"/>
      <c r="AA10679"/>
      <c r="AC10679"/>
      <c r="AR10679"/>
    </row>
    <row r="10680" spans="24:44">
      <c r="X10680"/>
      <c r="Y10680"/>
      <c r="Z10680"/>
      <c r="AA10680"/>
      <c r="AC10680"/>
      <c r="AR10680"/>
    </row>
    <row r="10681" spans="24:44">
      <c r="X10681"/>
      <c r="Y10681"/>
      <c r="Z10681"/>
      <c r="AA10681"/>
      <c r="AC10681"/>
      <c r="AR10681"/>
    </row>
    <row r="10682" spans="24:44">
      <c r="X10682"/>
      <c r="Y10682"/>
      <c r="Z10682"/>
      <c r="AA10682"/>
      <c r="AC10682"/>
      <c r="AR10682"/>
    </row>
    <row r="10683" spans="24:44">
      <c r="X10683"/>
      <c r="Y10683"/>
      <c r="Z10683"/>
      <c r="AA10683"/>
      <c r="AC10683"/>
      <c r="AR10683"/>
    </row>
    <row r="10684" spans="24:44">
      <c r="X10684"/>
      <c r="Y10684"/>
      <c r="Z10684"/>
      <c r="AA10684"/>
      <c r="AC10684"/>
      <c r="AR10684"/>
    </row>
    <row r="10685" spans="24:44">
      <c r="X10685"/>
      <c r="Y10685"/>
      <c r="Z10685"/>
      <c r="AA10685"/>
      <c r="AC10685"/>
      <c r="AR10685"/>
    </row>
    <row r="10686" spans="24:44">
      <c r="X10686"/>
      <c r="Y10686"/>
      <c r="Z10686"/>
      <c r="AA10686"/>
      <c r="AC10686"/>
      <c r="AR10686"/>
    </row>
    <row r="10687" spans="24:44">
      <c r="X10687"/>
      <c r="Y10687"/>
      <c r="Z10687"/>
      <c r="AA10687"/>
      <c r="AC10687"/>
      <c r="AR10687"/>
    </row>
    <row r="10688" spans="24:44">
      <c r="X10688"/>
      <c r="Y10688"/>
      <c r="Z10688"/>
      <c r="AA10688"/>
      <c r="AC10688"/>
      <c r="AR10688"/>
    </row>
    <row r="10689" spans="24:44">
      <c r="X10689"/>
      <c r="Y10689"/>
      <c r="Z10689"/>
      <c r="AA10689"/>
      <c r="AC10689"/>
      <c r="AR10689"/>
    </row>
    <row r="10690" spans="24:44">
      <c r="X10690"/>
      <c r="Y10690"/>
      <c r="Z10690"/>
      <c r="AA10690"/>
      <c r="AC10690"/>
      <c r="AR10690"/>
    </row>
    <row r="10691" spans="24:44">
      <c r="X10691"/>
      <c r="Y10691"/>
      <c r="Z10691"/>
      <c r="AA10691"/>
      <c r="AC10691"/>
      <c r="AR10691"/>
    </row>
    <row r="10692" spans="24:44">
      <c r="X10692"/>
      <c r="Y10692"/>
      <c r="Z10692"/>
      <c r="AA10692"/>
      <c r="AC10692"/>
      <c r="AR10692"/>
    </row>
    <row r="10693" spans="24:44">
      <c r="X10693"/>
      <c r="Y10693"/>
      <c r="Z10693"/>
      <c r="AA10693"/>
      <c r="AC10693"/>
      <c r="AR10693"/>
    </row>
    <row r="10694" spans="24:44">
      <c r="X10694"/>
      <c r="Y10694"/>
      <c r="Z10694"/>
      <c r="AA10694"/>
      <c r="AC10694"/>
      <c r="AR10694"/>
    </row>
    <row r="10695" spans="24:44">
      <c r="X10695"/>
      <c r="Y10695"/>
      <c r="Z10695"/>
      <c r="AA10695"/>
      <c r="AC10695"/>
      <c r="AR10695"/>
    </row>
    <row r="10696" spans="24:44">
      <c r="X10696"/>
      <c r="Y10696"/>
      <c r="Z10696"/>
      <c r="AA10696"/>
      <c r="AC10696"/>
      <c r="AR10696"/>
    </row>
    <row r="10697" spans="24:44">
      <c r="X10697"/>
      <c r="Y10697"/>
      <c r="Z10697"/>
      <c r="AA10697"/>
      <c r="AC10697"/>
      <c r="AR10697"/>
    </row>
    <row r="10698" spans="24:44">
      <c r="X10698"/>
      <c r="Y10698"/>
      <c r="Z10698"/>
      <c r="AA10698"/>
      <c r="AC10698"/>
      <c r="AR10698"/>
    </row>
    <row r="10699" spans="24:44">
      <c r="X10699"/>
      <c r="Y10699"/>
      <c r="Z10699"/>
      <c r="AA10699"/>
      <c r="AC10699"/>
      <c r="AR10699"/>
    </row>
    <row r="10700" spans="24:44">
      <c r="X10700"/>
      <c r="Y10700"/>
      <c r="Z10700"/>
      <c r="AA10700"/>
      <c r="AC10700"/>
      <c r="AR10700"/>
    </row>
    <row r="10701" spans="24:44">
      <c r="X10701"/>
      <c r="Y10701"/>
      <c r="Z10701"/>
      <c r="AA10701"/>
      <c r="AC10701"/>
      <c r="AR10701"/>
    </row>
    <row r="10702" spans="24:44">
      <c r="X10702"/>
      <c r="Y10702"/>
      <c r="Z10702"/>
      <c r="AA10702"/>
      <c r="AC10702"/>
      <c r="AR10702"/>
    </row>
    <row r="10703" spans="24:44">
      <c r="X10703"/>
      <c r="Y10703"/>
      <c r="Z10703"/>
      <c r="AA10703"/>
      <c r="AC10703"/>
      <c r="AR10703"/>
    </row>
    <row r="10704" spans="24:44">
      <c r="X10704"/>
      <c r="Y10704"/>
      <c r="Z10704"/>
      <c r="AA10704"/>
      <c r="AC10704"/>
      <c r="AR10704"/>
    </row>
    <row r="10705" spans="24:44">
      <c r="X10705"/>
      <c r="Y10705"/>
      <c r="Z10705"/>
      <c r="AA10705"/>
      <c r="AC10705"/>
      <c r="AR10705"/>
    </row>
    <row r="10706" spans="24:44">
      <c r="X10706"/>
      <c r="Y10706"/>
      <c r="Z10706"/>
      <c r="AA10706"/>
      <c r="AC10706"/>
      <c r="AR10706"/>
    </row>
    <row r="10707" spans="24:44">
      <c r="X10707"/>
      <c r="Y10707"/>
      <c r="Z10707"/>
      <c r="AA10707"/>
      <c r="AC10707"/>
      <c r="AR10707"/>
    </row>
    <row r="10708" spans="24:44">
      <c r="X10708"/>
      <c r="Y10708"/>
      <c r="Z10708"/>
      <c r="AA10708"/>
      <c r="AC10708"/>
      <c r="AR10708"/>
    </row>
    <row r="10709" spans="24:44">
      <c r="X10709"/>
      <c r="Y10709"/>
      <c r="Z10709"/>
      <c r="AA10709"/>
      <c r="AC10709"/>
      <c r="AR10709"/>
    </row>
    <row r="10710" spans="24:44">
      <c r="X10710"/>
      <c r="Y10710"/>
      <c r="Z10710"/>
      <c r="AA10710"/>
      <c r="AC10710"/>
      <c r="AR10710"/>
    </row>
    <row r="10711" spans="24:44">
      <c r="X10711"/>
      <c r="Y10711"/>
      <c r="Z10711"/>
      <c r="AA10711"/>
      <c r="AC10711"/>
      <c r="AR10711"/>
    </row>
    <row r="10712" spans="24:44">
      <c r="X10712"/>
      <c r="Y10712"/>
      <c r="Z10712"/>
      <c r="AA10712"/>
      <c r="AC10712"/>
      <c r="AR10712"/>
    </row>
    <row r="10713" spans="24:44">
      <c r="X10713"/>
      <c r="Y10713"/>
      <c r="Z10713"/>
      <c r="AA10713"/>
      <c r="AC10713"/>
      <c r="AR10713"/>
    </row>
    <row r="10714" spans="24:44">
      <c r="X10714"/>
      <c r="Y10714"/>
      <c r="Z10714"/>
      <c r="AA10714"/>
      <c r="AC10714"/>
      <c r="AR10714"/>
    </row>
    <row r="10715" spans="24:44">
      <c r="X10715"/>
      <c r="Y10715"/>
      <c r="Z10715"/>
      <c r="AA10715"/>
      <c r="AC10715"/>
      <c r="AR10715"/>
    </row>
    <row r="10716" spans="24:44">
      <c r="X10716"/>
      <c r="Y10716"/>
      <c r="Z10716"/>
      <c r="AA10716"/>
      <c r="AC10716"/>
      <c r="AR10716"/>
    </row>
    <row r="10717" spans="24:44">
      <c r="X10717"/>
      <c r="Y10717"/>
      <c r="Z10717"/>
      <c r="AA10717"/>
      <c r="AC10717"/>
      <c r="AR10717"/>
    </row>
    <row r="10718" spans="24:44">
      <c r="X10718"/>
      <c r="Y10718"/>
      <c r="Z10718"/>
      <c r="AA10718"/>
      <c r="AC10718"/>
      <c r="AR10718"/>
    </row>
    <row r="10719" spans="24:44">
      <c r="X10719"/>
      <c r="Y10719"/>
      <c r="Z10719"/>
      <c r="AA10719"/>
      <c r="AC10719"/>
      <c r="AR10719"/>
    </row>
    <row r="10720" spans="24:44">
      <c r="X10720"/>
      <c r="Y10720"/>
      <c r="Z10720"/>
      <c r="AA10720"/>
      <c r="AC10720"/>
      <c r="AR10720"/>
    </row>
    <row r="10721" spans="24:44">
      <c r="X10721"/>
      <c r="Y10721"/>
      <c r="Z10721"/>
      <c r="AA10721"/>
      <c r="AC10721"/>
      <c r="AR10721"/>
    </row>
    <row r="10722" spans="24:44">
      <c r="X10722"/>
      <c r="Y10722"/>
      <c r="Z10722"/>
      <c r="AA10722"/>
      <c r="AC10722"/>
      <c r="AR10722"/>
    </row>
    <row r="10723" spans="24:44">
      <c r="X10723"/>
      <c r="Y10723"/>
      <c r="Z10723"/>
      <c r="AA10723"/>
      <c r="AC10723"/>
      <c r="AR10723"/>
    </row>
    <row r="10724" spans="24:44">
      <c r="X10724"/>
      <c r="Y10724"/>
      <c r="Z10724"/>
      <c r="AA10724"/>
      <c r="AC10724"/>
      <c r="AR10724"/>
    </row>
    <row r="10725" spans="24:44">
      <c r="X10725"/>
      <c r="Y10725"/>
      <c r="Z10725"/>
      <c r="AA10725"/>
      <c r="AC10725"/>
      <c r="AR10725"/>
    </row>
    <row r="10726" spans="24:44">
      <c r="X10726"/>
      <c r="Y10726"/>
      <c r="Z10726"/>
      <c r="AA10726"/>
      <c r="AC10726"/>
      <c r="AR10726"/>
    </row>
    <row r="10727" spans="24:44">
      <c r="X10727"/>
      <c r="Y10727"/>
      <c r="Z10727"/>
      <c r="AA10727"/>
      <c r="AC10727"/>
      <c r="AR10727"/>
    </row>
    <row r="10728" spans="24:44">
      <c r="X10728"/>
      <c r="Y10728"/>
      <c r="Z10728"/>
      <c r="AA10728"/>
      <c r="AC10728"/>
      <c r="AR10728"/>
    </row>
    <row r="10729" spans="24:44">
      <c r="X10729"/>
      <c r="Y10729"/>
      <c r="Z10729"/>
      <c r="AA10729"/>
      <c r="AC10729"/>
      <c r="AR10729"/>
    </row>
    <row r="10730" spans="24:44">
      <c r="X10730"/>
      <c r="Y10730"/>
      <c r="Z10730"/>
      <c r="AA10730"/>
      <c r="AC10730"/>
      <c r="AR10730"/>
    </row>
    <row r="10731" spans="24:44">
      <c r="X10731"/>
      <c r="Y10731"/>
      <c r="Z10731"/>
      <c r="AA10731"/>
      <c r="AC10731"/>
      <c r="AR10731"/>
    </row>
    <row r="10732" spans="24:44">
      <c r="X10732"/>
      <c r="Y10732"/>
      <c r="Z10732"/>
      <c r="AA10732"/>
      <c r="AC10732"/>
      <c r="AR10732"/>
    </row>
    <row r="10733" spans="24:44">
      <c r="X10733"/>
      <c r="Y10733"/>
      <c r="Z10733"/>
      <c r="AA10733"/>
      <c r="AC10733"/>
      <c r="AR10733"/>
    </row>
    <row r="10734" spans="24:44">
      <c r="X10734"/>
      <c r="Y10734"/>
      <c r="Z10734"/>
      <c r="AA10734"/>
      <c r="AC10734"/>
      <c r="AR10734"/>
    </row>
    <row r="10735" spans="24:44">
      <c r="X10735"/>
      <c r="Y10735"/>
      <c r="Z10735"/>
      <c r="AA10735"/>
      <c r="AC10735"/>
      <c r="AR10735"/>
    </row>
    <row r="10736" spans="24:44">
      <c r="X10736"/>
      <c r="Y10736"/>
      <c r="Z10736"/>
      <c r="AA10736"/>
      <c r="AC10736"/>
      <c r="AR10736"/>
    </row>
    <row r="10737" spans="24:44">
      <c r="X10737"/>
      <c r="Y10737"/>
      <c r="Z10737"/>
      <c r="AA10737"/>
      <c r="AC10737"/>
      <c r="AR10737"/>
    </row>
    <row r="10738" spans="24:44">
      <c r="X10738"/>
      <c r="Y10738"/>
      <c r="Z10738"/>
      <c r="AA10738"/>
      <c r="AC10738"/>
      <c r="AR10738"/>
    </row>
    <row r="10739" spans="24:44">
      <c r="X10739"/>
      <c r="Y10739"/>
      <c r="Z10739"/>
      <c r="AA10739"/>
      <c r="AC10739"/>
      <c r="AR10739"/>
    </row>
    <row r="10740" spans="24:44">
      <c r="X10740"/>
      <c r="Y10740"/>
      <c r="Z10740"/>
      <c r="AA10740"/>
      <c r="AC10740"/>
      <c r="AR10740"/>
    </row>
    <row r="10741" spans="24:44">
      <c r="X10741"/>
      <c r="Y10741"/>
      <c r="Z10741"/>
      <c r="AA10741"/>
      <c r="AC10741"/>
      <c r="AR10741"/>
    </row>
    <row r="10742" spans="24:44">
      <c r="X10742"/>
      <c r="Y10742"/>
      <c r="Z10742"/>
      <c r="AA10742"/>
      <c r="AC10742"/>
      <c r="AR10742"/>
    </row>
    <row r="10743" spans="24:44">
      <c r="X10743"/>
      <c r="Y10743"/>
      <c r="Z10743"/>
      <c r="AA10743"/>
      <c r="AC10743"/>
      <c r="AR10743"/>
    </row>
    <row r="10744" spans="24:44">
      <c r="X10744"/>
      <c r="Y10744"/>
      <c r="Z10744"/>
      <c r="AA10744"/>
      <c r="AC10744"/>
      <c r="AR10744"/>
    </row>
    <row r="10745" spans="24:44">
      <c r="X10745"/>
      <c r="Y10745"/>
      <c r="Z10745"/>
      <c r="AA10745"/>
      <c r="AC10745"/>
      <c r="AR10745"/>
    </row>
    <row r="10746" spans="24:44">
      <c r="X10746"/>
      <c r="Y10746"/>
      <c r="Z10746"/>
      <c r="AA10746"/>
      <c r="AC10746"/>
      <c r="AR10746"/>
    </row>
    <row r="10747" spans="24:44">
      <c r="X10747"/>
      <c r="Y10747"/>
      <c r="Z10747"/>
      <c r="AA10747"/>
      <c r="AC10747"/>
      <c r="AR10747"/>
    </row>
    <row r="10748" spans="24:44">
      <c r="X10748"/>
      <c r="Y10748"/>
      <c r="Z10748"/>
      <c r="AA10748"/>
      <c r="AC10748"/>
      <c r="AR10748"/>
    </row>
    <row r="10749" spans="24:44">
      <c r="X10749"/>
      <c r="Y10749"/>
      <c r="Z10749"/>
      <c r="AA10749"/>
      <c r="AC10749"/>
      <c r="AR10749"/>
    </row>
    <row r="10750" spans="24:44">
      <c r="X10750"/>
      <c r="Y10750"/>
      <c r="Z10750"/>
      <c r="AA10750"/>
      <c r="AC10750"/>
      <c r="AR10750"/>
    </row>
    <row r="10751" spans="24:44">
      <c r="X10751"/>
      <c r="Y10751"/>
      <c r="Z10751"/>
      <c r="AA10751"/>
      <c r="AC10751"/>
      <c r="AR10751"/>
    </row>
    <row r="10752" spans="24:44">
      <c r="X10752"/>
      <c r="Y10752"/>
      <c r="Z10752"/>
      <c r="AA10752"/>
      <c r="AC10752"/>
      <c r="AR10752"/>
    </row>
    <row r="10753" spans="24:44">
      <c r="X10753"/>
      <c r="Y10753"/>
      <c r="Z10753"/>
      <c r="AA10753"/>
      <c r="AC10753"/>
      <c r="AR10753"/>
    </row>
    <row r="10754" spans="24:44">
      <c r="X10754"/>
      <c r="Y10754"/>
      <c r="Z10754"/>
      <c r="AA10754"/>
      <c r="AC10754"/>
      <c r="AR10754"/>
    </row>
    <row r="10755" spans="24:44">
      <c r="X10755"/>
      <c r="Y10755"/>
      <c r="Z10755"/>
      <c r="AA10755"/>
      <c r="AC10755"/>
      <c r="AR10755"/>
    </row>
    <row r="10756" spans="24:44">
      <c r="X10756"/>
      <c r="Y10756"/>
      <c r="Z10756"/>
      <c r="AA10756"/>
      <c r="AC10756"/>
      <c r="AR10756"/>
    </row>
    <row r="10757" spans="24:44">
      <c r="X10757"/>
      <c r="Y10757"/>
      <c r="Z10757"/>
      <c r="AA10757"/>
      <c r="AC10757"/>
      <c r="AR10757"/>
    </row>
    <row r="10758" spans="24:44">
      <c r="X10758"/>
      <c r="Y10758"/>
      <c r="Z10758"/>
      <c r="AA10758"/>
      <c r="AC10758"/>
      <c r="AR10758"/>
    </row>
    <row r="10759" spans="24:44">
      <c r="X10759"/>
      <c r="Y10759"/>
      <c r="Z10759"/>
      <c r="AA10759"/>
      <c r="AC10759"/>
      <c r="AR10759"/>
    </row>
    <row r="10760" spans="24:44">
      <c r="X10760"/>
      <c r="Y10760"/>
      <c r="Z10760"/>
      <c r="AA10760"/>
      <c r="AC10760"/>
      <c r="AR10760"/>
    </row>
    <row r="10761" spans="24:44">
      <c r="X10761"/>
      <c r="Y10761"/>
      <c r="Z10761"/>
      <c r="AA10761"/>
      <c r="AC10761"/>
      <c r="AR10761"/>
    </row>
    <row r="10762" spans="24:44">
      <c r="X10762"/>
      <c r="Y10762"/>
      <c r="Z10762"/>
      <c r="AA10762"/>
      <c r="AC10762"/>
      <c r="AR10762"/>
    </row>
    <row r="10763" spans="24:44">
      <c r="X10763"/>
      <c r="Y10763"/>
      <c r="Z10763"/>
      <c r="AA10763"/>
      <c r="AC10763"/>
      <c r="AR10763"/>
    </row>
    <row r="10764" spans="24:44">
      <c r="X10764"/>
      <c r="Y10764"/>
      <c r="Z10764"/>
      <c r="AA10764"/>
      <c r="AC10764"/>
      <c r="AR10764"/>
    </row>
    <row r="10765" spans="24:44">
      <c r="X10765"/>
      <c r="Y10765"/>
      <c r="Z10765"/>
      <c r="AA10765"/>
      <c r="AC10765"/>
      <c r="AR10765"/>
    </row>
    <row r="10766" spans="24:44">
      <c r="X10766"/>
      <c r="Y10766"/>
      <c r="Z10766"/>
      <c r="AA10766"/>
      <c r="AC10766"/>
      <c r="AR10766"/>
    </row>
    <row r="10767" spans="24:44">
      <c r="X10767"/>
      <c r="Y10767"/>
      <c r="Z10767"/>
      <c r="AA10767"/>
      <c r="AC10767"/>
      <c r="AR10767"/>
    </row>
    <row r="10768" spans="24:44">
      <c r="X10768"/>
      <c r="Y10768"/>
      <c r="Z10768"/>
      <c r="AA10768"/>
      <c r="AC10768"/>
      <c r="AR10768"/>
    </row>
    <row r="10769" spans="24:44">
      <c r="X10769"/>
      <c r="Y10769"/>
      <c r="Z10769"/>
      <c r="AA10769"/>
      <c r="AC10769"/>
      <c r="AR10769"/>
    </row>
    <row r="10770" spans="24:44">
      <c r="X10770"/>
      <c r="Y10770"/>
      <c r="Z10770"/>
      <c r="AA10770"/>
      <c r="AC10770"/>
      <c r="AR10770"/>
    </row>
    <row r="10771" spans="24:44">
      <c r="X10771"/>
      <c r="Y10771"/>
      <c r="Z10771"/>
      <c r="AA10771"/>
      <c r="AC10771"/>
      <c r="AR10771"/>
    </row>
    <row r="10772" spans="24:44">
      <c r="X10772"/>
      <c r="Y10772"/>
      <c r="Z10772"/>
      <c r="AA10772"/>
      <c r="AC10772"/>
      <c r="AR10772"/>
    </row>
    <row r="10773" spans="24:44">
      <c r="X10773"/>
      <c r="Y10773"/>
      <c r="Z10773"/>
      <c r="AA10773"/>
      <c r="AC10773"/>
      <c r="AR10773"/>
    </row>
    <row r="10774" spans="24:44">
      <c r="X10774"/>
      <c r="Y10774"/>
      <c r="Z10774"/>
      <c r="AA10774"/>
      <c r="AC10774"/>
      <c r="AR10774"/>
    </row>
    <row r="10775" spans="24:44">
      <c r="X10775"/>
      <c r="Y10775"/>
      <c r="Z10775"/>
      <c r="AA10775"/>
      <c r="AC10775"/>
      <c r="AR10775"/>
    </row>
    <row r="10776" spans="24:44">
      <c r="X10776"/>
      <c r="Y10776"/>
      <c r="Z10776"/>
      <c r="AA10776"/>
      <c r="AC10776"/>
      <c r="AR10776"/>
    </row>
    <row r="10777" spans="24:44">
      <c r="X10777"/>
      <c r="Y10777"/>
      <c r="Z10777"/>
      <c r="AA10777"/>
      <c r="AC10777"/>
      <c r="AR10777"/>
    </row>
    <row r="10778" spans="24:44">
      <c r="X10778"/>
      <c r="Y10778"/>
      <c r="Z10778"/>
      <c r="AA10778"/>
      <c r="AC10778"/>
      <c r="AR10778"/>
    </row>
    <row r="10779" spans="24:44">
      <c r="X10779"/>
      <c r="Y10779"/>
      <c r="Z10779"/>
      <c r="AA10779"/>
      <c r="AC10779"/>
      <c r="AR10779"/>
    </row>
    <row r="10780" spans="24:44">
      <c r="X10780"/>
      <c r="Y10780"/>
      <c r="Z10780"/>
      <c r="AA10780"/>
      <c r="AC10780"/>
      <c r="AR10780"/>
    </row>
    <row r="10781" spans="24:44">
      <c r="X10781"/>
      <c r="Y10781"/>
      <c r="Z10781"/>
      <c r="AA10781"/>
      <c r="AC10781"/>
      <c r="AR10781"/>
    </row>
    <row r="10782" spans="24:44">
      <c r="X10782"/>
      <c r="Y10782"/>
      <c r="Z10782"/>
      <c r="AA10782"/>
      <c r="AC10782"/>
      <c r="AR10782"/>
    </row>
    <row r="10783" spans="24:44">
      <c r="X10783"/>
      <c r="Y10783"/>
      <c r="Z10783"/>
      <c r="AA10783"/>
      <c r="AC10783"/>
      <c r="AR10783"/>
    </row>
    <row r="10784" spans="24:44">
      <c r="X10784"/>
      <c r="Y10784"/>
      <c r="Z10784"/>
      <c r="AA10784"/>
      <c r="AC10784"/>
      <c r="AR10784"/>
    </row>
    <row r="10785" spans="24:44">
      <c r="X10785"/>
      <c r="Y10785"/>
      <c r="Z10785"/>
      <c r="AA10785"/>
      <c r="AC10785"/>
      <c r="AR10785"/>
    </row>
    <row r="10786" spans="24:44">
      <c r="X10786"/>
      <c r="Y10786"/>
      <c r="Z10786"/>
      <c r="AA10786"/>
      <c r="AC10786"/>
      <c r="AR10786"/>
    </row>
    <row r="10787" spans="24:44">
      <c r="X10787"/>
      <c r="Y10787"/>
      <c r="Z10787"/>
      <c r="AA10787"/>
      <c r="AC10787"/>
      <c r="AR10787"/>
    </row>
    <row r="10788" spans="24:44">
      <c r="X10788"/>
      <c r="Y10788"/>
      <c r="Z10788"/>
      <c r="AA10788"/>
      <c r="AC10788"/>
      <c r="AR10788"/>
    </row>
    <row r="10789" spans="24:44">
      <c r="X10789"/>
      <c r="Y10789"/>
      <c r="Z10789"/>
      <c r="AA10789"/>
      <c r="AC10789"/>
      <c r="AR10789"/>
    </row>
    <row r="10790" spans="24:44">
      <c r="X10790"/>
      <c r="Y10790"/>
      <c r="Z10790"/>
      <c r="AA10790"/>
      <c r="AC10790"/>
      <c r="AR10790"/>
    </row>
    <row r="10791" spans="24:44">
      <c r="X10791"/>
      <c r="Y10791"/>
      <c r="Z10791"/>
      <c r="AA10791"/>
      <c r="AC10791"/>
      <c r="AR10791"/>
    </row>
    <row r="10792" spans="24:44">
      <c r="X10792"/>
      <c r="Y10792"/>
      <c r="Z10792"/>
      <c r="AA10792"/>
      <c r="AC10792"/>
      <c r="AR10792"/>
    </row>
    <row r="10793" spans="24:44">
      <c r="X10793"/>
      <c r="Y10793"/>
      <c r="Z10793"/>
      <c r="AA10793"/>
      <c r="AC10793"/>
      <c r="AR10793"/>
    </row>
    <row r="10794" spans="24:44">
      <c r="X10794"/>
      <c r="Y10794"/>
      <c r="Z10794"/>
      <c r="AA10794"/>
      <c r="AC10794"/>
      <c r="AR10794"/>
    </row>
    <row r="10795" spans="24:44">
      <c r="X10795"/>
      <c r="Y10795"/>
      <c r="Z10795"/>
      <c r="AA10795"/>
      <c r="AC10795"/>
      <c r="AR10795"/>
    </row>
    <row r="10796" spans="24:44">
      <c r="X10796"/>
      <c r="Y10796"/>
      <c r="Z10796"/>
      <c r="AA10796"/>
      <c r="AC10796"/>
      <c r="AR10796"/>
    </row>
    <row r="10797" spans="24:44">
      <c r="X10797"/>
      <c r="Y10797"/>
      <c r="Z10797"/>
      <c r="AA10797"/>
      <c r="AC10797"/>
      <c r="AR10797"/>
    </row>
    <row r="10798" spans="24:44">
      <c r="X10798"/>
      <c r="Y10798"/>
      <c r="Z10798"/>
      <c r="AA10798"/>
      <c r="AC10798"/>
      <c r="AR10798"/>
    </row>
    <row r="10799" spans="24:44">
      <c r="X10799"/>
      <c r="Y10799"/>
      <c r="Z10799"/>
      <c r="AA10799"/>
      <c r="AC10799"/>
      <c r="AR10799"/>
    </row>
    <row r="10800" spans="24:44">
      <c r="X10800"/>
      <c r="Y10800"/>
      <c r="Z10800"/>
      <c r="AA10800"/>
      <c r="AC10800"/>
      <c r="AR10800"/>
    </row>
    <row r="10801" spans="24:44">
      <c r="X10801"/>
      <c r="Y10801"/>
      <c r="Z10801"/>
      <c r="AA10801"/>
      <c r="AC10801"/>
      <c r="AR10801"/>
    </row>
    <row r="10802" spans="24:44">
      <c r="X10802"/>
      <c r="Y10802"/>
      <c r="Z10802"/>
      <c r="AA10802"/>
      <c r="AC10802"/>
      <c r="AR10802"/>
    </row>
    <row r="10803" spans="24:44">
      <c r="X10803"/>
      <c r="Y10803"/>
      <c r="Z10803"/>
      <c r="AA10803"/>
      <c r="AC10803"/>
      <c r="AR10803"/>
    </row>
    <row r="10804" spans="24:44">
      <c r="X10804"/>
      <c r="Y10804"/>
      <c r="Z10804"/>
      <c r="AA10804"/>
      <c r="AC10804"/>
      <c r="AR10804"/>
    </row>
    <row r="10805" spans="24:44">
      <c r="X10805"/>
      <c r="Y10805"/>
      <c r="Z10805"/>
      <c r="AA10805"/>
      <c r="AC10805"/>
      <c r="AR10805"/>
    </row>
    <row r="10806" spans="24:44">
      <c r="X10806"/>
      <c r="Y10806"/>
      <c r="Z10806"/>
      <c r="AA10806"/>
      <c r="AC10806"/>
      <c r="AR10806"/>
    </row>
    <row r="10807" spans="24:44">
      <c r="X10807"/>
      <c r="Y10807"/>
      <c r="Z10807"/>
      <c r="AA10807"/>
      <c r="AC10807"/>
      <c r="AR10807"/>
    </row>
    <row r="10808" spans="24:44">
      <c r="X10808"/>
      <c r="Y10808"/>
      <c r="Z10808"/>
      <c r="AA10808"/>
      <c r="AC10808"/>
      <c r="AR10808"/>
    </row>
    <row r="10809" spans="24:44">
      <c r="X10809"/>
      <c r="Y10809"/>
      <c r="Z10809"/>
      <c r="AA10809"/>
      <c r="AC10809"/>
      <c r="AR10809"/>
    </row>
    <row r="10810" spans="24:44">
      <c r="X10810"/>
      <c r="Y10810"/>
      <c r="Z10810"/>
      <c r="AA10810"/>
      <c r="AC10810"/>
      <c r="AR10810"/>
    </row>
    <row r="10811" spans="24:44">
      <c r="X10811"/>
      <c r="Y10811"/>
      <c r="Z10811"/>
      <c r="AA10811"/>
      <c r="AC10811"/>
      <c r="AR10811"/>
    </row>
    <row r="10812" spans="24:44">
      <c r="X10812"/>
      <c r="Y10812"/>
      <c r="Z10812"/>
      <c r="AA10812"/>
      <c r="AC10812"/>
      <c r="AR10812"/>
    </row>
    <row r="10813" spans="24:44">
      <c r="X10813"/>
      <c r="Y10813"/>
      <c r="Z10813"/>
      <c r="AA10813"/>
      <c r="AC10813"/>
      <c r="AR10813"/>
    </row>
    <row r="10814" spans="24:44">
      <c r="X10814"/>
      <c r="Y10814"/>
      <c r="Z10814"/>
      <c r="AA10814"/>
      <c r="AC10814"/>
      <c r="AR10814"/>
    </row>
    <row r="10815" spans="24:44">
      <c r="X10815"/>
      <c r="Y10815"/>
      <c r="Z10815"/>
      <c r="AA10815"/>
      <c r="AC10815"/>
      <c r="AR10815"/>
    </row>
    <row r="10816" spans="24:44">
      <c r="X10816"/>
      <c r="Y10816"/>
      <c r="Z10816"/>
      <c r="AA10816"/>
      <c r="AC10816"/>
      <c r="AR10816"/>
    </row>
    <row r="10817" spans="24:44">
      <c r="X10817"/>
      <c r="Y10817"/>
      <c r="Z10817"/>
      <c r="AA10817"/>
      <c r="AC10817"/>
      <c r="AR10817"/>
    </row>
    <row r="10818" spans="24:44">
      <c r="X10818"/>
      <c r="Y10818"/>
      <c r="Z10818"/>
      <c r="AA10818"/>
      <c r="AC10818"/>
      <c r="AR10818"/>
    </row>
    <row r="10819" spans="24:44">
      <c r="X10819"/>
      <c r="Y10819"/>
      <c r="Z10819"/>
      <c r="AA10819"/>
      <c r="AC10819"/>
      <c r="AR10819"/>
    </row>
    <row r="10820" spans="24:44">
      <c r="X10820"/>
      <c r="Y10820"/>
      <c r="Z10820"/>
      <c r="AA10820"/>
      <c r="AC10820"/>
      <c r="AR10820"/>
    </row>
    <row r="10821" spans="24:44">
      <c r="X10821"/>
      <c r="Y10821"/>
      <c r="Z10821"/>
      <c r="AA10821"/>
      <c r="AC10821"/>
      <c r="AR10821"/>
    </row>
    <row r="10822" spans="24:44">
      <c r="X10822"/>
      <c r="Y10822"/>
      <c r="Z10822"/>
      <c r="AA10822"/>
      <c r="AC10822"/>
      <c r="AR10822"/>
    </row>
    <row r="10823" spans="24:44">
      <c r="X10823"/>
      <c r="Y10823"/>
      <c r="Z10823"/>
      <c r="AA10823"/>
      <c r="AC10823"/>
      <c r="AR10823"/>
    </row>
    <row r="10824" spans="24:44">
      <c r="X10824"/>
      <c r="Y10824"/>
      <c r="Z10824"/>
      <c r="AA10824"/>
      <c r="AC10824"/>
      <c r="AR10824"/>
    </row>
    <row r="10825" spans="24:44">
      <c r="X10825"/>
      <c r="Y10825"/>
      <c r="Z10825"/>
      <c r="AA10825"/>
      <c r="AC10825"/>
      <c r="AR10825"/>
    </row>
    <row r="10826" spans="24:44">
      <c r="X10826"/>
      <c r="Y10826"/>
      <c r="Z10826"/>
      <c r="AA10826"/>
      <c r="AC10826"/>
      <c r="AR10826"/>
    </row>
    <row r="10827" spans="24:44">
      <c r="X10827"/>
      <c r="Y10827"/>
      <c r="Z10827"/>
      <c r="AA10827"/>
      <c r="AC10827"/>
      <c r="AR10827"/>
    </row>
    <row r="10828" spans="24:44">
      <c r="X10828"/>
      <c r="Y10828"/>
      <c r="Z10828"/>
      <c r="AA10828"/>
      <c r="AC10828"/>
      <c r="AR10828"/>
    </row>
    <row r="10829" spans="24:44">
      <c r="X10829"/>
      <c r="Y10829"/>
      <c r="Z10829"/>
      <c r="AA10829"/>
      <c r="AC10829"/>
      <c r="AR10829"/>
    </row>
    <row r="10830" spans="24:44">
      <c r="X10830"/>
      <c r="Y10830"/>
      <c r="Z10830"/>
      <c r="AA10830"/>
      <c r="AC10830"/>
      <c r="AR10830"/>
    </row>
    <row r="10831" spans="24:44">
      <c r="X10831"/>
      <c r="Y10831"/>
      <c r="Z10831"/>
      <c r="AA10831"/>
      <c r="AC10831"/>
      <c r="AR10831"/>
    </row>
    <row r="10832" spans="24:44">
      <c r="X10832"/>
      <c r="Y10832"/>
      <c r="Z10832"/>
      <c r="AA10832"/>
      <c r="AC10832"/>
      <c r="AR10832"/>
    </row>
    <row r="10833" spans="24:44">
      <c r="X10833"/>
      <c r="Y10833"/>
      <c r="Z10833"/>
      <c r="AA10833"/>
      <c r="AC10833"/>
      <c r="AR10833"/>
    </row>
    <row r="10834" spans="24:44">
      <c r="X10834"/>
      <c r="Y10834"/>
      <c r="Z10834"/>
      <c r="AA10834"/>
      <c r="AC10834"/>
      <c r="AR10834"/>
    </row>
    <row r="10835" spans="24:44">
      <c r="X10835"/>
      <c r="Y10835"/>
      <c r="Z10835"/>
      <c r="AA10835"/>
      <c r="AC10835"/>
      <c r="AR10835"/>
    </row>
    <row r="10836" spans="24:44">
      <c r="X10836"/>
      <c r="Y10836"/>
      <c r="Z10836"/>
      <c r="AA10836"/>
      <c r="AC10836"/>
      <c r="AR10836"/>
    </row>
    <row r="10837" spans="24:44">
      <c r="X10837"/>
      <c r="Y10837"/>
      <c r="Z10837"/>
      <c r="AA10837"/>
      <c r="AC10837"/>
      <c r="AR10837"/>
    </row>
    <row r="10838" spans="24:44">
      <c r="X10838"/>
      <c r="Y10838"/>
      <c r="Z10838"/>
      <c r="AA10838"/>
      <c r="AC10838"/>
      <c r="AR10838"/>
    </row>
    <row r="10839" spans="24:44">
      <c r="X10839"/>
      <c r="Y10839"/>
      <c r="Z10839"/>
      <c r="AA10839"/>
      <c r="AC10839"/>
      <c r="AR10839"/>
    </row>
    <row r="10840" spans="24:44">
      <c r="X10840"/>
      <c r="Y10840"/>
      <c r="Z10840"/>
      <c r="AA10840"/>
      <c r="AC10840"/>
      <c r="AR10840"/>
    </row>
    <row r="10841" spans="24:44">
      <c r="X10841"/>
      <c r="Y10841"/>
      <c r="Z10841"/>
      <c r="AA10841"/>
      <c r="AC10841"/>
      <c r="AR10841"/>
    </row>
    <row r="10842" spans="24:44">
      <c r="X10842"/>
      <c r="Y10842"/>
      <c r="Z10842"/>
      <c r="AA10842"/>
      <c r="AC10842"/>
      <c r="AR10842"/>
    </row>
    <row r="10843" spans="24:44">
      <c r="X10843"/>
      <c r="Y10843"/>
      <c r="Z10843"/>
      <c r="AA10843"/>
      <c r="AC10843"/>
      <c r="AR10843"/>
    </row>
    <row r="10844" spans="24:44">
      <c r="X10844"/>
      <c r="Y10844"/>
      <c r="Z10844"/>
      <c r="AA10844"/>
      <c r="AC10844"/>
      <c r="AR10844"/>
    </row>
    <row r="10845" spans="24:44">
      <c r="X10845"/>
      <c r="Y10845"/>
      <c r="Z10845"/>
      <c r="AA10845"/>
      <c r="AC10845"/>
      <c r="AR10845"/>
    </row>
    <row r="10846" spans="24:44">
      <c r="X10846"/>
      <c r="Y10846"/>
      <c r="Z10846"/>
      <c r="AA10846"/>
      <c r="AC10846"/>
      <c r="AR10846"/>
    </row>
    <row r="10847" spans="24:44">
      <c r="X10847"/>
      <c r="Y10847"/>
      <c r="Z10847"/>
      <c r="AA10847"/>
      <c r="AC10847"/>
      <c r="AR10847"/>
    </row>
    <row r="10848" spans="24:44">
      <c r="X10848"/>
      <c r="Y10848"/>
      <c r="Z10848"/>
      <c r="AA10848"/>
      <c r="AC10848"/>
      <c r="AR10848"/>
    </row>
    <row r="10849" spans="24:44">
      <c r="X10849"/>
      <c r="Y10849"/>
      <c r="Z10849"/>
      <c r="AA10849"/>
      <c r="AC10849"/>
      <c r="AR10849"/>
    </row>
    <row r="10850" spans="24:44">
      <c r="X10850"/>
      <c r="Y10850"/>
      <c r="Z10850"/>
      <c r="AA10850"/>
      <c r="AC10850"/>
      <c r="AR10850"/>
    </row>
    <row r="10851" spans="24:44">
      <c r="X10851"/>
      <c r="Y10851"/>
      <c r="Z10851"/>
      <c r="AA10851"/>
      <c r="AC10851"/>
      <c r="AR10851"/>
    </row>
    <row r="10852" spans="24:44">
      <c r="X10852"/>
      <c r="Y10852"/>
      <c r="Z10852"/>
      <c r="AA10852"/>
      <c r="AC10852"/>
      <c r="AR10852"/>
    </row>
    <row r="10853" spans="24:44">
      <c r="X10853"/>
      <c r="Y10853"/>
      <c r="Z10853"/>
      <c r="AA10853"/>
      <c r="AC10853"/>
      <c r="AR10853"/>
    </row>
    <row r="10854" spans="24:44">
      <c r="X10854"/>
      <c r="Y10854"/>
      <c r="Z10854"/>
      <c r="AA10854"/>
      <c r="AC10854"/>
      <c r="AR10854"/>
    </row>
    <row r="10855" spans="24:44">
      <c r="X10855"/>
      <c r="Y10855"/>
      <c r="Z10855"/>
      <c r="AA10855"/>
      <c r="AC10855"/>
      <c r="AR10855"/>
    </row>
    <row r="10856" spans="24:44">
      <c r="X10856"/>
      <c r="Y10856"/>
      <c r="Z10856"/>
      <c r="AA10856"/>
      <c r="AC10856"/>
      <c r="AR10856"/>
    </row>
    <row r="10857" spans="24:44">
      <c r="X10857"/>
      <c r="Y10857"/>
      <c r="Z10857"/>
      <c r="AA10857"/>
      <c r="AC10857"/>
      <c r="AR10857"/>
    </row>
    <row r="10858" spans="24:44">
      <c r="X10858"/>
      <c r="Y10858"/>
      <c r="Z10858"/>
      <c r="AA10858"/>
      <c r="AC10858"/>
      <c r="AR10858"/>
    </row>
    <row r="10859" spans="24:44">
      <c r="X10859"/>
      <c r="Y10859"/>
      <c r="Z10859"/>
      <c r="AA10859"/>
      <c r="AC10859"/>
      <c r="AR10859"/>
    </row>
    <row r="10860" spans="24:44">
      <c r="X10860"/>
      <c r="Y10860"/>
      <c r="Z10860"/>
      <c r="AA10860"/>
      <c r="AC10860"/>
      <c r="AR10860"/>
    </row>
    <row r="10861" spans="24:44">
      <c r="X10861"/>
      <c r="Y10861"/>
      <c r="Z10861"/>
      <c r="AA10861"/>
      <c r="AC10861"/>
      <c r="AR10861"/>
    </row>
    <row r="10862" spans="24:44">
      <c r="X10862"/>
      <c r="Y10862"/>
      <c r="Z10862"/>
      <c r="AA10862"/>
      <c r="AC10862"/>
      <c r="AR10862"/>
    </row>
    <row r="10863" spans="24:44">
      <c r="X10863"/>
      <c r="Y10863"/>
      <c r="Z10863"/>
      <c r="AA10863"/>
      <c r="AC10863"/>
      <c r="AR10863"/>
    </row>
    <row r="10864" spans="24:44">
      <c r="X10864"/>
      <c r="Y10864"/>
      <c r="Z10864"/>
      <c r="AA10864"/>
      <c r="AC10864"/>
      <c r="AR10864"/>
    </row>
    <row r="10865" spans="24:44">
      <c r="X10865"/>
      <c r="Y10865"/>
      <c r="Z10865"/>
      <c r="AA10865"/>
      <c r="AC10865"/>
      <c r="AR10865"/>
    </row>
    <row r="10866" spans="24:44">
      <c r="X10866"/>
      <c r="Y10866"/>
      <c r="Z10866"/>
      <c r="AA10866"/>
      <c r="AC10866"/>
      <c r="AR10866"/>
    </row>
    <row r="10867" spans="24:44">
      <c r="X10867"/>
      <c r="Y10867"/>
      <c r="Z10867"/>
      <c r="AA10867"/>
      <c r="AC10867"/>
      <c r="AR10867"/>
    </row>
    <row r="10868" spans="24:44">
      <c r="X10868"/>
      <c r="Y10868"/>
      <c r="Z10868"/>
      <c r="AA10868"/>
      <c r="AC10868"/>
      <c r="AR10868"/>
    </row>
    <row r="10869" spans="24:44">
      <c r="X10869"/>
      <c r="Y10869"/>
      <c r="Z10869"/>
      <c r="AA10869"/>
      <c r="AC10869"/>
      <c r="AR10869"/>
    </row>
    <row r="10870" spans="24:44">
      <c r="X10870"/>
      <c r="Y10870"/>
      <c r="Z10870"/>
      <c r="AA10870"/>
      <c r="AC10870"/>
      <c r="AR10870"/>
    </row>
    <row r="10871" spans="24:44">
      <c r="X10871"/>
      <c r="Y10871"/>
      <c r="Z10871"/>
      <c r="AA10871"/>
      <c r="AC10871"/>
      <c r="AR10871"/>
    </row>
    <row r="10872" spans="24:44">
      <c r="X10872"/>
      <c r="Y10872"/>
      <c r="Z10872"/>
      <c r="AA10872"/>
      <c r="AC10872"/>
      <c r="AR10872"/>
    </row>
    <row r="10873" spans="24:44">
      <c r="X10873"/>
      <c r="Y10873"/>
      <c r="Z10873"/>
      <c r="AA10873"/>
      <c r="AC10873"/>
      <c r="AR10873"/>
    </row>
    <row r="10874" spans="24:44">
      <c r="X10874"/>
      <c r="Y10874"/>
      <c r="Z10874"/>
      <c r="AA10874"/>
      <c r="AC10874"/>
      <c r="AR10874"/>
    </row>
    <row r="10875" spans="24:44">
      <c r="X10875"/>
      <c r="Y10875"/>
      <c r="Z10875"/>
      <c r="AA10875"/>
      <c r="AC10875"/>
      <c r="AR10875"/>
    </row>
    <row r="10876" spans="24:44">
      <c r="X10876"/>
      <c r="Y10876"/>
      <c r="Z10876"/>
      <c r="AA10876"/>
      <c r="AC10876"/>
      <c r="AR10876"/>
    </row>
    <row r="10877" spans="24:44">
      <c r="X10877"/>
      <c r="Y10877"/>
      <c r="Z10877"/>
      <c r="AA10877"/>
      <c r="AC10877"/>
      <c r="AR10877"/>
    </row>
    <row r="10878" spans="24:44">
      <c r="X10878"/>
      <c r="Y10878"/>
      <c r="Z10878"/>
      <c r="AA10878"/>
      <c r="AC10878"/>
      <c r="AR10878"/>
    </row>
    <row r="10879" spans="24:44">
      <c r="X10879"/>
      <c r="Y10879"/>
      <c r="Z10879"/>
      <c r="AA10879"/>
      <c r="AC10879"/>
      <c r="AR10879"/>
    </row>
    <row r="10880" spans="24:44">
      <c r="X10880"/>
      <c r="Y10880"/>
      <c r="Z10880"/>
      <c r="AA10880"/>
      <c r="AC10880"/>
      <c r="AR10880"/>
    </row>
    <row r="10881" spans="24:44">
      <c r="X10881"/>
      <c r="Y10881"/>
      <c r="Z10881"/>
      <c r="AA10881"/>
      <c r="AC10881"/>
      <c r="AR10881"/>
    </row>
    <row r="10882" spans="24:44">
      <c r="X10882"/>
      <c r="Y10882"/>
      <c r="Z10882"/>
      <c r="AA10882"/>
      <c r="AC10882"/>
      <c r="AR10882"/>
    </row>
    <row r="10883" spans="24:44">
      <c r="X10883"/>
      <c r="Y10883"/>
      <c r="Z10883"/>
      <c r="AA10883"/>
      <c r="AC10883"/>
      <c r="AR10883"/>
    </row>
    <row r="10884" spans="24:44">
      <c r="X10884"/>
      <c r="Y10884"/>
      <c r="Z10884"/>
      <c r="AA10884"/>
      <c r="AC10884"/>
      <c r="AR10884"/>
    </row>
    <row r="10885" spans="24:44">
      <c r="X10885"/>
      <c r="Y10885"/>
      <c r="Z10885"/>
      <c r="AA10885"/>
      <c r="AC10885"/>
      <c r="AR10885"/>
    </row>
    <row r="10886" spans="24:44">
      <c r="X10886"/>
      <c r="Y10886"/>
      <c r="Z10886"/>
      <c r="AA10886"/>
      <c r="AC10886"/>
      <c r="AR10886"/>
    </row>
    <row r="10887" spans="24:44">
      <c r="X10887"/>
      <c r="Y10887"/>
      <c r="Z10887"/>
      <c r="AA10887"/>
      <c r="AC10887"/>
      <c r="AR10887"/>
    </row>
    <row r="10888" spans="24:44">
      <c r="X10888"/>
      <c r="Y10888"/>
      <c r="Z10888"/>
      <c r="AA10888"/>
      <c r="AC10888"/>
      <c r="AR10888"/>
    </row>
    <row r="10889" spans="24:44">
      <c r="X10889"/>
      <c r="Y10889"/>
      <c r="Z10889"/>
      <c r="AA10889"/>
      <c r="AC10889"/>
      <c r="AR10889"/>
    </row>
    <row r="10890" spans="24:44">
      <c r="X10890"/>
      <c r="Y10890"/>
      <c r="Z10890"/>
      <c r="AA10890"/>
      <c r="AC10890"/>
      <c r="AR10890"/>
    </row>
    <row r="10891" spans="24:44">
      <c r="X10891"/>
      <c r="Y10891"/>
      <c r="Z10891"/>
      <c r="AA10891"/>
      <c r="AC10891"/>
      <c r="AR10891"/>
    </row>
    <row r="10892" spans="24:44">
      <c r="X10892"/>
      <c r="Y10892"/>
      <c r="Z10892"/>
      <c r="AA10892"/>
      <c r="AC10892"/>
      <c r="AR10892"/>
    </row>
    <row r="10893" spans="24:44">
      <c r="X10893"/>
      <c r="Y10893"/>
      <c r="Z10893"/>
      <c r="AA10893"/>
      <c r="AC10893"/>
      <c r="AR10893"/>
    </row>
    <row r="10894" spans="24:44">
      <c r="X10894"/>
      <c r="Y10894"/>
      <c r="Z10894"/>
      <c r="AA10894"/>
      <c r="AC10894"/>
      <c r="AR10894"/>
    </row>
    <row r="10895" spans="24:44">
      <c r="X10895"/>
      <c r="Y10895"/>
      <c r="Z10895"/>
      <c r="AA10895"/>
      <c r="AC10895"/>
      <c r="AR10895"/>
    </row>
    <row r="10896" spans="24:44">
      <c r="X10896"/>
      <c r="Y10896"/>
      <c r="Z10896"/>
      <c r="AA10896"/>
      <c r="AC10896"/>
      <c r="AR10896"/>
    </row>
    <row r="10897" spans="24:44">
      <c r="X10897"/>
      <c r="Y10897"/>
      <c r="Z10897"/>
      <c r="AA10897"/>
      <c r="AC10897"/>
      <c r="AR10897"/>
    </row>
    <row r="10898" spans="24:44">
      <c r="X10898"/>
      <c r="Y10898"/>
      <c r="Z10898"/>
      <c r="AA10898"/>
      <c r="AC10898"/>
      <c r="AR10898"/>
    </row>
    <row r="10899" spans="24:44">
      <c r="X10899"/>
      <c r="Y10899"/>
      <c r="Z10899"/>
      <c r="AA10899"/>
      <c r="AC10899"/>
      <c r="AR10899"/>
    </row>
    <row r="10900" spans="24:44">
      <c r="X10900"/>
      <c r="Y10900"/>
      <c r="Z10900"/>
      <c r="AA10900"/>
      <c r="AC10900"/>
      <c r="AR10900"/>
    </row>
    <row r="10901" spans="24:44">
      <c r="X10901"/>
      <c r="Y10901"/>
      <c r="Z10901"/>
      <c r="AA10901"/>
      <c r="AC10901"/>
      <c r="AR10901"/>
    </row>
    <row r="10902" spans="24:44">
      <c r="X10902"/>
      <c r="Y10902"/>
      <c r="Z10902"/>
      <c r="AA10902"/>
      <c r="AC10902"/>
      <c r="AR10902"/>
    </row>
    <row r="10903" spans="24:44">
      <c r="X10903"/>
      <c r="Y10903"/>
      <c r="Z10903"/>
      <c r="AA10903"/>
      <c r="AC10903"/>
      <c r="AR10903"/>
    </row>
    <row r="10904" spans="24:44">
      <c r="X10904"/>
      <c r="Y10904"/>
      <c r="Z10904"/>
      <c r="AA10904"/>
      <c r="AC10904"/>
      <c r="AR10904"/>
    </row>
    <row r="10905" spans="24:44">
      <c r="X10905"/>
      <c r="Y10905"/>
      <c r="Z10905"/>
      <c r="AA10905"/>
      <c r="AC10905"/>
      <c r="AR10905"/>
    </row>
    <row r="10906" spans="24:44">
      <c r="X10906"/>
      <c r="Y10906"/>
      <c r="Z10906"/>
      <c r="AA10906"/>
      <c r="AC10906"/>
      <c r="AR10906"/>
    </row>
    <row r="10907" spans="24:44">
      <c r="X10907"/>
      <c r="Y10907"/>
      <c r="Z10907"/>
      <c r="AA10907"/>
      <c r="AC10907"/>
      <c r="AR10907"/>
    </row>
    <row r="10908" spans="24:44">
      <c r="X10908"/>
      <c r="Y10908"/>
      <c r="Z10908"/>
      <c r="AA10908"/>
      <c r="AC10908"/>
      <c r="AR10908"/>
    </row>
    <row r="10909" spans="24:44">
      <c r="X10909"/>
      <c r="Y10909"/>
      <c r="Z10909"/>
      <c r="AA10909"/>
      <c r="AC10909"/>
      <c r="AR10909"/>
    </row>
    <row r="10910" spans="24:44">
      <c r="X10910"/>
      <c r="Y10910"/>
      <c r="Z10910"/>
      <c r="AA10910"/>
      <c r="AC10910"/>
      <c r="AR10910"/>
    </row>
    <row r="10911" spans="24:44">
      <c r="X10911"/>
      <c r="Y10911"/>
      <c r="Z10911"/>
      <c r="AA10911"/>
      <c r="AC10911"/>
      <c r="AR10911"/>
    </row>
    <row r="10912" spans="24:44">
      <c r="X10912"/>
      <c r="Y10912"/>
      <c r="Z10912"/>
      <c r="AA10912"/>
      <c r="AC10912"/>
      <c r="AR10912"/>
    </row>
    <row r="10913" spans="24:44">
      <c r="X10913"/>
      <c r="Y10913"/>
      <c r="Z10913"/>
      <c r="AA10913"/>
      <c r="AC10913"/>
      <c r="AR10913"/>
    </row>
    <row r="10914" spans="24:44">
      <c r="X10914"/>
      <c r="Y10914"/>
      <c r="Z10914"/>
      <c r="AA10914"/>
      <c r="AC10914"/>
      <c r="AR10914"/>
    </row>
    <row r="10915" spans="24:44">
      <c r="X10915"/>
      <c r="Y10915"/>
      <c r="Z10915"/>
      <c r="AA10915"/>
      <c r="AC10915"/>
      <c r="AR10915"/>
    </row>
    <row r="10916" spans="24:44">
      <c r="X10916"/>
      <c r="Y10916"/>
      <c r="Z10916"/>
      <c r="AA10916"/>
      <c r="AC10916"/>
      <c r="AR10916"/>
    </row>
    <row r="10917" spans="24:44">
      <c r="X10917"/>
      <c r="Y10917"/>
      <c r="Z10917"/>
      <c r="AA10917"/>
      <c r="AC10917"/>
      <c r="AR10917"/>
    </row>
    <row r="10918" spans="24:44">
      <c r="X10918"/>
      <c r="Y10918"/>
      <c r="Z10918"/>
      <c r="AA10918"/>
      <c r="AC10918"/>
      <c r="AR10918"/>
    </row>
    <row r="10919" spans="24:44">
      <c r="X10919"/>
      <c r="Y10919"/>
      <c r="Z10919"/>
      <c r="AA10919"/>
      <c r="AC10919"/>
      <c r="AR10919"/>
    </row>
    <row r="10920" spans="24:44">
      <c r="X10920"/>
      <c r="Y10920"/>
      <c r="Z10920"/>
      <c r="AA10920"/>
      <c r="AC10920"/>
      <c r="AR10920"/>
    </row>
    <row r="10921" spans="24:44">
      <c r="X10921"/>
      <c r="Y10921"/>
      <c r="Z10921"/>
      <c r="AA10921"/>
      <c r="AC10921"/>
      <c r="AR10921"/>
    </row>
    <row r="10922" spans="24:44">
      <c r="X10922"/>
      <c r="Y10922"/>
      <c r="Z10922"/>
      <c r="AA10922"/>
      <c r="AC10922"/>
      <c r="AR10922"/>
    </row>
    <row r="10923" spans="24:44">
      <c r="X10923"/>
      <c r="Y10923"/>
      <c r="Z10923"/>
      <c r="AA10923"/>
      <c r="AC10923"/>
      <c r="AR10923"/>
    </row>
    <row r="10924" spans="24:44">
      <c r="X10924"/>
      <c r="Y10924"/>
      <c r="Z10924"/>
      <c r="AA10924"/>
      <c r="AC10924"/>
      <c r="AR10924"/>
    </row>
    <row r="10925" spans="24:44">
      <c r="X10925"/>
      <c r="Y10925"/>
      <c r="Z10925"/>
      <c r="AA10925"/>
      <c r="AC10925"/>
      <c r="AR10925"/>
    </row>
    <row r="10926" spans="24:44">
      <c r="X10926"/>
      <c r="Y10926"/>
      <c r="Z10926"/>
      <c r="AA10926"/>
      <c r="AC10926"/>
      <c r="AR10926"/>
    </row>
    <row r="10927" spans="24:44">
      <c r="X10927"/>
      <c r="Y10927"/>
      <c r="Z10927"/>
      <c r="AA10927"/>
      <c r="AC10927"/>
      <c r="AR10927"/>
    </row>
    <row r="10928" spans="24:44">
      <c r="X10928"/>
      <c r="Y10928"/>
      <c r="Z10928"/>
      <c r="AA10928"/>
      <c r="AC10928"/>
      <c r="AR10928"/>
    </row>
    <row r="10929" spans="24:44">
      <c r="X10929"/>
      <c r="Y10929"/>
      <c r="Z10929"/>
      <c r="AA10929"/>
      <c r="AC10929"/>
      <c r="AR10929"/>
    </row>
    <row r="10930" spans="24:44">
      <c r="X10930"/>
      <c r="Y10930"/>
      <c r="Z10930"/>
      <c r="AA10930"/>
      <c r="AC10930"/>
      <c r="AR10930"/>
    </row>
    <row r="10931" spans="24:44">
      <c r="X10931"/>
      <c r="Y10931"/>
      <c r="Z10931"/>
      <c r="AA10931"/>
      <c r="AC10931"/>
      <c r="AR10931"/>
    </row>
    <row r="10932" spans="24:44">
      <c r="X10932"/>
      <c r="Y10932"/>
      <c r="Z10932"/>
      <c r="AA10932"/>
      <c r="AC10932"/>
      <c r="AR10932"/>
    </row>
    <row r="10933" spans="24:44">
      <c r="X10933"/>
      <c r="Y10933"/>
      <c r="Z10933"/>
      <c r="AA10933"/>
      <c r="AC10933"/>
      <c r="AR10933"/>
    </row>
    <row r="10934" spans="24:44">
      <c r="X10934"/>
      <c r="Y10934"/>
      <c r="Z10934"/>
      <c r="AA10934"/>
      <c r="AC10934"/>
      <c r="AR10934"/>
    </row>
    <row r="10935" spans="24:44">
      <c r="X10935"/>
      <c r="Y10935"/>
      <c r="Z10935"/>
      <c r="AA10935"/>
      <c r="AC10935"/>
      <c r="AR10935"/>
    </row>
    <row r="10936" spans="24:44">
      <c r="X10936"/>
      <c r="Y10936"/>
      <c r="Z10936"/>
      <c r="AA10936"/>
      <c r="AC10936"/>
      <c r="AR10936"/>
    </row>
    <row r="10937" spans="24:44">
      <c r="X10937"/>
      <c r="Y10937"/>
      <c r="Z10937"/>
      <c r="AA10937"/>
      <c r="AC10937"/>
      <c r="AR10937"/>
    </row>
    <row r="10938" spans="24:44">
      <c r="X10938"/>
      <c r="Y10938"/>
      <c r="Z10938"/>
      <c r="AA10938"/>
      <c r="AC10938"/>
      <c r="AR10938"/>
    </row>
    <row r="10939" spans="24:44">
      <c r="X10939"/>
      <c r="Y10939"/>
      <c r="Z10939"/>
      <c r="AA10939"/>
      <c r="AC10939"/>
      <c r="AR10939"/>
    </row>
    <row r="10940" spans="24:44">
      <c r="X10940"/>
      <c r="Y10940"/>
      <c r="Z10940"/>
      <c r="AA10940"/>
      <c r="AC10940"/>
      <c r="AR10940"/>
    </row>
    <row r="10941" spans="24:44">
      <c r="X10941"/>
      <c r="Y10941"/>
      <c r="Z10941"/>
      <c r="AA10941"/>
      <c r="AC10941"/>
      <c r="AR10941"/>
    </row>
    <row r="10942" spans="24:44">
      <c r="X10942"/>
      <c r="Y10942"/>
      <c r="Z10942"/>
      <c r="AA10942"/>
      <c r="AC10942"/>
      <c r="AR10942"/>
    </row>
    <row r="10943" spans="24:44">
      <c r="X10943"/>
      <c r="Y10943"/>
      <c r="Z10943"/>
      <c r="AA10943"/>
      <c r="AC10943"/>
      <c r="AR10943"/>
    </row>
    <row r="10944" spans="24:44">
      <c r="X10944"/>
      <c r="Y10944"/>
      <c r="Z10944"/>
      <c r="AA10944"/>
      <c r="AC10944"/>
      <c r="AR10944"/>
    </row>
    <row r="10945" spans="24:44">
      <c r="X10945"/>
      <c r="Y10945"/>
      <c r="Z10945"/>
      <c r="AA10945"/>
      <c r="AC10945"/>
      <c r="AR10945"/>
    </row>
    <row r="10946" spans="24:44">
      <c r="X10946"/>
      <c r="Y10946"/>
      <c r="Z10946"/>
      <c r="AA10946"/>
      <c r="AC10946"/>
      <c r="AR10946"/>
    </row>
    <row r="10947" spans="24:44">
      <c r="X10947"/>
      <c r="Y10947"/>
      <c r="Z10947"/>
      <c r="AA10947"/>
      <c r="AC10947"/>
      <c r="AR10947"/>
    </row>
    <row r="10948" spans="24:44">
      <c r="X10948"/>
      <c r="Y10948"/>
      <c r="Z10948"/>
      <c r="AA10948"/>
      <c r="AC10948"/>
      <c r="AR10948"/>
    </row>
    <row r="10949" spans="24:44">
      <c r="X10949"/>
      <c r="Y10949"/>
      <c r="Z10949"/>
      <c r="AA10949"/>
      <c r="AC10949"/>
      <c r="AR10949"/>
    </row>
    <row r="10950" spans="24:44">
      <c r="X10950"/>
      <c r="Y10950"/>
      <c r="Z10950"/>
      <c r="AA10950"/>
      <c r="AC10950"/>
      <c r="AR10950"/>
    </row>
    <row r="10951" spans="24:44">
      <c r="X10951"/>
      <c r="Y10951"/>
      <c r="Z10951"/>
      <c r="AA10951"/>
      <c r="AC10951"/>
      <c r="AR10951"/>
    </row>
    <row r="10952" spans="24:44">
      <c r="X10952"/>
      <c r="Y10952"/>
      <c r="Z10952"/>
      <c r="AA10952"/>
      <c r="AC10952"/>
      <c r="AR10952"/>
    </row>
    <row r="10953" spans="24:44">
      <c r="X10953"/>
      <c r="Y10953"/>
      <c r="Z10953"/>
      <c r="AA10953"/>
      <c r="AC10953"/>
      <c r="AR10953"/>
    </row>
    <row r="10954" spans="24:44">
      <c r="X10954"/>
      <c r="Y10954"/>
      <c r="Z10954"/>
      <c r="AA10954"/>
      <c r="AC10954"/>
      <c r="AR10954"/>
    </row>
    <row r="10955" spans="24:44">
      <c r="X10955"/>
      <c r="Y10955"/>
      <c r="Z10955"/>
      <c r="AA10955"/>
      <c r="AC10955"/>
      <c r="AR10955"/>
    </row>
    <row r="10956" spans="24:44">
      <c r="X10956"/>
      <c r="Y10956"/>
      <c r="Z10956"/>
      <c r="AA10956"/>
      <c r="AC10956"/>
      <c r="AR10956"/>
    </row>
    <row r="10957" spans="24:44">
      <c r="X10957"/>
      <c r="Y10957"/>
      <c r="Z10957"/>
      <c r="AA10957"/>
      <c r="AC10957"/>
      <c r="AR10957"/>
    </row>
    <row r="10958" spans="24:44">
      <c r="X10958"/>
      <c r="Y10958"/>
      <c r="Z10958"/>
      <c r="AA10958"/>
      <c r="AC10958"/>
      <c r="AR10958"/>
    </row>
    <row r="10959" spans="24:44">
      <c r="X10959"/>
      <c r="Y10959"/>
      <c r="Z10959"/>
      <c r="AA10959"/>
      <c r="AC10959"/>
      <c r="AR10959"/>
    </row>
    <row r="10960" spans="24:44">
      <c r="X10960"/>
      <c r="Y10960"/>
      <c r="Z10960"/>
      <c r="AA10960"/>
      <c r="AC10960"/>
      <c r="AR10960"/>
    </row>
    <row r="10961" spans="24:44">
      <c r="X10961"/>
      <c r="Y10961"/>
      <c r="Z10961"/>
      <c r="AA10961"/>
      <c r="AC10961"/>
      <c r="AR10961"/>
    </row>
    <row r="10962" spans="24:44">
      <c r="X10962"/>
      <c r="Y10962"/>
      <c r="Z10962"/>
      <c r="AA10962"/>
      <c r="AC10962"/>
      <c r="AR10962"/>
    </row>
    <row r="10963" spans="24:44">
      <c r="X10963"/>
      <c r="Y10963"/>
      <c r="Z10963"/>
      <c r="AA10963"/>
      <c r="AC10963"/>
      <c r="AR10963"/>
    </row>
    <row r="10964" spans="24:44">
      <c r="X10964"/>
      <c r="Y10964"/>
      <c r="Z10964"/>
      <c r="AA10964"/>
      <c r="AC10964"/>
      <c r="AR10964"/>
    </row>
    <row r="10965" spans="24:44">
      <c r="X10965"/>
      <c r="Y10965"/>
      <c r="Z10965"/>
      <c r="AA10965"/>
      <c r="AC10965"/>
      <c r="AR10965"/>
    </row>
    <row r="10966" spans="24:44">
      <c r="X10966"/>
      <c r="Y10966"/>
      <c r="Z10966"/>
      <c r="AA10966"/>
      <c r="AC10966"/>
      <c r="AR10966"/>
    </row>
    <row r="10967" spans="24:44">
      <c r="X10967"/>
      <c r="Y10967"/>
      <c r="Z10967"/>
      <c r="AA10967"/>
      <c r="AC10967"/>
      <c r="AR10967"/>
    </row>
    <row r="10968" spans="24:44">
      <c r="X10968"/>
      <c r="Y10968"/>
      <c r="Z10968"/>
      <c r="AA10968"/>
      <c r="AC10968"/>
      <c r="AR10968"/>
    </row>
    <row r="10969" spans="24:44">
      <c r="X10969"/>
      <c r="Y10969"/>
      <c r="Z10969"/>
      <c r="AA10969"/>
      <c r="AC10969"/>
      <c r="AR10969"/>
    </row>
    <row r="10970" spans="24:44">
      <c r="X10970"/>
      <c r="Y10970"/>
      <c r="Z10970"/>
      <c r="AA10970"/>
      <c r="AC10970"/>
      <c r="AR10970"/>
    </row>
    <row r="10971" spans="24:44">
      <c r="X10971"/>
      <c r="Y10971"/>
      <c r="Z10971"/>
      <c r="AA10971"/>
      <c r="AC10971"/>
      <c r="AR10971"/>
    </row>
    <row r="10972" spans="24:44">
      <c r="X10972"/>
      <c r="Y10972"/>
      <c r="Z10972"/>
      <c r="AA10972"/>
      <c r="AC10972"/>
      <c r="AR10972"/>
    </row>
    <row r="10973" spans="24:44">
      <c r="X10973"/>
      <c r="Y10973"/>
      <c r="Z10973"/>
      <c r="AA10973"/>
      <c r="AC10973"/>
      <c r="AR10973"/>
    </row>
    <row r="10974" spans="24:44">
      <c r="X10974"/>
      <c r="Y10974"/>
      <c r="Z10974"/>
      <c r="AA10974"/>
      <c r="AC10974"/>
      <c r="AR10974"/>
    </row>
    <row r="10975" spans="24:44">
      <c r="X10975"/>
      <c r="Y10975"/>
      <c r="Z10975"/>
      <c r="AA10975"/>
      <c r="AC10975"/>
      <c r="AR10975"/>
    </row>
    <row r="10976" spans="24:44">
      <c r="X10976"/>
      <c r="Y10976"/>
      <c r="Z10976"/>
      <c r="AA10976"/>
      <c r="AC10976"/>
      <c r="AR10976"/>
    </row>
    <row r="10977" spans="24:44">
      <c r="X10977"/>
      <c r="Y10977"/>
      <c r="Z10977"/>
      <c r="AA10977"/>
      <c r="AC10977"/>
      <c r="AR10977"/>
    </row>
    <row r="10978" spans="24:44">
      <c r="X10978"/>
      <c r="Y10978"/>
      <c r="Z10978"/>
      <c r="AA10978"/>
      <c r="AC10978"/>
      <c r="AR10978"/>
    </row>
    <row r="10979" spans="24:44">
      <c r="X10979"/>
      <c r="Y10979"/>
      <c r="Z10979"/>
      <c r="AA10979"/>
      <c r="AC10979"/>
      <c r="AR10979"/>
    </row>
    <row r="10980" spans="24:44">
      <c r="X10980"/>
      <c r="Y10980"/>
      <c r="Z10980"/>
      <c r="AA10980"/>
      <c r="AC10980"/>
      <c r="AR10980"/>
    </row>
    <row r="10981" spans="24:44">
      <c r="X10981"/>
      <c r="Y10981"/>
      <c r="Z10981"/>
      <c r="AA10981"/>
      <c r="AC10981"/>
      <c r="AR10981"/>
    </row>
    <row r="10982" spans="24:44">
      <c r="X10982"/>
      <c r="Y10982"/>
      <c r="Z10982"/>
      <c r="AA10982"/>
      <c r="AC10982"/>
      <c r="AR10982"/>
    </row>
    <row r="10983" spans="24:44">
      <c r="X10983"/>
      <c r="Y10983"/>
      <c r="Z10983"/>
      <c r="AA10983"/>
      <c r="AC10983"/>
      <c r="AR10983"/>
    </row>
    <row r="10984" spans="24:44">
      <c r="X10984"/>
      <c r="Y10984"/>
      <c r="Z10984"/>
      <c r="AA10984"/>
      <c r="AC10984"/>
      <c r="AR10984"/>
    </row>
    <row r="10985" spans="24:44">
      <c r="X10985"/>
      <c r="Y10985"/>
      <c r="Z10985"/>
      <c r="AA10985"/>
      <c r="AC10985"/>
      <c r="AR10985"/>
    </row>
    <row r="10986" spans="24:44">
      <c r="X10986"/>
      <c r="Y10986"/>
      <c r="Z10986"/>
      <c r="AA10986"/>
      <c r="AC10986"/>
      <c r="AR10986"/>
    </row>
    <row r="10987" spans="24:44">
      <c r="X10987"/>
      <c r="Y10987"/>
      <c r="Z10987"/>
      <c r="AA10987"/>
      <c r="AC10987"/>
      <c r="AR10987"/>
    </row>
    <row r="10988" spans="24:44">
      <c r="X10988"/>
      <c r="Y10988"/>
      <c r="Z10988"/>
      <c r="AA10988"/>
      <c r="AC10988"/>
      <c r="AR10988"/>
    </row>
    <row r="10989" spans="24:44">
      <c r="X10989"/>
      <c r="Y10989"/>
      <c r="Z10989"/>
      <c r="AA10989"/>
      <c r="AC10989"/>
      <c r="AR10989"/>
    </row>
    <row r="10990" spans="24:44">
      <c r="X10990"/>
      <c r="Y10990"/>
      <c r="Z10990"/>
      <c r="AA10990"/>
      <c r="AC10990"/>
      <c r="AR10990"/>
    </row>
    <row r="10991" spans="24:44">
      <c r="X10991"/>
      <c r="Y10991"/>
      <c r="Z10991"/>
      <c r="AA10991"/>
      <c r="AC10991"/>
      <c r="AR10991"/>
    </row>
    <row r="10992" spans="24:44">
      <c r="X10992"/>
      <c r="Y10992"/>
      <c r="Z10992"/>
      <c r="AA10992"/>
      <c r="AC10992"/>
      <c r="AR10992"/>
    </row>
    <row r="10993" spans="24:44">
      <c r="X10993"/>
      <c r="Y10993"/>
      <c r="Z10993"/>
      <c r="AA10993"/>
      <c r="AC10993"/>
      <c r="AR10993"/>
    </row>
    <row r="10994" spans="24:44">
      <c r="X10994"/>
      <c r="Y10994"/>
      <c r="Z10994"/>
      <c r="AA10994"/>
      <c r="AC10994"/>
      <c r="AR10994"/>
    </row>
    <row r="10995" spans="24:44">
      <c r="X10995"/>
      <c r="Y10995"/>
      <c r="Z10995"/>
      <c r="AA10995"/>
      <c r="AC10995"/>
      <c r="AR10995"/>
    </row>
    <row r="10996" spans="24:44">
      <c r="X10996"/>
      <c r="Y10996"/>
      <c r="Z10996"/>
      <c r="AA10996"/>
      <c r="AC10996"/>
      <c r="AR10996"/>
    </row>
    <row r="10997" spans="24:44">
      <c r="X10997"/>
      <c r="Y10997"/>
      <c r="Z10997"/>
      <c r="AA10997"/>
      <c r="AC10997"/>
      <c r="AR10997"/>
    </row>
    <row r="10998" spans="24:44">
      <c r="X10998"/>
      <c r="Y10998"/>
      <c r="Z10998"/>
      <c r="AA10998"/>
      <c r="AC10998"/>
      <c r="AR10998"/>
    </row>
    <row r="10999" spans="24:44">
      <c r="X10999"/>
      <c r="Y10999"/>
      <c r="Z10999"/>
      <c r="AA10999"/>
      <c r="AC10999"/>
      <c r="AR10999"/>
    </row>
    <row r="11000" spans="24:44">
      <c r="X11000"/>
      <c r="Y11000"/>
      <c r="Z11000"/>
      <c r="AA11000"/>
      <c r="AC11000"/>
      <c r="AR11000"/>
    </row>
    <row r="11001" spans="24:44">
      <c r="X11001"/>
      <c r="Y11001"/>
      <c r="Z11001"/>
      <c r="AA11001"/>
      <c r="AC11001"/>
      <c r="AR11001"/>
    </row>
    <row r="11002" spans="24:44">
      <c r="X11002"/>
      <c r="Y11002"/>
      <c r="Z11002"/>
      <c r="AA11002"/>
      <c r="AC11002"/>
      <c r="AR11002"/>
    </row>
    <row r="11003" spans="24:44">
      <c r="X11003"/>
      <c r="Y11003"/>
      <c r="Z11003"/>
      <c r="AA11003"/>
      <c r="AC11003"/>
      <c r="AR11003"/>
    </row>
    <row r="11004" spans="24:44">
      <c r="X11004"/>
      <c r="Y11004"/>
      <c r="Z11004"/>
      <c r="AA11004"/>
      <c r="AC11004"/>
      <c r="AR11004"/>
    </row>
    <row r="11005" spans="24:44">
      <c r="X11005"/>
      <c r="Y11005"/>
      <c r="Z11005"/>
      <c r="AA11005"/>
      <c r="AC11005"/>
      <c r="AR11005"/>
    </row>
    <row r="11006" spans="24:44">
      <c r="X11006"/>
      <c r="Y11006"/>
      <c r="Z11006"/>
      <c r="AA11006"/>
      <c r="AC11006"/>
      <c r="AR11006"/>
    </row>
    <row r="11007" spans="24:44">
      <c r="X11007"/>
      <c r="Y11007"/>
      <c r="Z11007"/>
      <c r="AA11007"/>
      <c r="AC11007"/>
      <c r="AR11007"/>
    </row>
    <row r="11008" spans="24:44">
      <c r="X11008"/>
      <c r="Y11008"/>
      <c r="Z11008"/>
      <c r="AA11008"/>
      <c r="AC11008"/>
      <c r="AR11008"/>
    </row>
    <row r="11009" spans="24:44">
      <c r="X11009"/>
      <c r="Y11009"/>
      <c r="Z11009"/>
      <c r="AA11009"/>
      <c r="AC11009"/>
      <c r="AR11009"/>
    </row>
    <row r="11010" spans="24:44">
      <c r="X11010"/>
      <c r="Y11010"/>
      <c r="Z11010"/>
      <c r="AA11010"/>
      <c r="AC11010"/>
      <c r="AR11010"/>
    </row>
    <row r="11011" spans="24:44">
      <c r="X11011"/>
      <c r="Y11011"/>
      <c r="Z11011"/>
      <c r="AA11011"/>
      <c r="AC11011"/>
      <c r="AR11011"/>
    </row>
    <row r="11012" spans="24:44">
      <c r="X11012"/>
      <c r="Y11012"/>
      <c r="Z11012"/>
      <c r="AA11012"/>
      <c r="AC11012"/>
      <c r="AR11012"/>
    </row>
    <row r="11013" spans="24:44">
      <c r="X11013"/>
      <c r="Y11013"/>
      <c r="Z11013"/>
      <c r="AA11013"/>
      <c r="AC11013"/>
      <c r="AR11013"/>
    </row>
    <row r="11014" spans="24:44">
      <c r="X11014"/>
      <c r="Y11014"/>
      <c r="Z11014"/>
      <c r="AA11014"/>
      <c r="AC11014"/>
      <c r="AR11014"/>
    </row>
    <row r="11015" spans="24:44">
      <c r="X11015"/>
      <c r="Y11015"/>
      <c r="Z11015"/>
      <c r="AA11015"/>
      <c r="AC11015"/>
      <c r="AR11015"/>
    </row>
    <row r="11016" spans="24:44">
      <c r="X11016"/>
      <c r="Y11016"/>
      <c r="Z11016"/>
      <c r="AA11016"/>
      <c r="AC11016"/>
      <c r="AR11016"/>
    </row>
    <row r="11017" spans="24:44">
      <c r="X11017"/>
      <c r="Y11017"/>
      <c r="Z11017"/>
      <c r="AA11017"/>
      <c r="AC11017"/>
      <c r="AR11017"/>
    </row>
    <row r="11018" spans="24:44">
      <c r="X11018"/>
      <c r="Y11018"/>
      <c r="Z11018"/>
      <c r="AA11018"/>
      <c r="AC11018"/>
      <c r="AR11018"/>
    </row>
    <row r="11019" spans="24:44">
      <c r="X11019"/>
      <c r="Y11019"/>
      <c r="Z11019"/>
      <c r="AA11019"/>
      <c r="AC11019"/>
      <c r="AR11019"/>
    </row>
    <row r="11020" spans="24:44">
      <c r="X11020"/>
      <c r="Y11020"/>
      <c r="Z11020"/>
      <c r="AA11020"/>
      <c r="AC11020"/>
      <c r="AR11020"/>
    </row>
    <row r="11021" spans="24:44">
      <c r="X11021"/>
      <c r="Y11021"/>
      <c r="Z11021"/>
      <c r="AA11021"/>
      <c r="AC11021"/>
      <c r="AR11021"/>
    </row>
    <row r="11022" spans="24:44">
      <c r="X11022"/>
      <c r="Y11022"/>
      <c r="Z11022"/>
      <c r="AA11022"/>
      <c r="AC11022"/>
      <c r="AR11022"/>
    </row>
    <row r="11023" spans="24:44">
      <c r="X11023"/>
      <c r="Y11023"/>
      <c r="Z11023"/>
      <c r="AA11023"/>
      <c r="AC11023"/>
      <c r="AR11023"/>
    </row>
    <row r="11024" spans="24:44">
      <c r="X11024"/>
      <c r="Y11024"/>
      <c r="Z11024"/>
      <c r="AA11024"/>
      <c r="AC11024"/>
      <c r="AR11024"/>
    </row>
    <row r="11025" spans="24:44">
      <c r="X11025"/>
      <c r="Y11025"/>
      <c r="Z11025"/>
      <c r="AA11025"/>
      <c r="AC11025"/>
      <c r="AR11025"/>
    </row>
    <row r="11026" spans="24:44">
      <c r="X11026"/>
      <c r="Y11026"/>
      <c r="Z11026"/>
      <c r="AA11026"/>
      <c r="AC11026"/>
      <c r="AR11026"/>
    </row>
    <row r="11027" spans="24:44">
      <c r="X11027"/>
      <c r="Y11027"/>
      <c r="Z11027"/>
      <c r="AA11027"/>
      <c r="AC11027"/>
      <c r="AR11027"/>
    </row>
    <row r="11028" spans="24:44">
      <c r="X11028"/>
      <c r="Y11028"/>
      <c r="Z11028"/>
      <c r="AA11028"/>
      <c r="AC11028"/>
      <c r="AR11028"/>
    </row>
    <row r="11029" spans="24:44">
      <c r="X11029"/>
      <c r="Y11029"/>
      <c r="Z11029"/>
      <c r="AA11029"/>
      <c r="AC11029"/>
      <c r="AR11029"/>
    </row>
    <row r="11030" spans="24:44">
      <c r="X11030"/>
      <c r="Y11030"/>
      <c r="Z11030"/>
      <c r="AA11030"/>
      <c r="AC11030"/>
      <c r="AR11030"/>
    </row>
    <row r="11031" spans="24:44">
      <c r="X11031"/>
      <c r="Y11031"/>
      <c r="Z11031"/>
      <c r="AA11031"/>
      <c r="AC11031"/>
      <c r="AR11031"/>
    </row>
    <row r="11032" spans="24:44">
      <c r="X11032"/>
      <c r="Y11032"/>
      <c r="Z11032"/>
      <c r="AA11032"/>
      <c r="AC11032"/>
      <c r="AR11032"/>
    </row>
    <row r="11033" spans="24:44">
      <c r="X11033"/>
      <c r="Y11033"/>
      <c r="Z11033"/>
      <c r="AA11033"/>
      <c r="AC11033"/>
      <c r="AR11033"/>
    </row>
    <row r="11034" spans="24:44">
      <c r="X11034"/>
      <c r="Y11034"/>
      <c r="Z11034"/>
      <c r="AA11034"/>
      <c r="AC11034"/>
      <c r="AR11034"/>
    </row>
    <row r="11035" spans="24:44">
      <c r="X11035"/>
      <c r="Y11035"/>
      <c r="Z11035"/>
      <c r="AA11035"/>
      <c r="AC11035"/>
      <c r="AR11035"/>
    </row>
    <row r="11036" spans="24:44">
      <c r="X11036"/>
      <c r="Y11036"/>
      <c r="Z11036"/>
      <c r="AA11036"/>
      <c r="AC11036"/>
      <c r="AR11036"/>
    </row>
    <row r="11037" spans="24:44">
      <c r="X11037"/>
      <c r="Y11037"/>
      <c r="Z11037"/>
      <c r="AA11037"/>
      <c r="AC11037"/>
      <c r="AR11037"/>
    </row>
    <row r="11038" spans="24:44">
      <c r="X11038"/>
      <c r="Y11038"/>
      <c r="Z11038"/>
      <c r="AA11038"/>
      <c r="AC11038"/>
      <c r="AR11038"/>
    </row>
    <row r="11039" spans="24:44">
      <c r="X11039"/>
      <c r="Y11039"/>
      <c r="Z11039"/>
      <c r="AA11039"/>
      <c r="AC11039"/>
      <c r="AR11039"/>
    </row>
    <row r="11040" spans="24:44">
      <c r="X11040"/>
      <c r="Y11040"/>
      <c r="Z11040"/>
      <c r="AA11040"/>
      <c r="AC11040"/>
      <c r="AR11040"/>
    </row>
    <row r="11041" spans="24:44">
      <c r="X11041"/>
      <c r="Y11041"/>
      <c r="Z11041"/>
      <c r="AA11041"/>
      <c r="AC11041"/>
      <c r="AR11041"/>
    </row>
    <row r="11042" spans="24:44">
      <c r="X11042"/>
      <c r="Y11042"/>
      <c r="Z11042"/>
      <c r="AA11042"/>
      <c r="AC11042"/>
      <c r="AR11042"/>
    </row>
    <row r="11043" spans="24:44">
      <c r="X11043"/>
      <c r="Y11043"/>
      <c r="Z11043"/>
      <c r="AA11043"/>
      <c r="AC11043"/>
      <c r="AR11043"/>
    </row>
    <row r="11044" spans="24:44">
      <c r="X11044"/>
      <c r="Y11044"/>
      <c r="Z11044"/>
      <c r="AA11044"/>
      <c r="AC11044"/>
      <c r="AR11044"/>
    </row>
    <row r="11045" spans="24:44">
      <c r="X11045"/>
      <c r="Y11045"/>
      <c r="Z11045"/>
      <c r="AA11045"/>
      <c r="AC11045"/>
      <c r="AR11045"/>
    </row>
    <row r="11046" spans="24:44">
      <c r="X11046"/>
      <c r="Y11046"/>
      <c r="Z11046"/>
      <c r="AA11046"/>
      <c r="AC11046"/>
      <c r="AR11046"/>
    </row>
    <row r="11047" spans="24:44">
      <c r="X11047"/>
      <c r="Y11047"/>
      <c r="Z11047"/>
      <c r="AA11047"/>
      <c r="AC11047"/>
      <c r="AR11047"/>
    </row>
    <row r="11048" spans="24:44">
      <c r="X11048"/>
      <c r="Y11048"/>
      <c r="Z11048"/>
      <c r="AA11048"/>
      <c r="AC11048"/>
      <c r="AR11048"/>
    </row>
    <row r="11049" spans="24:44">
      <c r="X11049"/>
      <c r="Y11049"/>
      <c r="Z11049"/>
      <c r="AA11049"/>
      <c r="AC11049"/>
      <c r="AR11049"/>
    </row>
    <row r="11050" spans="24:44">
      <c r="X11050"/>
      <c r="Y11050"/>
      <c r="Z11050"/>
      <c r="AA11050"/>
      <c r="AC11050"/>
      <c r="AR11050"/>
    </row>
    <row r="11051" spans="24:44">
      <c r="X11051"/>
      <c r="Y11051"/>
      <c r="Z11051"/>
      <c r="AA11051"/>
      <c r="AC11051"/>
      <c r="AR11051"/>
    </row>
    <row r="11052" spans="24:44">
      <c r="X11052"/>
      <c r="Y11052"/>
      <c r="Z11052"/>
      <c r="AA11052"/>
      <c r="AC11052"/>
      <c r="AR11052"/>
    </row>
    <row r="11053" spans="24:44">
      <c r="X11053"/>
      <c r="Y11053"/>
      <c r="Z11053"/>
      <c r="AA11053"/>
      <c r="AC11053"/>
      <c r="AR11053"/>
    </row>
    <row r="11054" spans="24:44">
      <c r="X11054"/>
      <c r="Y11054"/>
      <c r="Z11054"/>
      <c r="AA11054"/>
      <c r="AC11054"/>
      <c r="AR11054"/>
    </row>
    <row r="11055" spans="24:44">
      <c r="X11055"/>
      <c r="Y11055"/>
      <c r="Z11055"/>
      <c r="AA11055"/>
      <c r="AC11055"/>
      <c r="AR11055"/>
    </row>
    <row r="11056" spans="24:44">
      <c r="X11056"/>
      <c r="Y11056"/>
      <c r="Z11056"/>
      <c r="AA11056"/>
      <c r="AC11056"/>
      <c r="AR11056"/>
    </row>
    <row r="11057" spans="24:44">
      <c r="X11057"/>
      <c r="Y11057"/>
      <c r="Z11057"/>
      <c r="AA11057"/>
      <c r="AC11057"/>
      <c r="AR11057"/>
    </row>
    <row r="11058" spans="24:44">
      <c r="X11058"/>
      <c r="Y11058"/>
      <c r="Z11058"/>
      <c r="AA11058"/>
      <c r="AC11058"/>
      <c r="AR11058"/>
    </row>
    <row r="11059" spans="24:44">
      <c r="X11059"/>
      <c r="Y11059"/>
      <c r="Z11059"/>
      <c r="AA11059"/>
      <c r="AC11059"/>
      <c r="AR11059"/>
    </row>
    <row r="11060" spans="24:44">
      <c r="X11060"/>
      <c r="Y11060"/>
      <c r="Z11060"/>
      <c r="AA11060"/>
      <c r="AC11060"/>
      <c r="AR11060"/>
    </row>
    <row r="11061" spans="24:44">
      <c r="X11061"/>
      <c r="Y11061"/>
      <c r="Z11061"/>
      <c r="AA11061"/>
      <c r="AC11061"/>
      <c r="AR11061"/>
    </row>
    <row r="11062" spans="24:44">
      <c r="X11062"/>
      <c r="Y11062"/>
      <c r="Z11062"/>
      <c r="AA11062"/>
      <c r="AC11062"/>
      <c r="AR11062"/>
    </row>
    <row r="11063" spans="24:44">
      <c r="X11063"/>
      <c r="Y11063"/>
      <c r="Z11063"/>
      <c r="AA11063"/>
      <c r="AC11063"/>
      <c r="AR11063"/>
    </row>
    <row r="11064" spans="24:44">
      <c r="X11064"/>
      <c r="Y11064"/>
      <c r="Z11064"/>
      <c r="AA11064"/>
      <c r="AC11064"/>
      <c r="AR11064"/>
    </row>
    <row r="11065" spans="24:44">
      <c r="X11065"/>
      <c r="Y11065"/>
      <c r="Z11065"/>
      <c r="AA11065"/>
      <c r="AC11065"/>
      <c r="AR11065"/>
    </row>
    <row r="11066" spans="24:44">
      <c r="X11066"/>
      <c r="Y11066"/>
      <c r="Z11066"/>
      <c r="AA11066"/>
      <c r="AC11066"/>
      <c r="AR11066"/>
    </row>
    <row r="11067" spans="24:44">
      <c r="X11067"/>
      <c r="Y11067"/>
      <c r="Z11067"/>
      <c r="AA11067"/>
      <c r="AC11067"/>
      <c r="AR11067"/>
    </row>
    <row r="11068" spans="24:44">
      <c r="X11068"/>
      <c r="Y11068"/>
      <c r="Z11068"/>
      <c r="AA11068"/>
      <c r="AC11068"/>
      <c r="AR11068"/>
    </row>
    <row r="11069" spans="24:44">
      <c r="X11069"/>
      <c r="Y11069"/>
      <c r="Z11069"/>
      <c r="AA11069"/>
      <c r="AC11069"/>
      <c r="AR11069"/>
    </row>
    <row r="11070" spans="24:44">
      <c r="X11070"/>
      <c r="Y11070"/>
      <c r="Z11070"/>
      <c r="AA11070"/>
      <c r="AC11070"/>
      <c r="AR11070"/>
    </row>
    <row r="11071" spans="24:44">
      <c r="X11071"/>
      <c r="Y11071"/>
      <c r="Z11071"/>
      <c r="AA11071"/>
      <c r="AC11071"/>
      <c r="AR11071"/>
    </row>
    <row r="11072" spans="24:44">
      <c r="X11072"/>
      <c r="Y11072"/>
      <c r="Z11072"/>
      <c r="AA11072"/>
      <c r="AC11072"/>
      <c r="AR11072"/>
    </row>
    <row r="11073" spans="24:44">
      <c r="X11073"/>
      <c r="Y11073"/>
      <c r="Z11073"/>
      <c r="AA11073"/>
      <c r="AC11073"/>
      <c r="AR11073"/>
    </row>
    <row r="11074" spans="24:44">
      <c r="X11074"/>
      <c r="Y11074"/>
      <c r="Z11074"/>
      <c r="AA11074"/>
      <c r="AC11074"/>
      <c r="AR11074"/>
    </row>
    <row r="11075" spans="24:44">
      <c r="X11075"/>
      <c r="Y11075"/>
      <c r="Z11075"/>
      <c r="AA11075"/>
      <c r="AC11075"/>
      <c r="AR11075"/>
    </row>
    <row r="11076" spans="24:44">
      <c r="X11076"/>
      <c r="Y11076"/>
      <c r="Z11076"/>
      <c r="AA11076"/>
      <c r="AC11076"/>
      <c r="AR11076"/>
    </row>
    <row r="11077" spans="24:44">
      <c r="X11077"/>
      <c r="Y11077"/>
      <c r="Z11077"/>
      <c r="AA11077"/>
      <c r="AC11077"/>
      <c r="AR11077"/>
    </row>
    <row r="11078" spans="24:44">
      <c r="X11078"/>
      <c r="Y11078"/>
      <c r="Z11078"/>
      <c r="AA11078"/>
      <c r="AC11078"/>
      <c r="AR11078"/>
    </row>
    <row r="11079" spans="24:44">
      <c r="X11079"/>
      <c r="Y11079"/>
      <c r="Z11079"/>
      <c r="AA11079"/>
      <c r="AC11079"/>
      <c r="AR11079"/>
    </row>
    <row r="11080" spans="24:44">
      <c r="X11080"/>
      <c r="Y11080"/>
      <c r="Z11080"/>
      <c r="AA11080"/>
      <c r="AC11080"/>
      <c r="AR11080"/>
    </row>
    <row r="11081" spans="24:44">
      <c r="X11081"/>
      <c r="Y11081"/>
      <c r="Z11081"/>
      <c r="AA11081"/>
      <c r="AC11081"/>
      <c r="AR11081"/>
    </row>
    <row r="11082" spans="24:44">
      <c r="X11082"/>
      <c r="Y11082"/>
      <c r="Z11082"/>
      <c r="AA11082"/>
      <c r="AC11082"/>
      <c r="AR11082"/>
    </row>
    <row r="11083" spans="24:44">
      <c r="X11083"/>
      <c r="Y11083"/>
      <c r="Z11083"/>
      <c r="AA11083"/>
      <c r="AC11083"/>
      <c r="AR11083"/>
    </row>
    <row r="11084" spans="24:44">
      <c r="X11084"/>
      <c r="Y11084"/>
      <c r="Z11084"/>
      <c r="AA11084"/>
      <c r="AC11084"/>
      <c r="AR11084"/>
    </row>
    <row r="11085" spans="24:44">
      <c r="X11085"/>
      <c r="Y11085"/>
      <c r="Z11085"/>
      <c r="AA11085"/>
      <c r="AC11085"/>
      <c r="AR11085"/>
    </row>
    <row r="11086" spans="24:44">
      <c r="X11086"/>
      <c r="Y11086"/>
      <c r="Z11086"/>
      <c r="AA11086"/>
      <c r="AC11086"/>
      <c r="AR11086"/>
    </row>
    <row r="11087" spans="24:44">
      <c r="X11087"/>
      <c r="Y11087"/>
      <c r="Z11087"/>
      <c r="AA11087"/>
      <c r="AC11087"/>
      <c r="AR11087"/>
    </row>
    <row r="11088" spans="24:44">
      <c r="X11088"/>
      <c r="Y11088"/>
      <c r="Z11088"/>
      <c r="AA11088"/>
      <c r="AC11088"/>
      <c r="AR11088"/>
    </row>
    <row r="11089" spans="24:44">
      <c r="X11089"/>
      <c r="Y11089"/>
      <c r="Z11089"/>
      <c r="AA11089"/>
      <c r="AC11089"/>
      <c r="AR11089"/>
    </row>
    <row r="11090" spans="24:44">
      <c r="X11090"/>
      <c r="Y11090"/>
      <c r="Z11090"/>
      <c r="AA11090"/>
      <c r="AC11090"/>
      <c r="AR11090"/>
    </row>
    <row r="11091" spans="24:44">
      <c r="X11091"/>
      <c r="Y11091"/>
      <c r="Z11091"/>
      <c r="AA11091"/>
      <c r="AC11091"/>
      <c r="AR11091"/>
    </row>
    <row r="11092" spans="24:44">
      <c r="X11092"/>
      <c r="Y11092"/>
      <c r="Z11092"/>
      <c r="AA11092"/>
      <c r="AC11092"/>
      <c r="AR11092"/>
    </row>
    <row r="11093" spans="24:44">
      <c r="X11093"/>
      <c r="Y11093"/>
      <c r="Z11093"/>
      <c r="AA11093"/>
      <c r="AC11093"/>
      <c r="AR11093"/>
    </row>
    <row r="11094" spans="24:44">
      <c r="X11094"/>
      <c r="Y11094"/>
      <c r="Z11094"/>
      <c r="AA11094"/>
      <c r="AC11094"/>
      <c r="AR11094"/>
    </row>
    <row r="11095" spans="24:44">
      <c r="X11095"/>
      <c r="Y11095"/>
      <c r="Z11095"/>
      <c r="AA11095"/>
      <c r="AC11095"/>
      <c r="AR11095"/>
    </row>
    <row r="11096" spans="24:44">
      <c r="X11096"/>
      <c r="Y11096"/>
      <c r="Z11096"/>
      <c r="AA11096"/>
      <c r="AC11096"/>
      <c r="AR11096"/>
    </row>
    <row r="11097" spans="24:44">
      <c r="X11097"/>
      <c r="Y11097"/>
      <c r="Z11097"/>
      <c r="AA11097"/>
      <c r="AC11097"/>
      <c r="AR11097"/>
    </row>
    <row r="11098" spans="24:44">
      <c r="X11098"/>
      <c r="Y11098"/>
      <c r="Z11098"/>
      <c r="AA11098"/>
      <c r="AC11098"/>
      <c r="AR11098"/>
    </row>
    <row r="11099" spans="24:44">
      <c r="X11099"/>
      <c r="Y11099"/>
      <c r="Z11099"/>
      <c r="AA11099"/>
      <c r="AC11099"/>
      <c r="AR11099"/>
    </row>
    <row r="11100" spans="24:44">
      <c r="X11100"/>
      <c r="Y11100"/>
      <c r="Z11100"/>
      <c r="AA11100"/>
      <c r="AC11100"/>
      <c r="AR11100"/>
    </row>
    <row r="11101" spans="24:44">
      <c r="X11101"/>
      <c r="Y11101"/>
      <c r="Z11101"/>
      <c r="AA11101"/>
      <c r="AC11101"/>
      <c r="AR11101"/>
    </row>
    <row r="11102" spans="24:44">
      <c r="X11102"/>
      <c r="Y11102"/>
      <c r="Z11102"/>
      <c r="AA11102"/>
      <c r="AC11102"/>
      <c r="AR11102"/>
    </row>
    <row r="11103" spans="24:44">
      <c r="X11103"/>
      <c r="Y11103"/>
      <c r="Z11103"/>
      <c r="AA11103"/>
      <c r="AC11103"/>
      <c r="AR11103"/>
    </row>
    <row r="11104" spans="24:44">
      <c r="X11104"/>
      <c r="Y11104"/>
      <c r="Z11104"/>
      <c r="AA11104"/>
      <c r="AC11104"/>
      <c r="AR11104"/>
    </row>
    <row r="11105" spans="24:44">
      <c r="X11105"/>
      <c r="Y11105"/>
      <c r="Z11105"/>
      <c r="AA11105"/>
      <c r="AC11105"/>
      <c r="AR11105"/>
    </row>
    <row r="11106" spans="24:44">
      <c r="X11106"/>
      <c r="Y11106"/>
      <c r="Z11106"/>
      <c r="AA11106"/>
      <c r="AC11106"/>
      <c r="AR11106"/>
    </row>
    <row r="11107" spans="24:44">
      <c r="X11107"/>
      <c r="Y11107"/>
      <c r="Z11107"/>
      <c r="AA11107"/>
      <c r="AC11107"/>
      <c r="AR11107"/>
    </row>
    <row r="11108" spans="24:44">
      <c r="X11108"/>
      <c r="Y11108"/>
      <c r="Z11108"/>
      <c r="AA11108"/>
      <c r="AC11108"/>
      <c r="AR11108"/>
    </row>
    <row r="11109" spans="24:44">
      <c r="X11109"/>
      <c r="Y11109"/>
      <c r="Z11109"/>
      <c r="AA11109"/>
      <c r="AC11109"/>
      <c r="AR11109"/>
    </row>
    <row r="11110" spans="24:44">
      <c r="X11110"/>
      <c r="Y11110"/>
      <c r="Z11110"/>
      <c r="AA11110"/>
      <c r="AC11110"/>
      <c r="AR11110"/>
    </row>
    <row r="11111" spans="24:44">
      <c r="X11111"/>
      <c r="Y11111"/>
      <c r="Z11111"/>
      <c r="AA11111"/>
      <c r="AC11111"/>
      <c r="AR11111"/>
    </row>
    <row r="11112" spans="24:44">
      <c r="X11112"/>
      <c r="Y11112"/>
      <c r="Z11112"/>
      <c r="AA11112"/>
      <c r="AC11112"/>
      <c r="AR11112"/>
    </row>
    <row r="11113" spans="24:44">
      <c r="X11113"/>
      <c r="Y11113"/>
      <c r="Z11113"/>
      <c r="AA11113"/>
      <c r="AC11113"/>
      <c r="AR11113"/>
    </row>
    <row r="11114" spans="24:44">
      <c r="X11114"/>
      <c r="Y11114"/>
      <c r="Z11114"/>
      <c r="AA11114"/>
      <c r="AC11114"/>
      <c r="AR11114"/>
    </row>
    <row r="11115" spans="24:44">
      <c r="X11115"/>
      <c r="Y11115"/>
      <c r="Z11115"/>
      <c r="AA11115"/>
      <c r="AC11115"/>
      <c r="AR11115"/>
    </row>
    <row r="11116" spans="24:44">
      <c r="X11116"/>
      <c r="Y11116"/>
      <c r="Z11116"/>
      <c r="AA11116"/>
      <c r="AC11116"/>
      <c r="AR11116"/>
    </row>
    <row r="11117" spans="24:44">
      <c r="X11117"/>
      <c r="Y11117"/>
      <c r="Z11117"/>
      <c r="AA11117"/>
      <c r="AC11117"/>
      <c r="AR11117"/>
    </row>
    <row r="11118" spans="24:44">
      <c r="X11118"/>
      <c r="Y11118"/>
      <c r="Z11118"/>
      <c r="AA11118"/>
      <c r="AC11118"/>
      <c r="AR11118"/>
    </row>
    <row r="11119" spans="24:44">
      <c r="X11119"/>
      <c r="Y11119"/>
      <c r="Z11119"/>
      <c r="AA11119"/>
      <c r="AC11119"/>
      <c r="AR11119"/>
    </row>
    <row r="11120" spans="24:44">
      <c r="X11120"/>
      <c r="Y11120"/>
      <c r="Z11120"/>
      <c r="AA11120"/>
      <c r="AC11120"/>
      <c r="AR11120"/>
    </row>
    <row r="11121" spans="24:44">
      <c r="X11121"/>
      <c r="Y11121"/>
      <c r="Z11121"/>
      <c r="AA11121"/>
      <c r="AC11121"/>
      <c r="AR11121"/>
    </row>
    <row r="11122" spans="24:44">
      <c r="X11122"/>
      <c r="Y11122"/>
      <c r="Z11122"/>
      <c r="AA11122"/>
      <c r="AC11122"/>
      <c r="AR11122"/>
    </row>
    <row r="11123" spans="24:44">
      <c r="X11123"/>
      <c r="Y11123"/>
      <c r="Z11123"/>
      <c r="AA11123"/>
      <c r="AC11123"/>
      <c r="AR11123"/>
    </row>
    <row r="11124" spans="24:44">
      <c r="X11124"/>
      <c r="Y11124"/>
      <c r="Z11124"/>
      <c r="AA11124"/>
      <c r="AC11124"/>
      <c r="AR11124"/>
    </row>
    <row r="11125" spans="24:44">
      <c r="X11125"/>
      <c r="Y11125"/>
      <c r="Z11125"/>
      <c r="AA11125"/>
      <c r="AC11125"/>
      <c r="AR11125"/>
    </row>
    <row r="11126" spans="24:44">
      <c r="X11126"/>
      <c r="Y11126"/>
      <c r="Z11126"/>
      <c r="AA11126"/>
      <c r="AC11126"/>
      <c r="AR11126"/>
    </row>
    <row r="11127" spans="24:44">
      <c r="X11127"/>
      <c r="Y11127"/>
      <c r="Z11127"/>
      <c r="AA11127"/>
      <c r="AC11127"/>
      <c r="AR11127"/>
    </row>
    <row r="11128" spans="24:44">
      <c r="X11128"/>
      <c r="Y11128"/>
      <c r="Z11128"/>
      <c r="AA11128"/>
      <c r="AC11128"/>
      <c r="AR11128"/>
    </row>
    <row r="11129" spans="24:44">
      <c r="X11129"/>
      <c r="Y11129"/>
      <c r="Z11129"/>
      <c r="AA11129"/>
      <c r="AC11129"/>
      <c r="AR11129"/>
    </row>
    <row r="11130" spans="24:44">
      <c r="X11130"/>
      <c r="Y11130"/>
      <c r="Z11130"/>
      <c r="AA11130"/>
      <c r="AC11130"/>
      <c r="AR11130"/>
    </row>
    <row r="11131" spans="24:44">
      <c r="X11131"/>
      <c r="Y11131"/>
      <c r="Z11131"/>
      <c r="AA11131"/>
      <c r="AC11131"/>
      <c r="AR11131"/>
    </row>
    <row r="11132" spans="24:44">
      <c r="X11132"/>
      <c r="Y11132"/>
      <c r="Z11132"/>
      <c r="AA11132"/>
      <c r="AC11132"/>
      <c r="AR11132"/>
    </row>
    <row r="11133" spans="24:44">
      <c r="X11133"/>
      <c r="Y11133"/>
      <c r="Z11133"/>
      <c r="AA11133"/>
      <c r="AC11133"/>
      <c r="AR11133"/>
    </row>
    <row r="11134" spans="24:44">
      <c r="X11134"/>
      <c r="Y11134"/>
      <c r="Z11134"/>
      <c r="AA11134"/>
      <c r="AC11134"/>
      <c r="AR11134"/>
    </row>
    <row r="11135" spans="24:44">
      <c r="X11135"/>
      <c r="Y11135"/>
      <c r="Z11135"/>
      <c r="AA11135"/>
      <c r="AC11135"/>
      <c r="AR11135"/>
    </row>
    <row r="11136" spans="24:44">
      <c r="X11136"/>
      <c r="Y11136"/>
      <c r="Z11136"/>
      <c r="AA11136"/>
      <c r="AC11136"/>
      <c r="AR11136"/>
    </row>
    <row r="11137" spans="24:44">
      <c r="X11137"/>
      <c r="Y11137"/>
      <c r="Z11137"/>
      <c r="AA11137"/>
      <c r="AC11137"/>
      <c r="AR11137"/>
    </row>
    <row r="11138" spans="24:44">
      <c r="X11138"/>
      <c r="Y11138"/>
      <c r="Z11138"/>
      <c r="AA11138"/>
      <c r="AC11138"/>
      <c r="AR11138"/>
    </row>
    <row r="11139" spans="24:44">
      <c r="X11139"/>
      <c r="Y11139"/>
      <c r="Z11139"/>
      <c r="AA11139"/>
      <c r="AC11139"/>
      <c r="AR11139"/>
    </row>
    <row r="11140" spans="24:44">
      <c r="X11140"/>
      <c r="Y11140"/>
      <c r="Z11140"/>
      <c r="AA11140"/>
      <c r="AC11140"/>
      <c r="AR11140"/>
    </row>
    <row r="11141" spans="24:44">
      <c r="X11141"/>
      <c r="Y11141"/>
      <c r="Z11141"/>
      <c r="AA11141"/>
      <c r="AC11141"/>
      <c r="AR11141"/>
    </row>
    <row r="11142" spans="24:44">
      <c r="X11142"/>
      <c r="Y11142"/>
      <c r="Z11142"/>
      <c r="AA11142"/>
      <c r="AC11142"/>
      <c r="AR11142"/>
    </row>
    <row r="11143" spans="24:44">
      <c r="X11143"/>
      <c r="Y11143"/>
      <c r="Z11143"/>
      <c r="AA11143"/>
      <c r="AC11143"/>
      <c r="AR11143"/>
    </row>
    <row r="11144" spans="24:44">
      <c r="X11144"/>
      <c r="Y11144"/>
      <c r="Z11144"/>
      <c r="AA11144"/>
      <c r="AC11144"/>
      <c r="AR11144"/>
    </row>
    <row r="11145" spans="24:44">
      <c r="X11145"/>
      <c r="Y11145"/>
      <c r="Z11145"/>
      <c r="AA11145"/>
      <c r="AC11145"/>
      <c r="AR11145"/>
    </row>
    <row r="11146" spans="24:44">
      <c r="X11146"/>
      <c r="Y11146"/>
      <c r="Z11146"/>
      <c r="AA11146"/>
      <c r="AC11146"/>
      <c r="AR11146"/>
    </row>
    <row r="11147" spans="24:44">
      <c r="X11147"/>
      <c r="Y11147"/>
      <c r="Z11147"/>
      <c r="AA11147"/>
      <c r="AC11147"/>
      <c r="AR11147"/>
    </row>
    <row r="11148" spans="24:44">
      <c r="X11148"/>
      <c r="Y11148"/>
      <c r="Z11148"/>
      <c r="AA11148"/>
      <c r="AC11148"/>
      <c r="AR11148"/>
    </row>
    <row r="11149" spans="24:44">
      <c r="X11149"/>
      <c r="Y11149"/>
      <c r="Z11149"/>
      <c r="AA11149"/>
      <c r="AC11149"/>
      <c r="AR11149"/>
    </row>
    <row r="11150" spans="24:44">
      <c r="X11150"/>
      <c r="Y11150"/>
      <c r="Z11150"/>
      <c r="AA11150"/>
      <c r="AC11150"/>
      <c r="AR11150"/>
    </row>
    <row r="11151" spans="24:44">
      <c r="X11151"/>
      <c r="Y11151"/>
      <c r="Z11151"/>
      <c r="AA11151"/>
      <c r="AC11151"/>
      <c r="AR11151"/>
    </row>
    <row r="11152" spans="24:44">
      <c r="X11152"/>
      <c r="Y11152"/>
      <c r="Z11152"/>
      <c r="AA11152"/>
      <c r="AC11152"/>
      <c r="AR11152"/>
    </row>
    <row r="11153" spans="24:44">
      <c r="X11153"/>
      <c r="Y11153"/>
      <c r="Z11153"/>
      <c r="AA11153"/>
      <c r="AC11153"/>
      <c r="AR11153"/>
    </row>
    <row r="11154" spans="24:44">
      <c r="X11154"/>
      <c r="Y11154"/>
      <c r="Z11154"/>
      <c r="AA11154"/>
      <c r="AC11154"/>
      <c r="AR11154"/>
    </row>
    <row r="11155" spans="24:44">
      <c r="X11155"/>
      <c r="Y11155"/>
      <c r="Z11155"/>
      <c r="AA11155"/>
      <c r="AC11155"/>
      <c r="AR11155"/>
    </row>
    <row r="11156" spans="24:44">
      <c r="X11156"/>
      <c r="Y11156"/>
      <c r="Z11156"/>
      <c r="AA11156"/>
      <c r="AC11156"/>
      <c r="AR11156"/>
    </row>
    <row r="11157" spans="24:44">
      <c r="X11157"/>
      <c r="Y11157"/>
      <c r="Z11157"/>
      <c r="AA11157"/>
      <c r="AC11157"/>
      <c r="AR11157"/>
    </row>
    <row r="11158" spans="24:44">
      <c r="X11158"/>
      <c r="Y11158"/>
      <c r="Z11158"/>
      <c r="AA11158"/>
      <c r="AC11158"/>
      <c r="AR11158"/>
    </row>
    <row r="11159" spans="24:44">
      <c r="X11159"/>
      <c r="Y11159"/>
      <c r="Z11159"/>
      <c r="AA11159"/>
      <c r="AC11159"/>
      <c r="AR11159"/>
    </row>
    <row r="11160" spans="24:44">
      <c r="X11160"/>
      <c r="Y11160"/>
      <c r="Z11160"/>
      <c r="AA11160"/>
      <c r="AC11160"/>
      <c r="AR11160"/>
    </row>
    <row r="11161" spans="24:44">
      <c r="X11161"/>
      <c r="Y11161"/>
      <c r="Z11161"/>
      <c r="AA11161"/>
      <c r="AC11161"/>
      <c r="AR11161"/>
    </row>
    <row r="11162" spans="24:44">
      <c r="X11162"/>
      <c r="Y11162"/>
      <c r="Z11162"/>
      <c r="AA11162"/>
      <c r="AC11162"/>
      <c r="AR11162"/>
    </row>
    <row r="11163" spans="24:44">
      <c r="X11163"/>
      <c r="Y11163"/>
      <c r="Z11163"/>
      <c r="AA11163"/>
      <c r="AC11163"/>
      <c r="AR11163"/>
    </row>
    <row r="11164" spans="24:44">
      <c r="X11164"/>
      <c r="Y11164"/>
      <c r="Z11164"/>
      <c r="AA11164"/>
      <c r="AC11164"/>
      <c r="AR11164"/>
    </row>
    <row r="11165" spans="24:44">
      <c r="X11165"/>
      <c r="Y11165"/>
      <c r="Z11165"/>
      <c r="AA11165"/>
      <c r="AC11165"/>
      <c r="AR11165"/>
    </row>
    <row r="11166" spans="24:44">
      <c r="X11166"/>
      <c r="Y11166"/>
      <c r="Z11166"/>
      <c r="AA11166"/>
      <c r="AC11166"/>
      <c r="AR11166"/>
    </row>
    <row r="11167" spans="24:44">
      <c r="X11167"/>
      <c r="Y11167"/>
      <c r="Z11167"/>
      <c r="AA11167"/>
      <c r="AC11167"/>
      <c r="AR11167"/>
    </row>
    <row r="11168" spans="24:44">
      <c r="X11168"/>
      <c r="Y11168"/>
      <c r="Z11168"/>
      <c r="AA11168"/>
      <c r="AC11168"/>
      <c r="AR11168"/>
    </row>
    <row r="11169" spans="24:44">
      <c r="X11169"/>
      <c r="Y11169"/>
      <c r="Z11169"/>
      <c r="AA11169"/>
      <c r="AC11169"/>
      <c r="AR11169"/>
    </row>
    <row r="11170" spans="24:44">
      <c r="X11170"/>
      <c r="Y11170"/>
      <c r="Z11170"/>
      <c r="AA11170"/>
      <c r="AC11170"/>
      <c r="AR11170"/>
    </row>
    <row r="11171" spans="24:44">
      <c r="X11171"/>
      <c r="Y11171"/>
      <c r="Z11171"/>
      <c r="AA11171"/>
      <c r="AC11171"/>
      <c r="AR11171"/>
    </row>
    <row r="11172" spans="24:44">
      <c r="X11172"/>
      <c r="Y11172"/>
      <c r="Z11172"/>
      <c r="AA11172"/>
      <c r="AC11172"/>
      <c r="AR11172"/>
    </row>
    <row r="11173" spans="24:44">
      <c r="X11173"/>
      <c r="Y11173"/>
      <c r="Z11173"/>
      <c r="AA11173"/>
      <c r="AC11173"/>
      <c r="AR11173"/>
    </row>
    <row r="11174" spans="24:44">
      <c r="X11174"/>
      <c r="Y11174"/>
      <c r="Z11174"/>
      <c r="AA11174"/>
      <c r="AC11174"/>
      <c r="AR11174"/>
    </row>
    <row r="11175" spans="24:44">
      <c r="X11175"/>
      <c r="Y11175"/>
      <c r="Z11175"/>
      <c r="AA11175"/>
      <c r="AC11175"/>
      <c r="AR11175"/>
    </row>
    <row r="11176" spans="24:44">
      <c r="X11176"/>
      <c r="Y11176"/>
      <c r="Z11176"/>
      <c r="AA11176"/>
      <c r="AC11176"/>
      <c r="AR11176"/>
    </row>
    <row r="11177" spans="24:44">
      <c r="X11177"/>
      <c r="Y11177"/>
      <c r="Z11177"/>
      <c r="AA11177"/>
      <c r="AC11177"/>
      <c r="AR11177"/>
    </row>
    <row r="11178" spans="24:44">
      <c r="X11178"/>
      <c r="Y11178"/>
      <c r="Z11178"/>
      <c r="AA11178"/>
      <c r="AC11178"/>
      <c r="AR11178"/>
    </row>
    <row r="11179" spans="24:44">
      <c r="X11179"/>
      <c r="Y11179"/>
      <c r="Z11179"/>
      <c r="AA11179"/>
      <c r="AC11179"/>
      <c r="AR11179"/>
    </row>
    <row r="11180" spans="24:44">
      <c r="X11180"/>
      <c r="Y11180"/>
      <c r="Z11180"/>
      <c r="AA11180"/>
      <c r="AC11180"/>
      <c r="AR11180"/>
    </row>
    <row r="11181" spans="24:44">
      <c r="X11181"/>
      <c r="Y11181"/>
      <c r="Z11181"/>
      <c r="AA11181"/>
      <c r="AC11181"/>
      <c r="AR11181"/>
    </row>
    <row r="11182" spans="24:44">
      <c r="X11182"/>
      <c r="Y11182"/>
      <c r="Z11182"/>
      <c r="AA11182"/>
      <c r="AC11182"/>
      <c r="AR11182"/>
    </row>
    <row r="11183" spans="24:44">
      <c r="X11183"/>
      <c r="Y11183"/>
      <c r="Z11183"/>
      <c r="AA11183"/>
      <c r="AC11183"/>
      <c r="AR11183"/>
    </row>
    <row r="11184" spans="24:44">
      <c r="X11184"/>
      <c r="Y11184"/>
      <c r="Z11184"/>
      <c r="AA11184"/>
      <c r="AC11184"/>
      <c r="AR11184"/>
    </row>
    <row r="11185" spans="24:44">
      <c r="X11185"/>
      <c r="Y11185"/>
      <c r="Z11185"/>
      <c r="AA11185"/>
      <c r="AC11185"/>
      <c r="AR11185"/>
    </row>
    <row r="11186" spans="24:44">
      <c r="X11186"/>
      <c r="Y11186"/>
      <c r="Z11186"/>
      <c r="AA11186"/>
      <c r="AC11186"/>
      <c r="AR11186"/>
    </row>
    <row r="11187" spans="24:44">
      <c r="X11187"/>
      <c r="Y11187"/>
      <c r="Z11187"/>
      <c r="AA11187"/>
      <c r="AC11187"/>
      <c r="AR11187"/>
    </row>
    <row r="11188" spans="24:44">
      <c r="X11188"/>
      <c r="Y11188"/>
      <c r="Z11188"/>
      <c r="AA11188"/>
      <c r="AC11188"/>
      <c r="AR11188"/>
    </row>
    <row r="11189" spans="24:44">
      <c r="X11189"/>
      <c r="Y11189"/>
      <c r="Z11189"/>
      <c r="AA11189"/>
      <c r="AC11189"/>
      <c r="AR11189"/>
    </row>
    <row r="11190" spans="24:44">
      <c r="X11190"/>
      <c r="Y11190"/>
      <c r="Z11190"/>
      <c r="AA11190"/>
      <c r="AC11190"/>
      <c r="AR11190"/>
    </row>
    <row r="11191" spans="24:44">
      <c r="X11191"/>
      <c r="Y11191"/>
      <c r="Z11191"/>
      <c r="AA11191"/>
      <c r="AC11191"/>
      <c r="AR11191"/>
    </row>
    <row r="11192" spans="24:44">
      <c r="X11192"/>
      <c r="Y11192"/>
      <c r="Z11192"/>
      <c r="AA11192"/>
      <c r="AC11192"/>
      <c r="AR11192"/>
    </row>
    <row r="11193" spans="24:44">
      <c r="X11193"/>
      <c r="Y11193"/>
      <c r="Z11193"/>
      <c r="AA11193"/>
      <c r="AC11193"/>
      <c r="AR11193"/>
    </row>
    <row r="11194" spans="24:44">
      <c r="X11194"/>
      <c r="Y11194"/>
      <c r="Z11194"/>
      <c r="AA11194"/>
      <c r="AC11194"/>
      <c r="AR11194"/>
    </row>
    <row r="11195" spans="24:44">
      <c r="X11195"/>
      <c r="Y11195"/>
      <c r="Z11195"/>
      <c r="AA11195"/>
      <c r="AC11195"/>
      <c r="AR11195"/>
    </row>
    <row r="11196" spans="24:44">
      <c r="X11196"/>
      <c r="Y11196"/>
      <c r="Z11196"/>
      <c r="AA11196"/>
      <c r="AC11196"/>
      <c r="AR11196"/>
    </row>
    <row r="11197" spans="24:44">
      <c r="X11197"/>
      <c r="Y11197"/>
      <c r="Z11197"/>
      <c r="AA11197"/>
      <c r="AC11197"/>
      <c r="AR11197"/>
    </row>
    <row r="11198" spans="24:44">
      <c r="X11198"/>
      <c r="Y11198"/>
      <c r="Z11198"/>
      <c r="AA11198"/>
      <c r="AC11198"/>
      <c r="AR11198"/>
    </row>
    <row r="11199" spans="24:44">
      <c r="X11199"/>
      <c r="Y11199"/>
      <c r="Z11199"/>
      <c r="AA11199"/>
      <c r="AC11199"/>
      <c r="AR11199"/>
    </row>
    <row r="11200" spans="24:44">
      <c r="X11200"/>
      <c r="Y11200"/>
      <c r="Z11200"/>
      <c r="AA11200"/>
      <c r="AC11200"/>
      <c r="AR11200"/>
    </row>
    <row r="11201" spans="24:44">
      <c r="X11201"/>
      <c r="Y11201"/>
      <c r="Z11201"/>
      <c r="AA11201"/>
      <c r="AC11201"/>
      <c r="AR11201"/>
    </row>
    <row r="11202" spans="24:44">
      <c r="X11202"/>
      <c r="Y11202"/>
      <c r="Z11202"/>
      <c r="AA11202"/>
      <c r="AC11202"/>
      <c r="AR11202"/>
    </row>
    <row r="11203" spans="24:44">
      <c r="X11203"/>
      <c r="Y11203"/>
      <c r="Z11203"/>
      <c r="AA11203"/>
      <c r="AC11203"/>
      <c r="AR11203"/>
    </row>
    <row r="11204" spans="24:44">
      <c r="X11204"/>
      <c r="Y11204"/>
      <c r="Z11204"/>
      <c r="AA11204"/>
      <c r="AC11204"/>
      <c r="AR11204"/>
    </row>
    <row r="11205" spans="24:44">
      <c r="X11205"/>
      <c r="Y11205"/>
      <c r="Z11205"/>
      <c r="AA11205"/>
      <c r="AC11205"/>
      <c r="AR11205"/>
    </row>
    <row r="11206" spans="24:44">
      <c r="X11206"/>
      <c r="Y11206"/>
      <c r="Z11206"/>
      <c r="AA11206"/>
      <c r="AC11206"/>
      <c r="AR11206"/>
    </row>
    <row r="11207" spans="24:44">
      <c r="X11207"/>
      <c r="Y11207"/>
      <c r="Z11207"/>
      <c r="AA11207"/>
      <c r="AC11207"/>
      <c r="AR11207"/>
    </row>
    <row r="11208" spans="24:44">
      <c r="X11208"/>
      <c r="Y11208"/>
      <c r="Z11208"/>
      <c r="AA11208"/>
      <c r="AC11208"/>
      <c r="AR11208"/>
    </row>
    <row r="11209" spans="24:44">
      <c r="X11209"/>
      <c r="Y11209"/>
      <c r="Z11209"/>
      <c r="AA11209"/>
      <c r="AC11209"/>
      <c r="AR11209"/>
    </row>
    <row r="11210" spans="24:44">
      <c r="X11210"/>
      <c r="Y11210"/>
      <c r="Z11210"/>
      <c r="AA11210"/>
      <c r="AC11210"/>
      <c r="AR11210"/>
    </row>
    <row r="11211" spans="24:44">
      <c r="X11211"/>
      <c r="Y11211"/>
      <c r="Z11211"/>
      <c r="AA11211"/>
      <c r="AC11211"/>
      <c r="AR11211"/>
    </row>
    <row r="11212" spans="24:44">
      <c r="X11212"/>
      <c r="Y11212"/>
      <c r="Z11212"/>
      <c r="AA11212"/>
      <c r="AC11212"/>
      <c r="AR11212"/>
    </row>
    <row r="11213" spans="24:44">
      <c r="X11213"/>
      <c r="Y11213"/>
      <c r="Z11213"/>
      <c r="AA11213"/>
      <c r="AC11213"/>
      <c r="AR11213"/>
    </row>
    <row r="11214" spans="24:44">
      <c r="X11214"/>
      <c r="Y11214"/>
      <c r="Z11214"/>
      <c r="AA11214"/>
      <c r="AC11214"/>
      <c r="AR11214"/>
    </row>
    <row r="11215" spans="24:44">
      <c r="X11215"/>
      <c r="Y11215"/>
      <c r="Z11215"/>
      <c r="AA11215"/>
      <c r="AC11215"/>
      <c r="AR11215"/>
    </row>
    <row r="11216" spans="24:44">
      <c r="X11216"/>
      <c r="Y11216"/>
      <c r="Z11216"/>
      <c r="AA11216"/>
      <c r="AC11216"/>
      <c r="AR11216"/>
    </row>
    <row r="11217" spans="24:44">
      <c r="X11217"/>
      <c r="Y11217"/>
      <c r="Z11217"/>
      <c r="AA11217"/>
      <c r="AC11217"/>
      <c r="AR11217"/>
    </row>
    <row r="11218" spans="24:44">
      <c r="X11218"/>
      <c r="Y11218"/>
      <c r="Z11218"/>
      <c r="AA11218"/>
      <c r="AC11218"/>
      <c r="AR11218"/>
    </row>
    <row r="11219" spans="24:44">
      <c r="X11219"/>
      <c r="Y11219"/>
      <c r="Z11219"/>
      <c r="AA11219"/>
      <c r="AC11219"/>
      <c r="AR11219"/>
    </row>
    <row r="11220" spans="24:44">
      <c r="X11220"/>
      <c r="Y11220"/>
      <c r="Z11220"/>
      <c r="AA11220"/>
      <c r="AC11220"/>
      <c r="AR11220"/>
    </row>
    <row r="11221" spans="24:44">
      <c r="X11221"/>
      <c r="Y11221"/>
      <c r="Z11221"/>
      <c r="AA11221"/>
      <c r="AC11221"/>
      <c r="AR11221"/>
    </row>
    <row r="11222" spans="24:44">
      <c r="X11222"/>
      <c r="Y11222"/>
      <c r="Z11222"/>
      <c r="AA11222"/>
      <c r="AC11222"/>
      <c r="AR11222"/>
    </row>
    <row r="11223" spans="24:44">
      <c r="X11223"/>
      <c r="Y11223"/>
      <c r="Z11223"/>
      <c r="AA11223"/>
      <c r="AC11223"/>
      <c r="AR11223"/>
    </row>
    <row r="11224" spans="24:44">
      <c r="X11224"/>
      <c r="Y11224"/>
      <c r="Z11224"/>
      <c r="AA11224"/>
      <c r="AC11224"/>
      <c r="AR11224"/>
    </row>
    <row r="11225" spans="24:44">
      <c r="X11225"/>
      <c r="Y11225"/>
      <c r="Z11225"/>
      <c r="AA11225"/>
      <c r="AC11225"/>
      <c r="AR11225"/>
    </row>
    <row r="11226" spans="24:44">
      <c r="X11226"/>
      <c r="Y11226"/>
      <c r="Z11226"/>
      <c r="AA11226"/>
      <c r="AC11226"/>
      <c r="AR11226"/>
    </row>
    <row r="11227" spans="24:44">
      <c r="X11227"/>
      <c r="Y11227"/>
      <c r="Z11227"/>
      <c r="AA11227"/>
      <c r="AC11227"/>
      <c r="AR11227"/>
    </row>
    <row r="11228" spans="24:44">
      <c r="X11228"/>
      <c r="Y11228"/>
      <c r="Z11228"/>
      <c r="AA11228"/>
      <c r="AC11228"/>
      <c r="AR11228"/>
    </row>
    <row r="11229" spans="24:44">
      <c r="X11229"/>
      <c r="Y11229"/>
      <c r="Z11229"/>
      <c r="AA11229"/>
      <c r="AC11229"/>
      <c r="AR11229"/>
    </row>
    <row r="11230" spans="24:44">
      <c r="X11230"/>
      <c r="Y11230"/>
      <c r="Z11230"/>
      <c r="AA11230"/>
      <c r="AC11230"/>
      <c r="AR11230"/>
    </row>
    <row r="11231" spans="24:44">
      <c r="X11231"/>
      <c r="Y11231"/>
      <c r="Z11231"/>
      <c r="AA11231"/>
      <c r="AC11231"/>
      <c r="AR11231"/>
    </row>
    <row r="11232" spans="24:44">
      <c r="X11232"/>
      <c r="Y11232"/>
      <c r="Z11232"/>
      <c r="AA11232"/>
      <c r="AC11232"/>
      <c r="AR11232"/>
    </row>
    <row r="11233" spans="24:44">
      <c r="X11233"/>
      <c r="Y11233"/>
      <c r="Z11233"/>
      <c r="AA11233"/>
      <c r="AC11233"/>
      <c r="AR11233"/>
    </row>
    <row r="11234" spans="24:44">
      <c r="X11234"/>
      <c r="Y11234"/>
      <c r="Z11234"/>
      <c r="AA11234"/>
      <c r="AC11234"/>
      <c r="AR11234"/>
    </row>
    <row r="11235" spans="24:44">
      <c r="X11235"/>
      <c r="Y11235"/>
      <c r="Z11235"/>
      <c r="AA11235"/>
      <c r="AC11235"/>
      <c r="AR11235"/>
    </row>
    <row r="11236" spans="24:44">
      <c r="X11236"/>
      <c r="Y11236"/>
      <c r="Z11236"/>
      <c r="AA11236"/>
      <c r="AC11236"/>
      <c r="AR11236"/>
    </row>
    <row r="11237" spans="24:44">
      <c r="X11237"/>
      <c r="Y11237"/>
      <c r="Z11237"/>
      <c r="AA11237"/>
      <c r="AC11237"/>
      <c r="AR11237"/>
    </row>
    <row r="11238" spans="24:44">
      <c r="X11238"/>
      <c r="Y11238"/>
      <c r="Z11238"/>
      <c r="AA11238"/>
      <c r="AC11238"/>
      <c r="AR11238"/>
    </row>
    <row r="11239" spans="24:44">
      <c r="X11239"/>
      <c r="Y11239"/>
      <c r="Z11239"/>
      <c r="AA11239"/>
      <c r="AC11239"/>
      <c r="AR11239"/>
    </row>
    <row r="11240" spans="24:44">
      <c r="X11240"/>
      <c r="Y11240"/>
      <c r="Z11240"/>
      <c r="AA11240"/>
      <c r="AC11240"/>
      <c r="AR11240"/>
    </row>
    <row r="11241" spans="24:44">
      <c r="X11241"/>
      <c r="Y11241"/>
      <c r="Z11241"/>
      <c r="AA11241"/>
      <c r="AC11241"/>
      <c r="AR11241"/>
    </row>
    <row r="11242" spans="24:44">
      <c r="X11242"/>
      <c r="Y11242"/>
      <c r="Z11242"/>
      <c r="AA11242"/>
      <c r="AC11242"/>
      <c r="AR11242"/>
    </row>
    <row r="11243" spans="24:44">
      <c r="X11243"/>
      <c r="Y11243"/>
      <c r="Z11243"/>
      <c r="AA11243"/>
      <c r="AC11243"/>
      <c r="AR11243"/>
    </row>
    <row r="11244" spans="24:44">
      <c r="X11244"/>
      <c r="Y11244"/>
      <c r="Z11244"/>
      <c r="AA11244"/>
      <c r="AC11244"/>
      <c r="AR11244"/>
    </row>
    <row r="11245" spans="24:44">
      <c r="X11245"/>
      <c r="Y11245"/>
      <c r="Z11245"/>
      <c r="AA11245"/>
      <c r="AC11245"/>
      <c r="AR11245"/>
    </row>
    <row r="11246" spans="24:44">
      <c r="X11246"/>
      <c r="Y11246"/>
      <c r="Z11246"/>
      <c r="AA11246"/>
      <c r="AC11246"/>
      <c r="AR11246"/>
    </row>
    <row r="11247" spans="24:44">
      <c r="X11247"/>
      <c r="Y11247"/>
      <c r="Z11247"/>
      <c r="AA11247"/>
      <c r="AC11247"/>
      <c r="AR11247"/>
    </row>
    <row r="11248" spans="24:44">
      <c r="X11248"/>
      <c r="Y11248"/>
      <c r="Z11248"/>
      <c r="AA11248"/>
      <c r="AC11248"/>
      <c r="AR11248"/>
    </row>
    <row r="11249" spans="24:44">
      <c r="X11249"/>
      <c r="Y11249"/>
      <c r="Z11249"/>
      <c r="AA11249"/>
      <c r="AC11249"/>
      <c r="AR11249"/>
    </row>
    <row r="11250" spans="24:44">
      <c r="X11250"/>
      <c r="Y11250"/>
      <c r="Z11250"/>
      <c r="AA11250"/>
      <c r="AC11250"/>
      <c r="AR11250"/>
    </row>
    <row r="11251" spans="24:44">
      <c r="X11251"/>
      <c r="Y11251"/>
      <c r="Z11251"/>
      <c r="AA11251"/>
      <c r="AC11251"/>
      <c r="AR11251"/>
    </row>
    <row r="11252" spans="24:44">
      <c r="X11252"/>
      <c r="Y11252"/>
      <c r="Z11252"/>
      <c r="AA11252"/>
      <c r="AC11252"/>
      <c r="AR11252"/>
    </row>
    <row r="11253" spans="24:44">
      <c r="X11253"/>
      <c r="Y11253"/>
      <c r="Z11253"/>
      <c r="AA11253"/>
      <c r="AC11253"/>
      <c r="AR11253"/>
    </row>
    <row r="11254" spans="24:44">
      <c r="X11254"/>
      <c r="Y11254"/>
      <c r="Z11254"/>
      <c r="AA11254"/>
      <c r="AC11254"/>
      <c r="AR11254"/>
    </row>
    <row r="11255" spans="24:44">
      <c r="X11255"/>
      <c r="Y11255"/>
      <c r="Z11255"/>
      <c r="AA11255"/>
      <c r="AC11255"/>
      <c r="AR11255"/>
    </row>
    <row r="11256" spans="24:44">
      <c r="X11256"/>
      <c r="Y11256"/>
      <c r="Z11256"/>
      <c r="AA11256"/>
      <c r="AC11256"/>
      <c r="AR11256"/>
    </row>
    <row r="11257" spans="24:44">
      <c r="X11257"/>
      <c r="Y11257"/>
      <c r="Z11257"/>
      <c r="AA11257"/>
      <c r="AC11257"/>
      <c r="AR11257"/>
    </row>
    <row r="11258" spans="24:44">
      <c r="X11258"/>
      <c r="Y11258"/>
      <c r="Z11258"/>
      <c r="AA11258"/>
      <c r="AC11258"/>
      <c r="AR11258"/>
    </row>
    <row r="11259" spans="24:44">
      <c r="X11259"/>
      <c r="Y11259"/>
      <c r="Z11259"/>
      <c r="AA11259"/>
      <c r="AC11259"/>
      <c r="AR11259"/>
    </row>
    <row r="11260" spans="24:44">
      <c r="X11260"/>
      <c r="Y11260"/>
      <c r="Z11260"/>
      <c r="AA11260"/>
      <c r="AC11260"/>
      <c r="AR11260"/>
    </row>
    <row r="11261" spans="24:44">
      <c r="X11261"/>
      <c r="Y11261"/>
      <c r="Z11261"/>
      <c r="AA11261"/>
      <c r="AC11261"/>
      <c r="AR11261"/>
    </row>
    <row r="11262" spans="24:44">
      <c r="X11262"/>
      <c r="Y11262"/>
      <c r="Z11262"/>
      <c r="AA11262"/>
      <c r="AC11262"/>
      <c r="AR11262"/>
    </row>
    <row r="11263" spans="24:44">
      <c r="X11263"/>
      <c r="Y11263"/>
      <c r="Z11263"/>
      <c r="AA11263"/>
      <c r="AC11263"/>
      <c r="AR11263"/>
    </row>
    <row r="11264" spans="24:44">
      <c r="X11264"/>
      <c r="Y11264"/>
      <c r="Z11264"/>
      <c r="AA11264"/>
      <c r="AC11264"/>
      <c r="AR11264"/>
    </row>
    <row r="11265" spans="24:44">
      <c r="X11265"/>
      <c r="Y11265"/>
      <c r="Z11265"/>
      <c r="AA11265"/>
      <c r="AC11265"/>
      <c r="AR11265"/>
    </row>
    <row r="11266" spans="24:44">
      <c r="X11266"/>
      <c r="Y11266"/>
      <c r="Z11266"/>
      <c r="AA11266"/>
      <c r="AC11266"/>
      <c r="AR11266"/>
    </row>
    <row r="11267" spans="24:44">
      <c r="X11267"/>
      <c r="Y11267"/>
      <c r="Z11267"/>
      <c r="AA11267"/>
      <c r="AC11267"/>
      <c r="AR11267"/>
    </row>
    <row r="11268" spans="24:44">
      <c r="X11268"/>
      <c r="Y11268"/>
      <c r="Z11268"/>
      <c r="AA11268"/>
      <c r="AC11268"/>
      <c r="AR11268"/>
    </row>
    <row r="11269" spans="24:44">
      <c r="X11269"/>
      <c r="Y11269"/>
      <c r="Z11269"/>
      <c r="AA11269"/>
      <c r="AC11269"/>
      <c r="AR11269"/>
    </row>
    <row r="11270" spans="24:44">
      <c r="X11270"/>
      <c r="Y11270"/>
      <c r="Z11270"/>
      <c r="AA11270"/>
      <c r="AC11270"/>
      <c r="AR11270"/>
    </row>
    <row r="11271" spans="24:44">
      <c r="X11271"/>
      <c r="Y11271"/>
      <c r="Z11271"/>
      <c r="AA11271"/>
      <c r="AC11271"/>
      <c r="AR11271"/>
    </row>
    <row r="11272" spans="24:44">
      <c r="X11272"/>
      <c r="Y11272"/>
      <c r="Z11272"/>
      <c r="AA11272"/>
      <c r="AC11272"/>
      <c r="AR11272"/>
    </row>
    <row r="11273" spans="24:44">
      <c r="X11273"/>
      <c r="Y11273"/>
      <c r="Z11273"/>
      <c r="AA11273"/>
      <c r="AC11273"/>
      <c r="AR11273"/>
    </row>
    <row r="11274" spans="24:44">
      <c r="X11274"/>
      <c r="Y11274"/>
      <c r="Z11274"/>
      <c r="AA11274"/>
      <c r="AC11274"/>
      <c r="AR11274"/>
    </row>
    <row r="11275" spans="24:44">
      <c r="X11275"/>
      <c r="Y11275"/>
      <c r="Z11275"/>
      <c r="AA11275"/>
      <c r="AC11275"/>
      <c r="AR11275"/>
    </row>
    <row r="11276" spans="24:44">
      <c r="X11276"/>
      <c r="Y11276"/>
      <c r="Z11276"/>
      <c r="AA11276"/>
      <c r="AC11276"/>
      <c r="AR11276"/>
    </row>
    <row r="11277" spans="24:44">
      <c r="X11277"/>
      <c r="Y11277"/>
      <c r="Z11277"/>
      <c r="AA11277"/>
      <c r="AC11277"/>
      <c r="AR11277"/>
    </row>
    <row r="11278" spans="24:44">
      <c r="X11278"/>
      <c r="Y11278"/>
      <c r="Z11278"/>
      <c r="AA11278"/>
      <c r="AC11278"/>
      <c r="AR11278"/>
    </row>
    <row r="11279" spans="24:44">
      <c r="X11279"/>
      <c r="Y11279"/>
      <c r="Z11279"/>
      <c r="AA11279"/>
      <c r="AC11279"/>
      <c r="AR11279"/>
    </row>
    <row r="11280" spans="24:44">
      <c r="X11280"/>
      <c r="Y11280"/>
      <c r="Z11280"/>
      <c r="AA11280"/>
      <c r="AC11280"/>
      <c r="AR11280"/>
    </row>
    <row r="11281" spans="24:44">
      <c r="X11281"/>
      <c r="Y11281"/>
      <c r="Z11281"/>
      <c r="AA11281"/>
      <c r="AC11281"/>
      <c r="AR11281"/>
    </row>
    <row r="11282" spans="24:44">
      <c r="X11282"/>
      <c r="Y11282"/>
      <c r="Z11282"/>
      <c r="AA11282"/>
      <c r="AC11282"/>
      <c r="AR11282"/>
    </row>
    <row r="11283" spans="24:44">
      <c r="X11283"/>
      <c r="Y11283"/>
      <c r="Z11283"/>
      <c r="AA11283"/>
      <c r="AC11283"/>
      <c r="AR11283"/>
    </row>
    <row r="11284" spans="24:44">
      <c r="X11284"/>
      <c r="Y11284"/>
      <c r="Z11284"/>
      <c r="AA11284"/>
      <c r="AC11284"/>
      <c r="AR11284"/>
    </row>
    <row r="11285" spans="24:44">
      <c r="X11285"/>
      <c r="Y11285"/>
      <c r="Z11285"/>
      <c r="AA11285"/>
      <c r="AC11285"/>
      <c r="AR11285"/>
    </row>
    <row r="11286" spans="24:44">
      <c r="X11286"/>
      <c r="Y11286"/>
      <c r="Z11286"/>
      <c r="AA11286"/>
      <c r="AC11286"/>
      <c r="AR11286"/>
    </row>
    <row r="11287" spans="24:44">
      <c r="X11287"/>
      <c r="Y11287"/>
      <c r="Z11287"/>
      <c r="AA11287"/>
      <c r="AC11287"/>
      <c r="AR11287"/>
    </row>
    <row r="11288" spans="24:44">
      <c r="X11288"/>
      <c r="Y11288"/>
      <c r="Z11288"/>
      <c r="AA11288"/>
      <c r="AC11288"/>
      <c r="AR11288"/>
    </row>
    <row r="11289" spans="24:44">
      <c r="X11289"/>
      <c r="Y11289"/>
      <c r="Z11289"/>
      <c r="AA11289"/>
      <c r="AC11289"/>
      <c r="AR11289"/>
    </row>
    <row r="11290" spans="24:44">
      <c r="X11290"/>
      <c r="Y11290"/>
      <c r="Z11290"/>
      <c r="AA11290"/>
      <c r="AC11290"/>
      <c r="AR11290"/>
    </row>
    <row r="11291" spans="24:44">
      <c r="X11291"/>
      <c r="Y11291"/>
      <c r="Z11291"/>
      <c r="AA11291"/>
      <c r="AC11291"/>
      <c r="AR11291"/>
    </row>
    <row r="11292" spans="24:44">
      <c r="X11292"/>
      <c r="Y11292"/>
      <c r="Z11292"/>
      <c r="AA11292"/>
      <c r="AC11292"/>
      <c r="AR11292"/>
    </row>
    <row r="11293" spans="24:44">
      <c r="X11293"/>
      <c r="Y11293"/>
      <c r="Z11293"/>
      <c r="AA11293"/>
      <c r="AC11293"/>
      <c r="AR11293"/>
    </row>
    <row r="11294" spans="24:44">
      <c r="X11294"/>
      <c r="Y11294"/>
      <c r="Z11294"/>
      <c r="AA11294"/>
      <c r="AC11294"/>
      <c r="AR11294"/>
    </row>
    <row r="11295" spans="24:44">
      <c r="X11295"/>
      <c r="Y11295"/>
      <c r="Z11295"/>
      <c r="AA11295"/>
      <c r="AC11295"/>
      <c r="AR11295"/>
    </row>
    <row r="11296" spans="24:44">
      <c r="X11296"/>
      <c r="Y11296"/>
      <c r="Z11296"/>
      <c r="AA11296"/>
      <c r="AC11296"/>
      <c r="AR11296"/>
    </row>
    <row r="11297" spans="24:44">
      <c r="X11297"/>
      <c r="Y11297"/>
      <c r="Z11297"/>
      <c r="AA11297"/>
      <c r="AC11297"/>
      <c r="AR11297"/>
    </row>
    <row r="11298" spans="24:44">
      <c r="X11298"/>
      <c r="Y11298"/>
      <c r="Z11298"/>
      <c r="AA11298"/>
      <c r="AC11298"/>
      <c r="AR11298"/>
    </row>
    <row r="11299" spans="24:44">
      <c r="X11299"/>
      <c r="Y11299"/>
      <c r="Z11299"/>
      <c r="AA11299"/>
      <c r="AC11299"/>
      <c r="AR11299"/>
    </row>
    <row r="11300" spans="24:44">
      <c r="X11300"/>
      <c r="Y11300"/>
      <c r="Z11300"/>
      <c r="AA11300"/>
      <c r="AC11300"/>
      <c r="AR11300"/>
    </row>
    <row r="11301" spans="24:44">
      <c r="X11301"/>
      <c r="Y11301"/>
      <c r="Z11301"/>
      <c r="AA11301"/>
      <c r="AC11301"/>
      <c r="AR11301"/>
    </row>
    <row r="11302" spans="24:44">
      <c r="X11302"/>
      <c r="Y11302"/>
      <c r="Z11302"/>
      <c r="AA11302"/>
      <c r="AC11302"/>
      <c r="AR11302"/>
    </row>
    <row r="11303" spans="24:44">
      <c r="X11303"/>
      <c r="Y11303"/>
      <c r="Z11303"/>
      <c r="AA11303"/>
      <c r="AC11303"/>
      <c r="AR11303"/>
    </row>
    <row r="11304" spans="24:44">
      <c r="X11304"/>
      <c r="Y11304"/>
      <c r="Z11304"/>
      <c r="AA11304"/>
      <c r="AC11304"/>
      <c r="AR11304"/>
    </row>
    <row r="11305" spans="24:44">
      <c r="X11305"/>
      <c r="Y11305"/>
      <c r="Z11305"/>
      <c r="AA11305"/>
      <c r="AC11305"/>
      <c r="AR11305"/>
    </row>
    <row r="11306" spans="24:44">
      <c r="X11306"/>
      <c r="Y11306"/>
      <c r="Z11306"/>
      <c r="AA11306"/>
      <c r="AC11306"/>
      <c r="AR11306"/>
    </row>
    <row r="11307" spans="24:44">
      <c r="X11307"/>
      <c r="Y11307"/>
      <c r="Z11307"/>
      <c r="AA11307"/>
      <c r="AC11307"/>
      <c r="AR11307"/>
    </row>
    <row r="11308" spans="24:44">
      <c r="X11308"/>
      <c r="Y11308"/>
      <c r="Z11308"/>
      <c r="AA11308"/>
      <c r="AC11308"/>
      <c r="AR11308"/>
    </row>
    <row r="11309" spans="24:44">
      <c r="X11309"/>
      <c r="Y11309"/>
      <c r="Z11309"/>
      <c r="AA11309"/>
      <c r="AC11309"/>
      <c r="AR11309"/>
    </row>
    <row r="11310" spans="24:44">
      <c r="X11310"/>
      <c r="Y11310"/>
      <c r="Z11310"/>
      <c r="AA11310"/>
      <c r="AC11310"/>
      <c r="AR11310"/>
    </row>
    <row r="11311" spans="24:44">
      <c r="X11311"/>
      <c r="Y11311"/>
      <c r="Z11311"/>
      <c r="AA11311"/>
      <c r="AC11311"/>
      <c r="AR11311"/>
    </row>
    <row r="11312" spans="24:44">
      <c r="X11312"/>
      <c r="Y11312"/>
      <c r="Z11312"/>
      <c r="AA11312"/>
      <c r="AC11312"/>
      <c r="AR11312"/>
    </row>
    <row r="11313" spans="24:44">
      <c r="X11313"/>
      <c r="Y11313"/>
      <c r="Z11313"/>
      <c r="AA11313"/>
      <c r="AC11313"/>
      <c r="AR11313"/>
    </row>
    <row r="11314" spans="24:44">
      <c r="X11314"/>
      <c r="Y11314"/>
      <c r="Z11314"/>
      <c r="AA11314"/>
      <c r="AC11314"/>
      <c r="AR11314"/>
    </row>
    <row r="11315" spans="24:44">
      <c r="X11315"/>
      <c r="Y11315"/>
      <c r="Z11315"/>
      <c r="AA11315"/>
      <c r="AC11315"/>
      <c r="AR11315"/>
    </row>
    <row r="11316" spans="24:44">
      <c r="X11316"/>
      <c r="Y11316"/>
      <c r="Z11316"/>
      <c r="AA11316"/>
      <c r="AC11316"/>
      <c r="AR11316"/>
    </row>
    <row r="11317" spans="24:44">
      <c r="X11317"/>
      <c r="Y11317"/>
      <c r="Z11317"/>
      <c r="AA11317"/>
      <c r="AC11317"/>
      <c r="AR11317"/>
    </row>
    <row r="11318" spans="24:44">
      <c r="X11318"/>
      <c r="Y11318"/>
      <c r="Z11318"/>
      <c r="AA11318"/>
      <c r="AC11318"/>
      <c r="AR11318"/>
    </row>
    <row r="11319" spans="24:44">
      <c r="X11319"/>
      <c r="Y11319"/>
      <c r="Z11319"/>
      <c r="AA11319"/>
      <c r="AC11319"/>
      <c r="AR11319"/>
    </row>
    <row r="11320" spans="24:44">
      <c r="X11320"/>
      <c r="Y11320"/>
      <c r="Z11320"/>
      <c r="AA11320"/>
      <c r="AC11320"/>
      <c r="AR11320"/>
    </row>
    <row r="11321" spans="24:44">
      <c r="X11321"/>
      <c r="Y11321"/>
      <c r="Z11321"/>
      <c r="AA11321"/>
      <c r="AC11321"/>
      <c r="AR11321"/>
    </row>
    <row r="11322" spans="24:44">
      <c r="X11322"/>
      <c r="Y11322"/>
      <c r="Z11322"/>
      <c r="AA11322"/>
      <c r="AC11322"/>
      <c r="AR11322"/>
    </row>
    <row r="11323" spans="24:44">
      <c r="X11323"/>
      <c r="Y11323"/>
      <c r="Z11323"/>
      <c r="AA11323"/>
      <c r="AC11323"/>
      <c r="AR11323"/>
    </row>
    <row r="11324" spans="24:44">
      <c r="X11324"/>
      <c r="Y11324"/>
      <c r="Z11324"/>
      <c r="AA11324"/>
      <c r="AC11324"/>
      <c r="AR11324"/>
    </row>
    <row r="11325" spans="24:44">
      <c r="X11325"/>
      <c r="Y11325"/>
      <c r="Z11325"/>
      <c r="AA11325"/>
      <c r="AC11325"/>
      <c r="AR11325"/>
    </row>
    <row r="11326" spans="24:44">
      <c r="X11326"/>
      <c r="Y11326"/>
      <c r="Z11326"/>
      <c r="AA11326"/>
      <c r="AC11326"/>
      <c r="AR11326"/>
    </row>
    <row r="11327" spans="24:44">
      <c r="X11327"/>
      <c r="Y11327"/>
      <c r="Z11327"/>
      <c r="AA11327"/>
      <c r="AC11327"/>
      <c r="AR11327"/>
    </row>
    <row r="11328" spans="24:44">
      <c r="X11328"/>
      <c r="Y11328"/>
      <c r="Z11328"/>
      <c r="AA11328"/>
      <c r="AC11328"/>
      <c r="AR11328"/>
    </row>
    <row r="11329" spans="24:44">
      <c r="X11329"/>
      <c r="Y11329"/>
      <c r="Z11329"/>
      <c r="AA11329"/>
      <c r="AC11329"/>
      <c r="AR11329"/>
    </row>
    <row r="11330" spans="24:44">
      <c r="X11330"/>
      <c r="Y11330"/>
      <c r="Z11330"/>
      <c r="AA11330"/>
      <c r="AC11330"/>
      <c r="AR11330"/>
    </row>
    <row r="11331" spans="24:44">
      <c r="X11331"/>
      <c r="Y11331"/>
      <c r="Z11331"/>
      <c r="AA11331"/>
      <c r="AC11331"/>
      <c r="AR11331"/>
    </row>
    <row r="11332" spans="24:44">
      <c r="X11332"/>
      <c r="Y11332"/>
      <c r="Z11332"/>
      <c r="AA11332"/>
      <c r="AC11332"/>
      <c r="AR11332"/>
    </row>
    <row r="11333" spans="24:44">
      <c r="X11333"/>
      <c r="Y11333"/>
      <c r="Z11333"/>
      <c r="AA11333"/>
      <c r="AC11333"/>
      <c r="AR11333"/>
    </row>
    <row r="11334" spans="24:44">
      <c r="X11334"/>
      <c r="Y11334"/>
      <c r="Z11334"/>
      <c r="AA11334"/>
      <c r="AC11334"/>
      <c r="AR11334"/>
    </row>
    <row r="11335" spans="24:44">
      <c r="X11335"/>
      <c r="Y11335"/>
      <c r="Z11335"/>
      <c r="AA11335"/>
      <c r="AC11335"/>
      <c r="AR11335"/>
    </row>
    <row r="11336" spans="24:44">
      <c r="X11336"/>
      <c r="Y11336"/>
      <c r="Z11336"/>
      <c r="AA11336"/>
      <c r="AC11336"/>
      <c r="AR11336"/>
    </row>
    <row r="11337" spans="24:44">
      <c r="X11337"/>
      <c r="Y11337"/>
      <c r="Z11337"/>
      <c r="AA11337"/>
      <c r="AC11337"/>
      <c r="AR11337"/>
    </row>
    <row r="11338" spans="24:44">
      <c r="X11338"/>
      <c r="Y11338"/>
      <c r="Z11338"/>
      <c r="AA11338"/>
      <c r="AC11338"/>
      <c r="AR11338"/>
    </row>
    <row r="11339" spans="24:44">
      <c r="X11339"/>
      <c r="Y11339"/>
      <c r="Z11339"/>
      <c r="AA11339"/>
      <c r="AC11339"/>
      <c r="AR11339"/>
    </row>
    <row r="11340" spans="24:44">
      <c r="X11340"/>
      <c r="Y11340"/>
      <c r="Z11340"/>
      <c r="AA11340"/>
      <c r="AC11340"/>
      <c r="AR11340"/>
    </row>
    <row r="11341" spans="24:44">
      <c r="X11341"/>
      <c r="Y11341"/>
      <c r="Z11341"/>
      <c r="AA11341"/>
      <c r="AC11341"/>
      <c r="AR11341"/>
    </row>
    <row r="11342" spans="24:44">
      <c r="X11342"/>
      <c r="Y11342"/>
      <c r="Z11342"/>
      <c r="AA11342"/>
      <c r="AC11342"/>
      <c r="AR11342"/>
    </row>
    <row r="11343" spans="24:44">
      <c r="X11343"/>
      <c r="Y11343"/>
      <c r="Z11343"/>
      <c r="AA11343"/>
      <c r="AC11343"/>
      <c r="AR11343"/>
    </row>
    <row r="11344" spans="24:44">
      <c r="X11344"/>
      <c r="Y11344"/>
      <c r="Z11344"/>
      <c r="AA11344"/>
      <c r="AC11344"/>
      <c r="AR11344"/>
    </row>
    <row r="11345" spans="24:44">
      <c r="X11345"/>
      <c r="Y11345"/>
      <c r="Z11345"/>
      <c r="AA11345"/>
      <c r="AC11345"/>
      <c r="AR11345"/>
    </row>
    <row r="11346" spans="24:44">
      <c r="X11346"/>
      <c r="Y11346"/>
      <c r="Z11346"/>
      <c r="AA11346"/>
      <c r="AC11346"/>
      <c r="AR11346"/>
    </row>
    <row r="11347" spans="24:44">
      <c r="X11347"/>
      <c r="Y11347"/>
      <c r="Z11347"/>
      <c r="AA11347"/>
      <c r="AC11347"/>
      <c r="AR11347"/>
    </row>
    <row r="11348" spans="24:44">
      <c r="X11348"/>
      <c r="Y11348"/>
      <c r="Z11348"/>
      <c r="AA11348"/>
      <c r="AC11348"/>
      <c r="AR11348"/>
    </row>
    <row r="11349" spans="24:44">
      <c r="X11349"/>
      <c r="Y11349"/>
      <c r="Z11349"/>
      <c r="AA11349"/>
      <c r="AC11349"/>
      <c r="AR11349"/>
    </row>
    <row r="11350" spans="24:44">
      <c r="X11350"/>
      <c r="Y11350"/>
      <c r="Z11350"/>
      <c r="AA11350"/>
      <c r="AC11350"/>
      <c r="AR11350"/>
    </row>
    <row r="11351" spans="24:44">
      <c r="X11351"/>
      <c r="Y11351"/>
      <c r="Z11351"/>
      <c r="AA11351"/>
      <c r="AC11351"/>
      <c r="AR11351"/>
    </row>
    <row r="11352" spans="24:44">
      <c r="X11352"/>
      <c r="Y11352"/>
      <c r="Z11352"/>
      <c r="AA11352"/>
      <c r="AC11352"/>
      <c r="AR11352"/>
    </row>
    <row r="11353" spans="24:44">
      <c r="X11353"/>
      <c r="Y11353"/>
      <c r="Z11353"/>
      <c r="AA11353"/>
      <c r="AC11353"/>
      <c r="AR11353"/>
    </row>
    <row r="11354" spans="24:44">
      <c r="X11354"/>
      <c r="Y11354"/>
      <c r="Z11354"/>
      <c r="AA11354"/>
      <c r="AC11354"/>
      <c r="AR11354"/>
    </row>
    <row r="11355" spans="24:44">
      <c r="X11355"/>
      <c r="Y11355"/>
      <c r="Z11355"/>
      <c r="AA11355"/>
      <c r="AC11355"/>
      <c r="AR11355"/>
    </row>
    <row r="11356" spans="24:44">
      <c r="X11356"/>
      <c r="Y11356"/>
      <c r="Z11356"/>
      <c r="AA11356"/>
      <c r="AC11356"/>
      <c r="AR11356"/>
    </row>
    <row r="11357" spans="24:44">
      <c r="X11357"/>
      <c r="Y11357"/>
      <c r="Z11357"/>
      <c r="AA11357"/>
      <c r="AC11357"/>
      <c r="AR11357"/>
    </row>
    <row r="11358" spans="24:44">
      <c r="X11358"/>
      <c r="Y11358"/>
      <c r="Z11358"/>
      <c r="AA11358"/>
      <c r="AC11358"/>
      <c r="AR11358"/>
    </row>
    <row r="11359" spans="24:44">
      <c r="X11359"/>
      <c r="Y11359"/>
      <c r="Z11359"/>
      <c r="AA11359"/>
      <c r="AC11359"/>
      <c r="AR11359"/>
    </row>
    <row r="11360" spans="24:44">
      <c r="X11360"/>
      <c r="Y11360"/>
      <c r="Z11360"/>
      <c r="AA11360"/>
      <c r="AC11360"/>
      <c r="AR11360"/>
    </row>
    <row r="11361" spans="24:44">
      <c r="X11361"/>
      <c r="Y11361"/>
      <c r="Z11361"/>
      <c r="AA11361"/>
      <c r="AC11361"/>
      <c r="AR11361"/>
    </row>
    <row r="11362" spans="24:44">
      <c r="X11362"/>
      <c r="Y11362"/>
      <c r="Z11362"/>
      <c r="AA11362"/>
      <c r="AC11362"/>
      <c r="AR11362"/>
    </row>
    <row r="11363" spans="24:44">
      <c r="X11363"/>
      <c r="Y11363"/>
      <c r="Z11363"/>
      <c r="AA11363"/>
      <c r="AC11363"/>
      <c r="AR11363"/>
    </row>
    <row r="11364" spans="24:44">
      <c r="X11364"/>
      <c r="Y11364"/>
      <c r="Z11364"/>
      <c r="AA11364"/>
      <c r="AC11364"/>
      <c r="AR11364"/>
    </row>
    <row r="11365" spans="24:44">
      <c r="X11365"/>
      <c r="Y11365"/>
      <c r="Z11365"/>
      <c r="AA11365"/>
      <c r="AC11365"/>
      <c r="AR11365"/>
    </row>
    <row r="11366" spans="24:44">
      <c r="X11366"/>
      <c r="Y11366"/>
      <c r="Z11366"/>
      <c r="AA11366"/>
      <c r="AC11366"/>
      <c r="AR11366"/>
    </row>
    <row r="11367" spans="24:44">
      <c r="X11367"/>
      <c r="Y11367"/>
      <c r="Z11367"/>
      <c r="AA11367"/>
      <c r="AC11367"/>
      <c r="AR11367"/>
    </row>
    <row r="11368" spans="24:44">
      <c r="X11368"/>
      <c r="Y11368"/>
      <c r="Z11368"/>
      <c r="AA11368"/>
      <c r="AC11368"/>
      <c r="AR11368"/>
    </row>
    <row r="11369" spans="24:44">
      <c r="X11369"/>
      <c r="Y11369"/>
      <c r="Z11369"/>
      <c r="AA11369"/>
      <c r="AC11369"/>
      <c r="AR11369"/>
    </row>
    <row r="11370" spans="24:44">
      <c r="X11370"/>
      <c r="Y11370"/>
      <c r="Z11370"/>
      <c r="AA11370"/>
      <c r="AC11370"/>
      <c r="AR11370"/>
    </row>
    <row r="11371" spans="24:44">
      <c r="X11371"/>
      <c r="Y11371"/>
      <c r="Z11371"/>
      <c r="AA11371"/>
      <c r="AC11371"/>
      <c r="AR11371"/>
    </row>
    <row r="11372" spans="24:44">
      <c r="X11372"/>
      <c r="Y11372"/>
      <c r="Z11372"/>
      <c r="AA11372"/>
      <c r="AC11372"/>
      <c r="AR11372"/>
    </row>
    <row r="11373" spans="24:44">
      <c r="X11373"/>
      <c r="Y11373"/>
      <c r="Z11373"/>
      <c r="AA11373"/>
      <c r="AC11373"/>
      <c r="AR11373"/>
    </row>
    <row r="11374" spans="24:44">
      <c r="X11374"/>
      <c r="Y11374"/>
      <c r="Z11374"/>
      <c r="AA11374"/>
      <c r="AC11374"/>
      <c r="AR11374"/>
    </row>
    <row r="11375" spans="24:44">
      <c r="X11375"/>
      <c r="Y11375"/>
      <c r="Z11375"/>
      <c r="AA11375"/>
      <c r="AC11375"/>
      <c r="AR11375"/>
    </row>
    <row r="11376" spans="24:44">
      <c r="X11376"/>
      <c r="Y11376"/>
      <c r="Z11376"/>
      <c r="AA11376"/>
      <c r="AC11376"/>
      <c r="AR11376"/>
    </row>
    <row r="11377" spans="24:44">
      <c r="X11377"/>
      <c r="Y11377"/>
      <c r="Z11377"/>
      <c r="AA11377"/>
      <c r="AC11377"/>
      <c r="AR11377"/>
    </row>
    <row r="11378" spans="24:44">
      <c r="X11378"/>
      <c r="Y11378"/>
      <c r="Z11378"/>
      <c r="AA11378"/>
      <c r="AC11378"/>
      <c r="AR11378"/>
    </row>
    <row r="11379" spans="24:44">
      <c r="X11379"/>
      <c r="Y11379"/>
      <c r="Z11379"/>
      <c r="AA11379"/>
      <c r="AC11379"/>
      <c r="AR11379"/>
    </row>
    <row r="11380" spans="24:44">
      <c r="X11380"/>
      <c r="Y11380"/>
      <c r="Z11380"/>
      <c r="AA11380"/>
      <c r="AC11380"/>
      <c r="AR11380"/>
    </row>
    <row r="11381" spans="24:44">
      <c r="X11381"/>
      <c r="Y11381"/>
      <c r="Z11381"/>
      <c r="AA11381"/>
      <c r="AC11381"/>
      <c r="AR11381"/>
    </row>
    <row r="11382" spans="24:44">
      <c r="X11382"/>
      <c r="Y11382"/>
      <c r="Z11382"/>
      <c r="AA11382"/>
      <c r="AC11382"/>
      <c r="AR11382"/>
    </row>
    <row r="11383" spans="24:44">
      <c r="X11383"/>
      <c r="Y11383"/>
      <c r="Z11383"/>
      <c r="AA11383"/>
      <c r="AC11383"/>
      <c r="AR11383"/>
    </row>
    <row r="11384" spans="24:44">
      <c r="X11384"/>
      <c r="Y11384"/>
      <c r="Z11384"/>
      <c r="AA11384"/>
      <c r="AC11384"/>
      <c r="AR11384"/>
    </row>
    <row r="11385" spans="24:44">
      <c r="X11385"/>
      <c r="Y11385"/>
      <c r="Z11385"/>
      <c r="AA11385"/>
      <c r="AC11385"/>
      <c r="AR11385"/>
    </row>
    <row r="11386" spans="24:44">
      <c r="X11386"/>
      <c r="Y11386"/>
      <c r="Z11386"/>
      <c r="AA11386"/>
      <c r="AC11386"/>
      <c r="AR11386"/>
    </row>
    <row r="11387" spans="24:44">
      <c r="X11387"/>
      <c r="Y11387"/>
      <c r="Z11387"/>
      <c r="AA11387"/>
      <c r="AC11387"/>
      <c r="AR11387"/>
    </row>
    <row r="11388" spans="24:44">
      <c r="X11388"/>
      <c r="Y11388"/>
      <c r="Z11388"/>
      <c r="AA11388"/>
      <c r="AC11388"/>
      <c r="AR11388"/>
    </row>
    <row r="11389" spans="24:44">
      <c r="X11389"/>
      <c r="Y11389"/>
      <c r="Z11389"/>
      <c r="AA11389"/>
      <c r="AC11389"/>
      <c r="AR11389"/>
    </row>
    <row r="11390" spans="24:44">
      <c r="X11390"/>
      <c r="Y11390"/>
      <c r="Z11390"/>
      <c r="AA11390"/>
      <c r="AC11390"/>
      <c r="AR11390"/>
    </row>
    <row r="11391" spans="24:44">
      <c r="X11391"/>
      <c r="Y11391"/>
      <c r="Z11391"/>
      <c r="AA11391"/>
      <c r="AC11391"/>
      <c r="AR11391"/>
    </row>
    <row r="11392" spans="24:44">
      <c r="X11392"/>
      <c r="Y11392"/>
      <c r="Z11392"/>
      <c r="AA11392"/>
      <c r="AC11392"/>
      <c r="AR11392"/>
    </row>
    <row r="11393" spans="24:44">
      <c r="X11393"/>
      <c r="Y11393"/>
      <c r="Z11393"/>
      <c r="AA11393"/>
      <c r="AC11393"/>
      <c r="AR11393"/>
    </row>
    <row r="11394" spans="24:44">
      <c r="X11394"/>
      <c r="Y11394"/>
      <c r="Z11394"/>
      <c r="AA11394"/>
      <c r="AC11394"/>
      <c r="AR11394"/>
    </row>
    <row r="11395" spans="24:44">
      <c r="X11395"/>
      <c r="Y11395"/>
      <c r="Z11395"/>
      <c r="AA11395"/>
      <c r="AC11395"/>
      <c r="AR11395"/>
    </row>
    <row r="11396" spans="24:44">
      <c r="X11396"/>
      <c r="Y11396"/>
      <c r="Z11396"/>
      <c r="AA11396"/>
      <c r="AC11396"/>
      <c r="AR11396"/>
    </row>
    <row r="11397" spans="24:44">
      <c r="X11397"/>
      <c r="Y11397"/>
      <c r="Z11397"/>
      <c r="AA11397"/>
      <c r="AC11397"/>
      <c r="AR11397"/>
    </row>
    <row r="11398" spans="24:44">
      <c r="X11398"/>
      <c r="Y11398"/>
      <c r="Z11398"/>
      <c r="AA11398"/>
      <c r="AC11398"/>
      <c r="AR11398"/>
    </row>
    <row r="11399" spans="24:44">
      <c r="X11399"/>
      <c r="Y11399"/>
      <c r="Z11399"/>
      <c r="AA11399"/>
      <c r="AC11399"/>
      <c r="AR11399"/>
    </row>
    <row r="11400" spans="24:44">
      <c r="X11400"/>
      <c r="Y11400"/>
      <c r="Z11400"/>
      <c r="AA11400"/>
      <c r="AC11400"/>
      <c r="AR11400"/>
    </row>
    <row r="11401" spans="24:44">
      <c r="X11401"/>
      <c r="Y11401"/>
      <c r="Z11401"/>
      <c r="AA11401"/>
      <c r="AC11401"/>
      <c r="AR11401"/>
    </row>
    <row r="11402" spans="24:44">
      <c r="X11402"/>
      <c r="Y11402"/>
      <c r="Z11402"/>
      <c r="AA11402"/>
      <c r="AC11402"/>
      <c r="AR11402"/>
    </row>
    <row r="11403" spans="24:44">
      <c r="X11403"/>
      <c r="Y11403"/>
      <c r="Z11403"/>
      <c r="AA11403"/>
      <c r="AC11403"/>
      <c r="AR11403"/>
    </row>
    <row r="11404" spans="24:44">
      <c r="X11404"/>
      <c r="Y11404"/>
      <c r="Z11404"/>
      <c r="AA11404"/>
      <c r="AC11404"/>
      <c r="AR11404"/>
    </row>
    <row r="11405" spans="24:44">
      <c r="X11405"/>
      <c r="Y11405"/>
      <c r="Z11405"/>
      <c r="AA11405"/>
      <c r="AC11405"/>
      <c r="AR11405"/>
    </row>
    <row r="11406" spans="24:44">
      <c r="X11406"/>
      <c r="Y11406"/>
      <c r="Z11406"/>
      <c r="AA11406"/>
      <c r="AC11406"/>
      <c r="AR11406"/>
    </row>
    <row r="11407" spans="24:44">
      <c r="X11407"/>
      <c r="Y11407"/>
      <c r="Z11407"/>
      <c r="AA11407"/>
      <c r="AC11407"/>
      <c r="AR11407"/>
    </row>
    <row r="11408" spans="24:44">
      <c r="X11408"/>
      <c r="Y11408"/>
      <c r="Z11408"/>
      <c r="AA11408"/>
      <c r="AC11408"/>
      <c r="AR11408"/>
    </row>
    <row r="11409" spans="24:44">
      <c r="X11409"/>
      <c r="Y11409"/>
      <c r="Z11409"/>
      <c r="AA11409"/>
      <c r="AC11409"/>
      <c r="AR11409"/>
    </row>
    <row r="11410" spans="24:44">
      <c r="X11410"/>
      <c r="Y11410"/>
      <c r="Z11410"/>
      <c r="AA11410"/>
      <c r="AC11410"/>
      <c r="AR11410"/>
    </row>
    <row r="11411" spans="24:44">
      <c r="X11411"/>
      <c r="Y11411"/>
      <c r="Z11411"/>
      <c r="AA11411"/>
      <c r="AC11411"/>
      <c r="AR11411"/>
    </row>
    <row r="11412" spans="24:44">
      <c r="X11412"/>
      <c r="Y11412"/>
      <c r="Z11412"/>
      <c r="AA11412"/>
      <c r="AC11412"/>
      <c r="AR11412"/>
    </row>
    <row r="11413" spans="24:44">
      <c r="X11413"/>
      <c r="Y11413"/>
      <c r="Z11413"/>
      <c r="AA11413"/>
      <c r="AC11413"/>
      <c r="AR11413"/>
    </row>
    <row r="11414" spans="24:44">
      <c r="X11414"/>
      <c r="Y11414"/>
      <c r="Z11414"/>
      <c r="AA11414"/>
      <c r="AC11414"/>
      <c r="AR11414"/>
    </row>
    <row r="11415" spans="24:44">
      <c r="X11415"/>
      <c r="Y11415"/>
      <c r="Z11415"/>
      <c r="AA11415"/>
      <c r="AC11415"/>
      <c r="AR11415"/>
    </row>
    <row r="11416" spans="24:44">
      <c r="X11416"/>
      <c r="Y11416"/>
      <c r="Z11416"/>
      <c r="AA11416"/>
      <c r="AC11416"/>
      <c r="AR11416"/>
    </row>
    <row r="11417" spans="24:44">
      <c r="X11417"/>
      <c r="Y11417"/>
      <c r="Z11417"/>
      <c r="AA11417"/>
      <c r="AC11417"/>
      <c r="AR11417"/>
    </row>
    <row r="11418" spans="24:44">
      <c r="X11418"/>
      <c r="Y11418"/>
      <c r="Z11418"/>
      <c r="AA11418"/>
      <c r="AC11418"/>
      <c r="AR11418"/>
    </row>
    <row r="11419" spans="24:44">
      <c r="X11419"/>
      <c r="Y11419"/>
      <c r="Z11419"/>
      <c r="AA11419"/>
      <c r="AC11419"/>
      <c r="AR11419"/>
    </row>
    <row r="11420" spans="24:44">
      <c r="X11420"/>
      <c r="Y11420"/>
      <c r="Z11420"/>
      <c r="AA11420"/>
      <c r="AC11420"/>
      <c r="AR11420"/>
    </row>
    <row r="11421" spans="24:44">
      <c r="X11421"/>
      <c r="Y11421"/>
      <c r="Z11421"/>
      <c r="AA11421"/>
      <c r="AC11421"/>
      <c r="AR11421"/>
    </row>
    <row r="11422" spans="24:44">
      <c r="X11422"/>
      <c r="Y11422"/>
      <c r="Z11422"/>
      <c r="AA11422"/>
      <c r="AC11422"/>
      <c r="AR11422"/>
    </row>
    <row r="11423" spans="24:44">
      <c r="X11423"/>
      <c r="Y11423"/>
      <c r="Z11423"/>
      <c r="AA11423"/>
      <c r="AC11423"/>
      <c r="AR11423"/>
    </row>
    <row r="11424" spans="24:44">
      <c r="X11424"/>
      <c r="Y11424"/>
      <c r="Z11424"/>
      <c r="AA11424"/>
      <c r="AC11424"/>
      <c r="AR11424"/>
    </row>
    <row r="11425" spans="24:44">
      <c r="X11425"/>
      <c r="Y11425"/>
      <c r="Z11425"/>
      <c r="AA11425"/>
      <c r="AC11425"/>
      <c r="AR11425"/>
    </row>
    <row r="11426" spans="24:44">
      <c r="X11426"/>
      <c r="Y11426"/>
      <c r="Z11426"/>
      <c r="AA11426"/>
      <c r="AC11426"/>
      <c r="AR11426"/>
    </row>
    <row r="11427" spans="24:44">
      <c r="X11427"/>
      <c r="Y11427"/>
      <c r="Z11427"/>
      <c r="AA11427"/>
      <c r="AC11427"/>
      <c r="AR11427"/>
    </row>
    <row r="11428" spans="24:44">
      <c r="X11428"/>
      <c r="Y11428"/>
      <c r="Z11428"/>
      <c r="AA11428"/>
      <c r="AC11428"/>
      <c r="AR11428"/>
    </row>
    <row r="11429" spans="24:44">
      <c r="X11429"/>
      <c r="Y11429"/>
      <c r="Z11429"/>
      <c r="AA11429"/>
      <c r="AC11429"/>
      <c r="AR11429"/>
    </row>
    <row r="11430" spans="24:44">
      <c r="X11430"/>
      <c r="Y11430"/>
      <c r="Z11430"/>
      <c r="AA11430"/>
      <c r="AC11430"/>
      <c r="AR11430"/>
    </row>
    <row r="11431" spans="24:44">
      <c r="X11431"/>
      <c r="Y11431"/>
      <c r="Z11431"/>
      <c r="AA11431"/>
      <c r="AC11431"/>
      <c r="AR11431"/>
    </row>
    <row r="11432" spans="24:44">
      <c r="X11432"/>
      <c r="Y11432"/>
      <c r="Z11432"/>
      <c r="AA11432"/>
      <c r="AC11432"/>
      <c r="AR11432"/>
    </row>
    <row r="11433" spans="24:44">
      <c r="X11433"/>
      <c r="Y11433"/>
      <c r="Z11433"/>
      <c r="AA11433"/>
      <c r="AC11433"/>
      <c r="AR11433"/>
    </row>
    <row r="11434" spans="24:44">
      <c r="X11434"/>
      <c r="Y11434"/>
      <c r="Z11434"/>
      <c r="AA11434"/>
      <c r="AC11434"/>
      <c r="AR11434"/>
    </row>
    <row r="11435" spans="24:44">
      <c r="X11435"/>
      <c r="Y11435"/>
      <c r="Z11435"/>
      <c r="AA11435"/>
      <c r="AC11435"/>
      <c r="AR11435"/>
    </row>
    <row r="11436" spans="24:44">
      <c r="X11436"/>
      <c r="Y11436"/>
      <c r="Z11436"/>
      <c r="AA11436"/>
      <c r="AC11436"/>
      <c r="AR11436"/>
    </row>
    <row r="11437" spans="24:44">
      <c r="X11437"/>
      <c r="Y11437"/>
      <c r="Z11437"/>
      <c r="AA11437"/>
      <c r="AC11437"/>
      <c r="AR11437"/>
    </row>
    <row r="11438" spans="24:44">
      <c r="X11438"/>
      <c r="Y11438"/>
      <c r="Z11438"/>
      <c r="AA11438"/>
      <c r="AC11438"/>
      <c r="AR11438"/>
    </row>
    <row r="11439" spans="24:44">
      <c r="X11439"/>
      <c r="Y11439"/>
      <c r="Z11439"/>
      <c r="AA11439"/>
      <c r="AC11439"/>
      <c r="AR11439"/>
    </row>
    <row r="11440" spans="24:44">
      <c r="X11440"/>
      <c r="Y11440"/>
      <c r="Z11440"/>
      <c r="AA11440"/>
      <c r="AC11440"/>
      <c r="AR11440"/>
    </row>
    <row r="11441" spans="24:44">
      <c r="X11441"/>
      <c r="Y11441"/>
      <c r="Z11441"/>
      <c r="AA11441"/>
      <c r="AC11441"/>
      <c r="AR11441"/>
    </row>
    <row r="11442" spans="24:44">
      <c r="X11442"/>
      <c r="Y11442"/>
      <c r="Z11442"/>
      <c r="AA11442"/>
      <c r="AC11442"/>
      <c r="AR11442"/>
    </row>
    <row r="11443" spans="24:44">
      <c r="X11443"/>
      <c r="Y11443"/>
      <c r="Z11443"/>
      <c r="AA11443"/>
      <c r="AC11443"/>
      <c r="AR11443"/>
    </row>
    <row r="11444" spans="24:44">
      <c r="X11444"/>
      <c r="Y11444"/>
      <c r="Z11444"/>
      <c r="AA11444"/>
      <c r="AC11444"/>
      <c r="AR11444"/>
    </row>
    <row r="11445" spans="24:44">
      <c r="X11445"/>
      <c r="Y11445"/>
      <c r="Z11445"/>
      <c r="AA11445"/>
      <c r="AC11445"/>
      <c r="AR11445"/>
    </row>
    <row r="11446" spans="24:44">
      <c r="X11446"/>
      <c r="Y11446"/>
      <c r="Z11446"/>
      <c r="AA11446"/>
      <c r="AC11446"/>
      <c r="AR11446"/>
    </row>
    <row r="11447" spans="24:44">
      <c r="X11447"/>
      <c r="Y11447"/>
      <c r="Z11447"/>
      <c r="AA11447"/>
      <c r="AC11447"/>
      <c r="AR11447"/>
    </row>
    <row r="11448" spans="24:44">
      <c r="X11448"/>
      <c r="Y11448"/>
      <c r="Z11448"/>
      <c r="AA11448"/>
      <c r="AC11448"/>
      <c r="AR11448"/>
    </row>
    <row r="11449" spans="24:44">
      <c r="X11449"/>
      <c r="Y11449"/>
      <c r="Z11449"/>
      <c r="AA11449"/>
      <c r="AC11449"/>
      <c r="AR11449"/>
    </row>
    <row r="11450" spans="24:44">
      <c r="X11450"/>
      <c r="Y11450"/>
      <c r="Z11450"/>
      <c r="AA11450"/>
      <c r="AC11450"/>
      <c r="AR11450"/>
    </row>
    <row r="11451" spans="24:44">
      <c r="X11451"/>
      <c r="Y11451"/>
      <c r="Z11451"/>
      <c r="AA11451"/>
      <c r="AC11451"/>
      <c r="AR11451"/>
    </row>
    <row r="11452" spans="24:44">
      <c r="X11452"/>
      <c r="Y11452"/>
      <c r="Z11452"/>
      <c r="AA11452"/>
      <c r="AC11452"/>
      <c r="AR11452"/>
    </row>
    <row r="11453" spans="24:44">
      <c r="X11453"/>
      <c r="Y11453"/>
      <c r="Z11453"/>
      <c r="AA11453"/>
      <c r="AC11453"/>
      <c r="AR11453"/>
    </row>
    <row r="11454" spans="24:44">
      <c r="X11454"/>
      <c r="Y11454"/>
      <c r="Z11454"/>
      <c r="AA11454"/>
      <c r="AC11454"/>
      <c r="AR11454"/>
    </row>
    <row r="11455" spans="24:44">
      <c r="X11455"/>
      <c r="Y11455"/>
      <c r="Z11455"/>
      <c r="AA11455"/>
      <c r="AC11455"/>
      <c r="AR11455"/>
    </row>
    <row r="11456" spans="24:44">
      <c r="X11456"/>
      <c r="Y11456"/>
      <c r="Z11456"/>
      <c r="AA11456"/>
      <c r="AC11456"/>
      <c r="AR11456"/>
    </row>
    <row r="11457" spans="24:44">
      <c r="X11457"/>
      <c r="Y11457"/>
      <c r="Z11457"/>
      <c r="AA11457"/>
      <c r="AC11457"/>
      <c r="AR11457"/>
    </row>
    <row r="11458" spans="24:44">
      <c r="X11458"/>
      <c r="Y11458"/>
      <c r="Z11458"/>
      <c r="AA11458"/>
      <c r="AC11458"/>
      <c r="AR11458"/>
    </row>
    <row r="11459" spans="24:44">
      <c r="X11459"/>
      <c r="Y11459"/>
      <c r="Z11459"/>
      <c r="AA11459"/>
      <c r="AC11459"/>
      <c r="AR11459"/>
    </row>
    <row r="11460" spans="24:44">
      <c r="X11460"/>
      <c r="Y11460"/>
      <c r="Z11460"/>
      <c r="AA11460"/>
      <c r="AC11460"/>
      <c r="AR11460"/>
    </row>
    <row r="11461" spans="24:44">
      <c r="X11461"/>
      <c r="Y11461"/>
      <c r="Z11461"/>
      <c r="AA11461"/>
      <c r="AC11461"/>
      <c r="AR11461"/>
    </row>
    <row r="11462" spans="24:44">
      <c r="X11462"/>
      <c r="Y11462"/>
      <c r="Z11462"/>
      <c r="AA11462"/>
      <c r="AC11462"/>
      <c r="AR11462"/>
    </row>
    <row r="11463" spans="24:44">
      <c r="X11463"/>
      <c r="Y11463"/>
      <c r="Z11463"/>
      <c r="AA11463"/>
      <c r="AC11463"/>
      <c r="AR11463"/>
    </row>
    <row r="11464" spans="24:44">
      <c r="X11464"/>
      <c r="Y11464"/>
      <c r="Z11464"/>
      <c r="AA11464"/>
      <c r="AC11464"/>
      <c r="AR11464"/>
    </row>
    <row r="11465" spans="24:44">
      <c r="X11465"/>
      <c r="Y11465"/>
      <c r="Z11465"/>
      <c r="AA11465"/>
      <c r="AC11465"/>
      <c r="AR11465"/>
    </row>
    <row r="11466" spans="24:44">
      <c r="X11466"/>
      <c r="Y11466"/>
      <c r="Z11466"/>
      <c r="AA11466"/>
      <c r="AC11466"/>
      <c r="AR11466"/>
    </row>
    <row r="11467" spans="24:44">
      <c r="X11467"/>
      <c r="Y11467"/>
      <c r="Z11467"/>
      <c r="AA11467"/>
      <c r="AC11467"/>
      <c r="AR11467"/>
    </row>
    <row r="11468" spans="24:44">
      <c r="X11468"/>
      <c r="Y11468"/>
      <c r="Z11468"/>
      <c r="AA11468"/>
      <c r="AC11468"/>
      <c r="AR11468"/>
    </row>
    <row r="11469" spans="24:44">
      <c r="X11469"/>
      <c r="Y11469"/>
      <c r="Z11469"/>
      <c r="AA11469"/>
      <c r="AC11469"/>
      <c r="AR11469"/>
    </row>
    <row r="11470" spans="24:44">
      <c r="X11470"/>
      <c r="Y11470"/>
      <c r="Z11470"/>
      <c r="AA11470"/>
      <c r="AC11470"/>
      <c r="AR11470"/>
    </row>
    <row r="11471" spans="24:44">
      <c r="X11471"/>
      <c r="Y11471"/>
      <c r="Z11471"/>
      <c r="AA11471"/>
      <c r="AC11471"/>
      <c r="AR11471"/>
    </row>
    <row r="11472" spans="24:44">
      <c r="X11472"/>
      <c r="Y11472"/>
      <c r="Z11472"/>
      <c r="AA11472"/>
      <c r="AC11472"/>
      <c r="AR11472"/>
    </row>
    <row r="11473" spans="24:44">
      <c r="X11473"/>
      <c r="Y11473"/>
      <c r="Z11473"/>
      <c r="AA11473"/>
      <c r="AC11473"/>
      <c r="AR11473"/>
    </row>
    <row r="11474" spans="24:44">
      <c r="X11474"/>
      <c r="Y11474"/>
      <c r="Z11474"/>
      <c r="AA11474"/>
      <c r="AC11474"/>
      <c r="AR11474"/>
    </row>
    <row r="11475" spans="24:44">
      <c r="X11475"/>
      <c r="Y11475"/>
      <c r="Z11475"/>
      <c r="AA11475"/>
      <c r="AC11475"/>
      <c r="AR11475"/>
    </row>
    <row r="11476" spans="24:44">
      <c r="X11476"/>
      <c r="Y11476"/>
      <c r="Z11476"/>
      <c r="AA11476"/>
      <c r="AC11476"/>
      <c r="AR11476"/>
    </row>
    <row r="11477" spans="24:44">
      <c r="X11477"/>
      <c r="Y11477"/>
      <c r="Z11477"/>
      <c r="AA11477"/>
      <c r="AC11477"/>
      <c r="AR11477"/>
    </row>
    <row r="11478" spans="24:44">
      <c r="X11478"/>
      <c r="Y11478"/>
      <c r="Z11478"/>
      <c r="AA11478"/>
      <c r="AC11478"/>
      <c r="AR11478"/>
    </row>
    <row r="11479" spans="24:44">
      <c r="X11479"/>
      <c r="Y11479"/>
      <c r="Z11479"/>
      <c r="AA11479"/>
      <c r="AC11479"/>
      <c r="AR11479"/>
    </row>
    <row r="11480" spans="24:44">
      <c r="X11480"/>
      <c r="Y11480"/>
      <c r="Z11480"/>
      <c r="AA11480"/>
      <c r="AC11480"/>
      <c r="AR11480"/>
    </row>
    <row r="11481" spans="24:44">
      <c r="X11481"/>
      <c r="Y11481"/>
      <c r="Z11481"/>
      <c r="AA11481"/>
      <c r="AC11481"/>
      <c r="AR11481"/>
    </row>
    <row r="11482" spans="24:44">
      <c r="X11482"/>
      <c r="Y11482"/>
      <c r="Z11482"/>
      <c r="AA11482"/>
      <c r="AC11482"/>
      <c r="AR11482"/>
    </row>
    <row r="11483" spans="24:44">
      <c r="X11483"/>
      <c r="Y11483"/>
      <c r="Z11483"/>
      <c r="AA11483"/>
      <c r="AC11483"/>
      <c r="AR11483"/>
    </row>
    <row r="11484" spans="24:44">
      <c r="X11484"/>
      <c r="Y11484"/>
      <c r="Z11484"/>
      <c r="AA11484"/>
      <c r="AC11484"/>
      <c r="AR11484"/>
    </row>
    <row r="11485" spans="24:44">
      <c r="X11485"/>
      <c r="Y11485"/>
      <c r="Z11485"/>
      <c r="AA11485"/>
      <c r="AC11485"/>
      <c r="AR11485"/>
    </row>
    <row r="11486" spans="24:44">
      <c r="X11486"/>
      <c r="Y11486"/>
      <c r="Z11486"/>
      <c r="AA11486"/>
      <c r="AC11486"/>
      <c r="AR11486"/>
    </row>
    <row r="11487" spans="24:44">
      <c r="X11487"/>
      <c r="Y11487"/>
      <c r="Z11487"/>
      <c r="AA11487"/>
      <c r="AC11487"/>
      <c r="AR11487"/>
    </row>
    <row r="11488" spans="24:44">
      <c r="X11488"/>
      <c r="Y11488"/>
      <c r="Z11488"/>
      <c r="AA11488"/>
      <c r="AC11488"/>
      <c r="AR11488"/>
    </row>
    <row r="11489" spans="24:44">
      <c r="X11489"/>
      <c r="Y11489"/>
      <c r="Z11489"/>
      <c r="AA11489"/>
      <c r="AC11489"/>
      <c r="AR11489"/>
    </row>
    <row r="11490" spans="24:44">
      <c r="X11490"/>
      <c r="Y11490"/>
      <c r="Z11490"/>
      <c r="AA11490"/>
      <c r="AC11490"/>
      <c r="AR11490"/>
    </row>
    <row r="11491" spans="24:44">
      <c r="X11491"/>
      <c r="Y11491"/>
      <c r="Z11491"/>
      <c r="AA11491"/>
      <c r="AC11491"/>
      <c r="AR11491"/>
    </row>
    <row r="11492" spans="24:44">
      <c r="X11492"/>
      <c r="Y11492"/>
      <c r="Z11492"/>
      <c r="AA11492"/>
      <c r="AC11492"/>
      <c r="AR11492"/>
    </row>
    <row r="11493" spans="24:44">
      <c r="X11493"/>
      <c r="Y11493"/>
      <c r="Z11493"/>
      <c r="AA11493"/>
      <c r="AC11493"/>
      <c r="AR11493"/>
    </row>
    <row r="11494" spans="24:44">
      <c r="X11494"/>
      <c r="Y11494"/>
      <c r="Z11494"/>
      <c r="AA11494"/>
      <c r="AC11494"/>
      <c r="AR11494"/>
    </row>
    <row r="11495" spans="24:44">
      <c r="X11495"/>
      <c r="Y11495"/>
      <c r="Z11495"/>
      <c r="AA11495"/>
      <c r="AC11495"/>
      <c r="AR11495"/>
    </row>
    <row r="11496" spans="24:44">
      <c r="X11496"/>
      <c r="Y11496"/>
      <c r="Z11496"/>
      <c r="AA11496"/>
      <c r="AC11496"/>
      <c r="AR11496"/>
    </row>
    <row r="11497" spans="24:44">
      <c r="X11497"/>
      <c r="Y11497"/>
      <c r="Z11497"/>
      <c r="AA11497"/>
      <c r="AC11497"/>
      <c r="AR11497"/>
    </row>
    <row r="11498" spans="24:44">
      <c r="X11498"/>
      <c r="Y11498"/>
      <c r="Z11498"/>
      <c r="AA11498"/>
      <c r="AC11498"/>
      <c r="AR11498"/>
    </row>
    <row r="11499" spans="24:44">
      <c r="X11499"/>
      <c r="Y11499"/>
      <c r="Z11499"/>
      <c r="AA11499"/>
      <c r="AC11499"/>
      <c r="AR11499"/>
    </row>
    <row r="11500" spans="24:44">
      <c r="X11500"/>
      <c r="Y11500"/>
      <c r="Z11500"/>
      <c r="AA11500"/>
      <c r="AC11500"/>
      <c r="AR11500"/>
    </row>
    <row r="11501" spans="24:44">
      <c r="X11501"/>
      <c r="Y11501"/>
      <c r="Z11501"/>
      <c r="AA11501"/>
      <c r="AC11501"/>
      <c r="AR11501"/>
    </row>
    <row r="11502" spans="24:44">
      <c r="X11502"/>
      <c r="Y11502"/>
      <c r="Z11502"/>
      <c r="AA11502"/>
      <c r="AC11502"/>
      <c r="AR11502"/>
    </row>
    <row r="11503" spans="24:44">
      <c r="X11503"/>
      <c r="Y11503"/>
      <c r="Z11503"/>
      <c r="AA11503"/>
      <c r="AC11503"/>
      <c r="AR11503"/>
    </row>
    <row r="11504" spans="24:44">
      <c r="X11504"/>
      <c r="Y11504"/>
      <c r="Z11504"/>
      <c r="AA11504"/>
      <c r="AC11504"/>
      <c r="AR11504"/>
    </row>
    <row r="11505" spans="24:44">
      <c r="X11505"/>
      <c r="Y11505"/>
      <c r="Z11505"/>
      <c r="AA11505"/>
      <c r="AC11505"/>
      <c r="AR11505"/>
    </row>
    <row r="11506" spans="24:44">
      <c r="X11506"/>
      <c r="Y11506"/>
      <c r="Z11506"/>
      <c r="AA11506"/>
      <c r="AC11506"/>
      <c r="AR11506"/>
    </row>
    <row r="11507" spans="24:44">
      <c r="X11507"/>
      <c r="Y11507"/>
      <c r="Z11507"/>
      <c r="AA11507"/>
      <c r="AC11507"/>
      <c r="AR11507"/>
    </row>
    <row r="11508" spans="24:44">
      <c r="X11508"/>
      <c r="Y11508"/>
      <c r="Z11508"/>
      <c r="AA11508"/>
      <c r="AC11508"/>
      <c r="AR11508"/>
    </row>
    <row r="11509" spans="24:44">
      <c r="X11509"/>
      <c r="Y11509"/>
      <c r="Z11509"/>
      <c r="AA11509"/>
      <c r="AC11509"/>
      <c r="AR11509"/>
    </row>
    <row r="11510" spans="24:44">
      <c r="X11510"/>
      <c r="Y11510"/>
      <c r="Z11510"/>
      <c r="AA11510"/>
      <c r="AC11510"/>
      <c r="AR11510"/>
    </row>
    <row r="11511" spans="24:44">
      <c r="X11511"/>
      <c r="Y11511"/>
      <c r="Z11511"/>
      <c r="AA11511"/>
      <c r="AC11511"/>
      <c r="AR11511"/>
    </row>
    <row r="11512" spans="24:44">
      <c r="X11512"/>
      <c r="Y11512"/>
      <c r="Z11512"/>
      <c r="AA11512"/>
      <c r="AC11512"/>
      <c r="AR11512"/>
    </row>
    <row r="11513" spans="24:44">
      <c r="X11513"/>
      <c r="Y11513"/>
      <c r="Z11513"/>
      <c r="AA11513"/>
      <c r="AC11513"/>
      <c r="AR11513"/>
    </row>
    <row r="11514" spans="24:44">
      <c r="X11514"/>
      <c r="Y11514"/>
      <c r="Z11514"/>
      <c r="AA11514"/>
      <c r="AC11514"/>
      <c r="AR11514"/>
    </row>
    <row r="11515" spans="24:44">
      <c r="X11515"/>
      <c r="Y11515"/>
      <c r="Z11515"/>
      <c r="AA11515"/>
      <c r="AC11515"/>
      <c r="AR11515"/>
    </row>
    <row r="11516" spans="24:44">
      <c r="X11516"/>
      <c r="Y11516"/>
      <c r="Z11516"/>
      <c r="AA11516"/>
      <c r="AC11516"/>
      <c r="AR11516"/>
    </row>
    <row r="11517" spans="24:44">
      <c r="X11517"/>
      <c r="Y11517"/>
      <c r="Z11517"/>
      <c r="AA11517"/>
      <c r="AC11517"/>
      <c r="AR11517"/>
    </row>
    <row r="11518" spans="24:44">
      <c r="X11518"/>
      <c r="Y11518"/>
      <c r="Z11518"/>
      <c r="AA11518"/>
      <c r="AC11518"/>
      <c r="AR11518"/>
    </row>
    <row r="11519" spans="24:44">
      <c r="X11519"/>
      <c r="Y11519"/>
      <c r="Z11519"/>
      <c r="AA11519"/>
      <c r="AC11519"/>
      <c r="AR11519"/>
    </row>
    <row r="11520" spans="24:44">
      <c r="X11520"/>
      <c r="Y11520"/>
      <c r="Z11520"/>
      <c r="AA11520"/>
      <c r="AC11520"/>
      <c r="AR11520"/>
    </row>
    <row r="11521" spans="24:44">
      <c r="X11521"/>
      <c r="Y11521"/>
      <c r="Z11521"/>
      <c r="AA11521"/>
      <c r="AC11521"/>
      <c r="AR11521"/>
    </row>
    <row r="11522" spans="24:44">
      <c r="X11522"/>
      <c r="Y11522"/>
      <c r="Z11522"/>
      <c r="AA11522"/>
      <c r="AC11522"/>
      <c r="AR11522"/>
    </row>
    <row r="11523" spans="24:44">
      <c r="X11523"/>
      <c r="Y11523"/>
      <c r="Z11523"/>
      <c r="AA11523"/>
      <c r="AC11523"/>
      <c r="AR11523"/>
    </row>
    <row r="11524" spans="24:44">
      <c r="X11524"/>
      <c r="Y11524"/>
      <c r="Z11524"/>
      <c r="AA11524"/>
      <c r="AC11524"/>
      <c r="AR11524"/>
    </row>
    <row r="11525" spans="24:44">
      <c r="X11525"/>
      <c r="Y11525"/>
      <c r="Z11525"/>
      <c r="AA11525"/>
      <c r="AC11525"/>
      <c r="AR11525"/>
    </row>
    <row r="11526" spans="24:44">
      <c r="X11526"/>
      <c r="Y11526"/>
      <c r="Z11526"/>
      <c r="AA11526"/>
      <c r="AC11526"/>
      <c r="AR11526"/>
    </row>
    <row r="11527" spans="24:44">
      <c r="X11527"/>
      <c r="Y11527"/>
      <c r="Z11527"/>
      <c r="AA11527"/>
      <c r="AC11527"/>
      <c r="AR11527"/>
    </row>
    <row r="11528" spans="24:44">
      <c r="X11528"/>
      <c r="Y11528"/>
      <c r="Z11528"/>
      <c r="AA11528"/>
      <c r="AC11528"/>
      <c r="AR11528"/>
    </row>
    <row r="11529" spans="24:44">
      <c r="X11529"/>
      <c r="Y11529"/>
      <c r="Z11529"/>
      <c r="AA11529"/>
      <c r="AC11529"/>
      <c r="AR11529"/>
    </row>
    <row r="11530" spans="24:44">
      <c r="X11530"/>
      <c r="Y11530"/>
      <c r="Z11530"/>
      <c r="AA11530"/>
      <c r="AC11530"/>
      <c r="AR11530"/>
    </row>
    <row r="11531" spans="24:44">
      <c r="X11531"/>
      <c r="Y11531"/>
      <c r="Z11531"/>
      <c r="AA11531"/>
      <c r="AC11531"/>
      <c r="AR11531"/>
    </row>
    <row r="11532" spans="24:44">
      <c r="X11532"/>
      <c r="Y11532"/>
      <c r="Z11532"/>
      <c r="AA11532"/>
      <c r="AC11532"/>
      <c r="AR11532"/>
    </row>
    <row r="11533" spans="24:44">
      <c r="X11533"/>
      <c r="Y11533"/>
      <c r="Z11533"/>
      <c r="AA11533"/>
      <c r="AC11533"/>
      <c r="AR11533"/>
    </row>
    <row r="11534" spans="24:44">
      <c r="X11534"/>
      <c r="Y11534"/>
      <c r="Z11534"/>
      <c r="AA11534"/>
      <c r="AC11534"/>
      <c r="AR11534"/>
    </row>
    <row r="11535" spans="24:44">
      <c r="X11535"/>
      <c r="Y11535"/>
      <c r="Z11535"/>
      <c r="AA11535"/>
      <c r="AC11535"/>
      <c r="AR11535"/>
    </row>
    <row r="11536" spans="24:44">
      <c r="X11536"/>
      <c r="Y11536"/>
      <c r="Z11536"/>
      <c r="AA11536"/>
      <c r="AC11536"/>
      <c r="AR11536"/>
    </row>
    <row r="11537" spans="24:44">
      <c r="X11537"/>
      <c r="Y11537"/>
      <c r="Z11537"/>
      <c r="AA11537"/>
      <c r="AC11537"/>
      <c r="AR11537"/>
    </row>
    <row r="11538" spans="24:44">
      <c r="X11538"/>
      <c r="Y11538"/>
      <c r="Z11538"/>
      <c r="AA11538"/>
      <c r="AC11538"/>
      <c r="AR11538"/>
    </row>
    <row r="11539" spans="24:44">
      <c r="X11539"/>
      <c r="Y11539"/>
      <c r="Z11539"/>
      <c r="AA11539"/>
      <c r="AC11539"/>
      <c r="AR11539"/>
    </row>
    <row r="11540" spans="24:44">
      <c r="X11540"/>
      <c r="Y11540"/>
      <c r="Z11540"/>
      <c r="AA11540"/>
      <c r="AC11540"/>
      <c r="AR11540"/>
    </row>
    <row r="11541" spans="24:44">
      <c r="X11541"/>
      <c r="Y11541"/>
      <c r="Z11541"/>
      <c r="AA11541"/>
      <c r="AC11541"/>
      <c r="AR11541"/>
    </row>
    <row r="11542" spans="24:44">
      <c r="X11542"/>
      <c r="Y11542"/>
      <c r="Z11542"/>
      <c r="AA11542"/>
      <c r="AC11542"/>
      <c r="AR11542"/>
    </row>
    <row r="11543" spans="24:44">
      <c r="X11543"/>
      <c r="Y11543"/>
      <c r="Z11543"/>
      <c r="AA11543"/>
      <c r="AC11543"/>
      <c r="AR11543"/>
    </row>
    <row r="11544" spans="24:44">
      <c r="X11544"/>
      <c r="Y11544"/>
      <c r="Z11544"/>
      <c r="AA11544"/>
      <c r="AC11544"/>
      <c r="AR11544"/>
    </row>
    <row r="11545" spans="24:44">
      <c r="X11545"/>
      <c r="Y11545"/>
      <c r="Z11545"/>
      <c r="AA11545"/>
      <c r="AC11545"/>
      <c r="AR11545"/>
    </row>
    <row r="11546" spans="24:44">
      <c r="X11546"/>
      <c r="Y11546"/>
      <c r="Z11546"/>
      <c r="AA11546"/>
      <c r="AC11546"/>
      <c r="AR11546"/>
    </row>
    <row r="11547" spans="24:44">
      <c r="X11547"/>
      <c r="Y11547"/>
      <c r="Z11547"/>
      <c r="AA11547"/>
      <c r="AC11547"/>
      <c r="AR11547"/>
    </row>
    <row r="11548" spans="24:44">
      <c r="X11548"/>
      <c r="Y11548"/>
      <c r="Z11548"/>
      <c r="AA11548"/>
      <c r="AC11548"/>
      <c r="AR11548"/>
    </row>
    <row r="11549" spans="24:44">
      <c r="X11549"/>
      <c r="Y11549"/>
      <c r="Z11549"/>
      <c r="AA11549"/>
      <c r="AC11549"/>
      <c r="AR11549"/>
    </row>
    <row r="11550" spans="24:44">
      <c r="X11550"/>
      <c r="Y11550"/>
      <c r="Z11550"/>
      <c r="AA11550"/>
      <c r="AC11550"/>
      <c r="AR11550"/>
    </row>
    <row r="11551" spans="24:44">
      <c r="X11551"/>
      <c r="Y11551"/>
      <c r="Z11551"/>
      <c r="AA11551"/>
      <c r="AC11551"/>
      <c r="AR11551"/>
    </row>
    <row r="11552" spans="24:44">
      <c r="X11552"/>
      <c r="Y11552"/>
      <c r="Z11552"/>
      <c r="AA11552"/>
      <c r="AC11552"/>
      <c r="AR11552"/>
    </row>
    <row r="11553" spans="24:44">
      <c r="X11553"/>
      <c r="Y11553"/>
      <c r="Z11553"/>
      <c r="AA11553"/>
      <c r="AC11553"/>
      <c r="AR11553"/>
    </row>
    <row r="11554" spans="24:44">
      <c r="X11554"/>
      <c r="Y11554"/>
      <c r="Z11554"/>
      <c r="AA11554"/>
      <c r="AC11554"/>
      <c r="AR11554"/>
    </row>
    <row r="11555" spans="24:44">
      <c r="X11555"/>
      <c r="Y11555"/>
      <c r="Z11555"/>
      <c r="AA11555"/>
      <c r="AC11555"/>
      <c r="AR11555"/>
    </row>
    <row r="11556" spans="24:44">
      <c r="X11556"/>
      <c r="Y11556"/>
      <c r="Z11556"/>
      <c r="AA11556"/>
      <c r="AC11556"/>
      <c r="AR11556"/>
    </row>
    <row r="11557" spans="24:44">
      <c r="X11557"/>
      <c r="Y11557"/>
      <c r="Z11557"/>
      <c r="AA11557"/>
      <c r="AC11557"/>
      <c r="AR11557"/>
    </row>
    <row r="11558" spans="24:44">
      <c r="X11558"/>
      <c r="Y11558"/>
      <c r="Z11558"/>
      <c r="AA11558"/>
      <c r="AC11558"/>
      <c r="AR11558"/>
    </row>
    <row r="11559" spans="24:44">
      <c r="X11559"/>
      <c r="Y11559"/>
      <c r="Z11559"/>
      <c r="AA11559"/>
      <c r="AC11559"/>
      <c r="AR11559"/>
    </row>
    <row r="11560" spans="24:44">
      <c r="X11560"/>
      <c r="Y11560"/>
      <c r="Z11560"/>
      <c r="AA11560"/>
      <c r="AC11560"/>
      <c r="AR11560"/>
    </row>
    <row r="11561" spans="24:44">
      <c r="X11561"/>
      <c r="Y11561"/>
      <c r="Z11561"/>
      <c r="AA11561"/>
      <c r="AC11561"/>
      <c r="AR11561"/>
    </row>
    <row r="11562" spans="24:44">
      <c r="X11562"/>
      <c r="Y11562"/>
      <c r="Z11562"/>
      <c r="AA11562"/>
      <c r="AC11562"/>
      <c r="AR11562"/>
    </row>
    <row r="11563" spans="24:44">
      <c r="X11563"/>
      <c r="Y11563"/>
      <c r="Z11563"/>
      <c r="AA11563"/>
      <c r="AC11563"/>
      <c r="AR11563"/>
    </row>
    <row r="11564" spans="24:44">
      <c r="X11564"/>
      <c r="Y11564"/>
      <c r="Z11564"/>
      <c r="AA11564"/>
      <c r="AC11564"/>
      <c r="AR11564"/>
    </row>
    <row r="11565" spans="24:44">
      <c r="X11565"/>
      <c r="Y11565"/>
      <c r="Z11565"/>
      <c r="AA11565"/>
      <c r="AC11565"/>
      <c r="AR11565"/>
    </row>
    <row r="11566" spans="24:44">
      <c r="X11566"/>
      <c r="Y11566"/>
      <c r="Z11566"/>
      <c r="AA11566"/>
      <c r="AC11566"/>
      <c r="AR11566"/>
    </row>
    <row r="11567" spans="24:44">
      <c r="X11567"/>
      <c r="Y11567"/>
      <c r="Z11567"/>
      <c r="AA11567"/>
      <c r="AC11567"/>
      <c r="AR11567"/>
    </row>
    <row r="11568" spans="24:44">
      <c r="X11568"/>
      <c r="Y11568"/>
      <c r="Z11568"/>
      <c r="AA11568"/>
      <c r="AC11568"/>
      <c r="AR11568"/>
    </row>
    <row r="11569" spans="24:44">
      <c r="X11569"/>
      <c r="Y11569"/>
      <c r="Z11569"/>
      <c r="AA11569"/>
      <c r="AC11569"/>
      <c r="AR11569"/>
    </row>
    <row r="11570" spans="24:44">
      <c r="X11570"/>
      <c r="Y11570"/>
      <c r="Z11570"/>
      <c r="AA11570"/>
      <c r="AC11570"/>
      <c r="AR11570"/>
    </row>
    <row r="11571" spans="24:44">
      <c r="X11571"/>
      <c r="Y11571"/>
      <c r="Z11571"/>
      <c r="AA11571"/>
      <c r="AC11571"/>
      <c r="AR11571"/>
    </row>
    <row r="11572" spans="24:44">
      <c r="X11572"/>
      <c r="Y11572"/>
      <c r="Z11572"/>
      <c r="AA11572"/>
      <c r="AC11572"/>
      <c r="AR11572"/>
    </row>
    <row r="11573" spans="24:44">
      <c r="X11573"/>
      <c r="Y11573"/>
      <c r="Z11573"/>
      <c r="AA11573"/>
      <c r="AC11573"/>
      <c r="AR11573"/>
    </row>
    <row r="11574" spans="24:44">
      <c r="X11574"/>
      <c r="Y11574"/>
      <c r="Z11574"/>
      <c r="AA11574"/>
      <c r="AC11574"/>
      <c r="AR11574"/>
    </row>
    <row r="11575" spans="24:44">
      <c r="X11575"/>
      <c r="Y11575"/>
      <c r="Z11575"/>
      <c r="AA11575"/>
      <c r="AC11575"/>
      <c r="AR11575"/>
    </row>
    <row r="11576" spans="24:44">
      <c r="X11576"/>
      <c r="Y11576"/>
      <c r="Z11576"/>
      <c r="AA11576"/>
      <c r="AC11576"/>
      <c r="AR11576"/>
    </row>
    <row r="11577" spans="24:44">
      <c r="X11577"/>
      <c r="Y11577"/>
      <c r="Z11577"/>
      <c r="AA11577"/>
      <c r="AC11577"/>
      <c r="AR11577"/>
    </row>
    <row r="11578" spans="24:44">
      <c r="X11578"/>
      <c r="Y11578"/>
      <c r="Z11578"/>
      <c r="AA11578"/>
      <c r="AC11578"/>
      <c r="AR11578"/>
    </row>
    <row r="11579" spans="24:44">
      <c r="X11579"/>
      <c r="Y11579"/>
      <c r="Z11579"/>
      <c r="AA11579"/>
      <c r="AC11579"/>
      <c r="AR11579"/>
    </row>
    <row r="11580" spans="24:44">
      <c r="X11580"/>
      <c r="Y11580"/>
      <c r="Z11580"/>
      <c r="AA11580"/>
      <c r="AC11580"/>
      <c r="AR11580"/>
    </row>
    <row r="11581" spans="24:44">
      <c r="X11581"/>
      <c r="Y11581"/>
      <c r="Z11581"/>
      <c r="AA11581"/>
      <c r="AC11581"/>
      <c r="AR11581"/>
    </row>
    <row r="11582" spans="24:44">
      <c r="X11582"/>
      <c r="Y11582"/>
      <c r="Z11582"/>
      <c r="AA11582"/>
      <c r="AC11582"/>
      <c r="AR11582"/>
    </row>
    <row r="11583" spans="24:44">
      <c r="X11583"/>
      <c r="Y11583"/>
      <c r="Z11583"/>
      <c r="AA11583"/>
      <c r="AC11583"/>
      <c r="AR11583"/>
    </row>
    <row r="11584" spans="24:44">
      <c r="X11584"/>
      <c r="Y11584"/>
      <c r="Z11584"/>
      <c r="AA11584"/>
      <c r="AC11584"/>
      <c r="AR11584"/>
    </row>
    <row r="11585" spans="24:44">
      <c r="X11585"/>
      <c r="Y11585"/>
      <c r="Z11585"/>
      <c r="AA11585"/>
      <c r="AC11585"/>
      <c r="AR11585"/>
    </row>
    <row r="11586" spans="24:44">
      <c r="X11586"/>
      <c r="Y11586"/>
      <c r="Z11586"/>
      <c r="AA11586"/>
      <c r="AC11586"/>
      <c r="AR11586"/>
    </row>
    <row r="11587" spans="24:44">
      <c r="X11587"/>
      <c r="Y11587"/>
      <c r="Z11587"/>
      <c r="AA11587"/>
      <c r="AC11587"/>
      <c r="AR11587"/>
    </row>
    <row r="11588" spans="24:44">
      <c r="X11588"/>
      <c r="Y11588"/>
      <c r="Z11588"/>
      <c r="AA11588"/>
      <c r="AC11588"/>
      <c r="AR11588"/>
    </row>
    <row r="11589" spans="24:44">
      <c r="X11589"/>
      <c r="Y11589"/>
      <c r="Z11589"/>
      <c r="AA11589"/>
      <c r="AC11589"/>
      <c r="AR11589"/>
    </row>
    <row r="11590" spans="24:44">
      <c r="X11590"/>
      <c r="Y11590"/>
      <c r="Z11590"/>
      <c r="AA11590"/>
      <c r="AC11590"/>
      <c r="AR11590"/>
    </row>
    <row r="11591" spans="24:44">
      <c r="X11591"/>
      <c r="Y11591"/>
      <c r="Z11591"/>
      <c r="AA11591"/>
      <c r="AC11591"/>
      <c r="AR11591"/>
    </row>
    <row r="11592" spans="24:44">
      <c r="X11592"/>
      <c r="Y11592"/>
      <c r="Z11592"/>
      <c r="AA11592"/>
      <c r="AC11592"/>
      <c r="AR11592"/>
    </row>
    <row r="11593" spans="24:44">
      <c r="X11593"/>
      <c r="Y11593"/>
      <c r="Z11593"/>
      <c r="AA11593"/>
      <c r="AC11593"/>
      <c r="AR11593"/>
    </row>
    <row r="11594" spans="24:44">
      <c r="X11594"/>
      <c r="Y11594"/>
      <c r="Z11594"/>
      <c r="AA11594"/>
      <c r="AC11594"/>
      <c r="AR11594"/>
    </row>
    <row r="11595" spans="24:44">
      <c r="X11595"/>
      <c r="Y11595"/>
      <c r="Z11595"/>
      <c r="AA11595"/>
      <c r="AC11595"/>
      <c r="AR11595"/>
    </row>
    <row r="11596" spans="24:44">
      <c r="X11596"/>
      <c r="Y11596"/>
      <c r="Z11596"/>
      <c r="AA11596"/>
      <c r="AC11596"/>
      <c r="AR11596"/>
    </row>
    <row r="11597" spans="24:44">
      <c r="X11597"/>
      <c r="Y11597"/>
      <c r="Z11597"/>
      <c r="AA11597"/>
      <c r="AC11597"/>
      <c r="AR11597"/>
    </row>
    <row r="11598" spans="24:44">
      <c r="X11598"/>
      <c r="Y11598"/>
      <c r="Z11598"/>
      <c r="AA11598"/>
      <c r="AC11598"/>
      <c r="AR11598"/>
    </row>
    <row r="11599" spans="24:44">
      <c r="X11599"/>
      <c r="Y11599"/>
      <c r="Z11599"/>
      <c r="AA11599"/>
      <c r="AC11599"/>
      <c r="AR11599"/>
    </row>
    <row r="11600" spans="24:44">
      <c r="X11600"/>
      <c r="Y11600"/>
      <c r="Z11600"/>
      <c r="AA11600"/>
      <c r="AC11600"/>
      <c r="AR11600"/>
    </row>
    <row r="11601" spans="24:44">
      <c r="X11601"/>
      <c r="Y11601"/>
      <c r="Z11601"/>
      <c r="AA11601"/>
      <c r="AC11601"/>
      <c r="AR11601"/>
    </row>
    <row r="11602" spans="24:44">
      <c r="X11602"/>
      <c r="Y11602"/>
      <c r="Z11602"/>
      <c r="AA11602"/>
      <c r="AC11602"/>
      <c r="AR11602"/>
    </row>
    <row r="11603" spans="24:44">
      <c r="X11603"/>
      <c r="Y11603"/>
      <c r="Z11603"/>
      <c r="AA11603"/>
      <c r="AC11603"/>
      <c r="AR11603"/>
    </row>
    <row r="11604" spans="24:44">
      <c r="X11604"/>
      <c r="Y11604"/>
      <c r="Z11604"/>
      <c r="AA11604"/>
      <c r="AC11604"/>
      <c r="AR11604"/>
    </row>
    <row r="11605" spans="24:44">
      <c r="X11605"/>
      <c r="Y11605"/>
      <c r="Z11605"/>
      <c r="AA11605"/>
      <c r="AC11605"/>
      <c r="AR11605"/>
    </row>
    <row r="11606" spans="24:44">
      <c r="X11606"/>
      <c r="Y11606"/>
      <c r="Z11606"/>
      <c r="AA11606"/>
      <c r="AC11606"/>
      <c r="AR11606"/>
    </row>
    <row r="11607" spans="24:44">
      <c r="X11607"/>
      <c r="Y11607"/>
      <c r="Z11607"/>
      <c r="AA11607"/>
      <c r="AC11607"/>
      <c r="AR11607"/>
    </row>
    <row r="11608" spans="24:44">
      <c r="X11608"/>
      <c r="Y11608"/>
      <c r="Z11608"/>
      <c r="AA11608"/>
      <c r="AC11608"/>
      <c r="AR11608"/>
    </row>
    <row r="11609" spans="24:44">
      <c r="X11609"/>
      <c r="Y11609"/>
      <c r="Z11609"/>
      <c r="AA11609"/>
      <c r="AC11609"/>
      <c r="AR11609"/>
    </row>
    <row r="11610" spans="24:44">
      <c r="X11610"/>
      <c r="Y11610"/>
      <c r="Z11610"/>
      <c r="AA11610"/>
      <c r="AC11610"/>
      <c r="AR11610"/>
    </row>
    <row r="11611" spans="24:44">
      <c r="X11611"/>
      <c r="Y11611"/>
      <c r="Z11611"/>
      <c r="AA11611"/>
      <c r="AC11611"/>
      <c r="AR11611"/>
    </row>
    <row r="11612" spans="24:44">
      <c r="X11612"/>
      <c r="Y11612"/>
      <c r="Z11612"/>
      <c r="AA11612"/>
      <c r="AC11612"/>
      <c r="AR11612"/>
    </row>
    <row r="11613" spans="24:44">
      <c r="X11613"/>
      <c r="Y11613"/>
      <c r="Z11613"/>
      <c r="AA11613"/>
      <c r="AC11613"/>
      <c r="AR11613"/>
    </row>
    <row r="11614" spans="24:44">
      <c r="X11614"/>
      <c r="Y11614"/>
      <c r="Z11614"/>
      <c r="AA11614"/>
      <c r="AC11614"/>
      <c r="AR11614"/>
    </row>
    <row r="11615" spans="24:44">
      <c r="X11615"/>
      <c r="Y11615"/>
      <c r="Z11615"/>
      <c r="AA11615"/>
      <c r="AC11615"/>
      <c r="AR11615"/>
    </row>
    <row r="11616" spans="24:44">
      <c r="X11616"/>
      <c r="Y11616"/>
      <c r="Z11616"/>
      <c r="AA11616"/>
      <c r="AC11616"/>
      <c r="AR11616"/>
    </row>
    <row r="11617" spans="24:44">
      <c r="X11617"/>
      <c r="Y11617"/>
      <c r="Z11617"/>
      <c r="AA11617"/>
      <c r="AC11617"/>
      <c r="AR11617"/>
    </row>
    <row r="11618" spans="24:44">
      <c r="X11618"/>
      <c r="Y11618"/>
      <c r="Z11618"/>
      <c r="AA11618"/>
      <c r="AC11618"/>
      <c r="AR11618"/>
    </row>
    <row r="11619" spans="24:44">
      <c r="X11619"/>
      <c r="Y11619"/>
      <c r="Z11619"/>
      <c r="AA11619"/>
      <c r="AC11619"/>
      <c r="AR11619"/>
    </row>
    <row r="11620" spans="24:44">
      <c r="X11620"/>
      <c r="Y11620"/>
      <c r="Z11620"/>
      <c r="AA11620"/>
      <c r="AC11620"/>
      <c r="AR11620"/>
    </row>
    <row r="11621" spans="24:44">
      <c r="X11621"/>
      <c r="Y11621"/>
      <c r="Z11621"/>
      <c r="AA11621"/>
      <c r="AC11621"/>
      <c r="AR11621"/>
    </row>
    <row r="11622" spans="24:44">
      <c r="X11622"/>
      <c r="Y11622"/>
      <c r="Z11622"/>
      <c r="AA11622"/>
      <c r="AC11622"/>
      <c r="AR11622"/>
    </row>
    <row r="11623" spans="24:44">
      <c r="X11623"/>
      <c r="Y11623"/>
      <c r="Z11623"/>
      <c r="AA11623"/>
      <c r="AC11623"/>
      <c r="AR11623"/>
    </row>
    <row r="11624" spans="24:44">
      <c r="X11624"/>
      <c r="Y11624"/>
      <c r="Z11624"/>
      <c r="AA11624"/>
      <c r="AC11624"/>
      <c r="AR11624"/>
    </row>
    <row r="11625" spans="24:44">
      <c r="X11625"/>
      <c r="Y11625"/>
      <c r="Z11625"/>
      <c r="AA11625"/>
      <c r="AC11625"/>
      <c r="AR11625"/>
    </row>
    <row r="11626" spans="24:44">
      <c r="X11626"/>
      <c r="Y11626"/>
      <c r="Z11626"/>
      <c r="AA11626"/>
      <c r="AC11626"/>
      <c r="AR11626"/>
    </row>
    <row r="11627" spans="24:44">
      <c r="X11627"/>
      <c r="Y11627"/>
      <c r="Z11627"/>
      <c r="AA11627"/>
      <c r="AC11627"/>
      <c r="AR11627"/>
    </row>
    <row r="11628" spans="24:44">
      <c r="X11628"/>
      <c r="Y11628"/>
      <c r="Z11628"/>
      <c r="AA11628"/>
      <c r="AC11628"/>
      <c r="AR11628"/>
    </row>
    <row r="11629" spans="24:44">
      <c r="X11629"/>
      <c r="Y11629"/>
      <c r="Z11629"/>
      <c r="AA11629"/>
      <c r="AC11629"/>
      <c r="AR11629"/>
    </row>
    <row r="11630" spans="24:44">
      <c r="X11630"/>
      <c r="Y11630"/>
      <c r="Z11630"/>
      <c r="AA11630"/>
      <c r="AC11630"/>
      <c r="AR11630"/>
    </row>
    <row r="11631" spans="24:44">
      <c r="X11631"/>
      <c r="Y11631"/>
      <c r="Z11631"/>
      <c r="AA11631"/>
      <c r="AC11631"/>
      <c r="AR11631"/>
    </row>
    <row r="11632" spans="24:44">
      <c r="X11632"/>
      <c r="Y11632"/>
      <c r="Z11632"/>
      <c r="AA11632"/>
      <c r="AC11632"/>
      <c r="AR11632"/>
    </row>
    <row r="11633" spans="24:44">
      <c r="X11633"/>
      <c r="Y11633"/>
      <c r="Z11633"/>
      <c r="AA11633"/>
      <c r="AC11633"/>
      <c r="AR11633"/>
    </row>
    <row r="11634" spans="24:44">
      <c r="X11634"/>
      <c r="Y11634"/>
      <c r="Z11634"/>
      <c r="AA11634"/>
      <c r="AC11634"/>
      <c r="AR11634"/>
    </row>
    <row r="11635" spans="24:44">
      <c r="X11635"/>
      <c r="Y11635"/>
      <c r="Z11635"/>
      <c r="AA11635"/>
      <c r="AC11635"/>
      <c r="AR11635"/>
    </row>
    <row r="11636" spans="24:44">
      <c r="X11636"/>
      <c r="Y11636"/>
      <c r="Z11636"/>
      <c r="AA11636"/>
      <c r="AC11636"/>
      <c r="AR11636"/>
    </row>
    <row r="11637" spans="24:44">
      <c r="X11637"/>
      <c r="Y11637"/>
      <c r="Z11637"/>
      <c r="AA11637"/>
      <c r="AC11637"/>
      <c r="AR11637"/>
    </row>
    <row r="11638" spans="24:44">
      <c r="X11638"/>
      <c r="Y11638"/>
      <c r="Z11638"/>
      <c r="AA11638"/>
      <c r="AC11638"/>
      <c r="AR11638"/>
    </row>
    <row r="11639" spans="24:44">
      <c r="X11639"/>
      <c r="Y11639"/>
      <c r="Z11639"/>
      <c r="AA11639"/>
      <c r="AC11639"/>
      <c r="AR11639"/>
    </row>
    <row r="11640" spans="24:44">
      <c r="X11640"/>
      <c r="Y11640"/>
      <c r="Z11640"/>
      <c r="AA11640"/>
      <c r="AC11640"/>
      <c r="AR11640"/>
    </row>
    <row r="11641" spans="24:44">
      <c r="X11641"/>
      <c r="Y11641"/>
      <c r="Z11641"/>
      <c r="AA11641"/>
      <c r="AC11641"/>
      <c r="AR11641"/>
    </row>
    <row r="11642" spans="24:44">
      <c r="X11642"/>
      <c r="Y11642"/>
      <c r="Z11642"/>
      <c r="AA11642"/>
      <c r="AC11642"/>
      <c r="AR11642"/>
    </row>
    <row r="11643" spans="24:44">
      <c r="X11643"/>
      <c r="Y11643"/>
      <c r="Z11643"/>
      <c r="AA11643"/>
      <c r="AC11643"/>
      <c r="AR11643"/>
    </row>
    <row r="11644" spans="24:44">
      <c r="X11644"/>
      <c r="Y11644"/>
      <c r="Z11644"/>
      <c r="AA11644"/>
      <c r="AC11644"/>
      <c r="AR11644"/>
    </row>
    <row r="11645" spans="24:44">
      <c r="X11645"/>
      <c r="Y11645"/>
      <c r="Z11645"/>
      <c r="AA11645"/>
      <c r="AC11645"/>
      <c r="AR11645"/>
    </row>
    <row r="11646" spans="24:44">
      <c r="X11646"/>
      <c r="Y11646"/>
      <c r="Z11646"/>
      <c r="AA11646"/>
      <c r="AC11646"/>
      <c r="AR11646"/>
    </row>
    <row r="11647" spans="24:44">
      <c r="X11647"/>
      <c r="Y11647"/>
      <c r="Z11647"/>
      <c r="AA11647"/>
      <c r="AC11647"/>
      <c r="AR11647"/>
    </row>
    <row r="11648" spans="24:44">
      <c r="X11648"/>
      <c r="Y11648"/>
      <c r="Z11648"/>
      <c r="AA11648"/>
      <c r="AC11648"/>
      <c r="AR11648"/>
    </row>
    <row r="11649" spans="24:44">
      <c r="X11649"/>
      <c r="Y11649"/>
      <c r="Z11649"/>
      <c r="AA11649"/>
      <c r="AC11649"/>
      <c r="AR11649"/>
    </row>
    <row r="11650" spans="24:44">
      <c r="X11650"/>
      <c r="Y11650"/>
      <c r="Z11650"/>
      <c r="AA11650"/>
      <c r="AC11650"/>
      <c r="AR11650"/>
    </row>
    <row r="11651" spans="24:44">
      <c r="X11651"/>
      <c r="Y11651"/>
      <c r="Z11651"/>
      <c r="AA11651"/>
      <c r="AC11651"/>
      <c r="AR11651"/>
    </row>
    <row r="11652" spans="24:44">
      <c r="X11652"/>
      <c r="Y11652"/>
      <c r="Z11652"/>
      <c r="AA11652"/>
      <c r="AC11652"/>
      <c r="AR11652"/>
    </row>
    <row r="11653" spans="24:44">
      <c r="X11653"/>
      <c r="Y11653"/>
      <c r="Z11653"/>
      <c r="AA11653"/>
      <c r="AC11653"/>
      <c r="AR11653"/>
    </row>
    <row r="11654" spans="24:44">
      <c r="X11654"/>
      <c r="Y11654"/>
      <c r="Z11654"/>
      <c r="AA11654"/>
      <c r="AC11654"/>
      <c r="AR11654"/>
    </row>
    <row r="11655" spans="24:44">
      <c r="X11655"/>
      <c r="Y11655"/>
      <c r="Z11655"/>
      <c r="AA11655"/>
      <c r="AC11655"/>
      <c r="AR11655"/>
    </row>
    <row r="11656" spans="24:44">
      <c r="X11656"/>
      <c r="Y11656"/>
      <c r="Z11656"/>
      <c r="AA11656"/>
      <c r="AC11656"/>
      <c r="AR11656"/>
    </row>
    <row r="11657" spans="24:44">
      <c r="X11657"/>
      <c r="Y11657"/>
      <c r="Z11657"/>
      <c r="AA11657"/>
      <c r="AC11657"/>
      <c r="AR11657"/>
    </row>
    <row r="11658" spans="24:44">
      <c r="X11658"/>
      <c r="Y11658"/>
      <c r="Z11658"/>
      <c r="AA11658"/>
      <c r="AC11658"/>
      <c r="AR11658"/>
    </row>
    <row r="11659" spans="24:44">
      <c r="X11659"/>
      <c r="Y11659"/>
      <c r="Z11659"/>
      <c r="AA11659"/>
      <c r="AC11659"/>
      <c r="AR11659"/>
    </row>
    <row r="11660" spans="24:44">
      <c r="X11660"/>
      <c r="Y11660"/>
      <c r="Z11660"/>
      <c r="AA11660"/>
      <c r="AC11660"/>
      <c r="AR11660"/>
    </row>
    <row r="11661" spans="24:44">
      <c r="X11661"/>
      <c r="Y11661"/>
      <c r="Z11661"/>
      <c r="AA11661"/>
      <c r="AC11661"/>
      <c r="AR11661"/>
    </row>
    <row r="11662" spans="24:44">
      <c r="X11662"/>
      <c r="Y11662"/>
      <c r="Z11662"/>
      <c r="AA11662"/>
      <c r="AC11662"/>
      <c r="AR11662"/>
    </row>
    <row r="11663" spans="24:44">
      <c r="X11663"/>
      <c r="Y11663"/>
      <c r="Z11663"/>
      <c r="AA11663"/>
      <c r="AC11663"/>
      <c r="AR11663"/>
    </row>
    <row r="11664" spans="24:44">
      <c r="X11664"/>
      <c r="Y11664"/>
      <c r="Z11664"/>
      <c r="AA11664"/>
      <c r="AC11664"/>
      <c r="AR11664"/>
    </row>
    <row r="11665" spans="24:44">
      <c r="X11665"/>
      <c r="Y11665"/>
      <c r="Z11665"/>
      <c r="AA11665"/>
      <c r="AC11665"/>
      <c r="AR11665"/>
    </row>
    <row r="11666" spans="24:44">
      <c r="X11666"/>
      <c r="Y11666"/>
      <c r="Z11666"/>
      <c r="AA11666"/>
      <c r="AC11666"/>
      <c r="AR11666"/>
    </row>
    <row r="11667" spans="24:44">
      <c r="X11667"/>
      <c r="Y11667"/>
      <c r="Z11667"/>
      <c r="AA11667"/>
      <c r="AC11667"/>
      <c r="AR11667"/>
    </row>
    <row r="11668" spans="24:44">
      <c r="X11668"/>
      <c r="Y11668"/>
      <c r="Z11668"/>
      <c r="AA11668"/>
      <c r="AC11668"/>
      <c r="AR11668"/>
    </row>
    <row r="11669" spans="24:44">
      <c r="X11669"/>
      <c r="Y11669"/>
      <c r="Z11669"/>
      <c r="AA11669"/>
      <c r="AC11669"/>
      <c r="AR11669"/>
    </row>
    <row r="11670" spans="24:44">
      <c r="X11670"/>
      <c r="Y11670"/>
      <c r="Z11670"/>
      <c r="AA11670"/>
      <c r="AC11670"/>
      <c r="AR11670"/>
    </row>
    <row r="11671" spans="24:44">
      <c r="X11671"/>
      <c r="Y11671"/>
      <c r="Z11671"/>
      <c r="AA11671"/>
      <c r="AC11671"/>
      <c r="AR11671"/>
    </row>
    <row r="11672" spans="24:44">
      <c r="X11672"/>
      <c r="Y11672"/>
      <c r="Z11672"/>
      <c r="AA11672"/>
      <c r="AC11672"/>
      <c r="AR11672"/>
    </row>
    <row r="11673" spans="24:44">
      <c r="X11673"/>
      <c r="Y11673"/>
      <c r="Z11673"/>
      <c r="AA11673"/>
      <c r="AC11673"/>
      <c r="AR11673"/>
    </row>
    <row r="11674" spans="24:44">
      <c r="X11674"/>
      <c r="Y11674"/>
      <c r="Z11674"/>
      <c r="AA11674"/>
      <c r="AC11674"/>
      <c r="AR11674"/>
    </row>
    <row r="11675" spans="24:44">
      <c r="X11675"/>
      <c r="Y11675"/>
      <c r="Z11675"/>
      <c r="AA11675"/>
      <c r="AC11675"/>
      <c r="AR11675"/>
    </row>
    <row r="11676" spans="24:44">
      <c r="X11676"/>
      <c r="Y11676"/>
      <c r="Z11676"/>
      <c r="AA11676"/>
      <c r="AC11676"/>
      <c r="AR11676"/>
    </row>
    <row r="11677" spans="24:44">
      <c r="X11677"/>
      <c r="Y11677"/>
      <c r="Z11677"/>
      <c r="AA11677"/>
      <c r="AC11677"/>
      <c r="AR11677"/>
    </row>
    <row r="11678" spans="24:44">
      <c r="X11678"/>
      <c r="Y11678"/>
      <c r="Z11678"/>
      <c r="AA11678"/>
      <c r="AC11678"/>
      <c r="AR11678"/>
    </row>
    <row r="11679" spans="24:44">
      <c r="X11679"/>
      <c r="Y11679"/>
      <c r="Z11679"/>
      <c r="AA11679"/>
      <c r="AC11679"/>
      <c r="AR11679"/>
    </row>
    <row r="11680" spans="24:44">
      <c r="X11680"/>
      <c r="Y11680"/>
      <c r="Z11680"/>
      <c r="AA11680"/>
      <c r="AC11680"/>
      <c r="AR11680"/>
    </row>
    <row r="11681" spans="24:44">
      <c r="X11681"/>
      <c r="Y11681"/>
      <c r="Z11681"/>
      <c r="AA11681"/>
      <c r="AC11681"/>
      <c r="AR11681"/>
    </row>
    <row r="11682" spans="24:44">
      <c r="X11682"/>
      <c r="Y11682"/>
      <c r="Z11682"/>
      <c r="AA11682"/>
      <c r="AC11682"/>
      <c r="AR11682"/>
    </row>
    <row r="11683" spans="24:44">
      <c r="X11683"/>
      <c r="Y11683"/>
      <c r="Z11683"/>
      <c r="AA11683"/>
      <c r="AC11683"/>
      <c r="AR11683"/>
    </row>
    <row r="11684" spans="24:44">
      <c r="X11684"/>
      <c r="Y11684"/>
      <c r="Z11684"/>
      <c r="AA11684"/>
      <c r="AC11684"/>
      <c r="AR11684"/>
    </row>
    <row r="11685" spans="24:44">
      <c r="X11685"/>
      <c r="Y11685"/>
      <c r="Z11685"/>
      <c r="AA11685"/>
      <c r="AC11685"/>
      <c r="AR11685"/>
    </row>
    <row r="11686" spans="24:44">
      <c r="X11686"/>
      <c r="Y11686"/>
      <c r="Z11686"/>
      <c r="AA11686"/>
      <c r="AC11686"/>
      <c r="AR11686"/>
    </row>
    <row r="11687" spans="24:44">
      <c r="X11687"/>
      <c r="Y11687"/>
      <c r="Z11687"/>
      <c r="AA11687"/>
      <c r="AC11687"/>
      <c r="AR11687"/>
    </row>
    <row r="11688" spans="24:44">
      <c r="X11688"/>
      <c r="Y11688"/>
      <c r="Z11688"/>
      <c r="AA11688"/>
      <c r="AC11688"/>
      <c r="AR11688"/>
    </row>
    <row r="11689" spans="24:44">
      <c r="X11689"/>
      <c r="Y11689"/>
      <c r="Z11689"/>
      <c r="AA11689"/>
      <c r="AC11689"/>
      <c r="AR11689"/>
    </row>
    <row r="11690" spans="24:44">
      <c r="X11690"/>
      <c r="Y11690"/>
      <c r="Z11690"/>
      <c r="AA11690"/>
      <c r="AC11690"/>
      <c r="AR11690"/>
    </row>
    <row r="11691" spans="24:44">
      <c r="X11691"/>
      <c r="Y11691"/>
      <c r="Z11691"/>
      <c r="AA11691"/>
      <c r="AC11691"/>
      <c r="AR11691"/>
    </row>
    <row r="11692" spans="24:44">
      <c r="X11692"/>
      <c r="Y11692"/>
      <c r="Z11692"/>
      <c r="AA11692"/>
      <c r="AC11692"/>
      <c r="AR11692"/>
    </row>
    <row r="11693" spans="24:44">
      <c r="X11693"/>
      <c r="Y11693"/>
      <c r="Z11693"/>
      <c r="AA11693"/>
      <c r="AC11693"/>
      <c r="AR11693"/>
    </row>
    <row r="11694" spans="24:44">
      <c r="X11694"/>
      <c r="Y11694"/>
      <c r="Z11694"/>
      <c r="AA11694"/>
      <c r="AC11694"/>
      <c r="AR11694"/>
    </row>
    <row r="11695" spans="24:44">
      <c r="X11695"/>
      <c r="Y11695"/>
      <c r="Z11695"/>
      <c r="AA11695"/>
      <c r="AC11695"/>
      <c r="AR11695"/>
    </row>
    <row r="11696" spans="24:44">
      <c r="X11696"/>
      <c r="Y11696"/>
      <c r="Z11696"/>
      <c r="AA11696"/>
      <c r="AC11696"/>
      <c r="AR11696"/>
    </row>
    <row r="11697" spans="24:44">
      <c r="X11697"/>
      <c r="Y11697"/>
      <c r="Z11697"/>
      <c r="AA11697"/>
      <c r="AC11697"/>
      <c r="AR11697"/>
    </row>
    <row r="11698" spans="24:44">
      <c r="X11698"/>
      <c r="Y11698"/>
      <c r="Z11698"/>
      <c r="AA11698"/>
      <c r="AC11698"/>
      <c r="AR11698"/>
    </row>
    <row r="11699" spans="24:44">
      <c r="X11699"/>
      <c r="Y11699"/>
      <c r="Z11699"/>
      <c r="AA11699"/>
      <c r="AC11699"/>
      <c r="AR11699"/>
    </row>
    <row r="11700" spans="24:44">
      <c r="X11700"/>
      <c r="Y11700"/>
      <c r="Z11700"/>
      <c r="AA11700"/>
      <c r="AC11700"/>
      <c r="AR11700"/>
    </row>
    <row r="11701" spans="24:44">
      <c r="X11701"/>
      <c r="Y11701"/>
      <c r="Z11701"/>
      <c r="AA11701"/>
      <c r="AC11701"/>
      <c r="AR11701"/>
    </row>
    <row r="11702" spans="24:44">
      <c r="X11702"/>
      <c r="Y11702"/>
      <c r="Z11702"/>
      <c r="AA11702"/>
      <c r="AC11702"/>
      <c r="AR11702"/>
    </row>
    <row r="11703" spans="24:44">
      <c r="X11703"/>
      <c r="Y11703"/>
      <c r="Z11703"/>
      <c r="AA11703"/>
      <c r="AC11703"/>
      <c r="AR11703"/>
    </row>
    <row r="11704" spans="24:44">
      <c r="X11704"/>
      <c r="Y11704"/>
      <c r="Z11704"/>
      <c r="AA11704"/>
      <c r="AC11704"/>
      <c r="AR11704"/>
    </row>
    <row r="11705" spans="24:44">
      <c r="X11705"/>
      <c r="Y11705"/>
      <c r="Z11705"/>
      <c r="AA11705"/>
      <c r="AC11705"/>
      <c r="AR11705"/>
    </row>
    <row r="11706" spans="24:44">
      <c r="X11706"/>
      <c r="Y11706"/>
      <c r="Z11706"/>
      <c r="AA11706"/>
      <c r="AC11706"/>
      <c r="AR11706"/>
    </row>
    <row r="11707" spans="24:44">
      <c r="X11707"/>
      <c r="Y11707"/>
      <c r="Z11707"/>
      <c r="AA11707"/>
      <c r="AC11707"/>
      <c r="AR11707"/>
    </row>
    <row r="11708" spans="24:44">
      <c r="X11708"/>
      <c r="Y11708"/>
      <c r="Z11708"/>
      <c r="AA11708"/>
      <c r="AC11708"/>
      <c r="AR11708"/>
    </row>
    <row r="11709" spans="24:44">
      <c r="X11709"/>
      <c r="Y11709"/>
      <c r="Z11709"/>
      <c r="AA11709"/>
      <c r="AC11709"/>
      <c r="AR11709"/>
    </row>
    <row r="11710" spans="24:44">
      <c r="X11710"/>
      <c r="Y11710"/>
      <c r="Z11710"/>
      <c r="AA11710"/>
      <c r="AC11710"/>
      <c r="AR11710"/>
    </row>
    <row r="11711" spans="24:44">
      <c r="X11711"/>
      <c r="Y11711"/>
      <c r="Z11711"/>
      <c r="AA11711"/>
      <c r="AC11711"/>
      <c r="AR11711"/>
    </row>
    <row r="11712" spans="24:44">
      <c r="X11712"/>
      <c r="Y11712"/>
      <c r="Z11712"/>
      <c r="AA11712"/>
      <c r="AC11712"/>
      <c r="AR11712"/>
    </row>
    <row r="11713" spans="24:44">
      <c r="X11713"/>
      <c r="Y11713"/>
      <c r="Z11713"/>
      <c r="AA11713"/>
      <c r="AC11713"/>
      <c r="AR11713"/>
    </row>
    <row r="11714" spans="24:44">
      <c r="X11714"/>
      <c r="Y11714"/>
      <c r="Z11714"/>
      <c r="AA11714"/>
      <c r="AC11714"/>
      <c r="AR11714"/>
    </row>
    <row r="11715" spans="24:44">
      <c r="X11715"/>
      <c r="Y11715"/>
      <c r="Z11715"/>
      <c r="AA11715"/>
      <c r="AC11715"/>
      <c r="AR11715"/>
    </row>
    <row r="11716" spans="24:44">
      <c r="X11716"/>
      <c r="Y11716"/>
      <c r="Z11716"/>
      <c r="AA11716"/>
      <c r="AC11716"/>
      <c r="AR11716"/>
    </row>
    <row r="11717" spans="24:44">
      <c r="X11717"/>
      <c r="Y11717"/>
      <c r="Z11717"/>
      <c r="AA11717"/>
      <c r="AC11717"/>
      <c r="AR11717"/>
    </row>
    <row r="11718" spans="24:44">
      <c r="X11718"/>
      <c r="Y11718"/>
      <c r="Z11718"/>
      <c r="AA11718"/>
      <c r="AC11718"/>
      <c r="AR11718"/>
    </row>
    <row r="11719" spans="24:44">
      <c r="X11719"/>
      <c r="Y11719"/>
      <c r="Z11719"/>
      <c r="AA11719"/>
      <c r="AC11719"/>
      <c r="AR11719"/>
    </row>
    <row r="11720" spans="24:44">
      <c r="X11720"/>
      <c r="Y11720"/>
      <c r="Z11720"/>
      <c r="AA11720"/>
      <c r="AC11720"/>
      <c r="AR11720"/>
    </row>
    <row r="11721" spans="24:44">
      <c r="X11721"/>
      <c r="Y11721"/>
      <c r="Z11721"/>
      <c r="AA11721"/>
      <c r="AC11721"/>
      <c r="AR11721"/>
    </row>
    <row r="11722" spans="24:44">
      <c r="X11722"/>
      <c r="Y11722"/>
      <c r="Z11722"/>
      <c r="AA11722"/>
      <c r="AC11722"/>
      <c r="AR11722"/>
    </row>
    <row r="11723" spans="24:44">
      <c r="X11723"/>
      <c r="Y11723"/>
      <c r="Z11723"/>
      <c r="AA11723"/>
      <c r="AC11723"/>
      <c r="AR11723"/>
    </row>
    <row r="11724" spans="24:44">
      <c r="X11724"/>
      <c r="Y11724"/>
      <c r="Z11724"/>
      <c r="AA11724"/>
      <c r="AC11724"/>
      <c r="AR11724"/>
    </row>
    <row r="11725" spans="24:44">
      <c r="X11725"/>
      <c r="Y11725"/>
      <c r="Z11725"/>
      <c r="AA11725"/>
      <c r="AC11725"/>
      <c r="AR11725"/>
    </row>
    <row r="11726" spans="24:44">
      <c r="X11726"/>
      <c r="Y11726"/>
      <c r="Z11726"/>
      <c r="AA11726"/>
      <c r="AC11726"/>
      <c r="AR11726"/>
    </row>
    <row r="11727" spans="24:44">
      <c r="X11727"/>
      <c r="Y11727"/>
      <c r="Z11727"/>
      <c r="AA11727"/>
      <c r="AC11727"/>
      <c r="AR11727"/>
    </row>
    <row r="11728" spans="24:44">
      <c r="X11728"/>
      <c r="Y11728"/>
      <c r="Z11728"/>
      <c r="AA11728"/>
      <c r="AC11728"/>
      <c r="AR11728"/>
    </row>
    <row r="11729" spans="24:44">
      <c r="X11729"/>
      <c r="Y11729"/>
      <c r="Z11729"/>
      <c r="AA11729"/>
      <c r="AC11729"/>
      <c r="AR11729"/>
    </row>
    <row r="11730" spans="24:44">
      <c r="X11730"/>
      <c r="Y11730"/>
      <c r="Z11730"/>
      <c r="AA11730"/>
      <c r="AC11730"/>
      <c r="AR11730"/>
    </row>
    <row r="11731" spans="24:44">
      <c r="X11731"/>
      <c r="Y11731"/>
      <c r="Z11731"/>
      <c r="AA11731"/>
      <c r="AC11731"/>
      <c r="AR11731"/>
    </row>
    <row r="11732" spans="24:44">
      <c r="X11732"/>
      <c r="Y11732"/>
      <c r="Z11732"/>
      <c r="AA11732"/>
      <c r="AC11732"/>
      <c r="AR11732"/>
    </row>
    <row r="11733" spans="24:44">
      <c r="X11733"/>
      <c r="Y11733"/>
      <c r="Z11733"/>
      <c r="AA11733"/>
      <c r="AC11733"/>
      <c r="AR11733"/>
    </row>
    <row r="11734" spans="24:44">
      <c r="X11734"/>
      <c r="Y11734"/>
      <c r="Z11734"/>
      <c r="AA11734"/>
      <c r="AC11734"/>
      <c r="AR11734"/>
    </row>
    <row r="11735" spans="24:44">
      <c r="X11735"/>
      <c r="Y11735"/>
      <c r="Z11735"/>
      <c r="AA11735"/>
      <c r="AC11735"/>
      <c r="AR11735"/>
    </row>
    <row r="11736" spans="24:44">
      <c r="X11736"/>
      <c r="Y11736"/>
      <c r="Z11736"/>
      <c r="AA11736"/>
      <c r="AC11736"/>
      <c r="AR11736"/>
    </row>
    <row r="11737" spans="24:44">
      <c r="X11737"/>
      <c r="Y11737"/>
      <c r="Z11737"/>
      <c r="AA11737"/>
      <c r="AC11737"/>
      <c r="AR11737"/>
    </row>
    <row r="11738" spans="24:44">
      <c r="X11738"/>
      <c r="Y11738"/>
      <c r="Z11738"/>
      <c r="AA11738"/>
      <c r="AC11738"/>
      <c r="AR11738"/>
    </row>
    <row r="11739" spans="24:44">
      <c r="X11739"/>
      <c r="Y11739"/>
      <c r="Z11739"/>
      <c r="AA11739"/>
      <c r="AC11739"/>
      <c r="AR11739"/>
    </row>
    <row r="11740" spans="24:44">
      <c r="X11740"/>
      <c r="Y11740"/>
      <c r="Z11740"/>
      <c r="AA11740"/>
      <c r="AC11740"/>
      <c r="AR11740"/>
    </row>
    <row r="11741" spans="24:44">
      <c r="X11741"/>
      <c r="Y11741"/>
      <c r="Z11741"/>
      <c r="AA11741"/>
      <c r="AC11741"/>
      <c r="AR11741"/>
    </row>
    <row r="11742" spans="24:44">
      <c r="X11742"/>
      <c r="Y11742"/>
      <c r="Z11742"/>
      <c r="AA11742"/>
      <c r="AC11742"/>
      <c r="AR11742"/>
    </row>
    <row r="11743" spans="24:44">
      <c r="X11743"/>
      <c r="Y11743"/>
      <c r="Z11743"/>
      <c r="AA11743"/>
      <c r="AC11743"/>
      <c r="AR11743"/>
    </row>
    <row r="11744" spans="24:44">
      <c r="X11744"/>
      <c r="Y11744"/>
      <c r="Z11744"/>
      <c r="AA11744"/>
      <c r="AC11744"/>
      <c r="AR11744"/>
    </row>
    <row r="11745" spans="24:44">
      <c r="X11745"/>
      <c r="Y11745"/>
      <c r="Z11745"/>
      <c r="AA11745"/>
      <c r="AC11745"/>
      <c r="AR11745"/>
    </row>
    <row r="11746" spans="24:44">
      <c r="X11746"/>
      <c r="Y11746"/>
      <c r="Z11746"/>
      <c r="AA11746"/>
      <c r="AC11746"/>
      <c r="AR11746"/>
    </row>
    <row r="11747" spans="24:44">
      <c r="X11747"/>
      <c r="Y11747"/>
      <c r="Z11747"/>
      <c r="AA11747"/>
      <c r="AC11747"/>
      <c r="AR11747"/>
    </row>
    <row r="11748" spans="24:44">
      <c r="X11748"/>
      <c r="Y11748"/>
      <c r="Z11748"/>
      <c r="AA11748"/>
      <c r="AC11748"/>
      <c r="AR11748"/>
    </row>
    <row r="11749" spans="24:44">
      <c r="X11749"/>
      <c r="Y11749"/>
      <c r="Z11749"/>
      <c r="AA11749"/>
      <c r="AC11749"/>
      <c r="AR11749"/>
    </row>
    <row r="11750" spans="24:44">
      <c r="X11750"/>
      <c r="Y11750"/>
      <c r="Z11750"/>
      <c r="AA11750"/>
      <c r="AC11750"/>
      <c r="AR11750"/>
    </row>
    <row r="11751" spans="24:44">
      <c r="X11751"/>
      <c r="Y11751"/>
      <c r="Z11751"/>
      <c r="AA11751"/>
      <c r="AC11751"/>
      <c r="AR11751"/>
    </row>
    <row r="11752" spans="24:44">
      <c r="X11752"/>
      <c r="Y11752"/>
      <c r="Z11752"/>
      <c r="AA11752"/>
      <c r="AC11752"/>
      <c r="AR11752"/>
    </row>
    <row r="11753" spans="24:44">
      <c r="X11753"/>
      <c r="Y11753"/>
      <c r="Z11753"/>
      <c r="AA11753"/>
      <c r="AC11753"/>
      <c r="AR11753"/>
    </row>
    <row r="11754" spans="24:44">
      <c r="X11754"/>
      <c r="Y11754"/>
      <c r="Z11754"/>
      <c r="AA11754"/>
      <c r="AC11754"/>
      <c r="AR11754"/>
    </row>
    <row r="11755" spans="24:44">
      <c r="X11755"/>
      <c r="Y11755"/>
      <c r="Z11755"/>
      <c r="AA11755"/>
      <c r="AC11755"/>
      <c r="AR11755"/>
    </row>
    <row r="11756" spans="24:44">
      <c r="X11756"/>
      <c r="Y11756"/>
      <c r="Z11756"/>
      <c r="AA11756"/>
      <c r="AC11756"/>
      <c r="AR11756"/>
    </row>
    <row r="11757" spans="24:44">
      <c r="X11757"/>
      <c r="Y11757"/>
      <c r="Z11757"/>
      <c r="AA11757"/>
      <c r="AC11757"/>
      <c r="AR11757"/>
    </row>
    <row r="11758" spans="24:44">
      <c r="X11758"/>
      <c r="Y11758"/>
      <c r="Z11758"/>
      <c r="AA11758"/>
      <c r="AC11758"/>
      <c r="AR11758"/>
    </row>
    <row r="11759" spans="24:44">
      <c r="X11759"/>
      <c r="Y11759"/>
      <c r="Z11759"/>
      <c r="AA11759"/>
      <c r="AC11759"/>
      <c r="AR11759"/>
    </row>
    <row r="11760" spans="24:44">
      <c r="X11760"/>
      <c r="Y11760"/>
      <c r="Z11760"/>
      <c r="AA11760"/>
      <c r="AC11760"/>
      <c r="AR11760"/>
    </row>
    <row r="11761" spans="24:44">
      <c r="X11761"/>
      <c r="Y11761"/>
      <c r="Z11761"/>
      <c r="AA11761"/>
      <c r="AC11761"/>
      <c r="AR11761"/>
    </row>
    <row r="11762" spans="24:44">
      <c r="X11762"/>
      <c r="Y11762"/>
      <c r="Z11762"/>
      <c r="AA11762"/>
      <c r="AC11762"/>
      <c r="AR11762"/>
    </row>
    <row r="11763" spans="24:44">
      <c r="X11763"/>
      <c r="Y11763"/>
      <c r="Z11763"/>
      <c r="AA11763"/>
      <c r="AC11763"/>
      <c r="AR11763"/>
    </row>
    <row r="11764" spans="24:44">
      <c r="X11764"/>
      <c r="Y11764"/>
      <c r="Z11764"/>
      <c r="AA11764"/>
      <c r="AC11764"/>
      <c r="AR11764"/>
    </row>
    <row r="11765" spans="24:44">
      <c r="X11765"/>
      <c r="Y11765"/>
      <c r="Z11765"/>
      <c r="AA11765"/>
      <c r="AC11765"/>
      <c r="AR11765"/>
    </row>
    <row r="11766" spans="24:44">
      <c r="X11766"/>
      <c r="Y11766"/>
      <c r="Z11766"/>
      <c r="AA11766"/>
      <c r="AC11766"/>
      <c r="AR11766"/>
    </row>
    <row r="11767" spans="24:44">
      <c r="X11767"/>
      <c r="Y11767"/>
      <c r="Z11767"/>
      <c r="AA11767"/>
      <c r="AC11767"/>
      <c r="AR11767"/>
    </row>
    <row r="11768" spans="24:44">
      <c r="X11768"/>
      <c r="Y11768"/>
      <c r="Z11768"/>
      <c r="AA11768"/>
      <c r="AC11768"/>
      <c r="AR11768"/>
    </row>
    <row r="11769" spans="24:44">
      <c r="X11769"/>
      <c r="Y11769"/>
      <c r="Z11769"/>
      <c r="AA11769"/>
      <c r="AC11769"/>
      <c r="AR11769"/>
    </row>
    <row r="11770" spans="24:44">
      <c r="X11770"/>
      <c r="Y11770"/>
      <c r="Z11770"/>
      <c r="AA11770"/>
      <c r="AC11770"/>
      <c r="AR11770"/>
    </row>
    <row r="11771" spans="24:44">
      <c r="X11771"/>
      <c r="Y11771"/>
      <c r="Z11771"/>
      <c r="AA11771"/>
      <c r="AC11771"/>
      <c r="AR11771"/>
    </row>
    <row r="11772" spans="24:44">
      <c r="X11772"/>
      <c r="Y11772"/>
      <c r="Z11772"/>
      <c r="AA11772"/>
      <c r="AC11772"/>
      <c r="AR11772"/>
    </row>
    <row r="11773" spans="24:44">
      <c r="X11773"/>
      <c r="Y11773"/>
      <c r="Z11773"/>
      <c r="AA11773"/>
      <c r="AC11773"/>
      <c r="AR11773"/>
    </row>
    <row r="11774" spans="24:44">
      <c r="X11774"/>
      <c r="Y11774"/>
      <c r="Z11774"/>
      <c r="AA11774"/>
      <c r="AC11774"/>
      <c r="AR11774"/>
    </row>
    <row r="11775" spans="24:44">
      <c r="X11775"/>
      <c r="Y11775"/>
      <c r="Z11775"/>
      <c r="AA11775"/>
      <c r="AC11775"/>
      <c r="AR11775"/>
    </row>
    <row r="11776" spans="24:44">
      <c r="X11776"/>
      <c r="Y11776"/>
      <c r="Z11776"/>
      <c r="AA11776"/>
      <c r="AC11776"/>
      <c r="AR11776"/>
    </row>
    <row r="11777" spans="24:44">
      <c r="X11777"/>
      <c r="Y11777"/>
      <c r="Z11777"/>
      <c r="AA11777"/>
      <c r="AC11777"/>
      <c r="AR11777"/>
    </row>
    <row r="11778" spans="24:44">
      <c r="X11778"/>
      <c r="Y11778"/>
      <c r="Z11778"/>
      <c r="AA11778"/>
      <c r="AC11778"/>
      <c r="AR11778"/>
    </row>
    <row r="11779" spans="24:44">
      <c r="X11779"/>
      <c r="Y11779"/>
      <c r="Z11779"/>
      <c r="AA11779"/>
      <c r="AC11779"/>
      <c r="AR11779"/>
    </row>
    <row r="11780" spans="24:44">
      <c r="X11780"/>
      <c r="Y11780"/>
      <c r="Z11780"/>
      <c r="AA11780"/>
      <c r="AC11780"/>
      <c r="AR11780"/>
    </row>
    <row r="11781" spans="24:44">
      <c r="X11781"/>
      <c r="Y11781"/>
      <c r="Z11781"/>
      <c r="AA11781"/>
      <c r="AC11781"/>
      <c r="AR11781"/>
    </row>
    <row r="11782" spans="24:44">
      <c r="X11782"/>
      <c r="Y11782"/>
      <c r="Z11782"/>
      <c r="AA11782"/>
      <c r="AC11782"/>
      <c r="AR11782"/>
    </row>
    <row r="11783" spans="24:44">
      <c r="X11783"/>
      <c r="Y11783"/>
      <c r="Z11783"/>
      <c r="AA11783"/>
      <c r="AC11783"/>
      <c r="AR11783"/>
    </row>
    <row r="11784" spans="24:44">
      <c r="X11784"/>
      <c r="Y11784"/>
      <c r="Z11784"/>
      <c r="AA11784"/>
      <c r="AC11784"/>
      <c r="AR11784"/>
    </row>
    <row r="11785" spans="24:44">
      <c r="X11785"/>
      <c r="Y11785"/>
      <c r="Z11785"/>
      <c r="AA11785"/>
      <c r="AC11785"/>
      <c r="AR11785"/>
    </row>
    <row r="11786" spans="24:44">
      <c r="X11786"/>
      <c r="Y11786"/>
      <c r="Z11786"/>
      <c r="AA11786"/>
      <c r="AC11786"/>
      <c r="AR11786"/>
    </row>
    <row r="11787" spans="24:44">
      <c r="X11787"/>
      <c r="Y11787"/>
      <c r="Z11787"/>
      <c r="AA11787"/>
      <c r="AC11787"/>
      <c r="AR11787"/>
    </row>
    <row r="11788" spans="24:44">
      <c r="X11788"/>
      <c r="Y11788"/>
      <c r="Z11788"/>
      <c r="AA11788"/>
      <c r="AC11788"/>
      <c r="AR11788"/>
    </row>
    <row r="11789" spans="24:44">
      <c r="X11789"/>
      <c r="Y11789"/>
      <c r="Z11789"/>
      <c r="AA11789"/>
      <c r="AC11789"/>
      <c r="AR11789"/>
    </row>
    <row r="11790" spans="24:44">
      <c r="X11790"/>
      <c r="Y11790"/>
      <c r="Z11790"/>
      <c r="AA11790"/>
      <c r="AC11790"/>
      <c r="AR11790"/>
    </row>
    <row r="11791" spans="24:44">
      <c r="X11791"/>
      <c r="Y11791"/>
      <c r="Z11791"/>
      <c r="AA11791"/>
      <c r="AC11791"/>
      <c r="AR11791"/>
    </row>
    <row r="11792" spans="24:44">
      <c r="X11792"/>
      <c r="Y11792"/>
      <c r="Z11792"/>
      <c r="AA11792"/>
      <c r="AC11792"/>
      <c r="AR11792"/>
    </row>
    <row r="11793" spans="24:44">
      <c r="X11793"/>
      <c r="Y11793"/>
      <c r="Z11793"/>
      <c r="AA11793"/>
      <c r="AC11793"/>
      <c r="AR11793"/>
    </row>
    <row r="11794" spans="24:44">
      <c r="X11794"/>
      <c r="Y11794"/>
      <c r="Z11794"/>
      <c r="AA11794"/>
      <c r="AC11794"/>
      <c r="AR11794"/>
    </row>
    <row r="11795" spans="24:44">
      <c r="X11795"/>
      <c r="Y11795"/>
      <c r="Z11795"/>
      <c r="AA11795"/>
      <c r="AC11795"/>
      <c r="AR11795"/>
    </row>
    <row r="11796" spans="24:44">
      <c r="X11796"/>
      <c r="Y11796"/>
      <c r="Z11796"/>
      <c r="AA11796"/>
      <c r="AC11796"/>
      <c r="AR11796"/>
    </row>
    <row r="11797" spans="24:44">
      <c r="X11797"/>
      <c r="Y11797"/>
      <c r="Z11797"/>
      <c r="AA11797"/>
      <c r="AC11797"/>
      <c r="AR11797"/>
    </row>
    <row r="11798" spans="24:44">
      <c r="X11798"/>
      <c r="Y11798"/>
      <c r="Z11798"/>
      <c r="AA11798"/>
      <c r="AC11798"/>
      <c r="AR11798"/>
    </row>
    <row r="11799" spans="24:44">
      <c r="X11799"/>
      <c r="Y11799"/>
      <c r="Z11799"/>
      <c r="AA11799"/>
      <c r="AC11799"/>
      <c r="AR11799"/>
    </row>
    <row r="11800" spans="24:44">
      <c r="X11800"/>
      <c r="Y11800"/>
      <c r="Z11800"/>
      <c r="AA11800"/>
      <c r="AC11800"/>
      <c r="AR11800"/>
    </row>
    <row r="11801" spans="24:44">
      <c r="X11801"/>
      <c r="Y11801"/>
      <c r="Z11801"/>
      <c r="AA11801"/>
      <c r="AC11801"/>
      <c r="AR11801"/>
    </row>
    <row r="11802" spans="24:44">
      <c r="X11802"/>
      <c r="Y11802"/>
      <c r="Z11802"/>
      <c r="AA11802"/>
      <c r="AC11802"/>
      <c r="AR11802"/>
    </row>
    <row r="11803" spans="24:44">
      <c r="X11803"/>
      <c r="Y11803"/>
      <c r="Z11803"/>
      <c r="AA11803"/>
      <c r="AC11803"/>
      <c r="AR11803"/>
    </row>
    <row r="11804" spans="24:44">
      <c r="X11804"/>
      <c r="Y11804"/>
      <c r="Z11804"/>
      <c r="AA11804"/>
      <c r="AC11804"/>
      <c r="AR11804"/>
    </row>
    <row r="11805" spans="24:44">
      <c r="X11805"/>
      <c r="Y11805"/>
      <c r="Z11805"/>
      <c r="AA11805"/>
      <c r="AC11805"/>
      <c r="AR11805"/>
    </row>
    <row r="11806" spans="24:44">
      <c r="X11806"/>
      <c r="Y11806"/>
      <c r="Z11806"/>
      <c r="AA11806"/>
      <c r="AC11806"/>
      <c r="AR11806"/>
    </row>
    <row r="11807" spans="24:44">
      <c r="X11807"/>
      <c r="Y11807"/>
      <c r="Z11807"/>
      <c r="AA11807"/>
      <c r="AC11807"/>
      <c r="AR11807"/>
    </row>
    <row r="11808" spans="24:44">
      <c r="X11808"/>
      <c r="Y11808"/>
      <c r="Z11808"/>
      <c r="AA11808"/>
      <c r="AC11808"/>
      <c r="AR11808"/>
    </row>
    <row r="11809" spans="24:44">
      <c r="X11809"/>
      <c r="Y11809"/>
      <c r="Z11809"/>
      <c r="AA11809"/>
      <c r="AC11809"/>
      <c r="AR11809"/>
    </row>
    <row r="11810" spans="24:44">
      <c r="X11810"/>
      <c r="Y11810"/>
      <c r="Z11810"/>
      <c r="AA11810"/>
      <c r="AC11810"/>
      <c r="AR11810"/>
    </row>
    <row r="11811" spans="24:44">
      <c r="X11811"/>
      <c r="Y11811"/>
      <c r="Z11811"/>
      <c r="AA11811"/>
      <c r="AC11811"/>
      <c r="AR11811"/>
    </row>
    <row r="11812" spans="24:44">
      <c r="X11812"/>
      <c r="Y11812"/>
      <c r="Z11812"/>
      <c r="AA11812"/>
      <c r="AC11812"/>
      <c r="AR11812"/>
    </row>
    <row r="11813" spans="24:44">
      <c r="X11813"/>
      <c r="Y11813"/>
      <c r="Z11813"/>
      <c r="AA11813"/>
      <c r="AC11813"/>
      <c r="AR11813"/>
    </row>
    <row r="11814" spans="24:44">
      <c r="X11814"/>
      <c r="Y11814"/>
      <c r="Z11814"/>
      <c r="AA11814"/>
      <c r="AC11814"/>
      <c r="AR11814"/>
    </row>
    <row r="11815" spans="24:44">
      <c r="X11815"/>
      <c r="Y11815"/>
      <c r="Z11815"/>
      <c r="AA11815"/>
      <c r="AC11815"/>
      <c r="AR11815"/>
    </row>
    <row r="11816" spans="24:44">
      <c r="X11816"/>
      <c r="Y11816"/>
      <c r="Z11816"/>
      <c r="AA11816"/>
      <c r="AC11816"/>
      <c r="AR11816"/>
    </row>
    <row r="11817" spans="24:44">
      <c r="X11817"/>
      <c r="Y11817"/>
      <c r="Z11817"/>
      <c r="AA11817"/>
      <c r="AC11817"/>
      <c r="AR11817"/>
    </row>
    <row r="11818" spans="24:44">
      <c r="X11818"/>
      <c r="Y11818"/>
      <c r="Z11818"/>
      <c r="AA11818"/>
      <c r="AC11818"/>
      <c r="AR11818"/>
    </row>
    <row r="11819" spans="24:44">
      <c r="X11819"/>
      <c r="Y11819"/>
      <c r="Z11819"/>
      <c r="AA11819"/>
      <c r="AC11819"/>
      <c r="AR11819"/>
    </row>
    <row r="11820" spans="24:44">
      <c r="X11820"/>
      <c r="Y11820"/>
      <c r="Z11820"/>
      <c r="AA11820"/>
      <c r="AC11820"/>
      <c r="AR11820"/>
    </row>
    <row r="11821" spans="24:44">
      <c r="X11821"/>
      <c r="Y11821"/>
      <c r="Z11821"/>
      <c r="AA11821"/>
      <c r="AC11821"/>
      <c r="AR11821"/>
    </row>
    <row r="11822" spans="24:44">
      <c r="X11822"/>
      <c r="Y11822"/>
      <c r="Z11822"/>
      <c r="AA11822"/>
      <c r="AC11822"/>
      <c r="AR11822"/>
    </row>
    <row r="11823" spans="24:44">
      <c r="X11823"/>
      <c r="Y11823"/>
      <c r="Z11823"/>
      <c r="AA11823"/>
      <c r="AC11823"/>
      <c r="AR11823"/>
    </row>
    <row r="11824" spans="24:44">
      <c r="X11824"/>
      <c r="Y11824"/>
      <c r="Z11824"/>
      <c r="AA11824"/>
      <c r="AC11824"/>
      <c r="AR11824"/>
    </row>
    <row r="11825" spans="24:44">
      <c r="X11825"/>
      <c r="Y11825"/>
      <c r="Z11825"/>
      <c r="AA11825"/>
      <c r="AC11825"/>
      <c r="AR11825"/>
    </row>
    <row r="11826" spans="24:44">
      <c r="X11826"/>
      <c r="Y11826"/>
      <c r="Z11826"/>
      <c r="AA11826"/>
      <c r="AC11826"/>
      <c r="AR11826"/>
    </row>
    <row r="11827" spans="24:44">
      <c r="X11827"/>
      <c r="Y11827"/>
      <c r="Z11827"/>
      <c r="AA11827"/>
      <c r="AC11827"/>
      <c r="AR11827"/>
    </row>
    <row r="11828" spans="24:44">
      <c r="X11828"/>
      <c r="Y11828"/>
      <c r="Z11828"/>
      <c r="AA11828"/>
      <c r="AC11828"/>
      <c r="AR11828"/>
    </row>
    <row r="11829" spans="24:44">
      <c r="X11829"/>
      <c r="Y11829"/>
      <c r="Z11829"/>
      <c r="AA11829"/>
      <c r="AC11829"/>
      <c r="AR11829"/>
    </row>
    <row r="11830" spans="24:44">
      <c r="X11830"/>
      <c r="Y11830"/>
      <c r="Z11830"/>
      <c r="AA11830"/>
      <c r="AC11830"/>
      <c r="AR11830"/>
    </row>
    <row r="11831" spans="24:44">
      <c r="X11831"/>
      <c r="Y11831"/>
      <c r="Z11831"/>
      <c r="AA11831"/>
      <c r="AC11831"/>
      <c r="AR11831"/>
    </row>
    <row r="11832" spans="24:44">
      <c r="X11832"/>
      <c r="Y11832"/>
      <c r="Z11832"/>
      <c r="AA11832"/>
      <c r="AC11832"/>
      <c r="AR11832"/>
    </row>
    <row r="11833" spans="24:44">
      <c r="X11833"/>
      <c r="Y11833"/>
      <c r="Z11833"/>
      <c r="AA11833"/>
      <c r="AC11833"/>
      <c r="AR11833"/>
    </row>
    <row r="11834" spans="24:44">
      <c r="X11834"/>
      <c r="Y11834"/>
      <c r="Z11834"/>
      <c r="AA11834"/>
      <c r="AC11834"/>
      <c r="AR11834"/>
    </row>
    <row r="11835" spans="24:44">
      <c r="X11835"/>
      <c r="Y11835"/>
      <c r="Z11835"/>
      <c r="AA11835"/>
      <c r="AC11835"/>
      <c r="AR11835"/>
    </row>
    <row r="11836" spans="24:44">
      <c r="X11836"/>
      <c r="Y11836"/>
      <c r="Z11836"/>
      <c r="AA11836"/>
      <c r="AC11836"/>
      <c r="AR11836"/>
    </row>
    <row r="11837" spans="24:44">
      <c r="X11837"/>
      <c r="Y11837"/>
      <c r="Z11837"/>
      <c r="AA11837"/>
      <c r="AC11837"/>
      <c r="AR11837"/>
    </row>
    <row r="11838" spans="24:44">
      <c r="X11838"/>
      <c r="Y11838"/>
      <c r="Z11838"/>
      <c r="AA11838"/>
      <c r="AC11838"/>
      <c r="AR11838"/>
    </row>
    <row r="11839" spans="24:44">
      <c r="X11839"/>
      <c r="Y11839"/>
      <c r="Z11839"/>
      <c r="AA11839"/>
      <c r="AC11839"/>
      <c r="AR11839"/>
    </row>
    <row r="11840" spans="24:44">
      <c r="X11840"/>
      <c r="Y11840"/>
      <c r="Z11840"/>
      <c r="AA11840"/>
      <c r="AC11840"/>
      <c r="AR11840"/>
    </row>
    <row r="11841" spans="24:44">
      <c r="X11841"/>
      <c r="Y11841"/>
      <c r="Z11841"/>
      <c r="AA11841"/>
      <c r="AC11841"/>
      <c r="AR11841"/>
    </row>
    <row r="11842" spans="24:44">
      <c r="X11842"/>
      <c r="Y11842"/>
      <c r="Z11842"/>
      <c r="AA11842"/>
      <c r="AC11842"/>
      <c r="AR11842"/>
    </row>
    <row r="11843" spans="24:44">
      <c r="X11843"/>
      <c r="Y11843"/>
      <c r="Z11843"/>
      <c r="AA11843"/>
      <c r="AC11843"/>
      <c r="AR11843"/>
    </row>
    <row r="11844" spans="24:44">
      <c r="X11844"/>
      <c r="Y11844"/>
      <c r="Z11844"/>
      <c r="AA11844"/>
      <c r="AC11844"/>
      <c r="AR11844"/>
    </row>
    <row r="11845" spans="24:44">
      <c r="X11845"/>
      <c r="Y11845"/>
      <c r="Z11845"/>
      <c r="AA11845"/>
      <c r="AC11845"/>
      <c r="AR11845"/>
    </row>
    <row r="11846" spans="24:44">
      <c r="X11846"/>
      <c r="Y11846"/>
      <c r="Z11846"/>
      <c r="AA11846"/>
      <c r="AC11846"/>
      <c r="AR11846"/>
    </row>
    <row r="11847" spans="24:44">
      <c r="X11847"/>
      <c r="Y11847"/>
      <c r="Z11847"/>
      <c r="AA11847"/>
      <c r="AC11847"/>
      <c r="AR11847"/>
    </row>
    <row r="11848" spans="24:44">
      <c r="X11848"/>
      <c r="Y11848"/>
      <c r="Z11848"/>
      <c r="AA11848"/>
      <c r="AC11848"/>
      <c r="AR11848"/>
    </row>
    <row r="11849" spans="24:44">
      <c r="X11849"/>
      <c r="Y11849"/>
      <c r="Z11849"/>
      <c r="AA11849"/>
      <c r="AC11849"/>
      <c r="AR11849"/>
    </row>
    <row r="11850" spans="24:44">
      <c r="X11850"/>
      <c r="Y11850"/>
      <c r="Z11850"/>
      <c r="AA11850"/>
      <c r="AC11850"/>
      <c r="AR11850"/>
    </row>
    <row r="11851" spans="24:44">
      <c r="X11851"/>
      <c r="Y11851"/>
      <c r="Z11851"/>
      <c r="AA11851"/>
      <c r="AC11851"/>
      <c r="AR11851"/>
    </row>
    <row r="11852" spans="24:44">
      <c r="X11852"/>
      <c r="Y11852"/>
      <c r="Z11852"/>
      <c r="AA11852"/>
      <c r="AC11852"/>
      <c r="AR11852"/>
    </row>
    <row r="11853" spans="24:44">
      <c r="X11853"/>
      <c r="Y11853"/>
      <c r="Z11853"/>
      <c r="AA11853"/>
      <c r="AC11853"/>
      <c r="AR11853"/>
    </row>
    <row r="11854" spans="24:44">
      <c r="X11854"/>
      <c r="Y11854"/>
      <c r="Z11854"/>
      <c r="AA11854"/>
      <c r="AC11854"/>
      <c r="AR11854"/>
    </row>
    <row r="11855" spans="24:44">
      <c r="X11855"/>
      <c r="Y11855"/>
      <c r="Z11855"/>
      <c r="AA11855"/>
      <c r="AC11855"/>
      <c r="AR11855"/>
    </row>
    <row r="11856" spans="24:44">
      <c r="X11856"/>
      <c r="Y11856"/>
      <c r="Z11856"/>
      <c r="AA11856"/>
      <c r="AC11856"/>
      <c r="AR11856"/>
    </row>
    <row r="11857" spans="24:44">
      <c r="X11857"/>
      <c r="Y11857"/>
      <c r="Z11857"/>
      <c r="AA11857"/>
      <c r="AC11857"/>
      <c r="AR11857"/>
    </row>
    <row r="11858" spans="24:44">
      <c r="X11858"/>
      <c r="Y11858"/>
      <c r="Z11858"/>
      <c r="AA11858"/>
      <c r="AC11858"/>
      <c r="AR11858"/>
    </row>
    <row r="11859" spans="24:44">
      <c r="X11859"/>
      <c r="Y11859"/>
      <c r="Z11859"/>
      <c r="AA11859"/>
      <c r="AC11859"/>
      <c r="AR11859"/>
    </row>
    <row r="11860" spans="24:44">
      <c r="X11860"/>
      <c r="Y11860"/>
      <c r="Z11860"/>
      <c r="AA11860"/>
      <c r="AC11860"/>
      <c r="AR11860"/>
    </row>
    <row r="11861" spans="24:44">
      <c r="X11861"/>
      <c r="Y11861"/>
      <c r="Z11861"/>
      <c r="AA11861"/>
      <c r="AC11861"/>
      <c r="AR11861"/>
    </row>
    <row r="11862" spans="24:44">
      <c r="X11862"/>
      <c r="Y11862"/>
      <c r="Z11862"/>
      <c r="AA11862"/>
      <c r="AC11862"/>
      <c r="AR11862"/>
    </row>
    <row r="11863" spans="24:44">
      <c r="X11863"/>
      <c r="Y11863"/>
      <c r="Z11863"/>
      <c r="AA11863"/>
      <c r="AC11863"/>
      <c r="AR11863"/>
    </row>
    <row r="11864" spans="24:44">
      <c r="X11864"/>
      <c r="Y11864"/>
      <c r="Z11864"/>
      <c r="AA11864"/>
      <c r="AC11864"/>
      <c r="AR11864"/>
    </row>
    <row r="11865" spans="24:44">
      <c r="X11865"/>
      <c r="Y11865"/>
      <c r="Z11865"/>
      <c r="AA11865"/>
      <c r="AC11865"/>
      <c r="AR11865"/>
    </row>
    <row r="11866" spans="24:44">
      <c r="X11866"/>
      <c r="Y11866"/>
      <c r="Z11866"/>
      <c r="AA11866"/>
      <c r="AC11866"/>
      <c r="AR11866"/>
    </row>
    <row r="11867" spans="24:44">
      <c r="X11867"/>
      <c r="Y11867"/>
      <c r="Z11867"/>
      <c r="AA11867"/>
      <c r="AC11867"/>
      <c r="AR11867"/>
    </row>
    <row r="11868" spans="24:44">
      <c r="X11868"/>
      <c r="Y11868"/>
      <c r="Z11868"/>
      <c r="AA11868"/>
      <c r="AC11868"/>
      <c r="AR11868"/>
    </row>
    <row r="11869" spans="24:44">
      <c r="X11869"/>
      <c r="Y11869"/>
      <c r="Z11869"/>
      <c r="AA11869"/>
      <c r="AC11869"/>
      <c r="AR11869"/>
    </row>
    <row r="11870" spans="24:44">
      <c r="X11870"/>
      <c r="Y11870"/>
      <c r="Z11870"/>
      <c r="AA11870"/>
      <c r="AC11870"/>
      <c r="AR11870"/>
    </row>
    <row r="11871" spans="24:44">
      <c r="X11871"/>
      <c r="Y11871"/>
      <c r="Z11871"/>
      <c r="AA11871"/>
      <c r="AC11871"/>
      <c r="AR11871"/>
    </row>
    <row r="11872" spans="24:44">
      <c r="X11872"/>
      <c r="Y11872"/>
      <c r="Z11872"/>
      <c r="AA11872"/>
      <c r="AC11872"/>
      <c r="AR11872"/>
    </row>
    <row r="11873" spans="24:44">
      <c r="X11873"/>
      <c r="Y11873"/>
      <c r="Z11873"/>
      <c r="AA11873"/>
      <c r="AC11873"/>
      <c r="AR11873"/>
    </row>
    <row r="11874" spans="24:44">
      <c r="X11874"/>
      <c r="Y11874"/>
      <c r="Z11874"/>
      <c r="AA11874"/>
      <c r="AC11874"/>
      <c r="AR11874"/>
    </row>
    <row r="11875" spans="24:44">
      <c r="X11875"/>
      <c r="Y11875"/>
      <c r="Z11875"/>
      <c r="AA11875"/>
      <c r="AC11875"/>
      <c r="AR11875"/>
    </row>
    <row r="11876" spans="24:44">
      <c r="X11876"/>
      <c r="Y11876"/>
      <c r="Z11876"/>
      <c r="AA11876"/>
      <c r="AC11876"/>
      <c r="AR11876"/>
    </row>
    <row r="11877" spans="24:44">
      <c r="X11877"/>
      <c r="Y11877"/>
      <c r="Z11877"/>
      <c r="AA11877"/>
      <c r="AC11877"/>
      <c r="AR11877"/>
    </row>
    <row r="11878" spans="24:44">
      <c r="X11878"/>
      <c r="Y11878"/>
      <c r="Z11878"/>
      <c r="AA11878"/>
      <c r="AC11878"/>
      <c r="AR11878"/>
    </row>
    <row r="11879" spans="24:44">
      <c r="X11879"/>
      <c r="Y11879"/>
      <c r="Z11879"/>
      <c r="AA11879"/>
      <c r="AC11879"/>
      <c r="AR11879"/>
    </row>
    <row r="11880" spans="24:44">
      <c r="X11880"/>
      <c r="Y11880"/>
      <c r="Z11880"/>
      <c r="AA11880"/>
      <c r="AC11880"/>
      <c r="AR11880"/>
    </row>
    <row r="11881" spans="24:44">
      <c r="X11881"/>
      <c r="Y11881"/>
      <c r="Z11881"/>
      <c r="AA11881"/>
      <c r="AC11881"/>
      <c r="AR11881"/>
    </row>
    <row r="11882" spans="24:44">
      <c r="X11882"/>
      <c r="Y11882"/>
      <c r="Z11882"/>
      <c r="AA11882"/>
      <c r="AC11882"/>
      <c r="AR11882"/>
    </row>
    <row r="11883" spans="24:44">
      <c r="X11883"/>
      <c r="Y11883"/>
      <c r="Z11883"/>
      <c r="AA11883"/>
      <c r="AC11883"/>
      <c r="AR11883"/>
    </row>
    <row r="11884" spans="24:44">
      <c r="X11884"/>
      <c r="Y11884"/>
      <c r="Z11884"/>
      <c r="AA11884"/>
      <c r="AC11884"/>
      <c r="AR11884"/>
    </row>
    <row r="11885" spans="24:44">
      <c r="X11885"/>
      <c r="Y11885"/>
      <c r="Z11885"/>
      <c r="AA11885"/>
      <c r="AC11885"/>
      <c r="AR11885"/>
    </row>
    <row r="11886" spans="24:44">
      <c r="X11886"/>
      <c r="Y11886"/>
      <c r="Z11886"/>
      <c r="AA11886"/>
      <c r="AC11886"/>
      <c r="AR11886"/>
    </row>
    <row r="11887" spans="24:44">
      <c r="X11887"/>
      <c r="Y11887"/>
      <c r="Z11887"/>
      <c r="AA11887"/>
      <c r="AC11887"/>
      <c r="AR11887"/>
    </row>
    <row r="11888" spans="24:44">
      <c r="X11888"/>
      <c r="Y11888"/>
      <c r="Z11888"/>
      <c r="AA11888"/>
      <c r="AC11888"/>
      <c r="AR11888"/>
    </row>
    <row r="11889" spans="24:44">
      <c r="X11889"/>
      <c r="Y11889"/>
      <c r="Z11889"/>
      <c r="AA11889"/>
      <c r="AC11889"/>
      <c r="AR11889"/>
    </row>
    <row r="11890" spans="24:44">
      <c r="X11890"/>
      <c r="Y11890"/>
      <c r="Z11890"/>
      <c r="AA11890"/>
      <c r="AC11890"/>
      <c r="AR11890"/>
    </row>
    <row r="11891" spans="24:44">
      <c r="X11891"/>
      <c r="Y11891"/>
      <c r="Z11891"/>
      <c r="AA11891"/>
      <c r="AC11891"/>
      <c r="AR11891"/>
    </row>
    <row r="11892" spans="24:44">
      <c r="X11892"/>
      <c r="Y11892"/>
      <c r="Z11892"/>
      <c r="AA11892"/>
      <c r="AC11892"/>
      <c r="AR11892"/>
    </row>
    <row r="11893" spans="24:44">
      <c r="X11893"/>
      <c r="Y11893"/>
      <c r="Z11893"/>
      <c r="AA11893"/>
      <c r="AC11893"/>
      <c r="AR11893"/>
    </row>
    <row r="11894" spans="24:44">
      <c r="X11894"/>
      <c r="Y11894"/>
      <c r="Z11894"/>
      <c r="AA11894"/>
      <c r="AC11894"/>
      <c r="AR11894"/>
    </row>
    <row r="11895" spans="24:44">
      <c r="X11895"/>
      <c r="Y11895"/>
      <c r="Z11895"/>
      <c r="AA11895"/>
      <c r="AC11895"/>
      <c r="AR11895"/>
    </row>
    <row r="11896" spans="24:44">
      <c r="X11896"/>
      <c r="Y11896"/>
      <c r="Z11896"/>
      <c r="AA11896"/>
      <c r="AC11896"/>
      <c r="AR11896"/>
    </row>
    <row r="11897" spans="24:44">
      <c r="X11897"/>
      <c r="Y11897"/>
      <c r="Z11897"/>
      <c r="AA11897"/>
      <c r="AC11897"/>
      <c r="AR11897"/>
    </row>
    <row r="11898" spans="24:44">
      <c r="X11898"/>
      <c r="Y11898"/>
      <c r="Z11898"/>
      <c r="AA11898"/>
      <c r="AC11898"/>
      <c r="AR11898"/>
    </row>
    <row r="11899" spans="24:44">
      <c r="X11899"/>
      <c r="Y11899"/>
      <c r="Z11899"/>
      <c r="AA11899"/>
      <c r="AC11899"/>
      <c r="AR11899"/>
    </row>
    <row r="11900" spans="24:44">
      <c r="X11900"/>
      <c r="Y11900"/>
      <c r="Z11900"/>
      <c r="AA11900"/>
      <c r="AC11900"/>
      <c r="AR11900"/>
    </row>
    <row r="11901" spans="24:44">
      <c r="X11901"/>
      <c r="Y11901"/>
      <c r="Z11901"/>
      <c r="AA11901"/>
      <c r="AC11901"/>
      <c r="AR11901"/>
    </row>
    <row r="11902" spans="24:44">
      <c r="X11902"/>
      <c r="Y11902"/>
      <c r="Z11902"/>
      <c r="AA11902"/>
      <c r="AC11902"/>
      <c r="AR11902"/>
    </row>
    <row r="11903" spans="24:44">
      <c r="X11903"/>
      <c r="Y11903"/>
      <c r="Z11903"/>
      <c r="AA11903"/>
      <c r="AC11903"/>
      <c r="AR11903"/>
    </row>
    <row r="11904" spans="24:44">
      <c r="X11904"/>
      <c r="Y11904"/>
      <c r="Z11904"/>
      <c r="AA11904"/>
      <c r="AC11904"/>
      <c r="AR11904"/>
    </row>
    <row r="11905" spans="24:44">
      <c r="X11905"/>
      <c r="Y11905"/>
      <c r="Z11905"/>
      <c r="AA11905"/>
      <c r="AC11905"/>
      <c r="AR11905"/>
    </row>
    <row r="11906" spans="24:44">
      <c r="X11906"/>
      <c r="Y11906"/>
      <c r="Z11906"/>
      <c r="AA11906"/>
      <c r="AC11906"/>
      <c r="AR11906"/>
    </row>
    <row r="11907" spans="24:44">
      <c r="X11907"/>
      <c r="Y11907"/>
      <c r="Z11907"/>
      <c r="AA11907"/>
      <c r="AC11907"/>
      <c r="AR11907"/>
    </row>
    <row r="11908" spans="24:44">
      <c r="X11908"/>
      <c r="Y11908"/>
      <c r="Z11908"/>
      <c r="AA11908"/>
      <c r="AC11908"/>
      <c r="AR11908"/>
    </row>
    <row r="11909" spans="24:44">
      <c r="X11909"/>
      <c r="Y11909"/>
      <c r="Z11909"/>
      <c r="AA11909"/>
      <c r="AC11909"/>
      <c r="AR11909"/>
    </row>
    <row r="11910" spans="24:44">
      <c r="X11910"/>
      <c r="Y11910"/>
      <c r="Z11910"/>
      <c r="AA11910"/>
      <c r="AC11910"/>
      <c r="AR11910"/>
    </row>
    <row r="11911" spans="24:44">
      <c r="X11911"/>
      <c r="Y11911"/>
      <c r="Z11911"/>
      <c r="AA11911"/>
      <c r="AC11911"/>
      <c r="AR11911"/>
    </row>
    <row r="11912" spans="24:44">
      <c r="X11912"/>
      <c r="Y11912"/>
      <c r="Z11912"/>
      <c r="AA11912"/>
      <c r="AC11912"/>
      <c r="AR11912"/>
    </row>
    <row r="11913" spans="24:44">
      <c r="X11913"/>
      <c r="Y11913"/>
      <c r="Z11913"/>
      <c r="AA11913"/>
      <c r="AC11913"/>
      <c r="AR11913"/>
    </row>
    <row r="11914" spans="24:44">
      <c r="X11914"/>
      <c r="Y11914"/>
      <c r="Z11914"/>
      <c r="AA11914"/>
      <c r="AC11914"/>
      <c r="AR11914"/>
    </row>
    <row r="11915" spans="24:44">
      <c r="X11915"/>
      <c r="Y11915"/>
      <c r="Z11915"/>
      <c r="AA11915"/>
      <c r="AC11915"/>
      <c r="AR11915"/>
    </row>
    <row r="11916" spans="24:44">
      <c r="X11916"/>
      <c r="Y11916"/>
      <c r="Z11916"/>
      <c r="AA11916"/>
      <c r="AC11916"/>
      <c r="AR11916"/>
    </row>
    <row r="11917" spans="24:44">
      <c r="X11917"/>
      <c r="Y11917"/>
      <c r="Z11917"/>
      <c r="AA11917"/>
      <c r="AC11917"/>
      <c r="AR11917"/>
    </row>
    <row r="11918" spans="24:44">
      <c r="X11918"/>
      <c r="Y11918"/>
      <c r="Z11918"/>
      <c r="AA11918"/>
      <c r="AC11918"/>
      <c r="AR11918"/>
    </row>
    <row r="11919" spans="24:44">
      <c r="X11919"/>
      <c r="Y11919"/>
      <c r="Z11919"/>
      <c r="AA11919"/>
      <c r="AC11919"/>
      <c r="AR11919"/>
    </row>
    <row r="11920" spans="24:44">
      <c r="X11920"/>
      <c r="Y11920"/>
      <c r="Z11920"/>
      <c r="AA11920"/>
      <c r="AC11920"/>
      <c r="AR11920"/>
    </row>
    <row r="11921" spans="24:44">
      <c r="X11921"/>
      <c r="Y11921"/>
      <c r="Z11921"/>
      <c r="AA11921"/>
      <c r="AC11921"/>
      <c r="AR11921"/>
    </row>
    <row r="11922" spans="24:44">
      <c r="X11922"/>
      <c r="Y11922"/>
      <c r="Z11922"/>
      <c r="AA11922"/>
      <c r="AC11922"/>
      <c r="AR11922"/>
    </row>
    <row r="11923" spans="24:44">
      <c r="X11923"/>
      <c r="Y11923"/>
      <c r="Z11923"/>
      <c r="AA11923"/>
      <c r="AC11923"/>
      <c r="AR11923"/>
    </row>
    <row r="11924" spans="24:44">
      <c r="X11924"/>
      <c r="Y11924"/>
      <c r="Z11924"/>
      <c r="AA11924"/>
      <c r="AC11924"/>
      <c r="AR11924"/>
    </row>
    <row r="11925" spans="24:44">
      <c r="X11925"/>
      <c r="Y11925"/>
      <c r="Z11925"/>
      <c r="AA11925"/>
      <c r="AC11925"/>
      <c r="AR11925"/>
    </row>
    <row r="11926" spans="24:44">
      <c r="X11926"/>
      <c r="Y11926"/>
      <c r="Z11926"/>
      <c r="AA11926"/>
      <c r="AC11926"/>
      <c r="AR11926"/>
    </row>
    <row r="11927" spans="24:44">
      <c r="X11927"/>
      <c r="Y11927"/>
      <c r="Z11927"/>
      <c r="AA11927"/>
      <c r="AC11927"/>
      <c r="AR11927"/>
    </row>
    <row r="11928" spans="24:44">
      <c r="X11928"/>
      <c r="Y11928"/>
      <c r="Z11928"/>
      <c r="AA11928"/>
      <c r="AC11928"/>
      <c r="AR11928"/>
    </row>
    <row r="11929" spans="24:44">
      <c r="X11929"/>
      <c r="Y11929"/>
      <c r="Z11929"/>
      <c r="AA11929"/>
      <c r="AC11929"/>
      <c r="AR11929"/>
    </row>
    <row r="11930" spans="24:44">
      <c r="X11930"/>
      <c r="Y11930"/>
      <c r="Z11930"/>
      <c r="AA11930"/>
      <c r="AC11930"/>
      <c r="AR11930"/>
    </row>
    <row r="11931" spans="24:44">
      <c r="X11931"/>
      <c r="Y11931"/>
      <c r="Z11931"/>
      <c r="AA11931"/>
      <c r="AC11931"/>
      <c r="AR11931"/>
    </row>
    <row r="11932" spans="24:44">
      <c r="X11932"/>
      <c r="Y11932"/>
      <c r="Z11932"/>
      <c r="AA11932"/>
      <c r="AC11932"/>
      <c r="AR11932"/>
    </row>
    <row r="11933" spans="24:44">
      <c r="X11933"/>
      <c r="Y11933"/>
      <c r="Z11933"/>
      <c r="AA11933"/>
      <c r="AC11933"/>
      <c r="AR11933"/>
    </row>
    <row r="11934" spans="24:44">
      <c r="X11934"/>
      <c r="Y11934"/>
      <c r="Z11934"/>
      <c r="AA11934"/>
      <c r="AC11934"/>
      <c r="AR11934"/>
    </row>
    <row r="11935" spans="24:44">
      <c r="X11935"/>
      <c r="Y11935"/>
      <c r="Z11935"/>
      <c r="AA11935"/>
      <c r="AC11935"/>
      <c r="AR11935"/>
    </row>
    <row r="11936" spans="24:44">
      <c r="X11936"/>
      <c r="Y11936"/>
      <c r="Z11936"/>
      <c r="AA11936"/>
      <c r="AC11936"/>
      <c r="AR11936"/>
    </row>
    <row r="11937" spans="24:44">
      <c r="X11937"/>
      <c r="Y11937"/>
      <c r="Z11937"/>
      <c r="AA11937"/>
      <c r="AC11937"/>
      <c r="AR11937"/>
    </row>
    <row r="11938" spans="24:44">
      <c r="X11938"/>
      <c r="Y11938"/>
      <c r="Z11938"/>
      <c r="AA11938"/>
      <c r="AC11938"/>
      <c r="AR11938"/>
    </row>
    <row r="11939" spans="24:44">
      <c r="X11939"/>
      <c r="Y11939"/>
      <c r="Z11939"/>
      <c r="AA11939"/>
      <c r="AC11939"/>
      <c r="AR11939"/>
    </row>
    <row r="11940" spans="24:44">
      <c r="X11940"/>
      <c r="Y11940"/>
      <c r="Z11940"/>
      <c r="AA11940"/>
      <c r="AC11940"/>
      <c r="AR11940"/>
    </row>
    <row r="11941" spans="24:44">
      <c r="X11941"/>
      <c r="Y11941"/>
      <c r="Z11941"/>
      <c r="AA11941"/>
      <c r="AC11941"/>
      <c r="AR11941"/>
    </row>
    <row r="11942" spans="24:44">
      <c r="X11942"/>
      <c r="Y11942"/>
      <c r="Z11942"/>
      <c r="AA11942"/>
      <c r="AC11942"/>
      <c r="AR11942"/>
    </row>
    <row r="11943" spans="24:44">
      <c r="X11943"/>
      <c r="Y11943"/>
      <c r="Z11943"/>
      <c r="AA11943"/>
      <c r="AC11943"/>
      <c r="AR11943"/>
    </row>
    <row r="11944" spans="24:44">
      <c r="X11944"/>
      <c r="Y11944"/>
      <c r="Z11944"/>
      <c r="AA11944"/>
      <c r="AC11944"/>
      <c r="AR11944"/>
    </row>
    <row r="11945" spans="24:44">
      <c r="X11945"/>
      <c r="Y11945"/>
      <c r="Z11945"/>
      <c r="AA11945"/>
      <c r="AC11945"/>
      <c r="AR11945"/>
    </row>
    <row r="11946" spans="24:44">
      <c r="X11946"/>
      <c r="Y11946"/>
      <c r="Z11946"/>
      <c r="AA11946"/>
      <c r="AC11946"/>
      <c r="AR11946"/>
    </row>
    <row r="11947" spans="24:44">
      <c r="X11947"/>
      <c r="Y11947"/>
      <c r="Z11947"/>
      <c r="AA11947"/>
      <c r="AC11947"/>
      <c r="AR11947"/>
    </row>
    <row r="11948" spans="24:44">
      <c r="X11948"/>
      <c r="Y11948"/>
      <c r="Z11948"/>
      <c r="AA11948"/>
      <c r="AC11948"/>
      <c r="AR11948"/>
    </row>
    <row r="11949" spans="24:44">
      <c r="X11949"/>
      <c r="Y11949"/>
      <c r="Z11949"/>
      <c r="AA11949"/>
      <c r="AC11949"/>
      <c r="AR11949"/>
    </row>
    <row r="11950" spans="24:44">
      <c r="X11950"/>
      <c r="Y11950"/>
      <c r="Z11950"/>
      <c r="AA11950"/>
      <c r="AC11950"/>
      <c r="AR11950"/>
    </row>
    <row r="11951" spans="24:44">
      <c r="X11951"/>
      <c r="Y11951"/>
      <c r="Z11951"/>
      <c r="AA11951"/>
      <c r="AC11951"/>
      <c r="AR11951"/>
    </row>
    <row r="11952" spans="24:44">
      <c r="X11952"/>
      <c r="Y11952"/>
      <c r="Z11952"/>
      <c r="AA11952"/>
      <c r="AC11952"/>
      <c r="AR11952"/>
    </row>
    <row r="11953" spans="24:44">
      <c r="X11953"/>
      <c r="Y11953"/>
      <c r="Z11953"/>
      <c r="AA11953"/>
      <c r="AC11953"/>
      <c r="AR11953"/>
    </row>
    <row r="11954" spans="24:44">
      <c r="X11954"/>
      <c r="Y11954"/>
      <c r="Z11954"/>
      <c r="AA11954"/>
      <c r="AC11954"/>
      <c r="AR11954"/>
    </row>
    <row r="11955" spans="24:44">
      <c r="X11955"/>
      <c r="Y11955"/>
      <c r="Z11955"/>
      <c r="AA11955"/>
      <c r="AC11955"/>
      <c r="AR11955"/>
    </row>
    <row r="11956" spans="24:44">
      <c r="X11956"/>
      <c r="Y11956"/>
      <c r="Z11956"/>
      <c r="AA11956"/>
      <c r="AC11956"/>
      <c r="AR11956"/>
    </row>
    <row r="11957" spans="24:44">
      <c r="X11957"/>
      <c r="Y11957"/>
      <c r="Z11957"/>
      <c r="AA11957"/>
      <c r="AC11957"/>
      <c r="AR11957"/>
    </row>
    <row r="11958" spans="24:44">
      <c r="X11958"/>
      <c r="Y11958"/>
      <c r="Z11958"/>
      <c r="AA11958"/>
      <c r="AC11958"/>
      <c r="AR11958"/>
    </row>
    <row r="11959" spans="24:44">
      <c r="X11959"/>
      <c r="Y11959"/>
      <c r="Z11959"/>
      <c r="AA11959"/>
      <c r="AC11959"/>
      <c r="AR11959"/>
    </row>
    <row r="11960" spans="24:44">
      <c r="X11960"/>
      <c r="Y11960"/>
      <c r="Z11960"/>
      <c r="AA11960"/>
      <c r="AC11960"/>
      <c r="AR11960"/>
    </row>
    <row r="11961" spans="24:44">
      <c r="X11961"/>
      <c r="Y11961"/>
      <c r="Z11961"/>
      <c r="AA11961"/>
      <c r="AC11961"/>
      <c r="AR11961"/>
    </row>
    <row r="11962" spans="24:44">
      <c r="X11962"/>
      <c r="Y11962"/>
      <c r="Z11962"/>
      <c r="AA11962"/>
      <c r="AC11962"/>
      <c r="AR11962"/>
    </row>
    <row r="11963" spans="24:44">
      <c r="X11963"/>
      <c r="Y11963"/>
      <c r="Z11963"/>
      <c r="AA11963"/>
      <c r="AC11963"/>
      <c r="AR11963"/>
    </row>
    <row r="11964" spans="24:44">
      <c r="X11964"/>
      <c r="Y11964"/>
      <c r="Z11964"/>
      <c r="AA11964"/>
      <c r="AC11964"/>
      <c r="AR11964"/>
    </row>
    <row r="11965" spans="24:44">
      <c r="X11965"/>
      <c r="Y11965"/>
      <c r="Z11965"/>
      <c r="AA11965"/>
      <c r="AC11965"/>
      <c r="AR11965"/>
    </row>
    <row r="11966" spans="24:44">
      <c r="X11966"/>
      <c r="Y11966"/>
      <c r="Z11966"/>
      <c r="AA11966"/>
      <c r="AC11966"/>
      <c r="AR11966"/>
    </row>
    <row r="11967" spans="24:44">
      <c r="X11967"/>
      <c r="Y11967"/>
      <c r="Z11967"/>
      <c r="AA11967"/>
      <c r="AC11967"/>
      <c r="AR11967"/>
    </row>
    <row r="11968" spans="24:44">
      <c r="X11968"/>
      <c r="Y11968"/>
      <c r="Z11968"/>
      <c r="AA11968"/>
      <c r="AC11968"/>
      <c r="AR11968"/>
    </row>
    <row r="11969" spans="24:44">
      <c r="X11969"/>
      <c r="Y11969"/>
      <c r="Z11969"/>
      <c r="AA11969"/>
      <c r="AC11969"/>
      <c r="AR11969"/>
    </row>
    <row r="11970" spans="24:44">
      <c r="X11970"/>
      <c r="Y11970"/>
      <c r="Z11970"/>
      <c r="AA11970"/>
      <c r="AC11970"/>
      <c r="AR11970"/>
    </row>
    <row r="11971" spans="24:44">
      <c r="X11971"/>
      <c r="Y11971"/>
      <c r="Z11971"/>
      <c r="AA11971"/>
      <c r="AC11971"/>
      <c r="AR11971"/>
    </row>
    <row r="11972" spans="24:44">
      <c r="X11972"/>
      <c r="Y11972"/>
      <c r="Z11972"/>
      <c r="AA11972"/>
      <c r="AC11972"/>
      <c r="AR11972"/>
    </row>
    <row r="11973" spans="24:44">
      <c r="X11973"/>
      <c r="Y11973"/>
      <c r="Z11973"/>
      <c r="AA11973"/>
      <c r="AC11973"/>
      <c r="AR11973"/>
    </row>
    <row r="11974" spans="24:44">
      <c r="X11974"/>
      <c r="Y11974"/>
      <c r="Z11974"/>
      <c r="AA11974"/>
      <c r="AC11974"/>
      <c r="AR11974"/>
    </row>
    <row r="11975" spans="24:44">
      <c r="X11975"/>
      <c r="Y11975"/>
      <c r="Z11975"/>
      <c r="AA11975"/>
      <c r="AC11975"/>
      <c r="AR11975"/>
    </row>
    <row r="11976" spans="24:44">
      <c r="X11976"/>
      <c r="Y11976"/>
      <c r="Z11976"/>
      <c r="AA11976"/>
      <c r="AC11976"/>
      <c r="AR11976"/>
    </row>
    <row r="11977" spans="24:44">
      <c r="X11977"/>
      <c r="Y11977"/>
      <c r="Z11977"/>
      <c r="AA11977"/>
      <c r="AC11977"/>
      <c r="AR11977"/>
    </row>
    <row r="11978" spans="24:44">
      <c r="X11978"/>
      <c r="Y11978"/>
      <c r="Z11978"/>
      <c r="AA11978"/>
      <c r="AC11978"/>
      <c r="AR11978"/>
    </row>
    <row r="11979" spans="24:44">
      <c r="X11979"/>
      <c r="Y11979"/>
      <c r="Z11979"/>
      <c r="AA11979"/>
      <c r="AC11979"/>
      <c r="AR11979"/>
    </row>
    <row r="11980" spans="24:44">
      <c r="X11980"/>
      <c r="Y11980"/>
      <c r="Z11980"/>
      <c r="AA11980"/>
      <c r="AC11980"/>
      <c r="AR11980"/>
    </row>
    <row r="11981" spans="24:44">
      <c r="X11981"/>
      <c r="Y11981"/>
      <c r="Z11981"/>
      <c r="AA11981"/>
      <c r="AC11981"/>
      <c r="AR11981"/>
    </row>
    <row r="11982" spans="24:44">
      <c r="X11982"/>
      <c r="Y11982"/>
      <c r="Z11982"/>
      <c r="AA11982"/>
      <c r="AC11982"/>
      <c r="AR11982"/>
    </row>
    <row r="11983" spans="24:44">
      <c r="X11983"/>
      <c r="Y11983"/>
      <c r="Z11983"/>
      <c r="AA11983"/>
      <c r="AC11983"/>
      <c r="AR11983"/>
    </row>
    <row r="11984" spans="24:44">
      <c r="X11984"/>
      <c r="Y11984"/>
      <c r="Z11984"/>
      <c r="AA11984"/>
      <c r="AC11984"/>
      <c r="AR11984"/>
    </row>
    <row r="11985" spans="24:44">
      <c r="X11985"/>
      <c r="Y11985"/>
      <c r="Z11985"/>
      <c r="AA11985"/>
      <c r="AC11985"/>
      <c r="AR11985"/>
    </row>
    <row r="11986" spans="24:44">
      <c r="X11986"/>
      <c r="Y11986"/>
      <c r="Z11986"/>
      <c r="AA11986"/>
      <c r="AC11986"/>
      <c r="AR11986"/>
    </row>
    <row r="11987" spans="24:44">
      <c r="X11987"/>
      <c r="Y11987"/>
      <c r="Z11987"/>
      <c r="AA11987"/>
      <c r="AC11987"/>
      <c r="AR11987"/>
    </row>
    <row r="11988" spans="24:44">
      <c r="X11988"/>
      <c r="Y11988"/>
      <c r="Z11988"/>
      <c r="AA11988"/>
      <c r="AC11988"/>
      <c r="AR11988"/>
    </row>
    <row r="11989" spans="24:44">
      <c r="X11989"/>
      <c r="Y11989"/>
      <c r="Z11989"/>
      <c r="AA11989"/>
      <c r="AC11989"/>
      <c r="AR11989"/>
    </row>
    <row r="11990" spans="24:44">
      <c r="X11990"/>
      <c r="Y11990"/>
      <c r="Z11990"/>
      <c r="AA11990"/>
      <c r="AC11990"/>
      <c r="AR11990"/>
    </row>
    <row r="11991" spans="24:44">
      <c r="X11991"/>
      <c r="Y11991"/>
      <c r="Z11991"/>
      <c r="AA11991"/>
      <c r="AC11991"/>
      <c r="AR11991"/>
    </row>
    <row r="11992" spans="24:44">
      <c r="X11992"/>
      <c r="Y11992"/>
      <c r="Z11992"/>
      <c r="AA11992"/>
      <c r="AC11992"/>
      <c r="AR11992"/>
    </row>
    <row r="11993" spans="24:44">
      <c r="X11993"/>
      <c r="Y11993"/>
      <c r="Z11993"/>
      <c r="AA11993"/>
      <c r="AC11993"/>
      <c r="AR11993"/>
    </row>
    <row r="11994" spans="24:44">
      <c r="X11994"/>
      <c r="Y11994"/>
      <c r="Z11994"/>
      <c r="AA11994"/>
      <c r="AC11994"/>
      <c r="AR11994"/>
    </row>
    <row r="11995" spans="24:44">
      <c r="X11995"/>
      <c r="Y11995"/>
      <c r="Z11995"/>
      <c r="AA11995"/>
      <c r="AC11995"/>
      <c r="AR11995"/>
    </row>
    <row r="11996" spans="24:44">
      <c r="X11996"/>
      <c r="Y11996"/>
      <c r="Z11996"/>
      <c r="AA11996"/>
      <c r="AC11996"/>
      <c r="AR11996"/>
    </row>
    <row r="11997" spans="24:44">
      <c r="X11997"/>
      <c r="Y11997"/>
      <c r="Z11997"/>
      <c r="AA11997"/>
      <c r="AC11997"/>
      <c r="AR11997"/>
    </row>
    <row r="11998" spans="24:44">
      <c r="X11998"/>
      <c r="Y11998"/>
      <c r="Z11998"/>
      <c r="AA11998"/>
      <c r="AC11998"/>
      <c r="AR11998"/>
    </row>
    <row r="11999" spans="24:44">
      <c r="X11999"/>
      <c r="Y11999"/>
      <c r="Z11999"/>
      <c r="AA11999"/>
      <c r="AC11999"/>
      <c r="AR11999"/>
    </row>
    <row r="12000" spans="24:44">
      <c r="X12000"/>
      <c r="Y12000"/>
      <c r="Z12000"/>
      <c r="AA12000"/>
      <c r="AC12000"/>
      <c r="AR12000"/>
    </row>
    <row r="12001" spans="24:44">
      <c r="X12001"/>
      <c r="Y12001"/>
      <c r="Z12001"/>
      <c r="AA12001"/>
      <c r="AC12001"/>
      <c r="AR12001"/>
    </row>
    <row r="12002" spans="24:44">
      <c r="X12002"/>
      <c r="Y12002"/>
      <c r="Z12002"/>
      <c r="AA12002"/>
      <c r="AC12002"/>
      <c r="AR12002"/>
    </row>
    <row r="12003" spans="24:44">
      <c r="X12003"/>
      <c r="Y12003"/>
      <c r="Z12003"/>
      <c r="AA12003"/>
      <c r="AC12003"/>
      <c r="AR12003"/>
    </row>
    <row r="12004" spans="24:44">
      <c r="X12004"/>
      <c r="Y12004"/>
      <c r="Z12004"/>
      <c r="AA12004"/>
      <c r="AC12004"/>
      <c r="AR12004"/>
    </row>
    <row r="12005" spans="24:44">
      <c r="X12005"/>
      <c r="Y12005"/>
      <c r="Z12005"/>
      <c r="AA12005"/>
      <c r="AC12005"/>
      <c r="AR12005"/>
    </row>
    <row r="12006" spans="24:44">
      <c r="X12006"/>
      <c r="Y12006"/>
      <c r="Z12006"/>
      <c r="AA12006"/>
      <c r="AC12006"/>
      <c r="AR12006"/>
    </row>
    <row r="12007" spans="24:44">
      <c r="X12007"/>
      <c r="Y12007"/>
      <c r="Z12007"/>
      <c r="AA12007"/>
      <c r="AC12007"/>
      <c r="AR12007"/>
    </row>
    <row r="12008" spans="24:44">
      <c r="X12008"/>
      <c r="Y12008"/>
      <c r="Z12008"/>
      <c r="AA12008"/>
      <c r="AC12008"/>
      <c r="AR12008"/>
    </row>
    <row r="12009" spans="24:44">
      <c r="X12009"/>
      <c r="Y12009"/>
      <c r="Z12009"/>
      <c r="AA12009"/>
      <c r="AC12009"/>
      <c r="AR12009"/>
    </row>
    <row r="12010" spans="24:44">
      <c r="X12010"/>
      <c r="Y12010"/>
      <c r="Z12010"/>
      <c r="AA12010"/>
      <c r="AC12010"/>
      <c r="AR12010"/>
    </row>
    <row r="12011" spans="24:44">
      <c r="X12011"/>
      <c r="Y12011"/>
      <c r="Z12011"/>
      <c r="AA12011"/>
      <c r="AC12011"/>
      <c r="AR12011"/>
    </row>
    <row r="12012" spans="24:44">
      <c r="X12012"/>
      <c r="Y12012"/>
      <c r="Z12012"/>
      <c r="AA12012"/>
      <c r="AC12012"/>
      <c r="AR12012"/>
    </row>
    <row r="12013" spans="24:44">
      <c r="X12013"/>
      <c r="Y12013"/>
      <c r="Z12013"/>
      <c r="AA12013"/>
      <c r="AC12013"/>
      <c r="AR12013"/>
    </row>
    <row r="12014" spans="24:44">
      <c r="X12014"/>
      <c r="Y12014"/>
      <c r="Z12014"/>
      <c r="AA12014"/>
      <c r="AC12014"/>
      <c r="AR12014"/>
    </row>
    <row r="12015" spans="24:44">
      <c r="X12015"/>
      <c r="Y12015"/>
      <c r="Z12015"/>
      <c r="AA12015"/>
      <c r="AC12015"/>
      <c r="AR12015"/>
    </row>
    <row r="12016" spans="24:44">
      <c r="X12016"/>
      <c r="Y12016"/>
      <c r="Z12016"/>
      <c r="AA12016"/>
      <c r="AC12016"/>
      <c r="AR12016"/>
    </row>
    <row r="12017" spans="24:44">
      <c r="X12017"/>
      <c r="Y12017"/>
      <c r="Z12017"/>
      <c r="AA12017"/>
      <c r="AC12017"/>
      <c r="AR12017"/>
    </row>
    <row r="12018" spans="24:44">
      <c r="X12018"/>
      <c r="Y12018"/>
      <c r="Z12018"/>
      <c r="AA12018"/>
      <c r="AC12018"/>
      <c r="AR12018"/>
    </row>
    <row r="12019" spans="24:44">
      <c r="X12019"/>
      <c r="Y12019"/>
      <c r="Z12019"/>
      <c r="AA12019"/>
      <c r="AC12019"/>
      <c r="AR12019"/>
    </row>
    <row r="12020" spans="24:44">
      <c r="X12020"/>
      <c r="Y12020"/>
      <c r="Z12020"/>
      <c r="AA12020"/>
      <c r="AC12020"/>
      <c r="AR12020"/>
    </row>
    <row r="12021" spans="24:44">
      <c r="X12021"/>
      <c r="Y12021"/>
      <c r="Z12021"/>
      <c r="AA12021"/>
      <c r="AC12021"/>
      <c r="AR12021"/>
    </row>
    <row r="12022" spans="24:44">
      <c r="X12022"/>
      <c r="Y12022"/>
      <c r="Z12022"/>
      <c r="AA12022"/>
      <c r="AC12022"/>
      <c r="AR12022"/>
    </row>
    <row r="12023" spans="24:44">
      <c r="X12023"/>
      <c r="Y12023"/>
      <c r="Z12023"/>
      <c r="AA12023"/>
      <c r="AC12023"/>
      <c r="AR12023"/>
    </row>
    <row r="12024" spans="24:44">
      <c r="X12024"/>
      <c r="Y12024"/>
      <c r="Z12024"/>
      <c r="AA12024"/>
      <c r="AC12024"/>
      <c r="AR12024"/>
    </row>
    <row r="12025" spans="24:44">
      <c r="X12025"/>
      <c r="Y12025"/>
      <c r="Z12025"/>
      <c r="AA12025"/>
      <c r="AC12025"/>
      <c r="AR12025"/>
    </row>
    <row r="12026" spans="24:44">
      <c r="X12026"/>
      <c r="Y12026"/>
      <c r="Z12026"/>
      <c r="AA12026"/>
      <c r="AC12026"/>
      <c r="AR12026"/>
    </row>
    <row r="12027" spans="24:44">
      <c r="X12027"/>
      <c r="Y12027"/>
      <c r="Z12027"/>
      <c r="AA12027"/>
      <c r="AC12027"/>
      <c r="AR12027"/>
    </row>
    <row r="12028" spans="24:44">
      <c r="X12028"/>
      <c r="Y12028"/>
      <c r="Z12028"/>
      <c r="AA12028"/>
      <c r="AC12028"/>
      <c r="AR12028"/>
    </row>
    <row r="12029" spans="24:44">
      <c r="X12029"/>
      <c r="Y12029"/>
      <c r="Z12029"/>
      <c r="AA12029"/>
      <c r="AC12029"/>
      <c r="AR12029"/>
    </row>
    <row r="12030" spans="24:44">
      <c r="X12030"/>
      <c r="Y12030"/>
      <c r="Z12030"/>
      <c r="AA12030"/>
      <c r="AC12030"/>
      <c r="AR12030"/>
    </row>
    <row r="12031" spans="24:44">
      <c r="X12031"/>
      <c r="Y12031"/>
      <c r="Z12031"/>
      <c r="AA12031"/>
      <c r="AC12031"/>
      <c r="AR12031"/>
    </row>
    <row r="12032" spans="24:44">
      <c r="X12032"/>
      <c r="Y12032"/>
      <c r="Z12032"/>
      <c r="AA12032"/>
      <c r="AC12032"/>
      <c r="AR12032"/>
    </row>
    <row r="12033" spans="24:44">
      <c r="X12033"/>
      <c r="Y12033"/>
      <c r="Z12033"/>
      <c r="AA12033"/>
      <c r="AC12033"/>
      <c r="AR12033"/>
    </row>
    <row r="12034" spans="24:44">
      <c r="X12034"/>
      <c r="Y12034"/>
      <c r="Z12034"/>
      <c r="AA12034"/>
      <c r="AC12034"/>
      <c r="AR12034"/>
    </row>
    <row r="12035" spans="24:44">
      <c r="X12035"/>
      <c r="Y12035"/>
      <c r="Z12035"/>
      <c r="AA12035"/>
      <c r="AC12035"/>
      <c r="AR12035"/>
    </row>
    <row r="12036" spans="24:44">
      <c r="X12036"/>
      <c r="Y12036"/>
      <c r="Z12036"/>
      <c r="AA12036"/>
      <c r="AC12036"/>
      <c r="AR12036"/>
    </row>
    <row r="12037" spans="24:44">
      <c r="X12037"/>
      <c r="Y12037"/>
      <c r="Z12037"/>
      <c r="AA12037"/>
      <c r="AC12037"/>
      <c r="AR12037"/>
    </row>
    <row r="12038" spans="24:44">
      <c r="X12038"/>
      <c r="Y12038"/>
      <c r="Z12038"/>
      <c r="AA12038"/>
      <c r="AC12038"/>
      <c r="AR12038"/>
    </row>
    <row r="12039" spans="24:44">
      <c r="X12039"/>
      <c r="Y12039"/>
      <c r="Z12039"/>
      <c r="AA12039"/>
      <c r="AC12039"/>
      <c r="AR12039"/>
    </row>
    <row r="12040" spans="24:44">
      <c r="X12040"/>
      <c r="Y12040"/>
      <c r="Z12040"/>
      <c r="AA12040"/>
      <c r="AC12040"/>
      <c r="AR12040"/>
    </row>
    <row r="12041" spans="24:44">
      <c r="X12041"/>
      <c r="Y12041"/>
      <c r="Z12041"/>
      <c r="AA12041"/>
      <c r="AC12041"/>
      <c r="AR12041"/>
    </row>
    <row r="12042" spans="24:44">
      <c r="X12042"/>
      <c r="Y12042"/>
      <c r="Z12042"/>
      <c r="AA12042"/>
      <c r="AC12042"/>
      <c r="AR12042"/>
    </row>
    <row r="12043" spans="24:44">
      <c r="X12043"/>
      <c r="Y12043"/>
      <c r="Z12043"/>
      <c r="AA12043"/>
      <c r="AC12043"/>
      <c r="AR12043"/>
    </row>
    <row r="12044" spans="24:44">
      <c r="X12044"/>
      <c r="Y12044"/>
      <c r="Z12044"/>
      <c r="AA12044"/>
      <c r="AC12044"/>
      <c r="AR12044"/>
    </row>
    <row r="12045" spans="24:44">
      <c r="X12045"/>
      <c r="Y12045"/>
      <c r="Z12045"/>
      <c r="AA12045"/>
      <c r="AC12045"/>
      <c r="AR12045"/>
    </row>
    <row r="12046" spans="24:44">
      <c r="X12046"/>
      <c r="Y12046"/>
      <c r="Z12046"/>
      <c r="AA12046"/>
      <c r="AC12046"/>
      <c r="AR12046"/>
    </row>
    <row r="12047" spans="24:44">
      <c r="X12047"/>
      <c r="Y12047"/>
      <c r="Z12047"/>
      <c r="AA12047"/>
      <c r="AC12047"/>
      <c r="AR12047"/>
    </row>
    <row r="12048" spans="24:44">
      <c r="X12048"/>
      <c r="Y12048"/>
      <c r="Z12048"/>
      <c r="AA12048"/>
      <c r="AC12048"/>
      <c r="AR12048"/>
    </row>
    <row r="12049" spans="24:44">
      <c r="X12049"/>
      <c r="Y12049"/>
      <c r="Z12049"/>
      <c r="AA12049"/>
      <c r="AC12049"/>
      <c r="AR12049"/>
    </row>
    <row r="12050" spans="24:44">
      <c r="X12050"/>
      <c r="Y12050"/>
      <c r="Z12050"/>
      <c r="AA12050"/>
      <c r="AC12050"/>
      <c r="AR12050"/>
    </row>
    <row r="12051" spans="24:44">
      <c r="X12051"/>
      <c r="Y12051"/>
      <c r="Z12051"/>
      <c r="AA12051"/>
      <c r="AC12051"/>
      <c r="AR12051"/>
    </row>
    <row r="12052" spans="24:44">
      <c r="X12052"/>
      <c r="Y12052"/>
      <c r="Z12052"/>
      <c r="AA12052"/>
      <c r="AC12052"/>
      <c r="AR12052"/>
    </row>
    <row r="12053" spans="24:44">
      <c r="X12053"/>
      <c r="Y12053"/>
      <c r="Z12053"/>
      <c r="AA12053"/>
      <c r="AC12053"/>
      <c r="AR12053"/>
    </row>
    <row r="12054" spans="24:44">
      <c r="X12054"/>
      <c r="Y12054"/>
      <c r="Z12054"/>
      <c r="AA12054"/>
      <c r="AC12054"/>
      <c r="AR12054"/>
    </row>
    <row r="12055" spans="24:44">
      <c r="X12055"/>
      <c r="Y12055"/>
      <c r="Z12055"/>
      <c r="AA12055"/>
      <c r="AC12055"/>
      <c r="AR12055"/>
    </row>
    <row r="12056" spans="24:44">
      <c r="X12056"/>
      <c r="Y12056"/>
      <c r="Z12056"/>
      <c r="AA12056"/>
      <c r="AC12056"/>
      <c r="AR12056"/>
    </row>
    <row r="12057" spans="24:44">
      <c r="X12057"/>
      <c r="Y12057"/>
      <c r="Z12057"/>
      <c r="AA12057"/>
      <c r="AC12057"/>
      <c r="AR12057"/>
    </row>
    <row r="12058" spans="24:44">
      <c r="X12058"/>
      <c r="Y12058"/>
      <c r="Z12058"/>
      <c r="AA12058"/>
      <c r="AC12058"/>
      <c r="AR12058"/>
    </row>
    <row r="12059" spans="24:44">
      <c r="X12059"/>
      <c r="Y12059"/>
      <c r="Z12059"/>
      <c r="AA12059"/>
      <c r="AC12059"/>
      <c r="AR12059"/>
    </row>
    <row r="12060" spans="24:44">
      <c r="X12060"/>
      <c r="Y12060"/>
      <c r="Z12060"/>
      <c r="AA12060"/>
      <c r="AC12060"/>
      <c r="AR12060"/>
    </row>
    <row r="12061" spans="24:44">
      <c r="X12061"/>
      <c r="Y12061"/>
      <c r="Z12061"/>
      <c r="AA12061"/>
      <c r="AC12061"/>
      <c r="AR12061"/>
    </row>
    <row r="12062" spans="24:44">
      <c r="X12062"/>
      <c r="Y12062"/>
      <c r="Z12062"/>
      <c r="AA12062"/>
      <c r="AC12062"/>
      <c r="AR12062"/>
    </row>
    <row r="12063" spans="24:44">
      <c r="X12063"/>
      <c r="Y12063"/>
      <c r="Z12063"/>
      <c r="AA12063"/>
      <c r="AC12063"/>
      <c r="AR12063"/>
    </row>
    <row r="12064" spans="24:44">
      <c r="X12064"/>
      <c r="Y12064"/>
      <c r="Z12064"/>
      <c r="AA12064"/>
      <c r="AC12064"/>
      <c r="AR12064"/>
    </row>
    <row r="12065" spans="24:44">
      <c r="X12065"/>
      <c r="Y12065"/>
      <c r="Z12065"/>
      <c r="AA12065"/>
      <c r="AC12065"/>
      <c r="AR12065"/>
    </row>
    <row r="12066" spans="24:44">
      <c r="X12066"/>
      <c r="Y12066"/>
      <c r="Z12066"/>
      <c r="AA12066"/>
      <c r="AC12066"/>
      <c r="AR12066"/>
    </row>
    <row r="12067" spans="24:44">
      <c r="X12067"/>
      <c r="Y12067"/>
      <c r="Z12067"/>
      <c r="AA12067"/>
      <c r="AC12067"/>
      <c r="AR12067"/>
    </row>
    <row r="12068" spans="24:44">
      <c r="X12068"/>
      <c r="Y12068"/>
      <c r="Z12068"/>
      <c r="AA12068"/>
      <c r="AC12068"/>
      <c r="AR12068"/>
    </row>
    <row r="12069" spans="24:44">
      <c r="X12069"/>
      <c r="Y12069"/>
      <c r="Z12069"/>
      <c r="AA12069"/>
      <c r="AC12069"/>
      <c r="AR12069"/>
    </row>
    <row r="12070" spans="24:44">
      <c r="X12070"/>
      <c r="Y12070"/>
      <c r="Z12070"/>
      <c r="AA12070"/>
      <c r="AC12070"/>
      <c r="AR12070"/>
    </row>
    <row r="12071" spans="24:44">
      <c r="X12071"/>
      <c r="Y12071"/>
      <c r="Z12071"/>
      <c r="AA12071"/>
      <c r="AC12071"/>
      <c r="AR12071"/>
    </row>
    <row r="12072" spans="24:44">
      <c r="X12072"/>
      <c r="Y12072"/>
      <c r="Z12072"/>
      <c r="AA12072"/>
      <c r="AC12072"/>
      <c r="AR12072"/>
    </row>
    <row r="12073" spans="24:44">
      <c r="X12073"/>
      <c r="Y12073"/>
      <c r="Z12073"/>
      <c r="AA12073"/>
      <c r="AC12073"/>
      <c r="AR12073"/>
    </row>
    <row r="12074" spans="24:44">
      <c r="X12074"/>
      <c r="Y12074"/>
      <c r="Z12074"/>
      <c r="AA12074"/>
      <c r="AC12074"/>
      <c r="AR12074"/>
    </row>
    <row r="12075" spans="24:44">
      <c r="X12075"/>
      <c r="Y12075"/>
      <c r="Z12075"/>
      <c r="AA12075"/>
      <c r="AC12075"/>
      <c r="AR12075"/>
    </row>
    <row r="12076" spans="24:44">
      <c r="X12076"/>
      <c r="Y12076"/>
      <c r="Z12076"/>
      <c r="AA12076"/>
      <c r="AC12076"/>
      <c r="AR12076"/>
    </row>
    <row r="12077" spans="24:44">
      <c r="X12077"/>
      <c r="Y12077"/>
      <c r="Z12077"/>
      <c r="AA12077"/>
      <c r="AC12077"/>
      <c r="AR12077"/>
    </row>
    <row r="12078" spans="24:44">
      <c r="X12078"/>
      <c r="Y12078"/>
      <c r="Z12078"/>
      <c r="AA12078"/>
      <c r="AC12078"/>
      <c r="AR12078"/>
    </row>
    <row r="12079" spans="24:44">
      <c r="X12079"/>
      <c r="Y12079"/>
      <c r="Z12079"/>
      <c r="AA12079"/>
      <c r="AC12079"/>
      <c r="AR12079"/>
    </row>
    <row r="12080" spans="24:44">
      <c r="X12080"/>
      <c r="Y12080"/>
      <c r="Z12080"/>
      <c r="AA12080"/>
      <c r="AC12080"/>
      <c r="AR12080"/>
    </row>
    <row r="12081" spans="24:44">
      <c r="X12081"/>
      <c r="Y12081"/>
      <c r="Z12081"/>
      <c r="AA12081"/>
      <c r="AC12081"/>
      <c r="AR12081"/>
    </row>
    <row r="12082" spans="24:44">
      <c r="X12082"/>
      <c r="Y12082"/>
      <c r="Z12082"/>
      <c r="AA12082"/>
      <c r="AC12082"/>
      <c r="AR12082"/>
    </row>
    <row r="12083" spans="24:44">
      <c r="X12083"/>
      <c r="Y12083"/>
      <c r="Z12083"/>
      <c r="AA12083"/>
      <c r="AC12083"/>
      <c r="AR12083"/>
    </row>
    <row r="12084" spans="24:44">
      <c r="X12084"/>
      <c r="Y12084"/>
      <c r="Z12084"/>
      <c r="AA12084"/>
      <c r="AC12084"/>
      <c r="AR12084"/>
    </row>
    <row r="12085" spans="24:44">
      <c r="X12085"/>
      <c r="Y12085"/>
      <c r="Z12085"/>
      <c r="AA12085"/>
      <c r="AC12085"/>
      <c r="AR12085"/>
    </row>
    <row r="12086" spans="24:44">
      <c r="X12086"/>
      <c r="Y12086"/>
      <c r="Z12086"/>
      <c r="AA12086"/>
      <c r="AC12086"/>
      <c r="AR12086"/>
    </row>
    <row r="12087" spans="24:44">
      <c r="X12087"/>
      <c r="Y12087"/>
      <c r="Z12087"/>
      <c r="AA12087"/>
      <c r="AC12087"/>
      <c r="AR12087"/>
    </row>
    <row r="12088" spans="24:44">
      <c r="X12088"/>
      <c r="Y12088"/>
      <c r="Z12088"/>
      <c r="AA12088"/>
      <c r="AC12088"/>
      <c r="AR12088"/>
    </row>
    <row r="12089" spans="24:44">
      <c r="X12089"/>
      <c r="Y12089"/>
      <c r="Z12089"/>
      <c r="AA12089"/>
      <c r="AC12089"/>
      <c r="AR12089"/>
    </row>
    <row r="12090" spans="24:44">
      <c r="X12090"/>
      <c r="Y12090"/>
      <c r="Z12090"/>
      <c r="AA12090"/>
      <c r="AC12090"/>
      <c r="AR12090"/>
    </row>
    <row r="12091" spans="24:44">
      <c r="X12091"/>
      <c r="Y12091"/>
      <c r="Z12091"/>
      <c r="AA12091"/>
      <c r="AC12091"/>
      <c r="AR12091"/>
    </row>
    <row r="12092" spans="24:44">
      <c r="X12092"/>
      <c r="Y12092"/>
      <c r="Z12092"/>
      <c r="AA12092"/>
      <c r="AC12092"/>
      <c r="AR12092"/>
    </row>
    <row r="12093" spans="24:44">
      <c r="X12093"/>
      <c r="Y12093"/>
      <c r="Z12093"/>
      <c r="AA12093"/>
      <c r="AC12093"/>
      <c r="AR12093"/>
    </row>
    <row r="12094" spans="24:44">
      <c r="X12094"/>
      <c r="Y12094"/>
      <c r="Z12094"/>
      <c r="AA12094"/>
      <c r="AC12094"/>
      <c r="AR12094"/>
    </row>
    <row r="12095" spans="24:44">
      <c r="X12095"/>
      <c r="Y12095"/>
      <c r="Z12095"/>
      <c r="AA12095"/>
      <c r="AC12095"/>
      <c r="AR12095"/>
    </row>
    <row r="12096" spans="24:44">
      <c r="X12096"/>
      <c r="Y12096"/>
      <c r="Z12096"/>
      <c r="AA12096"/>
      <c r="AC12096"/>
      <c r="AR12096"/>
    </row>
    <row r="12097" spans="24:44">
      <c r="X12097"/>
      <c r="Y12097"/>
      <c r="Z12097"/>
      <c r="AA12097"/>
      <c r="AC12097"/>
      <c r="AR12097"/>
    </row>
    <row r="12098" spans="24:44">
      <c r="X12098"/>
      <c r="Y12098"/>
      <c r="Z12098"/>
      <c r="AA12098"/>
      <c r="AC12098"/>
      <c r="AR12098"/>
    </row>
    <row r="12099" spans="24:44">
      <c r="X12099"/>
      <c r="Y12099"/>
      <c r="Z12099"/>
      <c r="AA12099"/>
      <c r="AC12099"/>
      <c r="AR12099"/>
    </row>
    <row r="12100" spans="24:44">
      <c r="X12100"/>
      <c r="Y12100"/>
      <c r="Z12100"/>
      <c r="AA12100"/>
      <c r="AC12100"/>
      <c r="AR12100"/>
    </row>
    <row r="12101" spans="24:44">
      <c r="X12101"/>
      <c r="Y12101"/>
      <c r="Z12101"/>
      <c r="AA12101"/>
      <c r="AC12101"/>
      <c r="AR12101"/>
    </row>
    <row r="12102" spans="24:44">
      <c r="X12102"/>
      <c r="Y12102"/>
      <c r="Z12102"/>
      <c r="AA12102"/>
      <c r="AC12102"/>
      <c r="AR12102"/>
    </row>
    <row r="12103" spans="24:44">
      <c r="X12103"/>
      <c r="Y12103"/>
      <c r="Z12103"/>
      <c r="AA12103"/>
      <c r="AC12103"/>
      <c r="AR12103"/>
    </row>
    <row r="12104" spans="24:44">
      <c r="X12104"/>
      <c r="Y12104"/>
      <c r="Z12104"/>
      <c r="AA12104"/>
      <c r="AC12104"/>
      <c r="AR12104"/>
    </row>
    <row r="12105" spans="24:44">
      <c r="X12105"/>
      <c r="Y12105"/>
      <c r="Z12105"/>
      <c r="AA12105"/>
      <c r="AC12105"/>
      <c r="AR12105"/>
    </row>
    <row r="12106" spans="24:44">
      <c r="X12106"/>
      <c r="Y12106"/>
      <c r="Z12106"/>
      <c r="AA12106"/>
      <c r="AC12106"/>
      <c r="AR12106"/>
    </row>
    <row r="12107" spans="24:44">
      <c r="X12107"/>
      <c r="Y12107"/>
      <c r="Z12107"/>
      <c r="AA12107"/>
      <c r="AC12107"/>
      <c r="AR12107"/>
    </row>
    <row r="12108" spans="24:44">
      <c r="X12108"/>
      <c r="Y12108"/>
      <c r="Z12108"/>
      <c r="AA12108"/>
      <c r="AC12108"/>
      <c r="AR12108"/>
    </row>
    <row r="12109" spans="24:44">
      <c r="X12109"/>
      <c r="Y12109"/>
      <c r="Z12109"/>
      <c r="AA12109"/>
      <c r="AC12109"/>
      <c r="AR12109"/>
    </row>
    <row r="12110" spans="24:44">
      <c r="X12110"/>
      <c r="Y12110"/>
      <c r="Z12110"/>
      <c r="AA12110"/>
      <c r="AC12110"/>
      <c r="AR12110"/>
    </row>
    <row r="12111" spans="24:44">
      <c r="X12111"/>
      <c r="Y12111"/>
      <c r="Z12111"/>
      <c r="AA12111"/>
      <c r="AC12111"/>
      <c r="AR12111"/>
    </row>
    <row r="12112" spans="24:44">
      <c r="X12112"/>
      <c r="Y12112"/>
      <c r="Z12112"/>
      <c r="AA12112"/>
      <c r="AC12112"/>
      <c r="AR12112"/>
    </row>
    <row r="12113" spans="24:44">
      <c r="X12113"/>
      <c r="Y12113"/>
      <c r="Z12113"/>
      <c r="AA12113"/>
      <c r="AC12113"/>
      <c r="AR12113"/>
    </row>
    <row r="12114" spans="24:44">
      <c r="X12114"/>
      <c r="Y12114"/>
      <c r="Z12114"/>
      <c r="AA12114"/>
      <c r="AC12114"/>
      <c r="AR12114"/>
    </row>
    <row r="12115" spans="24:44">
      <c r="X12115"/>
      <c r="Y12115"/>
      <c r="Z12115"/>
      <c r="AA12115"/>
      <c r="AC12115"/>
      <c r="AR12115"/>
    </row>
    <row r="12116" spans="24:44">
      <c r="X12116"/>
      <c r="Y12116"/>
      <c r="Z12116"/>
      <c r="AA12116"/>
      <c r="AC12116"/>
      <c r="AR12116"/>
    </row>
    <row r="12117" spans="24:44">
      <c r="X12117"/>
      <c r="Y12117"/>
      <c r="Z12117"/>
      <c r="AA12117"/>
      <c r="AC12117"/>
      <c r="AR12117"/>
    </row>
    <row r="12118" spans="24:44">
      <c r="X12118"/>
      <c r="Y12118"/>
      <c r="Z12118"/>
      <c r="AA12118"/>
      <c r="AC12118"/>
      <c r="AR12118"/>
    </row>
    <row r="12119" spans="24:44">
      <c r="X12119"/>
      <c r="Y12119"/>
      <c r="Z12119"/>
      <c r="AA12119"/>
      <c r="AC12119"/>
      <c r="AR12119"/>
    </row>
    <row r="12120" spans="24:44">
      <c r="X12120"/>
      <c r="Y12120"/>
      <c r="Z12120"/>
      <c r="AA12120"/>
      <c r="AC12120"/>
      <c r="AR12120"/>
    </row>
    <row r="12121" spans="24:44">
      <c r="X12121"/>
      <c r="Y12121"/>
      <c r="Z12121"/>
      <c r="AA12121"/>
      <c r="AC12121"/>
      <c r="AR12121"/>
    </row>
    <row r="12122" spans="24:44">
      <c r="X12122"/>
      <c r="Y12122"/>
      <c r="Z12122"/>
      <c r="AA12122"/>
      <c r="AC12122"/>
      <c r="AR12122"/>
    </row>
    <row r="12123" spans="24:44">
      <c r="X12123"/>
      <c r="Y12123"/>
      <c r="Z12123"/>
      <c r="AA12123"/>
      <c r="AC12123"/>
      <c r="AR12123"/>
    </row>
    <row r="12124" spans="24:44">
      <c r="X12124"/>
      <c r="Y12124"/>
      <c r="Z12124"/>
      <c r="AA12124"/>
      <c r="AC12124"/>
      <c r="AR12124"/>
    </row>
    <row r="12125" spans="24:44">
      <c r="X12125"/>
      <c r="Y12125"/>
      <c r="Z12125"/>
      <c r="AA12125"/>
      <c r="AC12125"/>
      <c r="AR12125"/>
    </row>
    <row r="12126" spans="24:44">
      <c r="X12126"/>
      <c r="Y12126"/>
      <c r="Z12126"/>
      <c r="AA12126"/>
      <c r="AC12126"/>
      <c r="AR12126"/>
    </row>
    <row r="12127" spans="24:44">
      <c r="X12127"/>
      <c r="Y12127"/>
      <c r="Z12127"/>
      <c r="AA12127"/>
      <c r="AC12127"/>
      <c r="AR12127"/>
    </row>
    <row r="12128" spans="24:44">
      <c r="X12128"/>
      <c r="Y12128"/>
      <c r="Z12128"/>
      <c r="AA12128"/>
      <c r="AC12128"/>
      <c r="AR12128"/>
    </row>
    <row r="12129" spans="24:44">
      <c r="X12129"/>
      <c r="Y12129"/>
      <c r="Z12129"/>
      <c r="AA12129"/>
      <c r="AC12129"/>
      <c r="AR12129"/>
    </row>
    <row r="12130" spans="24:44">
      <c r="X12130"/>
      <c r="Y12130"/>
      <c r="Z12130"/>
      <c r="AA12130"/>
      <c r="AC12130"/>
      <c r="AR12130"/>
    </row>
    <row r="12131" spans="24:44">
      <c r="X12131"/>
      <c r="Y12131"/>
      <c r="Z12131"/>
      <c r="AA12131"/>
      <c r="AC12131"/>
      <c r="AR12131"/>
    </row>
    <row r="12132" spans="24:44">
      <c r="X12132"/>
      <c r="Y12132"/>
      <c r="Z12132"/>
      <c r="AA12132"/>
      <c r="AC12132"/>
      <c r="AR12132"/>
    </row>
    <row r="12133" spans="24:44">
      <c r="X12133"/>
      <c r="Y12133"/>
      <c r="Z12133"/>
      <c r="AA12133"/>
      <c r="AC12133"/>
      <c r="AR12133"/>
    </row>
    <row r="12134" spans="24:44">
      <c r="X12134"/>
      <c r="Y12134"/>
      <c r="Z12134"/>
      <c r="AA12134"/>
      <c r="AC12134"/>
      <c r="AR12134"/>
    </row>
    <row r="12135" spans="24:44">
      <c r="X12135"/>
      <c r="Y12135"/>
      <c r="Z12135"/>
      <c r="AA12135"/>
      <c r="AC12135"/>
      <c r="AR12135"/>
    </row>
    <row r="12136" spans="24:44">
      <c r="X12136"/>
      <c r="Y12136"/>
      <c r="Z12136"/>
      <c r="AA12136"/>
      <c r="AC12136"/>
      <c r="AR12136"/>
    </row>
    <row r="12137" spans="24:44">
      <c r="X12137"/>
      <c r="Y12137"/>
      <c r="Z12137"/>
      <c r="AA12137"/>
      <c r="AC12137"/>
      <c r="AR12137"/>
    </row>
    <row r="12138" spans="24:44">
      <c r="X12138"/>
      <c r="Y12138"/>
      <c r="Z12138"/>
      <c r="AA12138"/>
      <c r="AC12138"/>
      <c r="AR12138"/>
    </row>
    <row r="12139" spans="24:44">
      <c r="X12139"/>
      <c r="Y12139"/>
      <c r="Z12139"/>
      <c r="AA12139"/>
      <c r="AC12139"/>
      <c r="AR12139"/>
    </row>
    <row r="12140" spans="24:44">
      <c r="X12140"/>
      <c r="Y12140"/>
      <c r="Z12140"/>
      <c r="AA12140"/>
      <c r="AC12140"/>
      <c r="AR12140"/>
    </row>
    <row r="12141" spans="24:44">
      <c r="X12141"/>
      <c r="Y12141"/>
      <c r="Z12141"/>
      <c r="AA12141"/>
      <c r="AC12141"/>
      <c r="AR12141"/>
    </row>
    <row r="12142" spans="24:44">
      <c r="X12142"/>
      <c r="Y12142"/>
      <c r="Z12142"/>
      <c r="AA12142"/>
      <c r="AC12142"/>
      <c r="AR12142"/>
    </row>
    <row r="12143" spans="24:44">
      <c r="X12143"/>
      <c r="Y12143"/>
      <c r="Z12143"/>
      <c r="AA12143"/>
      <c r="AC12143"/>
      <c r="AR12143"/>
    </row>
    <row r="12144" spans="24:44">
      <c r="X12144"/>
      <c r="Y12144"/>
      <c r="Z12144"/>
      <c r="AA12144"/>
      <c r="AC12144"/>
      <c r="AR12144"/>
    </row>
    <row r="12145" spans="24:44">
      <c r="X12145"/>
      <c r="Y12145"/>
      <c r="Z12145"/>
      <c r="AA12145"/>
      <c r="AC12145"/>
      <c r="AR12145"/>
    </row>
    <row r="12146" spans="24:44">
      <c r="X12146"/>
      <c r="Y12146"/>
      <c r="Z12146"/>
      <c r="AA12146"/>
      <c r="AC12146"/>
      <c r="AR12146"/>
    </row>
    <row r="12147" spans="24:44">
      <c r="X12147"/>
      <c r="Y12147"/>
      <c r="Z12147"/>
      <c r="AA12147"/>
      <c r="AC12147"/>
      <c r="AR12147"/>
    </row>
    <row r="12148" spans="24:44">
      <c r="X12148"/>
      <c r="Y12148"/>
      <c r="Z12148"/>
      <c r="AA12148"/>
      <c r="AC12148"/>
      <c r="AR12148"/>
    </row>
    <row r="12149" spans="24:44">
      <c r="X12149"/>
      <c r="Y12149"/>
      <c r="Z12149"/>
      <c r="AA12149"/>
      <c r="AC12149"/>
      <c r="AR12149"/>
    </row>
    <row r="12150" spans="24:44">
      <c r="X12150"/>
      <c r="Y12150"/>
      <c r="Z12150"/>
      <c r="AA12150"/>
      <c r="AC12150"/>
      <c r="AR12150"/>
    </row>
    <row r="12151" spans="24:44">
      <c r="X12151"/>
      <c r="Y12151"/>
      <c r="Z12151"/>
      <c r="AA12151"/>
      <c r="AC12151"/>
      <c r="AR12151"/>
    </row>
    <row r="12152" spans="24:44">
      <c r="X12152"/>
      <c r="Y12152"/>
      <c r="Z12152"/>
      <c r="AA12152"/>
      <c r="AC12152"/>
      <c r="AR12152"/>
    </row>
    <row r="12153" spans="24:44">
      <c r="X12153"/>
      <c r="Y12153"/>
      <c r="Z12153"/>
      <c r="AA12153"/>
      <c r="AC12153"/>
      <c r="AR12153"/>
    </row>
    <row r="12154" spans="24:44">
      <c r="X12154"/>
      <c r="Y12154"/>
      <c r="Z12154"/>
      <c r="AA12154"/>
      <c r="AC12154"/>
      <c r="AR12154"/>
    </row>
    <row r="12155" spans="24:44">
      <c r="X12155"/>
      <c r="Y12155"/>
      <c r="Z12155"/>
      <c r="AA12155"/>
      <c r="AC12155"/>
      <c r="AR12155"/>
    </row>
    <row r="12156" spans="24:44">
      <c r="X12156"/>
      <c r="Y12156"/>
      <c r="Z12156"/>
      <c r="AA12156"/>
      <c r="AC12156"/>
      <c r="AR12156"/>
    </row>
    <row r="12157" spans="24:44">
      <c r="X12157"/>
      <c r="Y12157"/>
      <c r="Z12157"/>
      <c r="AA12157"/>
      <c r="AC12157"/>
      <c r="AR12157"/>
    </row>
    <row r="12158" spans="24:44">
      <c r="X12158"/>
      <c r="Y12158"/>
      <c r="Z12158"/>
      <c r="AA12158"/>
      <c r="AC12158"/>
      <c r="AR12158"/>
    </row>
    <row r="12159" spans="24:44">
      <c r="X12159"/>
      <c r="Y12159"/>
      <c r="Z12159"/>
      <c r="AA12159"/>
      <c r="AC12159"/>
      <c r="AR12159"/>
    </row>
    <row r="12160" spans="24:44">
      <c r="X12160"/>
      <c r="Y12160"/>
      <c r="Z12160"/>
      <c r="AA12160"/>
      <c r="AC12160"/>
      <c r="AR12160"/>
    </row>
    <row r="12161" spans="24:44">
      <c r="X12161"/>
      <c r="Y12161"/>
      <c r="Z12161"/>
      <c r="AA12161"/>
      <c r="AC12161"/>
      <c r="AR12161"/>
    </row>
    <row r="12162" spans="24:44">
      <c r="X12162"/>
      <c r="Y12162"/>
      <c r="Z12162"/>
      <c r="AA12162"/>
      <c r="AC12162"/>
      <c r="AR12162"/>
    </row>
    <row r="12163" spans="24:44">
      <c r="X12163"/>
      <c r="Y12163"/>
      <c r="Z12163"/>
      <c r="AA12163"/>
      <c r="AC12163"/>
      <c r="AR12163"/>
    </row>
    <row r="12164" spans="24:44">
      <c r="X12164"/>
      <c r="Y12164"/>
      <c r="Z12164"/>
      <c r="AA12164"/>
      <c r="AC12164"/>
      <c r="AR12164"/>
    </row>
    <row r="12165" spans="24:44">
      <c r="X12165"/>
      <c r="Y12165"/>
      <c r="Z12165"/>
      <c r="AA12165"/>
      <c r="AC12165"/>
      <c r="AR12165"/>
    </row>
    <row r="12166" spans="24:44">
      <c r="X12166"/>
      <c r="Y12166"/>
      <c r="Z12166"/>
      <c r="AA12166"/>
      <c r="AC12166"/>
      <c r="AR12166"/>
    </row>
    <row r="12167" spans="24:44">
      <c r="X12167"/>
      <c r="Y12167"/>
      <c r="Z12167"/>
      <c r="AA12167"/>
      <c r="AC12167"/>
      <c r="AR12167"/>
    </row>
    <row r="12168" spans="24:44">
      <c r="X12168"/>
      <c r="Y12168"/>
      <c r="Z12168"/>
      <c r="AA12168"/>
      <c r="AC12168"/>
      <c r="AR12168"/>
    </row>
    <row r="12169" spans="24:44">
      <c r="X12169"/>
      <c r="Y12169"/>
      <c r="Z12169"/>
      <c r="AA12169"/>
      <c r="AC12169"/>
      <c r="AR12169"/>
    </row>
    <row r="12170" spans="24:44">
      <c r="X12170"/>
      <c r="Y12170"/>
      <c r="Z12170"/>
      <c r="AA12170"/>
      <c r="AC12170"/>
      <c r="AR12170"/>
    </row>
    <row r="12171" spans="24:44">
      <c r="X12171"/>
      <c r="Y12171"/>
      <c r="Z12171"/>
      <c r="AA12171"/>
      <c r="AC12171"/>
      <c r="AR12171"/>
    </row>
    <row r="12172" spans="24:44">
      <c r="X12172"/>
      <c r="Y12172"/>
      <c r="Z12172"/>
      <c r="AA12172"/>
      <c r="AC12172"/>
      <c r="AR12172"/>
    </row>
    <row r="12173" spans="24:44">
      <c r="X12173"/>
      <c r="Y12173"/>
      <c r="Z12173"/>
      <c r="AA12173"/>
      <c r="AC12173"/>
      <c r="AR12173"/>
    </row>
    <row r="12174" spans="24:44">
      <c r="X12174"/>
      <c r="Y12174"/>
      <c r="Z12174"/>
      <c r="AA12174"/>
      <c r="AC12174"/>
      <c r="AR12174"/>
    </row>
    <row r="12175" spans="24:44">
      <c r="X12175"/>
      <c r="Y12175"/>
      <c r="Z12175"/>
      <c r="AA12175"/>
      <c r="AC12175"/>
      <c r="AR12175"/>
    </row>
    <row r="12176" spans="24:44">
      <c r="X12176"/>
      <c r="Y12176"/>
      <c r="Z12176"/>
      <c r="AA12176"/>
      <c r="AC12176"/>
      <c r="AR12176"/>
    </row>
    <row r="12177" spans="24:44">
      <c r="X12177"/>
      <c r="Y12177"/>
      <c r="Z12177"/>
      <c r="AA12177"/>
      <c r="AC12177"/>
      <c r="AR12177"/>
    </row>
    <row r="12178" spans="24:44">
      <c r="X12178"/>
      <c r="Y12178"/>
      <c r="Z12178"/>
      <c r="AA12178"/>
      <c r="AC12178"/>
      <c r="AR12178"/>
    </row>
    <row r="12179" spans="24:44">
      <c r="X12179"/>
      <c r="Y12179"/>
      <c r="Z12179"/>
      <c r="AA12179"/>
      <c r="AC12179"/>
      <c r="AR12179"/>
    </row>
    <row r="12180" spans="24:44">
      <c r="X12180"/>
      <c r="Y12180"/>
      <c r="Z12180"/>
      <c r="AA12180"/>
      <c r="AC12180"/>
      <c r="AR12180"/>
    </row>
    <row r="12181" spans="24:44">
      <c r="X12181"/>
      <c r="Y12181"/>
      <c r="Z12181"/>
      <c r="AA12181"/>
      <c r="AC12181"/>
      <c r="AR12181"/>
    </row>
    <row r="12182" spans="24:44">
      <c r="X12182"/>
      <c r="Y12182"/>
      <c r="Z12182"/>
      <c r="AA12182"/>
      <c r="AC12182"/>
      <c r="AR12182"/>
    </row>
    <row r="12183" spans="24:44">
      <c r="X12183"/>
      <c r="Y12183"/>
      <c r="Z12183"/>
      <c r="AA12183"/>
      <c r="AC12183"/>
      <c r="AR12183"/>
    </row>
    <row r="12184" spans="24:44">
      <c r="X12184"/>
      <c r="Y12184"/>
      <c r="Z12184"/>
      <c r="AA12184"/>
      <c r="AC12184"/>
      <c r="AR12184"/>
    </row>
    <row r="12185" spans="24:44">
      <c r="X12185"/>
      <c r="Y12185"/>
      <c r="Z12185"/>
      <c r="AA12185"/>
      <c r="AC12185"/>
      <c r="AR12185"/>
    </row>
    <row r="12186" spans="24:44">
      <c r="X12186"/>
      <c r="Y12186"/>
      <c r="Z12186"/>
      <c r="AA12186"/>
      <c r="AC12186"/>
      <c r="AR12186"/>
    </row>
    <row r="12187" spans="24:44">
      <c r="X12187"/>
      <c r="Y12187"/>
      <c r="Z12187"/>
      <c r="AA12187"/>
      <c r="AC12187"/>
      <c r="AR12187"/>
    </row>
    <row r="12188" spans="24:44">
      <c r="X12188"/>
      <c r="Y12188"/>
      <c r="Z12188"/>
      <c r="AA12188"/>
      <c r="AC12188"/>
      <c r="AR12188"/>
    </row>
    <row r="12189" spans="24:44">
      <c r="X12189"/>
      <c r="Y12189"/>
      <c r="Z12189"/>
      <c r="AA12189"/>
      <c r="AC12189"/>
      <c r="AR12189"/>
    </row>
    <row r="12190" spans="24:44">
      <c r="X12190"/>
      <c r="Y12190"/>
      <c r="Z12190"/>
      <c r="AA12190"/>
      <c r="AC12190"/>
      <c r="AR12190"/>
    </row>
    <row r="12191" spans="24:44">
      <c r="X12191"/>
      <c r="Y12191"/>
      <c r="Z12191"/>
      <c r="AA12191"/>
      <c r="AC12191"/>
      <c r="AR12191"/>
    </row>
    <row r="12192" spans="24:44">
      <c r="X12192"/>
      <c r="Y12192"/>
      <c r="Z12192"/>
      <c r="AA12192"/>
      <c r="AC12192"/>
      <c r="AR12192"/>
    </row>
    <row r="12193" spans="24:44">
      <c r="X12193"/>
      <c r="Y12193"/>
      <c r="Z12193"/>
      <c r="AA12193"/>
      <c r="AC12193"/>
      <c r="AR12193"/>
    </row>
    <row r="12194" spans="24:44">
      <c r="X12194"/>
      <c r="Y12194"/>
      <c r="Z12194"/>
      <c r="AA12194"/>
      <c r="AC12194"/>
      <c r="AR12194"/>
    </row>
    <row r="12195" spans="24:44">
      <c r="X12195"/>
      <c r="Y12195"/>
      <c r="Z12195"/>
      <c r="AA12195"/>
      <c r="AC12195"/>
      <c r="AR12195"/>
    </row>
    <row r="12196" spans="24:44">
      <c r="X12196"/>
      <c r="Y12196"/>
      <c r="Z12196"/>
      <c r="AA12196"/>
      <c r="AC12196"/>
      <c r="AR12196"/>
    </row>
    <row r="12197" spans="24:44">
      <c r="X12197"/>
      <c r="Y12197"/>
      <c r="Z12197"/>
      <c r="AA12197"/>
      <c r="AC12197"/>
      <c r="AR12197"/>
    </row>
    <row r="12198" spans="24:44">
      <c r="X12198"/>
      <c r="Y12198"/>
      <c r="Z12198"/>
      <c r="AA12198"/>
      <c r="AC12198"/>
      <c r="AR12198"/>
    </row>
    <row r="12199" spans="24:44">
      <c r="X12199"/>
      <c r="Y12199"/>
      <c r="Z12199"/>
      <c r="AA12199"/>
      <c r="AC12199"/>
      <c r="AR12199"/>
    </row>
    <row r="12200" spans="24:44">
      <c r="X12200"/>
      <c r="Y12200"/>
      <c r="Z12200"/>
      <c r="AA12200"/>
      <c r="AC12200"/>
      <c r="AR12200"/>
    </row>
    <row r="12201" spans="24:44">
      <c r="X12201"/>
      <c r="Y12201"/>
      <c r="Z12201"/>
      <c r="AA12201"/>
      <c r="AC12201"/>
      <c r="AR12201"/>
    </row>
    <row r="12202" spans="24:44">
      <c r="X12202"/>
      <c r="Y12202"/>
      <c r="Z12202"/>
      <c r="AA12202"/>
      <c r="AC12202"/>
      <c r="AR12202"/>
    </row>
    <row r="12203" spans="24:44">
      <c r="X12203"/>
      <c r="Y12203"/>
      <c r="Z12203"/>
      <c r="AA12203"/>
      <c r="AC12203"/>
      <c r="AR12203"/>
    </row>
    <row r="12204" spans="24:44">
      <c r="X12204"/>
      <c r="Y12204"/>
      <c r="Z12204"/>
      <c r="AA12204"/>
      <c r="AC12204"/>
      <c r="AR12204"/>
    </row>
    <row r="12205" spans="24:44">
      <c r="X12205"/>
      <c r="Y12205"/>
      <c r="Z12205"/>
      <c r="AA12205"/>
      <c r="AC12205"/>
      <c r="AR12205"/>
    </row>
    <row r="12206" spans="24:44">
      <c r="X12206"/>
      <c r="Y12206"/>
      <c r="Z12206"/>
      <c r="AA12206"/>
      <c r="AC12206"/>
      <c r="AR12206"/>
    </row>
    <row r="12207" spans="24:44">
      <c r="X12207"/>
      <c r="Y12207"/>
      <c r="Z12207"/>
      <c r="AA12207"/>
      <c r="AC12207"/>
      <c r="AR12207"/>
    </row>
    <row r="12208" spans="24:44">
      <c r="X12208"/>
      <c r="Y12208"/>
      <c r="Z12208"/>
      <c r="AA12208"/>
      <c r="AC12208"/>
      <c r="AR12208"/>
    </row>
    <row r="12209" spans="24:44">
      <c r="X12209"/>
      <c r="Y12209"/>
      <c r="Z12209"/>
      <c r="AA12209"/>
      <c r="AC12209"/>
      <c r="AR12209"/>
    </row>
    <row r="12210" spans="24:44">
      <c r="X12210"/>
      <c r="Y12210"/>
      <c r="Z12210"/>
      <c r="AA12210"/>
      <c r="AC12210"/>
      <c r="AR12210"/>
    </row>
    <row r="12211" spans="24:44">
      <c r="X12211"/>
      <c r="Y12211"/>
      <c r="Z12211"/>
      <c r="AA12211"/>
      <c r="AC12211"/>
      <c r="AR12211"/>
    </row>
    <row r="12212" spans="24:44">
      <c r="X12212"/>
      <c r="Y12212"/>
      <c r="Z12212"/>
      <c r="AA12212"/>
      <c r="AC12212"/>
      <c r="AR12212"/>
    </row>
    <row r="12213" spans="24:44">
      <c r="X12213"/>
      <c r="Y12213"/>
      <c r="Z12213"/>
      <c r="AA12213"/>
      <c r="AC12213"/>
      <c r="AR12213"/>
    </row>
    <row r="12214" spans="24:44">
      <c r="X12214"/>
      <c r="Y12214"/>
      <c r="Z12214"/>
      <c r="AA12214"/>
      <c r="AC12214"/>
      <c r="AR12214"/>
    </row>
    <row r="12215" spans="24:44">
      <c r="X12215"/>
      <c r="Y12215"/>
      <c r="Z12215"/>
      <c r="AA12215"/>
      <c r="AC12215"/>
      <c r="AR12215"/>
    </row>
    <row r="12216" spans="24:44">
      <c r="X12216"/>
      <c r="Y12216"/>
      <c r="Z12216"/>
      <c r="AA12216"/>
      <c r="AC12216"/>
      <c r="AR12216"/>
    </row>
    <row r="12217" spans="24:44">
      <c r="X12217"/>
      <c r="Y12217"/>
      <c r="Z12217"/>
      <c r="AA12217"/>
      <c r="AC12217"/>
      <c r="AR12217"/>
    </row>
    <row r="12218" spans="24:44">
      <c r="X12218"/>
      <c r="Y12218"/>
      <c r="Z12218"/>
      <c r="AA12218"/>
      <c r="AC12218"/>
      <c r="AR12218"/>
    </row>
    <row r="12219" spans="24:44">
      <c r="X12219"/>
      <c r="Y12219"/>
      <c r="Z12219"/>
      <c r="AA12219"/>
      <c r="AC12219"/>
      <c r="AR12219"/>
    </row>
    <row r="12220" spans="24:44">
      <c r="X12220"/>
      <c r="Y12220"/>
      <c r="Z12220"/>
      <c r="AA12220"/>
      <c r="AC12220"/>
      <c r="AR12220"/>
    </row>
    <row r="12221" spans="24:44">
      <c r="X12221"/>
      <c r="Y12221"/>
      <c r="Z12221"/>
      <c r="AA12221"/>
      <c r="AC12221"/>
      <c r="AR12221"/>
    </row>
    <row r="12222" spans="24:44">
      <c r="X12222"/>
      <c r="Y12222"/>
      <c r="Z12222"/>
      <c r="AA12222"/>
      <c r="AC12222"/>
      <c r="AR12222"/>
    </row>
    <row r="12223" spans="24:44">
      <c r="X12223"/>
      <c r="Y12223"/>
      <c r="Z12223"/>
      <c r="AA12223"/>
      <c r="AC12223"/>
      <c r="AR12223"/>
    </row>
    <row r="12224" spans="24:44">
      <c r="X12224"/>
      <c r="Y12224"/>
      <c r="Z12224"/>
      <c r="AA12224"/>
      <c r="AC12224"/>
      <c r="AR12224"/>
    </row>
    <row r="12225" spans="24:44">
      <c r="X12225"/>
      <c r="Y12225"/>
      <c r="Z12225"/>
      <c r="AA12225"/>
      <c r="AC12225"/>
      <c r="AR12225"/>
    </row>
    <row r="12226" spans="24:44">
      <c r="X12226"/>
      <c r="Y12226"/>
      <c r="Z12226"/>
      <c r="AA12226"/>
      <c r="AC12226"/>
      <c r="AR12226"/>
    </row>
    <row r="12227" spans="24:44">
      <c r="X12227"/>
      <c r="Y12227"/>
      <c r="Z12227"/>
      <c r="AA12227"/>
      <c r="AC12227"/>
      <c r="AR12227"/>
    </row>
    <row r="12228" spans="24:44">
      <c r="X12228"/>
      <c r="Y12228"/>
      <c r="Z12228"/>
      <c r="AA12228"/>
      <c r="AC12228"/>
      <c r="AR12228"/>
    </row>
    <row r="12229" spans="24:44">
      <c r="X12229"/>
      <c r="Y12229"/>
      <c r="Z12229"/>
      <c r="AA12229"/>
      <c r="AC12229"/>
      <c r="AR12229"/>
    </row>
    <row r="12230" spans="24:44">
      <c r="X12230"/>
      <c r="Y12230"/>
      <c r="Z12230"/>
      <c r="AA12230"/>
      <c r="AC12230"/>
      <c r="AR12230"/>
    </row>
    <row r="12231" spans="24:44">
      <c r="X12231"/>
      <c r="Y12231"/>
      <c r="Z12231"/>
      <c r="AA12231"/>
      <c r="AC12231"/>
      <c r="AR12231"/>
    </row>
    <row r="12232" spans="24:44">
      <c r="X12232"/>
      <c r="Y12232"/>
      <c r="Z12232"/>
      <c r="AA12232"/>
      <c r="AC12232"/>
      <c r="AR12232"/>
    </row>
    <row r="12233" spans="24:44">
      <c r="X12233"/>
      <c r="Y12233"/>
      <c r="Z12233"/>
      <c r="AA12233"/>
      <c r="AC12233"/>
      <c r="AR12233"/>
    </row>
    <row r="12234" spans="24:44">
      <c r="X12234"/>
      <c r="Y12234"/>
      <c r="Z12234"/>
      <c r="AA12234"/>
      <c r="AC12234"/>
      <c r="AR12234"/>
    </row>
    <row r="12235" spans="24:44">
      <c r="X12235"/>
      <c r="Y12235"/>
      <c r="Z12235"/>
      <c r="AA12235"/>
      <c r="AC12235"/>
      <c r="AR12235"/>
    </row>
    <row r="12236" spans="24:44">
      <c r="X12236"/>
      <c r="Y12236"/>
      <c r="Z12236"/>
      <c r="AA12236"/>
      <c r="AC12236"/>
      <c r="AR12236"/>
    </row>
    <row r="12237" spans="24:44">
      <c r="X12237"/>
      <c r="Y12237"/>
      <c r="Z12237"/>
      <c r="AA12237"/>
      <c r="AC12237"/>
      <c r="AR12237"/>
    </row>
    <row r="12238" spans="24:44">
      <c r="X12238"/>
      <c r="Y12238"/>
      <c r="Z12238"/>
      <c r="AA12238"/>
      <c r="AC12238"/>
      <c r="AR12238"/>
    </row>
    <row r="12239" spans="24:44">
      <c r="X12239"/>
      <c r="Y12239"/>
      <c r="Z12239"/>
      <c r="AA12239"/>
      <c r="AC12239"/>
      <c r="AR12239"/>
    </row>
    <row r="12240" spans="24:44">
      <c r="X12240"/>
      <c r="Y12240"/>
      <c r="Z12240"/>
      <c r="AA12240"/>
      <c r="AC12240"/>
      <c r="AR12240"/>
    </row>
    <row r="12241" spans="24:44">
      <c r="X12241"/>
      <c r="Y12241"/>
      <c r="Z12241"/>
      <c r="AA12241"/>
      <c r="AC12241"/>
      <c r="AR12241"/>
    </row>
    <row r="12242" spans="24:44">
      <c r="X12242"/>
      <c r="Y12242"/>
      <c r="Z12242"/>
      <c r="AA12242"/>
      <c r="AC12242"/>
      <c r="AR12242"/>
    </row>
    <row r="12243" spans="24:44">
      <c r="X12243"/>
      <c r="Y12243"/>
      <c r="Z12243"/>
      <c r="AA12243"/>
      <c r="AC12243"/>
      <c r="AR12243"/>
    </row>
    <row r="12244" spans="24:44">
      <c r="X12244"/>
      <c r="Y12244"/>
      <c r="Z12244"/>
      <c r="AA12244"/>
      <c r="AC12244"/>
      <c r="AR12244"/>
    </row>
    <row r="12245" spans="24:44">
      <c r="X12245"/>
      <c r="Y12245"/>
      <c r="Z12245"/>
      <c r="AA12245"/>
      <c r="AC12245"/>
      <c r="AR12245"/>
    </row>
    <row r="12246" spans="24:44">
      <c r="X12246"/>
      <c r="Y12246"/>
      <c r="Z12246"/>
      <c r="AA12246"/>
      <c r="AC12246"/>
      <c r="AR12246"/>
    </row>
    <row r="12247" spans="24:44">
      <c r="X12247"/>
      <c r="Y12247"/>
      <c r="Z12247"/>
      <c r="AA12247"/>
      <c r="AC12247"/>
      <c r="AR12247"/>
    </row>
    <row r="12248" spans="24:44">
      <c r="X12248"/>
      <c r="Y12248"/>
      <c r="Z12248"/>
      <c r="AA12248"/>
      <c r="AC12248"/>
      <c r="AR12248"/>
    </row>
    <row r="12249" spans="24:44">
      <c r="X12249"/>
      <c r="Y12249"/>
      <c r="Z12249"/>
      <c r="AA12249"/>
      <c r="AC12249"/>
      <c r="AR12249"/>
    </row>
    <row r="12250" spans="24:44">
      <c r="X12250"/>
      <c r="Y12250"/>
      <c r="Z12250"/>
      <c r="AA12250"/>
      <c r="AC12250"/>
      <c r="AR12250"/>
    </row>
    <row r="12251" spans="24:44">
      <c r="X12251"/>
      <c r="Y12251"/>
      <c r="Z12251"/>
      <c r="AA12251"/>
      <c r="AC12251"/>
      <c r="AR12251"/>
    </row>
    <row r="12252" spans="24:44">
      <c r="X12252"/>
      <c r="Y12252"/>
      <c r="Z12252"/>
      <c r="AA12252"/>
      <c r="AC12252"/>
      <c r="AR12252"/>
    </row>
    <row r="12253" spans="24:44">
      <c r="X12253"/>
      <c r="Y12253"/>
      <c r="Z12253"/>
      <c r="AA12253"/>
      <c r="AC12253"/>
      <c r="AR12253"/>
    </row>
    <row r="12254" spans="24:44">
      <c r="X12254"/>
      <c r="Y12254"/>
      <c r="Z12254"/>
      <c r="AA12254"/>
      <c r="AC12254"/>
      <c r="AR12254"/>
    </row>
    <row r="12255" spans="24:44">
      <c r="X12255"/>
      <c r="Y12255"/>
      <c r="Z12255"/>
      <c r="AA12255"/>
      <c r="AC12255"/>
      <c r="AR12255"/>
    </row>
    <row r="12256" spans="24:44">
      <c r="X12256"/>
      <c r="Y12256"/>
      <c r="Z12256"/>
      <c r="AA12256"/>
      <c r="AC12256"/>
      <c r="AR12256"/>
    </row>
    <row r="12257" spans="24:44">
      <c r="X12257"/>
      <c r="Y12257"/>
      <c r="Z12257"/>
      <c r="AA12257"/>
      <c r="AC12257"/>
      <c r="AR12257"/>
    </row>
    <row r="12258" spans="24:44">
      <c r="X12258"/>
      <c r="Y12258"/>
      <c r="Z12258"/>
      <c r="AA12258"/>
      <c r="AC12258"/>
      <c r="AR12258"/>
    </row>
    <row r="12259" spans="24:44">
      <c r="X12259"/>
      <c r="Y12259"/>
      <c r="Z12259"/>
      <c r="AA12259"/>
      <c r="AC12259"/>
      <c r="AR12259"/>
    </row>
    <row r="12260" spans="24:44">
      <c r="X12260"/>
      <c r="Y12260"/>
      <c r="Z12260"/>
      <c r="AA12260"/>
      <c r="AC12260"/>
      <c r="AR12260"/>
    </row>
    <row r="12261" spans="24:44">
      <c r="X12261"/>
      <c r="Y12261"/>
      <c r="Z12261"/>
      <c r="AA12261"/>
      <c r="AC12261"/>
      <c r="AR12261"/>
    </row>
    <row r="12262" spans="24:44">
      <c r="X12262"/>
      <c r="Y12262"/>
      <c r="Z12262"/>
      <c r="AA12262"/>
      <c r="AC12262"/>
      <c r="AR12262"/>
    </row>
    <row r="12263" spans="24:44">
      <c r="X12263"/>
      <c r="Y12263"/>
      <c r="Z12263"/>
      <c r="AA12263"/>
      <c r="AC12263"/>
      <c r="AR12263"/>
    </row>
    <row r="12264" spans="24:44">
      <c r="X12264"/>
      <c r="Y12264"/>
      <c r="Z12264"/>
      <c r="AA12264"/>
      <c r="AC12264"/>
      <c r="AR12264"/>
    </row>
    <row r="12265" spans="24:44">
      <c r="X12265"/>
      <c r="Y12265"/>
      <c r="Z12265"/>
      <c r="AA12265"/>
      <c r="AC12265"/>
      <c r="AR12265"/>
    </row>
    <row r="12266" spans="24:44">
      <c r="X12266"/>
      <c r="Y12266"/>
      <c r="Z12266"/>
      <c r="AA12266"/>
      <c r="AC12266"/>
      <c r="AR12266"/>
    </row>
    <row r="12267" spans="24:44">
      <c r="X12267"/>
      <c r="Y12267"/>
      <c r="Z12267"/>
      <c r="AA12267"/>
      <c r="AC12267"/>
      <c r="AR12267"/>
    </row>
    <row r="12268" spans="24:44">
      <c r="X12268"/>
      <c r="Y12268"/>
      <c r="Z12268"/>
      <c r="AA12268"/>
      <c r="AC12268"/>
      <c r="AR12268"/>
    </row>
    <row r="12269" spans="24:44">
      <c r="X12269"/>
      <c r="Y12269"/>
      <c r="Z12269"/>
      <c r="AA12269"/>
      <c r="AC12269"/>
      <c r="AR12269"/>
    </row>
    <row r="12270" spans="24:44">
      <c r="X12270"/>
      <c r="Y12270"/>
      <c r="Z12270"/>
      <c r="AA12270"/>
      <c r="AC12270"/>
      <c r="AR12270"/>
    </row>
    <row r="12271" spans="24:44">
      <c r="X12271"/>
      <c r="Y12271"/>
      <c r="Z12271"/>
      <c r="AA12271"/>
      <c r="AC12271"/>
      <c r="AR12271"/>
    </row>
    <row r="12272" spans="24:44">
      <c r="X12272"/>
      <c r="Y12272"/>
      <c r="Z12272"/>
      <c r="AA12272"/>
      <c r="AC12272"/>
      <c r="AR12272"/>
    </row>
    <row r="12273" spans="24:44">
      <c r="X12273"/>
      <c r="Y12273"/>
      <c r="Z12273"/>
      <c r="AA12273"/>
      <c r="AC12273"/>
      <c r="AR12273"/>
    </row>
    <row r="12274" spans="24:44">
      <c r="X12274"/>
      <c r="Y12274"/>
      <c r="Z12274"/>
      <c r="AA12274"/>
      <c r="AC12274"/>
      <c r="AR12274"/>
    </row>
    <row r="12275" spans="24:44">
      <c r="X12275"/>
      <c r="Y12275"/>
      <c r="Z12275"/>
      <c r="AA12275"/>
      <c r="AC12275"/>
      <c r="AR12275"/>
    </row>
    <row r="12276" spans="24:44">
      <c r="X12276"/>
      <c r="Y12276"/>
      <c r="Z12276"/>
      <c r="AA12276"/>
      <c r="AC12276"/>
      <c r="AR12276"/>
    </row>
    <row r="12277" spans="24:44">
      <c r="X12277"/>
      <c r="Y12277"/>
      <c r="Z12277"/>
      <c r="AA12277"/>
      <c r="AC12277"/>
      <c r="AR12277"/>
    </row>
    <row r="12278" spans="24:44">
      <c r="X12278"/>
      <c r="Y12278"/>
      <c r="Z12278"/>
      <c r="AA12278"/>
      <c r="AC12278"/>
      <c r="AR12278"/>
    </row>
    <row r="12279" spans="24:44">
      <c r="X12279"/>
      <c r="Y12279"/>
      <c r="Z12279"/>
      <c r="AA12279"/>
      <c r="AC12279"/>
      <c r="AR12279"/>
    </row>
    <row r="12280" spans="24:44">
      <c r="X12280"/>
      <c r="Y12280"/>
      <c r="Z12280"/>
      <c r="AA12280"/>
      <c r="AC12280"/>
      <c r="AR12280"/>
    </row>
    <row r="12281" spans="24:44">
      <c r="X12281"/>
      <c r="Y12281"/>
      <c r="Z12281"/>
      <c r="AA12281"/>
      <c r="AC12281"/>
      <c r="AR12281"/>
    </row>
    <row r="12282" spans="24:44">
      <c r="X12282"/>
      <c r="Y12282"/>
      <c r="Z12282"/>
      <c r="AA12282"/>
      <c r="AC12282"/>
      <c r="AR12282"/>
    </row>
    <row r="12283" spans="24:44">
      <c r="X12283"/>
      <c r="Y12283"/>
      <c r="Z12283"/>
      <c r="AA12283"/>
      <c r="AC12283"/>
      <c r="AR12283"/>
    </row>
    <row r="12284" spans="24:44">
      <c r="X12284"/>
      <c r="Y12284"/>
      <c r="Z12284"/>
      <c r="AA12284"/>
      <c r="AC12284"/>
      <c r="AR12284"/>
    </row>
    <row r="12285" spans="24:44">
      <c r="X12285"/>
      <c r="Y12285"/>
      <c r="Z12285"/>
      <c r="AA12285"/>
      <c r="AC12285"/>
      <c r="AR12285"/>
    </row>
    <row r="12286" spans="24:44">
      <c r="X12286"/>
      <c r="Y12286"/>
      <c r="Z12286"/>
      <c r="AA12286"/>
      <c r="AC12286"/>
      <c r="AR12286"/>
    </row>
    <row r="12287" spans="24:44">
      <c r="X12287"/>
      <c r="Y12287"/>
      <c r="Z12287"/>
      <c r="AA12287"/>
      <c r="AC12287"/>
      <c r="AR12287"/>
    </row>
    <row r="12288" spans="24:44">
      <c r="X12288"/>
      <c r="Y12288"/>
      <c r="Z12288"/>
      <c r="AA12288"/>
      <c r="AC12288"/>
      <c r="AR12288"/>
    </row>
    <row r="12289" spans="24:44">
      <c r="X12289"/>
      <c r="Y12289"/>
      <c r="Z12289"/>
      <c r="AA12289"/>
      <c r="AC12289"/>
      <c r="AR12289"/>
    </row>
    <row r="12290" spans="24:44">
      <c r="X12290"/>
      <c r="Y12290"/>
      <c r="Z12290"/>
      <c r="AA12290"/>
      <c r="AC12290"/>
      <c r="AR12290"/>
    </row>
    <row r="12291" spans="24:44">
      <c r="X12291"/>
      <c r="Y12291"/>
      <c r="Z12291"/>
      <c r="AA12291"/>
      <c r="AC12291"/>
      <c r="AR12291"/>
    </row>
    <row r="12292" spans="24:44">
      <c r="X12292"/>
      <c r="Y12292"/>
      <c r="Z12292"/>
      <c r="AA12292"/>
      <c r="AC12292"/>
      <c r="AR12292"/>
    </row>
    <row r="12293" spans="24:44">
      <c r="X12293"/>
      <c r="Y12293"/>
      <c r="Z12293"/>
      <c r="AA12293"/>
      <c r="AC12293"/>
      <c r="AR12293"/>
    </row>
    <row r="12294" spans="24:44">
      <c r="X12294"/>
      <c r="Y12294"/>
      <c r="Z12294"/>
      <c r="AA12294"/>
      <c r="AC12294"/>
      <c r="AR12294"/>
    </row>
    <row r="12295" spans="24:44">
      <c r="X12295"/>
      <c r="Y12295"/>
      <c r="Z12295"/>
      <c r="AA12295"/>
      <c r="AC12295"/>
      <c r="AR12295"/>
    </row>
    <row r="12296" spans="24:44">
      <c r="X12296"/>
      <c r="Y12296"/>
      <c r="Z12296"/>
      <c r="AA12296"/>
      <c r="AC12296"/>
      <c r="AR12296"/>
    </row>
    <row r="12297" spans="24:44">
      <c r="X12297"/>
      <c r="Y12297"/>
      <c r="Z12297"/>
      <c r="AA12297"/>
      <c r="AC12297"/>
      <c r="AR12297"/>
    </row>
    <row r="12298" spans="24:44">
      <c r="X12298"/>
      <c r="Y12298"/>
      <c r="Z12298"/>
      <c r="AA12298"/>
      <c r="AC12298"/>
      <c r="AR12298"/>
    </row>
    <row r="12299" spans="24:44">
      <c r="X12299"/>
      <c r="Y12299"/>
      <c r="Z12299"/>
      <c r="AA12299"/>
      <c r="AC12299"/>
      <c r="AR12299"/>
    </row>
    <row r="12300" spans="24:44">
      <c r="X12300"/>
      <c r="Y12300"/>
      <c r="Z12300"/>
      <c r="AA12300"/>
      <c r="AC12300"/>
      <c r="AR12300"/>
    </row>
    <row r="12301" spans="24:44">
      <c r="X12301"/>
      <c r="Y12301"/>
      <c r="Z12301"/>
      <c r="AA12301"/>
      <c r="AC12301"/>
      <c r="AR12301"/>
    </row>
    <row r="12302" spans="24:44">
      <c r="X12302"/>
      <c r="Y12302"/>
      <c r="Z12302"/>
      <c r="AA12302"/>
      <c r="AC12302"/>
      <c r="AR12302"/>
    </row>
    <row r="12303" spans="24:44">
      <c r="X12303"/>
      <c r="Y12303"/>
      <c r="Z12303"/>
      <c r="AA12303"/>
      <c r="AC12303"/>
      <c r="AR12303"/>
    </row>
    <row r="12304" spans="24:44">
      <c r="X12304"/>
      <c r="Y12304"/>
      <c r="Z12304"/>
      <c r="AA12304"/>
      <c r="AC12304"/>
      <c r="AR12304"/>
    </row>
    <row r="12305" spans="24:44">
      <c r="X12305"/>
      <c r="Y12305"/>
      <c r="Z12305"/>
      <c r="AA12305"/>
      <c r="AC12305"/>
      <c r="AR12305"/>
    </row>
    <row r="12306" spans="24:44">
      <c r="X12306"/>
      <c r="Y12306"/>
      <c r="Z12306"/>
      <c r="AA12306"/>
      <c r="AC12306"/>
      <c r="AR12306"/>
    </row>
    <row r="12307" spans="24:44">
      <c r="X12307"/>
      <c r="Y12307"/>
      <c r="Z12307"/>
      <c r="AA12307"/>
      <c r="AC12307"/>
      <c r="AR12307"/>
    </row>
    <row r="12308" spans="24:44">
      <c r="X12308"/>
      <c r="Y12308"/>
      <c r="Z12308"/>
      <c r="AA12308"/>
      <c r="AC12308"/>
      <c r="AR12308"/>
    </row>
    <row r="12309" spans="24:44">
      <c r="X12309"/>
      <c r="Y12309"/>
      <c r="Z12309"/>
      <c r="AA12309"/>
      <c r="AC12309"/>
      <c r="AR12309"/>
    </row>
    <row r="12310" spans="24:44">
      <c r="X12310"/>
      <c r="Y12310"/>
      <c r="Z12310"/>
      <c r="AA12310"/>
      <c r="AC12310"/>
      <c r="AR12310"/>
    </row>
    <row r="12311" spans="24:44">
      <c r="X12311"/>
      <c r="Y12311"/>
      <c r="Z12311"/>
      <c r="AA12311"/>
      <c r="AC12311"/>
      <c r="AR12311"/>
    </row>
    <row r="12312" spans="24:44">
      <c r="X12312"/>
      <c r="Y12312"/>
      <c r="Z12312"/>
      <c r="AA12312"/>
      <c r="AC12312"/>
      <c r="AR12312"/>
    </row>
    <row r="12313" spans="24:44">
      <c r="X12313"/>
      <c r="Y12313"/>
      <c r="Z12313"/>
      <c r="AA12313"/>
      <c r="AC12313"/>
      <c r="AR12313"/>
    </row>
    <row r="12314" spans="24:44">
      <c r="X12314"/>
      <c r="Y12314"/>
      <c r="Z12314"/>
      <c r="AA12314"/>
      <c r="AC12314"/>
      <c r="AR12314"/>
    </row>
    <row r="12315" spans="24:44">
      <c r="X12315"/>
      <c r="Y12315"/>
      <c r="Z12315"/>
      <c r="AA12315"/>
      <c r="AC12315"/>
      <c r="AR12315"/>
    </row>
    <row r="12316" spans="24:44">
      <c r="X12316"/>
      <c r="Y12316"/>
      <c r="Z12316"/>
      <c r="AA12316"/>
      <c r="AC12316"/>
      <c r="AR12316"/>
    </row>
    <row r="12317" spans="24:44">
      <c r="X12317"/>
      <c r="Y12317"/>
      <c r="Z12317"/>
      <c r="AA12317"/>
      <c r="AC12317"/>
      <c r="AR12317"/>
    </row>
    <row r="12318" spans="24:44">
      <c r="X12318"/>
      <c r="Y12318"/>
      <c r="Z12318"/>
      <c r="AA12318"/>
      <c r="AC12318"/>
      <c r="AR12318"/>
    </row>
    <row r="12319" spans="24:44">
      <c r="X12319"/>
      <c r="Y12319"/>
      <c r="Z12319"/>
      <c r="AA12319"/>
      <c r="AC12319"/>
      <c r="AR12319"/>
    </row>
    <row r="12320" spans="24:44">
      <c r="X12320"/>
      <c r="Y12320"/>
      <c r="Z12320"/>
      <c r="AA12320"/>
      <c r="AC12320"/>
      <c r="AR12320"/>
    </row>
    <row r="12321" spans="24:44">
      <c r="X12321"/>
      <c r="Y12321"/>
      <c r="Z12321"/>
      <c r="AA12321"/>
      <c r="AC12321"/>
      <c r="AR12321"/>
    </row>
    <row r="12322" spans="24:44">
      <c r="X12322"/>
      <c r="Y12322"/>
      <c r="Z12322"/>
      <c r="AA12322"/>
      <c r="AC12322"/>
      <c r="AR12322"/>
    </row>
    <row r="12323" spans="24:44">
      <c r="X12323"/>
      <c r="Y12323"/>
      <c r="Z12323"/>
      <c r="AA12323"/>
      <c r="AC12323"/>
      <c r="AR12323"/>
    </row>
    <row r="12324" spans="24:44">
      <c r="X12324"/>
      <c r="Y12324"/>
      <c r="Z12324"/>
      <c r="AA12324"/>
      <c r="AC12324"/>
      <c r="AR12324"/>
    </row>
    <row r="12325" spans="24:44">
      <c r="X12325"/>
      <c r="Y12325"/>
      <c r="Z12325"/>
      <c r="AA12325"/>
      <c r="AC12325"/>
      <c r="AR12325"/>
    </row>
    <row r="12326" spans="24:44">
      <c r="X12326"/>
      <c r="Y12326"/>
      <c r="Z12326"/>
      <c r="AA12326"/>
      <c r="AC12326"/>
      <c r="AR12326"/>
    </row>
    <row r="12327" spans="24:44">
      <c r="X12327"/>
      <c r="Y12327"/>
      <c r="Z12327"/>
      <c r="AA12327"/>
      <c r="AC12327"/>
      <c r="AR12327"/>
    </row>
    <row r="12328" spans="24:44">
      <c r="X12328"/>
      <c r="Y12328"/>
      <c r="Z12328"/>
      <c r="AA12328"/>
      <c r="AC12328"/>
      <c r="AR12328"/>
    </row>
    <row r="12329" spans="24:44">
      <c r="X12329"/>
      <c r="Y12329"/>
      <c r="Z12329"/>
      <c r="AA12329"/>
      <c r="AC12329"/>
      <c r="AR12329"/>
    </row>
    <row r="12330" spans="24:44">
      <c r="X12330"/>
      <c r="Y12330"/>
      <c r="Z12330"/>
      <c r="AA12330"/>
      <c r="AC12330"/>
      <c r="AR12330"/>
    </row>
    <row r="12331" spans="24:44">
      <c r="X12331"/>
      <c r="Y12331"/>
      <c r="Z12331"/>
      <c r="AA12331"/>
      <c r="AC12331"/>
      <c r="AR12331"/>
    </row>
    <row r="12332" spans="24:44">
      <c r="X12332"/>
      <c r="Y12332"/>
      <c r="Z12332"/>
      <c r="AA12332"/>
      <c r="AC12332"/>
      <c r="AR12332"/>
    </row>
    <row r="12333" spans="24:44">
      <c r="X12333"/>
      <c r="Y12333"/>
      <c r="Z12333"/>
      <c r="AA12333"/>
      <c r="AC12333"/>
      <c r="AR12333"/>
    </row>
    <row r="12334" spans="24:44">
      <c r="X12334"/>
      <c r="Y12334"/>
      <c r="Z12334"/>
      <c r="AA12334"/>
      <c r="AC12334"/>
      <c r="AR12334"/>
    </row>
    <row r="12335" spans="24:44">
      <c r="X12335"/>
      <c r="Y12335"/>
      <c r="Z12335"/>
      <c r="AA12335"/>
      <c r="AC12335"/>
      <c r="AR12335"/>
    </row>
    <row r="12336" spans="24:44">
      <c r="X12336"/>
      <c r="Y12336"/>
      <c r="Z12336"/>
      <c r="AA12336"/>
      <c r="AC12336"/>
      <c r="AR12336"/>
    </row>
    <row r="12337" spans="24:44">
      <c r="X12337"/>
      <c r="Y12337"/>
      <c r="Z12337"/>
      <c r="AA12337"/>
      <c r="AC12337"/>
      <c r="AR12337"/>
    </row>
    <row r="12338" spans="24:44">
      <c r="X12338"/>
      <c r="Y12338"/>
      <c r="Z12338"/>
      <c r="AA12338"/>
      <c r="AC12338"/>
      <c r="AR12338"/>
    </row>
    <row r="12339" spans="24:44">
      <c r="X12339"/>
      <c r="Y12339"/>
      <c r="Z12339"/>
      <c r="AA12339"/>
      <c r="AC12339"/>
      <c r="AR12339"/>
    </row>
    <row r="12340" spans="24:44">
      <c r="X12340"/>
      <c r="Y12340"/>
      <c r="Z12340"/>
      <c r="AA12340"/>
      <c r="AC12340"/>
      <c r="AR12340"/>
    </row>
    <row r="12341" spans="24:44">
      <c r="X12341"/>
      <c r="Y12341"/>
      <c r="Z12341"/>
      <c r="AA12341"/>
      <c r="AC12341"/>
      <c r="AR12341"/>
    </row>
    <row r="12342" spans="24:44">
      <c r="X12342"/>
      <c r="Y12342"/>
      <c r="Z12342"/>
      <c r="AA12342"/>
      <c r="AC12342"/>
      <c r="AR12342"/>
    </row>
    <row r="12343" spans="24:44">
      <c r="X12343"/>
      <c r="Y12343"/>
      <c r="Z12343"/>
      <c r="AA12343"/>
      <c r="AC12343"/>
      <c r="AR12343"/>
    </row>
    <row r="12344" spans="24:44">
      <c r="X12344"/>
      <c r="Y12344"/>
      <c r="Z12344"/>
      <c r="AA12344"/>
      <c r="AC12344"/>
      <c r="AR12344"/>
    </row>
    <row r="12345" spans="24:44">
      <c r="X12345"/>
      <c r="Y12345"/>
      <c r="Z12345"/>
      <c r="AA12345"/>
      <c r="AC12345"/>
      <c r="AR12345"/>
    </row>
    <row r="12346" spans="24:44">
      <c r="X12346"/>
      <c r="Y12346"/>
      <c r="Z12346"/>
      <c r="AA12346"/>
      <c r="AC12346"/>
      <c r="AR12346"/>
    </row>
    <row r="12347" spans="24:44">
      <c r="X12347"/>
      <c r="Y12347"/>
      <c r="Z12347"/>
      <c r="AA12347"/>
      <c r="AC12347"/>
      <c r="AR12347"/>
    </row>
    <row r="12348" spans="24:44">
      <c r="X12348"/>
      <c r="Y12348"/>
      <c r="Z12348"/>
      <c r="AA12348"/>
      <c r="AC12348"/>
      <c r="AR12348"/>
    </row>
    <row r="12349" spans="24:44">
      <c r="X12349"/>
      <c r="Y12349"/>
      <c r="Z12349"/>
      <c r="AA12349"/>
      <c r="AC12349"/>
      <c r="AR12349"/>
    </row>
    <row r="12350" spans="24:44">
      <c r="X12350"/>
      <c r="Y12350"/>
      <c r="Z12350"/>
      <c r="AA12350"/>
      <c r="AC12350"/>
      <c r="AR12350"/>
    </row>
    <row r="12351" spans="24:44">
      <c r="X12351"/>
      <c r="Y12351"/>
      <c r="Z12351"/>
      <c r="AA12351"/>
      <c r="AC12351"/>
      <c r="AR12351"/>
    </row>
    <row r="12352" spans="24:44">
      <c r="X12352"/>
      <c r="Y12352"/>
      <c r="Z12352"/>
      <c r="AA12352"/>
      <c r="AC12352"/>
      <c r="AR12352"/>
    </row>
    <row r="12353" spans="24:44">
      <c r="X12353"/>
      <c r="Y12353"/>
      <c r="Z12353"/>
      <c r="AA12353"/>
      <c r="AC12353"/>
      <c r="AR12353"/>
    </row>
    <row r="12354" spans="24:44">
      <c r="X12354"/>
      <c r="Y12354"/>
      <c r="Z12354"/>
      <c r="AA12354"/>
      <c r="AC12354"/>
      <c r="AR12354"/>
    </row>
    <row r="12355" spans="24:44">
      <c r="X12355"/>
      <c r="Y12355"/>
      <c r="Z12355"/>
      <c r="AA12355"/>
      <c r="AC12355"/>
      <c r="AR12355"/>
    </row>
    <row r="12356" spans="24:44">
      <c r="X12356"/>
      <c r="Y12356"/>
      <c r="Z12356"/>
      <c r="AA12356"/>
      <c r="AC12356"/>
      <c r="AR12356"/>
    </row>
    <row r="12357" spans="24:44">
      <c r="X12357"/>
      <c r="Y12357"/>
      <c r="Z12357"/>
      <c r="AA12357"/>
      <c r="AC12357"/>
      <c r="AR12357"/>
    </row>
    <row r="12358" spans="24:44">
      <c r="X12358"/>
      <c r="Y12358"/>
      <c r="Z12358"/>
      <c r="AA12358"/>
      <c r="AC12358"/>
      <c r="AR12358"/>
    </row>
    <row r="12359" spans="24:44">
      <c r="X12359"/>
      <c r="Y12359"/>
      <c r="Z12359"/>
      <c r="AA12359"/>
      <c r="AC12359"/>
      <c r="AR12359"/>
    </row>
    <row r="12360" spans="24:44">
      <c r="X12360"/>
      <c r="Y12360"/>
      <c r="Z12360"/>
      <c r="AA12360"/>
      <c r="AC12360"/>
      <c r="AR12360"/>
    </row>
    <row r="12361" spans="24:44">
      <c r="X12361"/>
      <c r="Y12361"/>
      <c r="Z12361"/>
      <c r="AA12361"/>
      <c r="AC12361"/>
      <c r="AR12361"/>
    </row>
    <row r="12362" spans="24:44">
      <c r="X12362"/>
      <c r="Y12362"/>
      <c r="Z12362"/>
      <c r="AA12362"/>
      <c r="AC12362"/>
      <c r="AR12362"/>
    </row>
    <row r="12363" spans="24:44">
      <c r="X12363"/>
      <c r="Y12363"/>
      <c r="Z12363"/>
      <c r="AA12363"/>
      <c r="AC12363"/>
      <c r="AR12363"/>
    </row>
    <row r="12364" spans="24:44">
      <c r="X12364"/>
      <c r="Y12364"/>
      <c r="Z12364"/>
      <c r="AA12364"/>
      <c r="AC12364"/>
      <c r="AR12364"/>
    </row>
    <row r="12365" spans="24:44">
      <c r="X12365"/>
      <c r="Y12365"/>
      <c r="Z12365"/>
      <c r="AA12365"/>
      <c r="AC12365"/>
      <c r="AR12365"/>
    </row>
    <row r="12366" spans="24:44">
      <c r="X12366"/>
      <c r="Y12366"/>
      <c r="Z12366"/>
      <c r="AA12366"/>
      <c r="AC12366"/>
      <c r="AR12366"/>
    </row>
    <row r="12367" spans="24:44">
      <c r="X12367"/>
      <c r="Y12367"/>
      <c r="Z12367"/>
      <c r="AA12367"/>
      <c r="AC12367"/>
      <c r="AR12367"/>
    </row>
    <row r="12368" spans="24:44">
      <c r="X12368"/>
      <c r="Y12368"/>
      <c r="Z12368"/>
      <c r="AA12368"/>
      <c r="AC12368"/>
      <c r="AR12368"/>
    </row>
    <row r="12369" spans="24:44">
      <c r="X12369"/>
      <c r="Y12369"/>
      <c r="Z12369"/>
      <c r="AA12369"/>
      <c r="AC12369"/>
      <c r="AR12369"/>
    </row>
    <row r="12370" spans="24:44">
      <c r="X12370"/>
      <c r="Y12370"/>
      <c r="Z12370"/>
      <c r="AA12370"/>
      <c r="AC12370"/>
      <c r="AR12370"/>
    </row>
    <row r="12371" spans="24:44">
      <c r="X12371"/>
      <c r="Y12371"/>
      <c r="Z12371"/>
      <c r="AA12371"/>
      <c r="AC12371"/>
      <c r="AR12371"/>
    </row>
    <row r="12372" spans="24:44">
      <c r="X12372"/>
      <c r="Y12372"/>
      <c r="Z12372"/>
      <c r="AA12372"/>
      <c r="AC12372"/>
      <c r="AR12372"/>
    </row>
    <row r="12373" spans="24:44">
      <c r="X12373"/>
      <c r="Y12373"/>
      <c r="Z12373"/>
      <c r="AA12373"/>
      <c r="AC12373"/>
      <c r="AR12373"/>
    </row>
    <row r="12374" spans="24:44">
      <c r="X12374"/>
      <c r="Y12374"/>
      <c r="Z12374"/>
      <c r="AA12374"/>
      <c r="AC12374"/>
      <c r="AR12374"/>
    </row>
    <row r="12375" spans="24:44">
      <c r="X12375"/>
      <c r="Y12375"/>
      <c r="Z12375"/>
      <c r="AA12375"/>
      <c r="AC12375"/>
      <c r="AR12375"/>
    </row>
    <row r="12376" spans="24:44">
      <c r="X12376"/>
      <c r="Y12376"/>
      <c r="Z12376"/>
      <c r="AA12376"/>
      <c r="AC12376"/>
      <c r="AR12376"/>
    </row>
    <row r="12377" spans="24:44">
      <c r="X12377"/>
      <c r="Y12377"/>
      <c r="Z12377"/>
      <c r="AA12377"/>
      <c r="AC12377"/>
      <c r="AR12377"/>
    </row>
    <row r="12378" spans="24:44">
      <c r="X12378"/>
      <c r="Y12378"/>
      <c r="Z12378"/>
      <c r="AA12378"/>
      <c r="AC12378"/>
      <c r="AR12378"/>
    </row>
    <row r="12379" spans="24:44">
      <c r="X12379"/>
      <c r="Y12379"/>
      <c r="Z12379"/>
      <c r="AA12379"/>
      <c r="AC12379"/>
      <c r="AR12379"/>
    </row>
    <row r="12380" spans="24:44">
      <c r="X12380"/>
      <c r="Y12380"/>
      <c r="Z12380"/>
      <c r="AA12380"/>
      <c r="AC12380"/>
      <c r="AR12380"/>
    </row>
    <row r="12381" spans="24:44">
      <c r="X12381"/>
      <c r="Y12381"/>
      <c r="Z12381"/>
      <c r="AA12381"/>
      <c r="AC12381"/>
      <c r="AR12381"/>
    </row>
    <row r="12382" spans="24:44">
      <c r="X12382"/>
      <c r="Y12382"/>
      <c r="Z12382"/>
      <c r="AA12382"/>
      <c r="AC12382"/>
      <c r="AR12382"/>
    </row>
    <row r="12383" spans="24:44">
      <c r="X12383"/>
      <c r="Y12383"/>
      <c r="Z12383"/>
      <c r="AA12383"/>
      <c r="AC12383"/>
      <c r="AR12383"/>
    </row>
    <row r="12384" spans="24:44">
      <c r="X12384"/>
      <c r="Y12384"/>
      <c r="Z12384"/>
      <c r="AA12384"/>
      <c r="AC12384"/>
      <c r="AR12384"/>
    </row>
    <row r="12385" spans="24:44">
      <c r="X12385"/>
      <c r="Y12385"/>
      <c r="Z12385"/>
      <c r="AA12385"/>
      <c r="AC12385"/>
      <c r="AR12385"/>
    </row>
    <row r="12386" spans="24:44">
      <c r="X12386"/>
      <c r="Y12386"/>
      <c r="Z12386"/>
      <c r="AA12386"/>
      <c r="AC12386"/>
      <c r="AR12386"/>
    </row>
    <row r="12387" spans="24:44">
      <c r="X12387"/>
      <c r="Y12387"/>
      <c r="Z12387"/>
      <c r="AA12387"/>
      <c r="AC12387"/>
      <c r="AR12387"/>
    </row>
    <row r="12388" spans="24:44">
      <c r="X12388"/>
      <c r="Y12388"/>
      <c r="Z12388"/>
      <c r="AA12388"/>
      <c r="AC12388"/>
      <c r="AR12388"/>
    </row>
    <row r="12389" spans="24:44">
      <c r="X12389"/>
      <c r="Y12389"/>
      <c r="Z12389"/>
      <c r="AA12389"/>
      <c r="AC12389"/>
      <c r="AR12389"/>
    </row>
    <row r="12390" spans="24:44">
      <c r="X12390"/>
      <c r="Y12390"/>
      <c r="Z12390"/>
      <c r="AA12390"/>
      <c r="AC12390"/>
      <c r="AR12390"/>
    </row>
    <row r="12391" spans="24:44">
      <c r="X12391"/>
      <c r="Y12391"/>
      <c r="Z12391"/>
      <c r="AA12391"/>
      <c r="AC12391"/>
      <c r="AR12391"/>
    </row>
    <row r="12392" spans="24:44">
      <c r="X12392"/>
      <c r="Y12392"/>
      <c r="Z12392"/>
      <c r="AA12392"/>
      <c r="AC12392"/>
      <c r="AR12392"/>
    </row>
    <row r="12393" spans="24:44">
      <c r="X12393"/>
      <c r="Y12393"/>
      <c r="Z12393"/>
      <c r="AA12393"/>
      <c r="AC12393"/>
      <c r="AR12393"/>
    </row>
    <row r="12394" spans="24:44">
      <c r="X12394"/>
      <c r="Y12394"/>
      <c r="Z12394"/>
      <c r="AA12394"/>
      <c r="AC12394"/>
      <c r="AR12394"/>
    </row>
    <row r="12395" spans="24:44">
      <c r="X12395"/>
      <c r="Y12395"/>
      <c r="Z12395"/>
      <c r="AA12395"/>
      <c r="AC12395"/>
      <c r="AR12395"/>
    </row>
    <row r="12396" spans="24:44">
      <c r="X12396"/>
      <c r="Y12396"/>
      <c r="Z12396"/>
      <c r="AA12396"/>
      <c r="AC12396"/>
      <c r="AR12396"/>
    </row>
    <row r="12397" spans="24:44">
      <c r="X12397"/>
      <c r="Y12397"/>
      <c r="Z12397"/>
      <c r="AA12397"/>
      <c r="AC12397"/>
      <c r="AR12397"/>
    </row>
    <row r="12398" spans="24:44">
      <c r="X12398"/>
      <c r="Y12398"/>
      <c r="Z12398"/>
      <c r="AA12398"/>
      <c r="AC12398"/>
      <c r="AR12398"/>
    </row>
    <row r="12399" spans="24:44">
      <c r="X12399"/>
      <c r="Y12399"/>
      <c r="Z12399"/>
      <c r="AA12399"/>
      <c r="AC12399"/>
      <c r="AR12399"/>
    </row>
    <row r="12400" spans="24:44">
      <c r="X12400"/>
      <c r="Y12400"/>
      <c r="Z12400"/>
      <c r="AA12400"/>
      <c r="AC12400"/>
      <c r="AR12400"/>
    </row>
    <row r="12401" spans="24:44">
      <c r="X12401"/>
      <c r="Y12401"/>
      <c r="Z12401"/>
      <c r="AA12401"/>
      <c r="AC12401"/>
      <c r="AR12401"/>
    </row>
    <row r="12402" spans="24:44">
      <c r="X12402"/>
      <c r="Y12402"/>
      <c r="Z12402"/>
      <c r="AA12402"/>
      <c r="AC12402"/>
      <c r="AR12402"/>
    </row>
    <row r="12403" spans="24:44">
      <c r="X12403"/>
      <c r="Y12403"/>
      <c r="Z12403"/>
      <c r="AA12403"/>
      <c r="AC12403"/>
      <c r="AR12403"/>
    </row>
    <row r="12404" spans="24:44">
      <c r="X12404"/>
      <c r="Y12404"/>
      <c r="Z12404"/>
      <c r="AA12404"/>
      <c r="AC12404"/>
      <c r="AR12404"/>
    </row>
    <row r="12405" spans="24:44">
      <c r="X12405"/>
      <c r="Y12405"/>
      <c r="Z12405"/>
      <c r="AA12405"/>
      <c r="AC12405"/>
      <c r="AR12405"/>
    </row>
    <row r="12406" spans="24:44">
      <c r="X12406"/>
      <c r="Y12406"/>
      <c r="Z12406"/>
      <c r="AA12406"/>
      <c r="AC12406"/>
      <c r="AR12406"/>
    </row>
    <row r="12407" spans="24:44">
      <c r="X12407"/>
      <c r="Y12407"/>
      <c r="Z12407"/>
      <c r="AA12407"/>
      <c r="AC12407"/>
      <c r="AR12407"/>
    </row>
    <row r="12408" spans="24:44">
      <c r="X12408"/>
      <c r="Y12408"/>
      <c r="Z12408"/>
      <c r="AA12408"/>
      <c r="AC12408"/>
      <c r="AR12408"/>
    </row>
    <row r="12409" spans="24:44">
      <c r="X12409"/>
      <c r="Y12409"/>
      <c r="Z12409"/>
      <c r="AA12409"/>
      <c r="AC12409"/>
      <c r="AR12409"/>
    </row>
    <row r="12410" spans="24:44">
      <c r="X12410"/>
      <c r="Y12410"/>
      <c r="Z12410"/>
      <c r="AA12410"/>
      <c r="AC12410"/>
      <c r="AR12410"/>
    </row>
    <row r="12411" spans="24:44">
      <c r="X12411"/>
      <c r="Y12411"/>
      <c r="Z12411"/>
      <c r="AA12411"/>
      <c r="AC12411"/>
      <c r="AR12411"/>
    </row>
    <row r="12412" spans="24:44">
      <c r="X12412"/>
      <c r="Y12412"/>
      <c r="Z12412"/>
      <c r="AA12412"/>
      <c r="AC12412"/>
      <c r="AR12412"/>
    </row>
    <row r="12413" spans="24:44">
      <c r="X12413"/>
      <c r="Y12413"/>
      <c r="Z12413"/>
      <c r="AA12413"/>
      <c r="AC12413"/>
      <c r="AR12413"/>
    </row>
    <row r="12414" spans="24:44">
      <c r="X12414"/>
      <c r="Y12414"/>
      <c r="Z12414"/>
      <c r="AA12414"/>
      <c r="AC12414"/>
      <c r="AR12414"/>
    </row>
    <row r="12415" spans="24:44">
      <c r="X12415"/>
      <c r="Y12415"/>
      <c r="Z12415"/>
      <c r="AA12415"/>
      <c r="AC12415"/>
      <c r="AR12415"/>
    </row>
    <row r="12416" spans="24:44">
      <c r="X12416"/>
      <c r="Y12416"/>
      <c r="Z12416"/>
      <c r="AA12416"/>
      <c r="AC12416"/>
      <c r="AR12416"/>
    </row>
    <row r="12417" spans="24:44">
      <c r="X12417"/>
      <c r="Y12417"/>
      <c r="Z12417"/>
      <c r="AA12417"/>
      <c r="AC12417"/>
      <c r="AR12417"/>
    </row>
    <row r="12418" spans="24:44">
      <c r="X12418"/>
      <c r="Y12418"/>
      <c r="Z12418"/>
      <c r="AA12418"/>
      <c r="AC12418"/>
      <c r="AR12418"/>
    </row>
    <row r="12419" spans="24:44">
      <c r="X12419"/>
      <c r="Y12419"/>
      <c r="Z12419"/>
      <c r="AA12419"/>
      <c r="AC12419"/>
      <c r="AR12419"/>
    </row>
    <row r="12420" spans="24:44">
      <c r="X12420"/>
      <c r="Y12420"/>
      <c r="Z12420"/>
      <c r="AA12420"/>
      <c r="AC12420"/>
      <c r="AR12420"/>
    </row>
    <row r="12421" spans="24:44">
      <c r="X12421"/>
      <c r="Y12421"/>
      <c r="Z12421"/>
      <c r="AA12421"/>
      <c r="AC12421"/>
      <c r="AR12421"/>
    </row>
    <row r="12422" spans="24:44">
      <c r="X12422"/>
      <c r="Y12422"/>
      <c r="Z12422"/>
      <c r="AA12422"/>
      <c r="AC12422"/>
      <c r="AR12422"/>
    </row>
    <row r="12423" spans="24:44">
      <c r="X12423"/>
      <c r="Y12423"/>
      <c r="Z12423"/>
      <c r="AA12423"/>
      <c r="AC12423"/>
      <c r="AR12423"/>
    </row>
    <row r="12424" spans="24:44">
      <c r="X12424"/>
      <c r="Y12424"/>
      <c r="Z12424"/>
      <c r="AA12424"/>
      <c r="AC12424"/>
      <c r="AR12424"/>
    </row>
    <row r="12425" spans="24:44">
      <c r="X12425"/>
      <c r="Y12425"/>
      <c r="Z12425"/>
      <c r="AA12425"/>
      <c r="AC12425"/>
      <c r="AR12425"/>
    </row>
    <row r="12426" spans="24:44">
      <c r="X12426"/>
      <c r="Y12426"/>
      <c r="Z12426"/>
      <c r="AA12426"/>
      <c r="AC12426"/>
      <c r="AR12426"/>
    </row>
    <row r="12427" spans="24:44">
      <c r="X12427"/>
      <c r="Y12427"/>
      <c r="Z12427"/>
      <c r="AA12427"/>
      <c r="AC12427"/>
      <c r="AR12427"/>
    </row>
    <row r="12428" spans="24:44">
      <c r="X12428"/>
      <c r="Y12428"/>
      <c r="Z12428"/>
      <c r="AA12428"/>
      <c r="AC12428"/>
      <c r="AR12428"/>
    </row>
    <row r="12429" spans="24:44">
      <c r="X12429"/>
      <c r="Y12429"/>
      <c r="Z12429"/>
      <c r="AA12429"/>
      <c r="AC12429"/>
      <c r="AR12429"/>
    </row>
    <row r="12430" spans="24:44">
      <c r="X12430"/>
      <c r="Y12430"/>
      <c r="Z12430"/>
      <c r="AA12430"/>
      <c r="AC12430"/>
      <c r="AR12430"/>
    </row>
    <row r="12431" spans="24:44">
      <c r="X12431"/>
      <c r="Y12431"/>
      <c r="Z12431"/>
      <c r="AA12431"/>
      <c r="AC12431"/>
      <c r="AR12431"/>
    </row>
    <row r="12432" spans="24:44">
      <c r="X12432"/>
      <c r="Y12432"/>
      <c r="Z12432"/>
      <c r="AA12432"/>
      <c r="AC12432"/>
      <c r="AR12432"/>
    </row>
    <row r="12433" spans="24:44">
      <c r="X12433"/>
      <c r="Y12433"/>
      <c r="Z12433"/>
      <c r="AA12433"/>
      <c r="AC12433"/>
      <c r="AR12433"/>
    </row>
    <row r="12434" spans="24:44">
      <c r="X12434"/>
      <c r="Y12434"/>
      <c r="Z12434"/>
      <c r="AA12434"/>
      <c r="AC12434"/>
      <c r="AR12434"/>
    </row>
    <row r="12435" spans="24:44">
      <c r="X12435"/>
      <c r="Y12435"/>
      <c r="Z12435"/>
      <c r="AA12435"/>
      <c r="AC12435"/>
      <c r="AR12435"/>
    </row>
    <row r="12436" spans="24:44">
      <c r="X12436"/>
      <c r="Y12436"/>
      <c r="Z12436"/>
      <c r="AA12436"/>
      <c r="AC12436"/>
      <c r="AR12436"/>
    </row>
    <row r="12437" spans="24:44">
      <c r="X12437"/>
      <c r="Y12437"/>
      <c r="Z12437"/>
      <c r="AA12437"/>
      <c r="AC12437"/>
      <c r="AR12437"/>
    </row>
    <row r="12438" spans="24:44">
      <c r="X12438"/>
      <c r="Y12438"/>
      <c r="Z12438"/>
      <c r="AA12438"/>
      <c r="AC12438"/>
      <c r="AR12438"/>
    </row>
    <row r="12439" spans="24:44">
      <c r="X12439"/>
      <c r="Y12439"/>
      <c r="Z12439"/>
      <c r="AA12439"/>
      <c r="AC12439"/>
      <c r="AR12439"/>
    </row>
    <row r="12440" spans="24:44">
      <c r="X12440"/>
      <c r="Y12440"/>
      <c r="Z12440"/>
      <c r="AA12440"/>
      <c r="AC12440"/>
      <c r="AR12440"/>
    </row>
    <row r="12441" spans="24:44">
      <c r="X12441"/>
      <c r="Y12441"/>
      <c r="Z12441"/>
      <c r="AA12441"/>
      <c r="AC12441"/>
      <c r="AR12441"/>
    </row>
    <row r="12442" spans="24:44">
      <c r="X12442"/>
      <c r="Y12442"/>
      <c r="Z12442"/>
      <c r="AA12442"/>
      <c r="AC12442"/>
      <c r="AR12442"/>
    </row>
    <row r="12443" spans="24:44">
      <c r="X12443"/>
      <c r="Y12443"/>
      <c r="Z12443"/>
      <c r="AA12443"/>
      <c r="AC12443"/>
      <c r="AR12443"/>
    </row>
    <row r="12444" spans="24:44">
      <c r="X12444"/>
      <c r="Y12444"/>
      <c r="Z12444"/>
      <c r="AA12444"/>
      <c r="AC12444"/>
      <c r="AR12444"/>
    </row>
    <row r="12445" spans="24:44">
      <c r="X12445"/>
      <c r="Y12445"/>
      <c r="Z12445"/>
      <c r="AA12445"/>
      <c r="AC12445"/>
      <c r="AR12445"/>
    </row>
    <row r="12446" spans="24:44">
      <c r="X12446"/>
      <c r="Y12446"/>
      <c r="Z12446"/>
      <c r="AA12446"/>
      <c r="AC12446"/>
      <c r="AR12446"/>
    </row>
    <row r="12447" spans="24:44">
      <c r="X12447"/>
      <c r="Y12447"/>
      <c r="Z12447"/>
      <c r="AA12447"/>
      <c r="AC12447"/>
      <c r="AR12447"/>
    </row>
    <row r="12448" spans="24:44">
      <c r="X12448"/>
      <c r="Y12448"/>
      <c r="Z12448"/>
      <c r="AA12448"/>
      <c r="AC12448"/>
      <c r="AR12448"/>
    </row>
    <row r="12449" spans="24:44">
      <c r="X12449"/>
      <c r="Y12449"/>
      <c r="Z12449"/>
      <c r="AA12449"/>
      <c r="AC12449"/>
      <c r="AR12449"/>
    </row>
    <row r="12450" spans="24:44">
      <c r="X12450"/>
      <c r="Y12450"/>
      <c r="Z12450"/>
      <c r="AA12450"/>
      <c r="AC12450"/>
      <c r="AR12450"/>
    </row>
    <row r="12451" spans="24:44">
      <c r="X12451"/>
      <c r="Y12451"/>
      <c r="Z12451"/>
      <c r="AA12451"/>
      <c r="AC12451"/>
      <c r="AR12451"/>
    </row>
    <row r="12452" spans="24:44">
      <c r="X12452"/>
      <c r="Y12452"/>
      <c r="Z12452"/>
      <c r="AA12452"/>
      <c r="AC12452"/>
      <c r="AR12452"/>
    </row>
    <row r="12453" spans="24:44">
      <c r="X12453"/>
      <c r="Y12453"/>
      <c r="Z12453"/>
      <c r="AA12453"/>
      <c r="AC12453"/>
      <c r="AR12453"/>
    </row>
    <row r="12454" spans="24:44">
      <c r="X12454"/>
      <c r="Y12454"/>
      <c r="Z12454"/>
      <c r="AA12454"/>
      <c r="AC12454"/>
      <c r="AR12454"/>
    </row>
    <row r="12455" spans="24:44">
      <c r="X12455"/>
      <c r="Y12455"/>
      <c r="Z12455"/>
      <c r="AA12455"/>
      <c r="AC12455"/>
      <c r="AR12455"/>
    </row>
    <row r="12456" spans="24:44">
      <c r="X12456"/>
      <c r="Y12456"/>
      <c r="Z12456"/>
      <c r="AA12456"/>
      <c r="AC12456"/>
      <c r="AR12456"/>
    </row>
    <row r="12457" spans="24:44">
      <c r="X12457"/>
      <c r="Y12457"/>
      <c r="Z12457"/>
      <c r="AA12457"/>
      <c r="AC12457"/>
      <c r="AR12457"/>
    </row>
    <row r="12458" spans="24:44">
      <c r="X12458"/>
      <c r="Y12458"/>
      <c r="Z12458"/>
      <c r="AA12458"/>
      <c r="AC12458"/>
      <c r="AR12458"/>
    </row>
    <row r="12459" spans="24:44">
      <c r="X12459"/>
      <c r="Y12459"/>
      <c r="Z12459"/>
      <c r="AA12459"/>
      <c r="AC12459"/>
      <c r="AR12459"/>
    </row>
    <row r="12460" spans="24:44">
      <c r="X12460"/>
      <c r="Y12460"/>
      <c r="Z12460"/>
      <c r="AA12460"/>
      <c r="AC12460"/>
      <c r="AR12460"/>
    </row>
    <row r="12461" spans="24:44">
      <c r="X12461"/>
      <c r="Y12461"/>
      <c r="Z12461"/>
      <c r="AA12461"/>
      <c r="AC12461"/>
      <c r="AR12461"/>
    </row>
    <row r="12462" spans="24:44">
      <c r="X12462"/>
      <c r="Y12462"/>
      <c r="Z12462"/>
      <c r="AA12462"/>
      <c r="AC12462"/>
      <c r="AR12462"/>
    </row>
    <row r="12463" spans="24:44">
      <c r="X12463"/>
      <c r="Y12463"/>
      <c r="Z12463"/>
      <c r="AA12463"/>
      <c r="AC12463"/>
      <c r="AR12463"/>
    </row>
    <row r="12464" spans="24:44">
      <c r="X12464"/>
      <c r="Y12464"/>
      <c r="Z12464"/>
      <c r="AA12464"/>
      <c r="AC12464"/>
      <c r="AR12464"/>
    </row>
    <row r="12465" spans="24:44">
      <c r="X12465"/>
      <c r="Y12465"/>
      <c r="Z12465"/>
      <c r="AA12465"/>
      <c r="AC12465"/>
      <c r="AR12465"/>
    </row>
    <row r="12466" spans="24:44">
      <c r="X12466"/>
      <c r="Y12466"/>
      <c r="Z12466"/>
      <c r="AA12466"/>
      <c r="AC12466"/>
      <c r="AR12466"/>
    </row>
    <row r="12467" spans="24:44">
      <c r="X12467"/>
      <c r="Y12467"/>
      <c r="Z12467"/>
      <c r="AA12467"/>
      <c r="AC12467"/>
      <c r="AR12467"/>
    </row>
    <row r="12468" spans="24:44">
      <c r="X12468"/>
      <c r="Y12468"/>
      <c r="Z12468"/>
      <c r="AA12468"/>
      <c r="AC12468"/>
      <c r="AR12468"/>
    </row>
    <row r="12469" spans="24:44">
      <c r="X12469"/>
      <c r="Y12469"/>
      <c r="Z12469"/>
      <c r="AA12469"/>
      <c r="AC12469"/>
      <c r="AR12469"/>
    </row>
    <row r="12470" spans="24:44">
      <c r="X12470"/>
      <c r="Y12470"/>
      <c r="Z12470"/>
      <c r="AA12470"/>
      <c r="AC12470"/>
      <c r="AR12470"/>
    </row>
    <row r="12471" spans="24:44">
      <c r="X12471"/>
      <c r="Y12471"/>
      <c r="Z12471"/>
      <c r="AA12471"/>
      <c r="AC12471"/>
      <c r="AR12471"/>
    </row>
    <row r="12472" spans="24:44">
      <c r="X12472"/>
      <c r="Y12472"/>
      <c r="Z12472"/>
      <c r="AA12472"/>
      <c r="AC12472"/>
      <c r="AR12472"/>
    </row>
    <row r="12473" spans="24:44">
      <c r="X12473"/>
      <c r="Y12473"/>
      <c r="Z12473"/>
      <c r="AA12473"/>
      <c r="AC12473"/>
      <c r="AR12473"/>
    </row>
    <row r="12474" spans="24:44">
      <c r="X12474"/>
      <c r="Y12474"/>
      <c r="Z12474"/>
      <c r="AA12474"/>
      <c r="AC12474"/>
      <c r="AR12474"/>
    </row>
    <row r="12475" spans="24:44">
      <c r="X12475"/>
      <c r="Y12475"/>
      <c r="Z12475"/>
      <c r="AA12475"/>
      <c r="AC12475"/>
      <c r="AR12475"/>
    </row>
    <row r="12476" spans="24:44">
      <c r="X12476"/>
      <c r="Y12476"/>
      <c r="Z12476"/>
      <c r="AA12476"/>
      <c r="AC12476"/>
      <c r="AR12476"/>
    </row>
    <row r="12477" spans="24:44">
      <c r="X12477"/>
      <c r="Y12477"/>
      <c r="Z12477"/>
      <c r="AA12477"/>
      <c r="AC12477"/>
      <c r="AR12477"/>
    </row>
    <row r="12478" spans="24:44">
      <c r="X12478"/>
      <c r="Y12478"/>
      <c r="Z12478"/>
      <c r="AA12478"/>
      <c r="AC12478"/>
      <c r="AR12478"/>
    </row>
    <row r="12479" spans="24:44">
      <c r="X12479"/>
      <c r="Y12479"/>
      <c r="Z12479"/>
      <c r="AA12479"/>
      <c r="AC12479"/>
      <c r="AR12479"/>
    </row>
    <row r="12480" spans="24:44">
      <c r="X12480"/>
      <c r="Y12480"/>
      <c r="Z12480"/>
      <c r="AA12480"/>
      <c r="AC12480"/>
      <c r="AR12480"/>
    </row>
    <row r="12481" spans="24:44">
      <c r="X12481"/>
      <c r="Y12481"/>
      <c r="Z12481"/>
      <c r="AA12481"/>
      <c r="AC12481"/>
      <c r="AR12481"/>
    </row>
    <row r="12482" spans="24:44">
      <c r="X12482"/>
      <c r="Y12482"/>
      <c r="Z12482"/>
      <c r="AA12482"/>
      <c r="AC12482"/>
      <c r="AR12482"/>
    </row>
    <row r="12483" spans="24:44">
      <c r="X12483"/>
      <c r="Y12483"/>
      <c r="Z12483"/>
      <c r="AA12483"/>
      <c r="AC12483"/>
      <c r="AR12483"/>
    </row>
    <row r="12484" spans="24:44">
      <c r="X12484"/>
      <c r="Y12484"/>
      <c r="Z12484"/>
      <c r="AA12484"/>
      <c r="AC12484"/>
      <c r="AR12484"/>
    </row>
    <row r="12485" spans="24:44">
      <c r="X12485"/>
      <c r="Y12485"/>
      <c r="Z12485"/>
      <c r="AA12485"/>
      <c r="AC12485"/>
      <c r="AR12485"/>
    </row>
    <row r="12486" spans="24:44">
      <c r="X12486"/>
      <c r="Y12486"/>
      <c r="Z12486"/>
      <c r="AA12486"/>
      <c r="AC12486"/>
      <c r="AR12486"/>
    </row>
    <row r="12487" spans="24:44">
      <c r="X12487"/>
      <c r="Y12487"/>
      <c r="Z12487"/>
      <c r="AA12487"/>
      <c r="AC12487"/>
      <c r="AR12487"/>
    </row>
    <row r="12488" spans="24:44">
      <c r="X12488"/>
      <c r="Y12488"/>
      <c r="Z12488"/>
      <c r="AA12488"/>
      <c r="AC12488"/>
      <c r="AR12488"/>
    </row>
    <row r="12489" spans="24:44">
      <c r="X12489"/>
      <c r="Y12489"/>
      <c r="Z12489"/>
      <c r="AA12489"/>
      <c r="AC12489"/>
      <c r="AR12489"/>
    </row>
    <row r="12490" spans="24:44">
      <c r="X12490"/>
      <c r="Y12490"/>
      <c r="Z12490"/>
      <c r="AA12490"/>
      <c r="AC12490"/>
      <c r="AR12490"/>
    </row>
    <row r="12491" spans="24:44">
      <c r="X12491"/>
      <c r="Y12491"/>
      <c r="Z12491"/>
      <c r="AA12491"/>
      <c r="AC12491"/>
      <c r="AR12491"/>
    </row>
    <row r="12492" spans="24:44">
      <c r="X12492"/>
      <c r="Y12492"/>
      <c r="Z12492"/>
      <c r="AA12492"/>
      <c r="AC12492"/>
      <c r="AR12492"/>
    </row>
    <row r="12493" spans="24:44">
      <c r="X12493"/>
      <c r="Y12493"/>
      <c r="Z12493"/>
      <c r="AA12493"/>
      <c r="AC12493"/>
      <c r="AR12493"/>
    </row>
    <row r="12494" spans="24:44">
      <c r="X12494"/>
      <c r="Y12494"/>
      <c r="Z12494"/>
      <c r="AA12494"/>
      <c r="AC12494"/>
      <c r="AR12494"/>
    </row>
    <row r="12495" spans="24:44">
      <c r="X12495"/>
      <c r="Y12495"/>
      <c r="Z12495"/>
      <c r="AA12495"/>
      <c r="AC12495"/>
      <c r="AR12495"/>
    </row>
    <row r="12496" spans="24:44">
      <c r="X12496"/>
      <c r="Y12496"/>
      <c r="Z12496"/>
      <c r="AA12496"/>
      <c r="AC12496"/>
      <c r="AR12496"/>
    </row>
    <row r="12497" spans="24:44">
      <c r="X12497"/>
      <c r="Y12497"/>
      <c r="Z12497"/>
      <c r="AA12497"/>
      <c r="AC12497"/>
      <c r="AR12497"/>
    </row>
    <row r="12498" spans="24:44">
      <c r="X12498"/>
      <c r="Y12498"/>
      <c r="Z12498"/>
      <c r="AA12498"/>
      <c r="AC12498"/>
      <c r="AR12498"/>
    </row>
    <row r="12499" spans="24:44">
      <c r="X12499"/>
      <c r="Y12499"/>
      <c r="Z12499"/>
      <c r="AA12499"/>
      <c r="AC12499"/>
      <c r="AR12499"/>
    </row>
    <row r="12500" spans="24:44">
      <c r="X12500"/>
      <c r="Y12500"/>
      <c r="Z12500"/>
      <c r="AA12500"/>
      <c r="AC12500"/>
      <c r="AR12500"/>
    </row>
    <row r="12501" spans="24:44">
      <c r="X12501"/>
      <c r="Y12501"/>
      <c r="Z12501"/>
      <c r="AA12501"/>
      <c r="AC12501"/>
      <c r="AR12501"/>
    </row>
    <row r="12502" spans="24:44">
      <c r="X12502"/>
      <c r="Y12502"/>
      <c r="Z12502"/>
      <c r="AA12502"/>
      <c r="AC12502"/>
      <c r="AR12502"/>
    </row>
    <row r="12503" spans="24:44">
      <c r="X12503"/>
      <c r="Y12503"/>
      <c r="Z12503"/>
      <c r="AA12503"/>
      <c r="AC12503"/>
      <c r="AR12503"/>
    </row>
    <row r="12504" spans="24:44">
      <c r="X12504"/>
      <c r="Y12504"/>
      <c r="Z12504"/>
      <c r="AA12504"/>
      <c r="AC12504"/>
      <c r="AR12504"/>
    </row>
    <row r="12505" spans="24:44">
      <c r="X12505"/>
      <c r="Y12505"/>
      <c r="Z12505"/>
      <c r="AA12505"/>
      <c r="AC12505"/>
      <c r="AR12505"/>
    </row>
    <row r="12506" spans="24:44">
      <c r="X12506"/>
      <c r="Y12506"/>
      <c r="Z12506"/>
      <c r="AA12506"/>
      <c r="AC12506"/>
      <c r="AR12506"/>
    </row>
    <row r="12507" spans="24:44">
      <c r="X12507"/>
      <c r="Y12507"/>
      <c r="Z12507"/>
      <c r="AA12507"/>
      <c r="AC12507"/>
      <c r="AR12507"/>
    </row>
    <row r="12508" spans="24:44">
      <c r="X12508"/>
      <c r="Y12508"/>
      <c r="Z12508"/>
      <c r="AA12508"/>
      <c r="AC12508"/>
      <c r="AR12508"/>
    </row>
    <row r="12509" spans="24:44">
      <c r="X12509"/>
      <c r="Y12509"/>
      <c r="Z12509"/>
      <c r="AA12509"/>
      <c r="AC12509"/>
      <c r="AR12509"/>
    </row>
    <row r="12510" spans="24:44">
      <c r="X12510"/>
      <c r="Y12510"/>
      <c r="Z12510"/>
      <c r="AA12510"/>
      <c r="AC12510"/>
      <c r="AR12510"/>
    </row>
    <row r="12511" spans="24:44">
      <c r="X12511"/>
      <c r="Y12511"/>
      <c r="Z12511"/>
      <c r="AA12511"/>
      <c r="AC12511"/>
      <c r="AR12511"/>
    </row>
    <row r="12512" spans="24:44">
      <c r="X12512"/>
      <c r="Y12512"/>
      <c r="Z12512"/>
      <c r="AA12512"/>
      <c r="AC12512"/>
      <c r="AR12512"/>
    </row>
    <row r="12513" spans="24:44">
      <c r="X12513"/>
      <c r="Y12513"/>
      <c r="Z12513"/>
      <c r="AA12513"/>
      <c r="AC12513"/>
      <c r="AR12513"/>
    </row>
    <row r="12514" spans="24:44">
      <c r="X12514"/>
      <c r="Y12514"/>
      <c r="Z12514"/>
      <c r="AA12514"/>
      <c r="AC12514"/>
      <c r="AR12514"/>
    </row>
    <row r="12515" spans="24:44">
      <c r="X12515"/>
      <c r="Y12515"/>
      <c r="Z12515"/>
      <c r="AA12515"/>
      <c r="AC12515"/>
      <c r="AR12515"/>
    </row>
    <row r="12516" spans="24:44">
      <c r="X12516"/>
      <c r="Y12516"/>
      <c r="Z12516"/>
      <c r="AA12516"/>
      <c r="AC12516"/>
      <c r="AR12516"/>
    </row>
    <row r="12517" spans="24:44">
      <c r="X12517"/>
      <c r="Y12517"/>
      <c r="Z12517"/>
      <c r="AA12517"/>
      <c r="AC12517"/>
      <c r="AR12517"/>
    </row>
    <row r="12518" spans="24:44">
      <c r="X12518"/>
      <c r="Y12518"/>
      <c r="Z12518"/>
      <c r="AA12518"/>
      <c r="AC12518"/>
      <c r="AR12518"/>
    </row>
    <row r="12519" spans="24:44">
      <c r="X12519"/>
      <c r="Y12519"/>
      <c r="Z12519"/>
      <c r="AA12519"/>
      <c r="AC12519"/>
      <c r="AR12519"/>
    </row>
    <row r="12520" spans="24:44">
      <c r="X12520"/>
      <c r="Y12520"/>
      <c r="Z12520"/>
      <c r="AA12520"/>
      <c r="AC12520"/>
      <c r="AR12520"/>
    </row>
    <row r="12521" spans="24:44">
      <c r="X12521"/>
      <c r="Y12521"/>
      <c r="Z12521"/>
      <c r="AA12521"/>
      <c r="AC12521"/>
      <c r="AR12521"/>
    </row>
    <row r="12522" spans="24:44">
      <c r="X12522"/>
      <c r="Y12522"/>
      <c r="Z12522"/>
      <c r="AA12522"/>
      <c r="AC12522"/>
      <c r="AR12522"/>
    </row>
    <row r="12523" spans="24:44">
      <c r="X12523"/>
      <c r="Y12523"/>
      <c r="Z12523"/>
      <c r="AA12523"/>
      <c r="AC12523"/>
      <c r="AR12523"/>
    </row>
    <row r="12524" spans="24:44">
      <c r="X12524"/>
      <c r="Y12524"/>
      <c r="Z12524"/>
      <c r="AA12524"/>
      <c r="AC12524"/>
      <c r="AR12524"/>
    </row>
    <row r="12525" spans="24:44">
      <c r="X12525"/>
      <c r="Y12525"/>
      <c r="Z12525"/>
      <c r="AA12525"/>
      <c r="AC12525"/>
      <c r="AR12525"/>
    </row>
    <row r="12526" spans="24:44">
      <c r="X12526"/>
      <c r="Y12526"/>
      <c r="Z12526"/>
      <c r="AA12526"/>
      <c r="AC12526"/>
      <c r="AR12526"/>
    </row>
    <row r="12527" spans="24:44">
      <c r="X12527"/>
      <c r="Y12527"/>
      <c r="Z12527"/>
      <c r="AA12527"/>
      <c r="AC12527"/>
      <c r="AR12527"/>
    </row>
    <row r="12528" spans="24:44">
      <c r="X12528"/>
      <c r="Y12528"/>
      <c r="Z12528"/>
      <c r="AA12528"/>
      <c r="AC12528"/>
      <c r="AR12528"/>
    </row>
    <row r="12529" spans="24:44">
      <c r="X12529"/>
      <c r="Y12529"/>
      <c r="Z12529"/>
      <c r="AA12529"/>
      <c r="AC12529"/>
      <c r="AR12529"/>
    </row>
    <row r="12530" spans="24:44">
      <c r="X12530"/>
      <c r="Y12530"/>
      <c r="Z12530"/>
      <c r="AA12530"/>
      <c r="AC12530"/>
      <c r="AR12530"/>
    </row>
    <row r="12531" spans="24:44">
      <c r="X12531"/>
      <c r="Y12531"/>
      <c r="Z12531"/>
      <c r="AA12531"/>
      <c r="AC12531"/>
      <c r="AR12531"/>
    </row>
    <row r="12532" spans="24:44">
      <c r="X12532"/>
      <c r="Y12532"/>
      <c r="Z12532"/>
      <c r="AA12532"/>
      <c r="AC12532"/>
      <c r="AR12532"/>
    </row>
    <row r="12533" spans="24:44">
      <c r="X12533"/>
      <c r="Y12533"/>
      <c r="Z12533"/>
      <c r="AA12533"/>
      <c r="AC12533"/>
      <c r="AR12533"/>
    </row>
    <row r="12534" spans="24:44">
      <c r="X12534"/>
      <c r="Y12534"/>
      <c r="Z12534"/>
      <c r="AA12534"/>
      <c r="AC12534"/>
      <c r="AR12534"/>
    </row>
    <row r="12535" spans="24:44">
      <c r="X12535"/>
      <c r="Y12535"/>
      <c r="Z12535"/>
      <c r="AA12535"/>
      <c r="AC12535"/>
      <c r="AR12535"/>
    </row>
    <row r="12536" spans="24:44">
      <c r="X12536"/>
      <c r="Y12536"/>
      <c r="Z12536"/>
      <c r="AA12536"/>
      <c r="AC12536"/>
      <c r="AR12536"/>
    </row>
    <row r="12537" spans="24:44">
      <c r="X12537"/>
      <c r="Y12537"/>
      <c r="Z12537"/>
      <c r="AA12537"/>
      <c r="AC12537"/>
      <c r="AR12537"/>
    </row>
    <row r="12538" spans="24:44">
      <c r="X12538"/>
      <c r="Y12538"/>
      <c r="Z12538"/>
      <c r="AA12538"/>
      <c r="AC12538"/>
      <c r="AR12538"/>
    </row>
    <row r="12539" spans="24:44">
      <c r="X12539"/>
      <c r="Y12539"/>
      <c r="Z12539"/>
      <c r="AA12539"/>
      <c r="AC12539"/>
      <c r="AR12539"/>
    </row>
    <row r="12540" spans="24:44">
      <c r="X12540"/>
      <c r="Y12540"/>
      <c r="Z12540"/>
      <c r="AA12540"/>
      <c r="AC12540"/>
      <c r="AR12540"/>
    </row>
    <row r="12541" spans="24:44">
      <c r="X12541"/>
      <c r="Y12541"/>
      <c r="Z12541"/>
      <c r="AA12541"/>
      <c r="AC12541"/>
      <c r="AR12541"/>
    </row>
    <row r="12542" spans="24:44">
      <c r="X12542"/>
      <c r="Y12542"/>
      <c r="Z12542"/>
      <c r="AA12542"/>
      <c r="AC12542"/>
      <c r="AR12542"/>
    </row>
    <row r="12543" spans="24:44">
      <c r="X12543"/>
      <c r="Y12543"/>
      <c r="Z12543"/>
      <c r="AA12543"/>
      <c r="AC12543"/>
      <c r="AR12543"/>
    </row>
    <row r="12544" spans="24:44">
      <c r="X12544"/>
      <c r="Y12544"/>
      <c r="Z12544"/>
      <c r="AA12544"/>
      <c r="AC12544"/>
      <c r="AR12544"/>
    </row>
    <row r="12545" spans="24:44">
      <c r="X12545"/>
      <c r="Y12545"/>
      <c r="Z12545"/>
      <c r="AA12545"/>
      <c r="AC12545"/>
      <c r="AR12545"/>
    </row>
    <row r="12546" spans="24:44">
      <c r="X12546"/>
      <c r="Y12546"/>
      <c r="Z12546"/>
      <c r="AA12546"/>
      <c r="AC12546"/>
      <c r="AR12546"/>
    </row>
    <row r="12547" spans="24:44">
      <c r="X12547"/>
      <c r="Y12547"/>
      <c r="Z12547"/>
      <c r="AA12547"/>
      <c r="AC12547"/>
      <c r="AR12547"/>
    </row>
    <row r="12548" spans="24:44">
      <c r="X12548"/>
      <c r="Y12548"/>
      <c r="Z12548"/>
      <c r="AA12548"/>
      <c r="AC12548"/>
      <c r="AR12548"/>
    </row>
    <row r="12549" spans="24:44">
      <c r="X12549"/>
      <c r="Y12549"/>
      <c r="Z12549"/>
      <c r="AA12549"/>
      <c r="AC12549"/>
      <c r="AR12549"/>
    </row>
    <row r="12550" spans="24:44">
      <c r="X12550"/>
      <c r="Y12550"/>
      <c r="Z12550"/>
      <c r="AA12550"/>
      <c r="AC12550"/>
      <c r="AR12550"/>
    </row>
    <row r="12551" spans="24:44">
      <c r="X12551"/>
      <c r="Y12551"/>
      <c r="Z12551"/>
      <c r="AA12551"/>
      <c r="AC12551"/>
      <c r="AR12551"/>
    </row>
    <row r="12552" spans="24:44">
      <c r="X12552"/>
      <c r="Y12552"/>
      <c r="Z12552"/>
      <c r="AA12552"/>
      <c r="AC12552"/>
      <c r="AR12552"/>
    </row>
    <row r="12553" spans="24:44">
      <c r="X12553"/>
      <c r="Y12553"/>
      <c r="Z12553"/>
      <c r="AA12553"/>
      <c r="AC12553"/>
      <c r="AR12553"/>
    </row>
    <row r="12554" spans="24:44">
      <c r="X12554"/>
      <c r="Y12554"/>
      <c r="Z12554"/>
      <c r="AA12554"/>
      <c r="AC12554"/>
      <c r="AR12554"/>
    </row>
    <row r="12555" spans="24:44">
      <c r="X12555"/>
      <c r="Y12555"/>
      <c r="Z12555"/>
      <c r="AA12555"/>
      <c r="AC12555"/>
      <c r="AR12555"/>
    </row>
    <row r="12556" spans="24:44">
      <c r="X12556"/>
      <c r="Y12556"/>
      <c r="Z12556"/>
      <c r="AA12556"/>
      <c r="AC12556"/>
      <c r="AR12556"/>
    </row>
    <row r="12557" spans="24:44">
      <c r="X12557"/>
      <c r="Y12557"/>
      <c r="Z12557"/>
      <c r="AA12557"/>
      <c r="AC12557"/>
      <c r="AR12557"/>
    </row>
    <row r="12558" spans="24:44">
      <c r="X12558"/>
      <c r="Y12558"/>
      <c r="Z12558"/>
      <c r="AA12558"/>
      <c r="AC12558"/>
      <c r="AR12558"/>
    </row>
    <row r="12559" spans="24:44">
      <c r="X12559"/>
      <c r="Y12559"/>
      <c r="Z12559"/>
      <c r="AA12559"/>
      <c r="AC12559"/>
      <c r="AR12559"/>
    </row>
    <row r="12560" spans="24:44">
      <c r="X12560"/>
      <c r="Y12560"/>
      <c r="Z12560"/>
      <c r="AA12560"/>
      <c r="AC12560"/>
      <c r="AR12560"/>
    </row>
    <row r="12561" spans="24:44">
      <c r="X12561"/>
      <c r="Y12561"/>
      <c r="Z12561"/>
      <c r="AA12561"/>
      <c r="AC12561"/>
      <c r="AR12561"/>
    </row>
    <row r="12562" spans="24:44">
      <c r="X12562"/>
      <c r="Y12562"/>
      <c r="Z12562"/>
      <c r="AA12562"/>
      <c r="AC12562"/>
      <c r="AR12562"/>
    </row>
    <row r="12563" spans="24:44">
      <c r="X12563"/>
      <c r="Y12563"/>
      <c r="Z12563"/>
      <c r="AA12563"/>
      <c r="AC12563"/>
      <c r="AR12563"/>
    </row>
    <row r="12564" spans="24:44">
      <c r="X12564"/>
      <c r="Y12564"/>
      <c r="Z12564"/>
      <c r="AA12564"/>
      <c r="AC12564"/>
      <c r="AR12564"/>
    </row>
    <row r="12565" spans="24:44">
      <c r="X12565"/>
      <c r="Y12565"/>
      <c r="Z12565"/>
      <c r="AA12565"/>
      <c r="AC12565"/>
      <c r="AR12565"/>
    </row>
    <row r="12566" spans="24:44">
      <c r="X12566"/>
      <c r="Y12566"/>
      <c r="Z12566"/>
      <c r="AA12566"/>
      <c r="AC12566"/>
      <c r="AR12566"/>
    </row>
    <row r="12567" spans="24:44">
      <c r="X12567"/>
      <c r="Y12567"/>
      <c r="Z12567"/>
      <c r="AA12567"/>
      <c r="AC12567"/>
      <c r="AR12567"/>
    </row>
    <row r="12568" spans="24:44">
      <c r="X12568"/>
      <c r="Y12568"/>
      <c r="Z12568"/>
      <c r="AA12568"/>
      <c r="AC12568"/>
      <c r="AR12568"/>
    </row>
    <row r="12569" spans="24:44">
      <c r="X12569"/>
      <c r="Y12569"/>
      <c r="Z12569"/>
      <c r="AA12569"/>
      <c r="AC12569"/>
      <c r="AR12569"/>
    </row>
    <row r="12570" spans="24:44">
      <c r="X12570"/>
      <c r="Y12570"/>
      <c r="Z12570"/>
      <c r="AA12570"/>
      <c r="AC12570"/>
      <c r="AR12570"/>
    </row>
    <row r="12571" spans="24:44">
      <c r="X12571"/>
      <c r="Y12571"/>
      <c r="Z12571"/>
      <c r="AA12571"/>
      <c r="AC12571"/>
      <c r="AR12571"/>
    </row>
    <row r="12572" spans="24:44">
      <c r="X12572"/>
      <c r="Y12572"/>
      <c r="Z12572"/>
      <c r="AA12572"/>
      <c r="AC12572"/>
      <c r="AR12572"/>
    </row>
    <row r="12573" spans="24:44">
      <c r="X12573"/>
      <c r="Y12573"/>
      <c r="Z12573"/>
      <c r="AA12573"/>
      <c r="AC12573"/>
      <c r="AR12573"/>
    </row>
    <row r="12574" spans="24:44">
      <c r="X12574"/>
      <c r="Y12574"/>
      <c r="Z12574"/>
      <c r="AA12574"/>
      <c r="AC12574"/>
      <c r="AR12574"/>
    </row>
    <row r="12575" spans="24:44">
      <c r="X12575"/>
      <c r="Y12575"/>
      <c r="Z12575"/>
      <c r="AA12575"/>
      <c r="AC12575"/>
      <c r="AR12575"/>
    </row>
    <row r="12576" spans="24:44">
      <c r="X12576"/>
      <c r="Y12576"/>
      <c r="Z12576"/>
      <c r="AA12576"/>
      <c r="AC12576"/>
      <c r="AR12576"/>
    </row>
    <row r="12577" spans="24:44">
      <c r="X12577"/>
      <c r="Y12577"/>
      <c r="Z12577"/>
      <c r="AA12577"/>
      <c r="AC12577"/>
      <c r="AR12577"/>
    </row>
    <row r="12578" spans="24:44">
      <c r="X12578"/>
      <c r="Y12578"/>
      <c r="Z12578"/>
      <c r="AA12578"/>
      <c r="AC12578"/>
      <c r="AR12578"/>
    </row>
    <row r="12579" spans="24:44">
      <c r="X12579"/>
      <c r="Y12579"/>
      <c r="Z12579"/>
      <c r="AA12579"/>
      <c r="AC12579"/>
      <c r="AR12579"/>
    </row>
    <row r="12580" spans="24:44">
      <c r="X12580"/>
      <c r="Y12580"/>
      <c r="Z12580"/>
      <c r="AA12580"/>
      <c r="AC12580"/>
      <c r="AR12580"/>
    </row>
    <row r="12581" spans="24:44">
      <c r="X12581"/>
      <c r="Y12581"/>
      <c r="Z12581"/>
      <c r="AA12581"/>
      <c r="AC12581"/>
      <c r="AR12581"/>
    </row>
    <row r="12582" spans="24:44">
      <c r="X12582"/>
      <c r="Y12582"/>
      <c r="Z12582"/>
      <c r="AA12582"/>
      <c r="AC12582"/>
      <c r="AR12582"/>
    </row>
    <row r="12583" spans="24:44">
      <c r="X12583"/>
      <c r="Y12583"/>
      <c r="Z12583"/>
      <c r="AA12583"/>
      <c r="AC12583"/>
      <c r="AR12583"/>
    </row>
    <row r="12584" spans="24:44">
      <c r="X12584"/>
      <c r="Y12584"/>
      <c r="Z12584"/>
      <c r="AA12584"/>
      <c r="AC12584"/>
      <c r="AR12584"/>
    </row>
    <row r="12585" spans="24:44">
      <c r="X12585"/>
      <c r="Y12585"/>
      <c r="Z12585"/>
      <c r="AA12585"/>
      <c r="AC12585"/>
      <c r="AR12585"/>
    </row>
    <row r="12586" spans="24:44">
      <c r="X12586"/>
      <c r="Y12586"/>
      <c r="Z12586"/>
      <c r="AA12586"/>
      <c r="AC12586"/>
      <c r="AR12586"/>
    </row>
    <row r="12587" spans="24:44">
      <c r="X12587"/>
      <c r="Y12587"/>
      <c r="Z12587"/>
      <c r="AA12587"/>
      <c r="AC12587"/>
      <c r="AR12587"/>
    </row>
    <row r="12588" spans="24:44">
      <c r="X12588"/>
      <c r="Y12588"/>
      <c r="Z12588"/>
      <c r="AA12588"/>
      <c r="AC12588"/>
      <c r="AR12588"/>
    </row>
    <row r="12589" spans="24:44">
      <c r="X12589"/>
      <c r="Y12589"/>
      <c r="Z12589"/>
      <c r="AA12589"/>
      <c r="AC12589"/>
      <c r="AR12589"/>
    </row>
    <row r="12590" spans="24:44">
      <c r="X12590"/>
      <c r="Y12590"/>
      <c r="Z12590"/>
      <c r="AA12590"/>
      <c r="AC12590"/>
      <c r="AR12590"/>
    </row>
    <row r="12591" spans="24:44">
      <c r="X12591"/>
      <c r="Y12591"/>
      <c r="Z12591"/>
      <c r="AA12591"/>
      <c r="AC12591"/>
      <c r="AR12591"/>
    </row>
    <row r="12592" spans="24:44">
      <c r="X12592"/>
      <c r="Y12592"/>
      <c r="Z12592"/>
      <c r="AA12592"/>
      <c r="AC12592"/>
      <c r="AR12592"/>
    </row>
    <row r="12593" spans="24:44">
      <c r="X12593"/>
      <c r="Y12593"/>
      <c r="Z12593"/>
      <c r="AA12593"/>
      <c r="AC12593"/>
      <c r="AR12593"/>
    </row>
    <row r="12594" spans="24:44">
      <c r="X12594"/>
      <c r="Y12594"/>
      <c r="Z12594"/>
      <c r="AA12594"/>
      <c r="AC12594"/>
      <c r="AR12594"/>
    </row>
    <row r="12595" spans="24:44">
      <c r="X12595"/>
      <c r="Y12595"/>
      <c r="Z12595"/>
      <c r="AA12595"/>
      <c r="AC12595"/>
      <c r="AR12595"/>
    </row>
    <row r="12596" spans="24:44">
      <c r="X12596"/>
      <c r="Y12596"/>
      <c r="Z12596"/>
      <c r="AA12596"/>
      <c r="AC12596"/>
      <c r="AR12596"/>
    </row>
    <row r="12597" spans="24:44">
      <c r="X12597"/>
      <c r="Y12597"/>
      <c r="Z12597"/>
      <c r="AA12597"/>
      <c r="AC12597"/>
      <c r="AR12597"/>
    </row>
    <row r="12598" spans="24:44">
      <c r="X12598"/>
      <c r="Y12598"/>
      <c r="Z12598"/>
      <c r="AA12598"/>
      <c r="AC12598"/>
      <c r="AR12598"/>
    </row>
    <row r="12599" spans="24:44">
      <c r="X12599"/>
      <c r="Y12599"/>
      <c r="Z12599"/>
      <c r="AA12599"/>
      <c r="AC12599"/>
      <c r="AR12599"/>
    </row>
    <row r="12600" spans="24:44">
      <c r="X12600"/>
      <c r="Y12600"/>
      <c r="Z12600"/>
      <c r="AA12600"/>
      <c r="AC12600"/>
      <c r="AR12600"/>
    </row>
    <row r="12601" spans="24:44">
      <c r="X12601"/>
      <c r="Y12601"/>
      <c r="Z12601"/>
      <c r="AA12601"/>
      <c r="AC12601"/>
      <c r="AR12601"/>
    </row>
    <row r="12602" spans="24:44">
      <c r="X12602"/>
      <c r="Y12602"/>
      <c r="Z12602"/>
      <c r="AA12602"/>
      <c r="AC12602"/>
      <c r="AR12602"/>
    </row>
    <row r="12603" spans="24:44">
      <c r="X12603"/>
      <c r="Y12603"/>
      <c r="Z12603"/>
      <c r="AA12603"/>
      <c r="AC12603"/>
      <c r="AR12603"/>
    </row>
    <row r="12604" spans="24:44">
      <c r="X12604"/>
      <c r="Y12604"/>
      <c r="Z12604"/>
      <c r="AA12604"/>
      <c r="AC12604"/>
      <c r="AR12604"/>
    </row>
    <row r="12605" spans="24:44">
      <c r="X12605"/>
      <c r="Y12605"/>
      <c r="Z12605"/>
      <c r="AA12605"/>
      <c r="AC12605"/>
      <c r="AR12605"/>
    </row>
    <row r="12606" spans="24:44">
      <c r="X12606"/>
      <c r="Y12606"/>
      <c r="Z12606"/>
      <c r="AA12606"/>
      <c r="AC12606"/>
      <c r="AR12606"/>
    </row>
    <row r="12607" spans="24:44">
      <c r="X12607"/>
      <c r="Y12607"/>
      <c r="Z12607"/>
      <c r="AA12607"/>
      <c r="AC12607"/>
      <c r="AR12607"/>
    </row>
    <row r="12608" spans="24:44">
      <c r="X12608"/>
      <c r="Y12608"/>
      <c r="Z12608"/>
      <c r="AA12608"/>
      <c r="AC12608"/>
      <c r="AR12608"/>
    </row>
    <row r="12609" spans="24:44">
      <c r="X12609"/>
      <c r="Y12609"/>
      <c r="Z12609"/>
      <c r="AA12609"/>
      <c r="AC12609"/>
      <c r="AR12609"/>
    </row>
    <row r="12610" spans="24:44">
      <c r="X12610"/>
      <c r="Y12610"/>
      <c r="Z12610"/>
      <c r="AA12610"/>
      <c r="AC12610"/>
      <c r="AR12610"/>
    </row>
    <row r="12611" spans="24:44">
      <c r="X12611"/>
      <c r="Y12611"/>
      <c r="Z12611"/>
      <c r="AA12611"/>
      <c r="AC12611"/>
      <c r="AR12611"/>
    </row>
    <row r="12612" spans="24:44">
      <c r="X12612"/>
      <c r="Y12612"/>
      <c r="Z12612"/>
      <c r="AA12612"/>
      <c r="AC12612"/>
      <c r="AR12612"/>
    </row>
    <row r="12613" spans="24:44">
      <c r="X12613"/>
      <c r="Y12613"/>
      <c r="Z12613"/>
      <c r="AA12613"/>
      <c r="AC12613"/>
      <c r="AR12613"/>
    </row>
    <row r="12614" spans="24:44">
      <c r="X12614"/>
      <c r="Y12614"/>
      <c r="Z12614"/>
      <c r="AA12614"/>
      <c r="AC12614"/>
      <c r="AR12614"/>
    </row>
    <row r="12615" spans="24:44">
      <c r="X12615"/>
      <c r="Y12615"/>
      <c r="Z12615"/>
      <c r="AA12615"/>
      <c r="AC12615"/>
      <c r="AR12615"/>
    </row>
    <row r="12616" spans="24:44">
      <c r="X12616"/>
      <c r="Y12616"/>
      <c r="Z12616"/>
      <c r="AA12616"/>
      <c r="AC12616"/>
      <c r="AR12616"/>
    </row>
    <row r="12617" spans="24:44">
      <c r="X12617"/>
      <c r="Y12617"/>
      <c r="Z12617"/>
      <c r="AA12617"/>
      <c r="AC12617"/>
      <c r="AR12617"/>
    </row>
    <row r="12618" spans="24:44">
      <c r="X12618"/>
      <c r="Y12618"/>
      <c r="Z12618"/>
      <c r="AA12618"/>
      <c r="AC12618"/>
      <c r="AR12618"/>
    </row>
    <row r="12619" spans="24:44">
      <c r="X12619"/>
      <c r="Y12619"/>
      <c r="Z12619"/>
      <c r="AA12619"/>
      <c r="AC12619"/>
      <c r="AR12619"/>
    </row>
    <row r="12620" spans="24:44">
      <c r="X12620"/>
      <c r="Y12620"/>
      <c r="Z12620"/>
      <c r="AA12620"/>
      <c r="AC12620"/>
      <c r="AR12620"/>
    </row>
    <row r="12621" spans="24:44">
      <c r="X12621"/>
      <c r="Y12621"/>
      <c r="Z12621"/>
      <c r="AA12621"/>
      <c r="AC12621"/>
      <c r="AR12621"/>
    </row>
    <row r="12622" spans="24:44">
      <c r="X12622"/>
      <c r="Y12622"/>
      <c r="Z12622"/>
      <c r="AA12622"/>
      <c r="AC12622"/>
      <c r="AR12622"/>
    </row>
    <row r="12623" spans="24:44">
      <c r="X12623"/>
      <c r="Y12623"/>
      <c r="Z12623"/>
      <c r="AA12623"/>
      <c r="AC12623"/>
      <c r="AR12623"/>
    </row>
    <row r="12624" spans="24:44">
      <c r="X12624"/>
      <c r="Y12624"/>
      <c r="Z12624"/>
      <c r="AA12624"/>
      <c r="AC12624"/>
      <c r="AR12624"/>
    </row>
    <row r="12625" spans="24:44">
      <c r="X12625"/>
      <c r="Y12625"/>
      <c r="Z12625"/>
      <c r="AA12625"/>
      <c r="AC12625"/>
      <c r="AR12625"/>
    </row>
    <row r="12626" spans="24:44">
      <c r="X12626"/>
      <c r="Y12626"/>
      <c r="Z12626"/>
      <c r="AA12626"/>
      <c r="AC12626"/>
      <c r="AR12626"/>
    </row>
    <row r="12627" spans="24:44">
      <c r="X12627"/>
      <c r="Y12627"/>
      <c r="Z12627"/>
      <c r="AA12627"/>
      <c r="AC12627"/>
      <c r="AR12627"/>
    </row>
    <row r="12628" spans="24:44">
      <c r="X12628"/>
      <c r="Y12628"/>
      <c r="Z12628"/>
      <c r="AA12628"/>
      <c r="AC12628"/>
      <c r="AR12628"/>
    </row>
    <row r="12629" spans="24:44">
      <c r="X12629"/>
      <c r="Y12629"/>
      <c r="Z12629"/>
      <c r="AA12629"/>
      <c r="AC12629"/>
      <c r="AR12629"/>
    </row>
    <row r="12630" spans="24:44">
      <c r="X12630"/>
      <c r="Y12630"/>
      <c r="Z12630"/>
      <c r="AA12630"/>
      <c r="AC12630"/>
      <c r="AR12630"/>
    </row>
    <row r="12631" spans="24:44">
      <c r="X12631"/>
      <c r="Y12631"/>
      <c r="Z12631"/>
      <c r="AA12631"/>
      <c r="AC12631"/>
      <c r="AR12631"/>
    </row>
    <row r="12632" spans="24:44">
      <c r="X12632"/>
      <c r="Y12632"/>
      <c r="Z12632"/>
      <c r="AA12632"/>
      <c r="AC12632"/>
      <c r="AR12632"/>
    </row>
    <row r="12633" spans="24:44">
      <c r="X12633"/>
      <c r="Y12633"/>
      <c r="Z12633"/>
      <c r="AA12633"/>
      <c r="AC12633"/>
      <c r="AR12633"/>
    </row>
    <row r="12634" spans="24:44">
      <c r="X12634"/>
      <c r="Y12634"/>
      <c r="Z12634"/>
      <c r="AA12634"/>
      <c r="AC12634"/>
      <c r="AR12634"/>
    </row>
    <row r="12635" spans="24:44">
      <c r="X12635"/>
      <c r="Y12635"/>
      <c r="Z12635"/>
      <c r="AA12635"/>
      <c r="AC12635"/>
      <c r="AR12635"/>
    </row>
    <row r="12636" spans="24:44">
      <c r="X12636"/>
      <c r="Y12636"/>
      <c r="Z12636"/>
      <c r="AA12636"/>
      <c r="AC12636"/>
      <c r="AR12636"/>
    </row>
    <row r="12637" spans="24:44">
      <c r="X12637"/>
      <c r="Y12637"/>
      <c r="Z12637"/>
      <c r="AA12637"/>
      <c r="AC12637"/>
      <c r="AR12637"/>
    </row>
    <row r="12638" spans="24:44">
      <c r="X12638"/>
      <c r="Y12638"/>
      <c r="Z12638"/>
      <c r="AA12638"/>
      <c r="AC12638"/>
      <c r="AR12638"/>
    </row>
    <row r="12639" spans="24:44">
      <c r="X12639"/>
      <c r="Y12639"/>
      <c r="Z12639"/>
      <c r="AA12639"/>
      <c r="AC12639"/>
      <c r="AR12639"/>
    </row>
    <row r="12640" spans="24:44">
      <c r="X12640"/>
      <c r="Y12640"/>
      <c r="Z12640"/>
      <c r="AA12640"/>
      <c r="AC12640"/>
      <c r="AR12640"/>
    </row>
    <row r="12641" spans="24:44">
      <c r="X12641"/>
      <c r="Y12641"/>
      <c r="Z12641"/>
      <c r="AA12641"/>
      <c r="AC12641"/>
      <c r="AR12641"/>
    </row>
    <row r="12642" spans="24:44">
      <c r="X12642"/>
      <c r="Y12642"/>
      <c r="Z12642"/>
      <c r="AA12642"/>
      <c r="AC12642"/>
      <c r="AR12642"/>
    </row>
    <row r="12643" spans="24:44">
      <c r="X12643"/>
      <c r="Y12643"/>
      <c r="Z12643"/>
      <c r="AA12643"/>
      <c r="AC12643"/>
      <c r="AR12643"/>
    </row>
    <row r="12644" spans="24:44">
      <c r="X12644"/>
      <c r="Y12644"/>
      <c r="Z12644"/>
      <c r="AA12644"/>
      <c r="AC12644"/>
      <c r="AR12644"/>
    </row>
    <row r="12645" spans="24:44">
      <c r="X12645"/>
      <c r="Y12645"/>
      <c r="Z12645"/>
      <c r="AA12645"/>
      <c r="AC12645"/>
      <c r="AR12645"/>
    </row>
    <row r="12646" spans="24:44">
      <c r="X12646"/>
      <c r="Y12646"/>
      <c r="Z12646"/>
      <c r="AA12646"/>
      <c r="AC12646"/>
      <c r="AR12646"/>
    </row>
    <row r="12647" spans="24:44">
      <c r="X12647"/>
      <c r="Y12647"/>
      <c r="Z12647"/>
      <c r="AA12647"/>
      <c r="AC12647"/>
      <c r="AR12647"/>
    </row>
    <row r="12648" spans="24:44">
      <c r="X12648"/>
      <c r="Y12648"/>
      <c r="Z12648"/>
      <c r="AA12648"/>
      <c r="AC12648"/>
      <c r="AR12648"/>
    </row>
    <row r="12649" spans="24:44">
      <c r="X12649"/>
      <c r="Y12649"/>
      <c r="Z12649"/>
      <c r="AA12649"/>
      <c r="AC12649"/>
      <c r="AR12649"/>
    </row>
    <row r="12650" spans="24:44">
      <c r="X12650"/>
      <c r="Y12650"/>
      <c r="Z12650"/>
      <c r="AA12650"/>
      <c r="AC12650"/>
      <c r="AR12650"/>
    </row>
    <row r="12651" spans="24:44">
      <c r="X12651"/>
      <c r="Y12651"/>
      <c r="Z12651"/>
      <c r="AA12651"/>
      <c r="AC12651"/>
      <c r="AR12651"/>
    </row>
    <row r="12652" spans="24:44">
      <c r="X12652"/>
      <c r="Y12652"/>
      <c r="Z12652"/>
      <c r="AA12652"/>
      <c r="AC12652"/>
      <c r="AR12652"/>
    </row>
    <row r="12653" spans="24:44">
      <c r="X12653"/>
      <c r="Y12653"/>
      <c r="Z12653"/>
      <c r="AA12653"/>
      <c r="AC12653"/>
      <c r="AR12653"/>
    </row>
    <row r="12654" spans="24:44">
      <c r="X12654"/>
      <c r="Y12654"/>
      <c r="Z12654"/>
      <c r="AA12654"/>
      <c r="AC12654"/>
      <c r="AR12654"/>
    </row>
    <row r="12655" spans="24:44">
      <c r="X12655"/>
      <c r="Y12655"/>
      <c r="Z12655"/>
      <c r="AA12655"/>
      <c r="AC12655"/>
      <c r="AR12655"/>
    </row>
    <row r="12656" spans="24:44">
      <c r="X12656"/>
      <c r="Y12656"/>
      <c r="Z12656"/>
      <c r="AA12656"/>
      <c r="AC12656"/>
      <c r="AR12656"/>
    </row>
    <row r="12657" spans="24:44">
      <c r="X12657"/>
      <c r="Y12657"/>
      <c r="Z12657"/>
      <c r="AA12657"/>
      <c r="AC12657"/>
      <c r="AR12657"/>
    </row>
    <row r="12658" spans="24:44">
      <c r="X12658"/>
      <c r="Y12658"/>
      <c r="Z12658"/>
      <c r="AA12658"/>
      <c r="AC12658"/>
      <c r="AR12658"/>
    </row>
    <row r="12659" spans="24:44">
      <c r="X12659"/>
      <c r="Y12659"/>
      <c r="Z12659"/>
      <c r="AA12659"/>
      <c r="AC12659"/>
      <c r="AR12659"/>
    </row>
    <row r="12660" spans="24:44">
      <c r="X12660"/>
      <c r="Y12660"/>
      <c r="Z12660"/>
      <c r="AA12660"/>
      <c r="AC12660"/>
      <c r="AR12660"/>
    </row>
    <row r="12661" spans="24:44">
      <c r="X12661"/>
      <c r="Y12661"/>
      <c r="Z12661"/>
      <c r="AA12661"/>
      <c r="AC12661"/>
      <c r="AR12661"/>
    </row>
    <row r="12662" spans="24:44">
      <c r="X12662"/>
      <c r="Y12662"/>
      <c r="Z12662"/>
      <c r="AA12662"/>
      <c r="AC12662"/>
      <c r="AR12662"/>
    </row>
    <row r="12663" spans="24:44">
      <c r="X12663"/>
      <c r="Y12663"/>
      <c r="Z12663"/>
      <c r="AA12663"/>
      <c r="AC12663"/>
      <c r="AR12663"/>
    </row>
    <row r="12664" spans="24:44">
      <c r="X12664"/>
      <c r="Y12664"/>
      <c r="Z12664"/>
      <c r="AA12664"/>
      <c r="AC12664"/>
      <c r="AR12664"/>
    </row>
    <row r="12665" spans="24:44">
      <c r="X12665"/>
      <c r="Y12665"/>
      <c r="Z12665"/>
      <c r="AA12665"/>
      <c r="AC12665"/>
      <c r="AR12665"/>
    </row>
    <row r="12666" spans="24:44">
      <c r="X12666"/>
      <c r="Y12666"/>
      <c r="Z12666"/>
      <c r="AA12666"/>
      <c r="AC12666"/>
      <c r="AR12666"/>
    </row>
    <row r="12667" spans="24:44">
      <c r="X12667"/>
      <c r="Y12667"/>
      <c r="Z12667"/>
      <c r="AA12667"/>
      <c r="AC12667"/>
      <c r="AR12667"/>
    </row>
    <row r="12668" spans="24:44">
      <c r="X12668"/>
      <c r="Y12668"/>
      <c r="Z12668"/>
      <c r="AA12668"/>
      <c r="AC12668"/>
      <c r="AR12668"/>
    </row>
    <row r="12669" spans="24:44">
      <c r="X12669"/>
      <c r="Y12669"/>
      <c r="Z12669"/>
      <c r="AA12669"/>
      <c r="AC12669"/>
      <c r="AR12669"/>
    </row>
    <row r="12670" spans="24:44">
      <c r="X12670"/>
      <c r="Y12670"/>
      <c r="Z12670"/>
      <c r="AA12670"/>
      <c r="AC12670"/>
      <c r="AR12670"/>
    </row>
    <row r="12671" spans="24:44">
      <c r="X12671"/>
      <c r="Y12671"/>
      <c r="Z12671"/>
      <c r="AA12671"/>
      <c r="AC12671"/>
      <c r="AR12671"/>
    </row>
    <row r="12672" spans="24:44">
      <c r="X12672"/>
      <c r="Y12672"/>
      <c r="Z12672"/>
      <c r="AA12672"/>
      <c r="AC12672"/>
      <c r="AR12672"/>
    </row>
    <row r="12673" spans="24:44">
      <c r="X12673"/>
      <c r="Y12673"/>
      <c r="Z12673"/>
      <c r="AA12673"/>
      <c r="AC12673"/>
      <c r="AR12673"/>
    </row>
    <row r="12674" spans="24:44">
      <c r="X12674"/>
      <c r="Y12674"/>
      <c r="Z12674"/>
      <c r="AA12674"/>
      <c r="AC12674"/>
      <c r="AR12674"/>
    </row>
    <row r="12675" spans="24:44">
      <c r="X12675"/>
      <c r="Y12675"/>
      <c r="Z12675"/>
      <c r="AA12675"/>
      <c r="AC12675"/>
      <c r="AR12675"/>
    </row>
    <row r="12676" spans="24:44">
      <c r="X12676"/>
      <c r="Y12676"/>
      <c r="Z12676"/>
      <c r="AA12676"/>
      <c r="AC12676"/>
      <c r="AR12676"/>
    </row>
    <row r="12677" spans="24:44">
      <c r="X12677"/>
      <c r="Y12677"/>
      <c r="Z12677"/>
      <c r="AA12677"/>
      <c r="AC12677"/>
      <c r="AR12677"/>
    </row>
    <row r="12678" spans="24:44">
      <c r="X12678"/>
      <c r="Y12678"/>
      <c r="Z12678"/>
      <c r="AA12678"/>
      <c r="AC12678"/>
      <c r="AR12678"/>
    </row>
    <row r="12679" spans="24:44">
      <c r="X12679"/>
      <c r="Y12679"/>
      <c r="Z12679"/>
      <c r="AA12679"/>
      <c r="AC12679"/>
      <c r="AR12679"/>
    </row>
    <row r="12680" spans="24:44">
      <c r="X12680"/>
      <c r="Y12680"/>
      <c r="Z12680"/>
      <c r="AA12680"/>
      <c r="AC12680"/>
      <c r="AR12680"/>
    </row>
    <row r="12681" spans="24:44">
      <c r="X12681"/>
      <c r="Y12681"/>
      <c r="Z12681"/>
      <c r="AA12681"/>
      <c r="AC12681"/>
      <c r="AR12681"/>
    </row>
    <row r="12682" spans="24:44">
      <c r="X12682"/>
      <c r="Y12682"/>
      <c r="Z12682"/>
      <c r="AA12682"/>
      <c r="AC12682"/>
      <c r="AR12682"/>
    </row>
    <row r="12683" spans="24:44">
      <c r="X12683"/>
      <c r="Y12683"/>
      <c r="Z12683"/>
      <c r="AA12683"/>
      <c r="AC12683"/>
      <c r="AR12683"/>
    </row>
    <row r="12684" spans="24:44">
      <c r="X12684"/>
      <c r="Y12684"/>
      <c r="Z12684"/>
      <c r="AA12684"/>
      <c r="AC12684"/>
      <c r="AR12684"/>
    </row>
    <row r="12685" spans="24:44">
      <c r="X12685"/>
      <c r="Y12685"/>
      <c r="Z12685"/>
      <c r="AA12685"/>
      <c r="AC12685"/>
      <c r="AR12685"/>
    </row>
    <row r="12686" spans="24:44">
      <c r="X12686"/>
      <c r="Y12686"/>
      <c r="Z12686"/>
      <c r="AA12686"/>
      <c r="AC12686"/>
      <c r="AR12686"/>
    </row>
    <row r="12687" spans="24:44">
      <c r="X12687"/>
      <c r="Y12687"/>
      <c r="Z12687"/>
      <c r="AA12687"/>
      <c r="AC12687"/>
      <c r="AR12687"/>
    </row>
    <row r="12688" spans="24:44">
      <c r="X12688"/>
      <c r="Y12688"/>
      <c r="Z12688"/>
      <c r="AA12688"/>
      <c r="AC12688"/>
      <c r="AR12688"/>
    </row>
    <row r="12689" spans="24:44">
      <c r="X12689"/>
      <c r="Y12689"/>
      <c r="Z12689"/>
      <c r="AA12689"/>
      <c r="AC12689"/>
      <c r="AR12689"/>
    </row>
    <row r="12690" spans="24:44">
      <c r="X12690"/>
      <c r="Y12690"/>
      <c r="Z12690"/>
      <c r="AA12690"/>
      <c r="AC12690"/>
      <c r="AR12690"/>
    </row>
    <row r="12691" spans="24:44">
      <c r="X12691"/>
      <c r="Y12691"/>
      <c r="Z12691"/>
      <c r="AA12691"/>
      <c r="AC12691"/>
      <c r="AR12691"/>
    </row>
    <row r="12692" spans="24:44">
      <c r="X12692"/>
      <c r="Y12692"/>
      <c r="Z12692"/>
      <c r="AA12692"/>
      <c r="AC12692"/>
      <c r="AR12692"/>
    </row>
    <row r="12693" spans="24:44">
      <c r="X12693"/>
      <c r="Y12693"/>
      <c r="Z12693"/>
      <c r="AA12693"/>
      <c r="AC12693"/>
      <c r="AR12693"/>
    </row>
    <row r="12694" spans="24:44">
      <c r="X12694"/>
      <c r="Y12694"/>
      <c r="Z12694"/>
      <c r="AA12694"/>
      <c r="AC12694"/>
      <c r="AR12694"/>
    </row>
    <row r="12695" spans="24:44">
      <c r="X12695"/>
      <c r="Y12695"/>
      <c r="Z12695"/>
      <c r="AA12695"/>
      <c r="AC12695"/>
      <c r="AR12695"/>
    </row>
    <row r="12696" spans="24:44">
      <c r="X12696"/>
      <c r="Y12696"/>
      <c r="Z12696"/>
      <c r="AA12696"/>
      <c r="AC12696"/>
      <c r="AR12696"/>
    </row>
    <row r="12697" spans="24:44">
      <c r="X12697"/>
      <c r="Y12697"/>
      <c r="Z12697"/>
      <c r="AA12697"/>
      <c r="AC12697"/>
      <c r="AR12697"/>
    </row>
    <row r="12698" spans="24:44">
      <c r="X12698"/>
      <c r="Y12698"/>
      <c r="Z12698"/>
      <c r="AA12698"/>
      <c r="AC12698"/>
      <c r="AR12698"/>
    </row>
    <row r="12699" spans="24:44">
      <c r="X12699"/>
      <c r="Y12699"/>
      <c r="Z12699"/>
      <c r="AA12699"/>
      <c r="AC12699"/>
      <c r="AR12699"/>
    </row>
    <row r="12700" spans="24:44">
      <c r="X12700"/>
      <c r="Y12700"/>
      <c r="Z12700"/>
      <c r="AA12700"/>
      <c r="AC12700"/>
      <c r="AR12700"/>
    </row>
    <row r="12701" spans="24:44">
      <c r="X12701"/>
      <c r="Y12701"/>
      <c r="Z12701"/>
      <c r="AA12701"/>
      <c r="AC12701"/>
      <c r="AR12701"/>
    </row>
    <row r="12702" spans="24:44">
      <c r="X12702"/>
      <c r="Y12702"/>
      <c r="Z12702"/>
      <c r="AA12702"/>
      <c r="AC12702"/>
      <c r="AR12702"/>
    </row>
    <row r="12703" spans="24:44">
      <c r="X12703"/>
      <c r="Y12703"/>
      <c r="Z12703"/>
      <c r="AA12703"/>
      <c r="AC12703"/>
      <c r="AR12703"/>
    </row>
    <row r="12704" spans="24:44">
      <c r="X12704"/>
      <c r="Y12704"/>
      <c r="Z12704"/>
      <c r="AA12704"/>
      <c r="AC12704"/>
      <c r="AR12704"/>
    </row>
    <row r="12705" spans="24:44">
      <c r="X12705"/>
      <c r="Y12705"/>
      <c r="Z12705"/>
      <c r="AA12705"/>
      <c r="AC12705"/>
      <c r="AR12705"/>
    </row>
    <row r="12706" spans="24:44">
      <c r="X12706"/>
      <c r="Y12706"/>
      <c r="Z12706"/>
      <c r="AA12706"/>
      <c r="AC12706"/>
      <c r="AR12706"/>
    </row>
    <row r="12707" spans="24:44">
      <c r="X12707"/>
      <c r="Y12707"/>
      <c r="Z12707"/>
      <c r="AA12707"/>
      <c r="AC12707"/>
      <c r="AR12707"/>
    </row>
    <row r="12708" spans="24:44">
      <c r="X12708"/>
      <c r="Y12708"/>
      <c r="Z12708"/>
      <c r="AA12708"/>
      <c r="AC12708"/>
      <c r="AR12708"/>
    </row>
    <row r="12709" spans="24:44">
      <c r="X12709"/>
      <c r="Y12709"/>
      <c r="Z12709"/>
      <c r="AA12709"/>
      <c r="AC12709"/>
      <c r="AR12709"/>
    </row>
    <row r="12710" spans="24:44">
      <c r="X12710"/>
      <c r="Y12710"/>
      <c r="Z12710"/>
      <c r="AA12710"/>
      <c r="AC12710"/>
      <c r="AR12710"/>
    </row>
    <row r="12711" spans="24:44">
      <c r="X12711"/>
      <c r="Y12711"/>
      <c r="Z12711"/>
      <c r="AA12711"/>
      <c r="AC12711"/>
      <c r="AR12711"/>
    </row>
    <row r="12712" spans="24:44">
      <c r="X12712"/>
      <c r="Y12712"/>
      <c r="Z12712"/>
      <c r="AA12712"/>
      <c r="AC12712"/>
      <c r="AR12712"/>
    </row>
    <row r="12713" spans="24:44">
      <c r="X12713"/>
      <c r="Y12713"/>
      <c r="Z12713"/>
      <c r="AA12713"/>
      <c r="AC12713"/>
      <c r="AR12713"/>
    </row>
    <row r="12714" spans="24:44">
      <c r="X12714"/>
      <c r="Y12714"/>
      <c r="Z12714"/>
      <c r="AA12714"/>
      <c r="AC12714"/>
      <c r="AR12714"/>
    </row>
    <row r="12715" spans="24:44">
      <c r="X12715"/>
      <c r="Y12715"/>
      <c r="Z12715"/>
      <c r="AA12715"/>
      <c r="AC12715"/>
      <c r="AR12715"/>
    </row>
    <row r="12716" spans="24:44">
      <c r="X12716"/>
      <c r="Y12716"/>
      <c r="Z12716"/>
      <c r="AA12716"/>
      <c r="AC12716"/>
      <c r="AR12716"/>
    </row>
    <row r="12717" spans="24:44">
      <c r="X12717"/>
      <c r="Y12717"/>
      <c r="Z12717"/>
      <c r="AA12717"/>
      <c r="AC12717"/>
      <c r="AR12717"/>
    </row>
    <row r="12718" spans="24:44">
      <c r="X12718"/>
      <c r="Y12718"/>
      <c r="Z12718"/>
      <c r="AA12718"/>
      <c r="AC12718"/>
      <c r="AR12718"/>
    </row>
    <row r="12719" spans="24:44">
      <c r="X12719"/>
      <c r="Y12719"/>
      <c r="Z12719"/>
      <c r="AA12719"/>
      <c r="AC12719"/>
      <c r="AR12719"/>
    </row>
    <row r="12720" spans="24:44">
      <c r="X12720"/>
      <c r="Y12720"/>
      <c r="Z12720"/>
      <c r="AA12720"/>
      <c r="AC12720"/>
      <c r="AR12720"/>
    </row>
    <row r="12721" spans="24:44">
      <c r="X12721"/>
      <c r="Y12721"/>
      <c r="Z12721"/>
      <c r="AA12721"/>
      <c r="AC12721"/>
      <c r="AR12721"/>
    </row>
    <row r="12722" spans="24:44">
      <c r="X12722"/>
      <c r="Y12722"/>
      <c r="Z12722"/>
      <c r="AA12722"/>
      <c r="AC12722"/>
      <c r="AR12722"/>
    </row>
    <row r="12723" spans="24:44">
      <c r="X12723"/>
      <c r="Y12723"/>
      <c r="Z12723"/>
      <c r="AA12723"/>
      <c r="AC12723"/>
      <c r="AR12723"/>
    </row>
    <row r="12724" spans="24:44">
      <c r="X12724"/>
      <c r="Y12724"/>
      <c r="Z12724"/>
      <c r="AA12724"/>
      <c r="AC12724"/>
      <c r="AR12724"/>
    </row>
    <row r="12725" spans="24:44">
      <c r="X12725"/>
      <c r="Y12725"/>
      <c r="Z12725"/>
      <c r="AA12725"/>
      <c r="AC12725"/>
      <c r="AR12725"/>
    </row>
    <row r="12726" spans="24:44">
      <c r="X12726"/>
      <c r="Y12726"/>
      <c r="Z12726"/>
      <c r="AA12726"/>
      <c r="AC12726"/>
      <c r="AR12726"/>
    </row>
    <row r="12727" spans="24:44">
      <c r="X12727"/>
      <c r="Y12727"/>
      <c r="Z12727"/>
      <c r="AA12727"/>
      <c r="AC12727"/>
      <c r="AR12727"/>
    </row>
    <row r="12728" spans="24:44">
      <c r="X12728"/>
      <c r="Y12728"/>
      <c r="Z12728"/>
      <c r="AA12728"/>
      <c r="AC12728"/>
      <c r="AR12728"/>
    </row>
    <row r="12729" spans="24:44">
      <c r="X12729"/>
      <c r="Y12729"/>
      <c r="Z12729"/>
      <c r="AA12729"/>
      <c r="AC12729"/>
      <c r="AR12729"/>
    </row>
    <row r="12730" spans="24:44">
      <c r="X12730"/>
      <c r="Y12730"/>
      <c r="Z12730"/>
      <c r="AA12730"/>
      <c r="AC12730"/>
      <c r="AR12730"/>
    </row>
    <row r="12731" spans="24:44">
      <c r="X12731"/>
      <c r="Y12731"/>
      <c r="Z12731"/>
      <c r="AA12731"/>
      <c r="AC12731"/>
      <c r="AR12731"/>
    </row>
    <row r="12732" spans="24:44">
      <c r="X12732"/>
      <c r="Y12732"/>
      <c r="Z12732"/>
      <c r="AA12732"/>
      <c r="AC12732"/>
      <c r="AR12732"/>
    </row>
    <row r="12733" spans="24:44">
      <c r="X12733"/>
      <c r="Y12733"/>
      <c r="Z12733"/>
      <c r="AA12733"/>
      <c r="AC12733"/>
      <c r="AR12733"/>
    </row>
    <row r="12734" spans="24:44">
      <c r="X12734"/>
      <c r="Y12734"/>
      <c r="Z12734"/>
      <c r="AA12734"/>
      <c r="AC12734"/>
      <c r="AR12734"/>
    </row>
    <row r="12735" spans="24:44">
      <c r="X12735"/>
      <c r="Y12735"/>
      <c r="Z12735"/>
      <c r="AA12735"/>
      <c r="AC12735"/>
      <c r="AR12735"/>
    </row>
    <row r="12736" spans="24:44">
      <c r="X12736"/>
      <c r="Y12736"/>
      <c r="Z12736"/>
      <c r="AA12736"/>
      <c r="AC12736"/>
      <c r="AR12736"/>
    </row>
    <row r="12737" spans="24:44">
      <c r="X12737"/>
      <c r="Y12737"/>
      <c r="Z12737"/>
      <c r="AA12737"/>
      <c r="AC12737"/>
      <c r="AR12737"/>
    </row>
    <row r="12738" spans="24:44">
      <c r="X12738"/>
      <c r="Y12738"/>
      <c r="Z12738"/>
      <c r="AA12738"/>
      <c r="AC12738"/>
      <c r="AR12738"/>
    </row>
    <row r="12739" spans="24:44">
      <c r="X12739"/>
      <c r="Y12739"/>
      <c r="Z12739"/>
      <c r="AA12739"/>
      <c r="AC12739"/>
      <c r="AR12739"/>
    </row>
    <row r="12740" spans="24:44">
      <c r="X12740"/>
      <c r="Y12740"/>
      <c r="Z12740"/>
      <c r="AA12740"/>
      <c r="AC12740"/>
      <c r="AR12740"/>
    </row>
    <row r="12741" spans="24:44">
      <c r="X12741"/>
      <c r="Y12741"/>
      <c r="Z12741"/>
      <c r="AA12741"/>
      <c r="AC12741"/>
      <c r="AR12741"/>
    </row>
    <row r="12742" spans="24:44">
      <c r="X12742"/>
      <c r="Y12742"/>
      <c r="Z12742"/>
      <c r="AA12742"/>
      <c r="AC12742"/>
      <c r="AR12742"/>
    </row>
    <row r="12743" spans="24:44">
      <c r="X12743"/>
      <c r="Y12743"/>
      <c r="Z12743"/>
      <c r="AA12743"/>
      <c r="AC12743"/>
      <c r="AR12743"/>
    </row>
    <row r="12744" spans="24:44">
      <c r="X12744"/>
      <c r="Y12744"/>
      <c r="Z12744"/>
      <c r="AA12744"/>
      <c r="AC12744"/>
      <c r="AR12744"/>
    </row>
    <row r="12745" spans="24:44">
      <c r="X12745"/>
      <c r="Y12745"/>
      <c r="Z12745"/>
      <c r="AA12745"/>
      <c r="AC12745"/>
      <c r="AR12745"/>
    </row>
    <row r="12746" spans="24:44">
      <c r="X12746"/>
      <c r="Y12746"/>
      <c r="Z12746"/>
      <c r="AA12746"/>
      <c r="AC12746"/>
      <c r="AR12746"/>
    </row>
    <row r="12747" spans="24:44">
      <c r="X12747"/>
      <c r="Y12747"/>
      <c r="Z12747"/>
      <c r="AA12747"/>
      <c r="AC12747"/>
      <c r="AR12747"/>
    </row>
    <row r="12748" spans="24:44">
      <c r="X12748"/>
      <c r="Y12748"/>
      <c r="Z12748"/>
      <c r="AA12748"/>
      <c r="AC12748"/>
      <c r="AR12748"/>
    </row>
    <row r="12749" spans="24:44">
      <c r="X12749"/>
      <c r="Y12749"/>
      <c r="Z12749"/>
      <c r="AA12749"/>
      <c r="AC12749"/>
      <c r="AR12749"/>
    </row>
    <row r="12750" spans="24:44">
      <c r="X12750"/>
      <c r="Y12750"/>
      <c r="Z12750"/>
      <c r="AA12750"/>
      <c r="AC12750"/>
      <c r="AR12750"/>
    </row>
    <row r="12751" spans="24:44">
      <c r="X12751"/>
      <c r="Y12751"/>
      <c r="Z12751"/>
      <c r="AA12751"/>
      <c r="AC12751"/>
      <c r="AR12751"/>
    </row>
    <row r="12752" spans="24:44">
      <c r="X12752"/>
      <c r="Y12752"/>
      <c r="Z12752"/>
      <c r="AA12752"/>
      <c r="AC12752"/>
      <c r="AR12752"/>
    </row>
    <row r="12753" spans="24:44">
      <c r="X12753"/>
      <c r="Y12753"/>
      <c r="Z12753"/>
      <c r="AA12753"/>
      <c r="AC12753"/>
      <c r="AR12753"/>
    </row>
    <row r="12754" spans="24:44">
      <c r="X12754"/>
      <c r="Y12754"/>
      <c r="Z12754"/>
      <c r="AA12754"/>
      <c r="AC12754"/>
      <c r="AR12754"/>
    </row>
    <row r="12755" spans="24:44">
      <c r="X12755"/>
      <c r="Y12755"/>
      <c r="Z12755"/>
      <c r="AA12755"/>
      <c r="AC12755"/>
      <c r="AR12755"/>
    </row>
    <row r="12756" spans="24:44">
      <c r="X12756"/>
      <c r="Y12756"/>
      <c r="Z12756"/>
      <c r="AA12756"/>
      <c r="AC12756"/>
      <c r="AR12756"/>
    </row>
    <row r="12757" spans="24:44">
      <c r="X12757"/>
      <c r="Y12757"/>
      <c r="Z12757"/>
      <c r="AA12757"/>
      <c r="AC12757"/>
      <c r="AR12757"/>
    </row>
    <row r="12758" spans="24:44">
      <c r="X12758"/>
      <c r="Y12758"/>
      <c r="Z12758"/>
      <c r="AA12758"/>
      <c r="AC12758"/>
      <c r="AR12758"/>
    </row>
    <row r="12759" spans="24:44">
      <c r="X12759"/>
      <c r="Y12759"/>
      <c r="Z12759"/>
      <c r="AA12759"/>
      <c r="AC12759"/>
      <c r="AR12759"/>
    </row>
    <row r="12760" spans="24:44">
      <c r="X12760"/>
      <c r="Y12760"/>
      <c r="Z12760"/>
      <c r="AA12760"/>
      <c r="AC12760"/>
      <c r="AR12760"/>
    </row>
    <row r="12761" spans="24:44">
      <c r="X12761"/>
      <c r="Y12761"/>
      <c r="Z12761"/>
      <c r="AA12761"/>
      <c r="AC12761"/>
      <c r="AR12761"/>
    </row>
    <row r="12762" spans="24:44">
      <c r="X12762"/>
      <c r="Y12762"/>
      <c r="Z12762"/>
      <c r="AA12762"/>
      <c r="AC12762"/>
      <c r="AR12762"/>
    </row>
    <row r="12763" spans="24:44">
      <c r="X12763"/>
      <c r="Y12763"/>
      <c r="Z12763"/>
      <c r="AA12763"/>
      <c r="AC12763"/>
      <c r="AR12763"/>
    </row>
    <row r="12764" spans="24:44">
      <c r="X12764"/>
      <c r="Y12764"/>
      <c r="Z12764"/>
      <c r="AA12764"/>
      <c r="AC12764"/>
      <c r="AR12764"/>
    </row>
    <row r="12765" spans="24:44">
      <c r="X12765"/>
      <c r="Y12765"/>
      <c r="Z12765"/>
      <c r="AA12765"/>
      <c r="AC12765"/>
      <c r="AR12765"/>
    </row>
    <row r="12766" spans="24:44">
      <c r="X12766"/>
      <c r="Y12766"/>
      <c r="Z12766"/>
      <c r="AA12766"/>
      <c r="AC12766"/>
      <c r="AR12766"/>
    </row>
    <row r="12767" spans="24:44">
      <c r="X12767"/>
      <c r="Y12767"/>
      <c r="Z12767"/>
      <c r="AA12767"/>
      <c r="AC12767"/>
      <c r="AR12767"/>
    </row>
    <row r="12768" spans="24:44">
      <c r="X12768"/>
      <c r="Y12768"/>
      <c r="Z12768"/>
      <c r="AA12768"/>
      <c r="AC12768"/>
      <c r="AR12768"/>
    </row>
    <row r="12769" spans="24:44">
      <c r="X12769"/>
      <c r="Y12769"/>
      <c r="Z12769"/>
      <c r="AA12769"/>
      <c r="AC12769"/>
      <c r="AR12769"/>
    </row>
    <row r="12770" spans="24:44">
      <c r="X12770"/>
      <c r="Y12770"/>
      <c r="Z12770"/>
      <c r="AA12770"/>
      <c r="AC12770"/>
      <c r="AR12770"/>
    </row>
    <row r="12771" spans="24:44">
      <c r="X12771"/>
      <c r="Y12771"/>
      <c r="Z12771"/>
      <c r="AA12771"/>
      <c r="AC12771"/>
      <c r="AR12771"/>
    </row>
    <row r="12772" spans="24:44">
      <c r="X12772"/>
      <c r="Y12772"/>
      <c r="Z12772"/>
      <c r="AA12772"/>
      <c r="AC12772"/>
      <c r="AR12772"/>
    </row>
    <row r="12773" spans="24:44">
      <c r="X12773"/>
      <c r="Y12773"/>
      <c r="Z12773"/>
      <c r="AA12773"/>
      <c r="AC12773"/>
      <c r="AR12773"/>
    </row>
    <row r="12774" spans="24:44">
      <c r="X12774"/>
      <c r="Y12774"/>
      <c r="Z12774"/>
      <c r="AA12774"/>
      <c r="AC12774"/>
      <c r="AR12774"/>
    </row>
    <row r="12775" spans="24:44">
      <c r="X12775"/>
      <c r="Y12775"/>
      <c r="Z12775"/>
      <c r="AA12775"/>
      <c r="AC12775"/>
      <c r="AR12775"/>
    </row>
    <row r="12776" spans="24:44">
      <c r="X12776"/>
      <c r="Y12776"/>
      <c r="Z12776"/>
      <c r="AA12776"/>
      <c r="AC12776"/>
      <c r="AR12776"/>
    </row>
    <row r="12777" spans="24:44">
      <c r="X12777"/>
      <c r="Y12777"/>
      <c r="Z12777"/>
      <c r="AA12777"/>
      <c r="AC12777"/>
      <c r="AR12777"/>
    </row>
    <row r="12778" spans="24:44">
      <c r="X12778"/>
      <c r="Y12778"/>
      <c r="Z12778"/>
      <c r="AA12778"/>
      <c r="AC12778"/>
      <c r="AR12778"/>
    </row>
    <row r="12779" spans="24:44">
      <c r="X12779"/>
      <c r="Y12779"/>
      <c r="Z12779"/>
      <c r="AA12779"/>
      <c r="AC12779"/>
      <c r="AR12779"/>
    </row>
    <row r="12780" spans="24:44">
      <c r="X12780"/>
      <c r="Y12780"/>
      <c r="Z12780"/>
      <c r="AA12780"/>
      <c r="AC12780"/>
      <c r="AR12780"/>
    </row>
    <row r="12781" spans="24:44">
      <c r="X12781"/>
      <c r="Y12781"/>
      <c r="Z12781"/>
      <c r="AA12781"/>
      <c r="AC12781"/>
      <c r="AR12781"/>
    </row>
    <row r="12782" spans="24:44">
      <c r="X12782"/>
      <c r="Y12782"/>
      <c r="Z12782"/>
      <c r="AA12782"/>
      <c r="AC12782"/>
      <c r="AR12782"/>
    </row>
    <row r="12783" spans="24:44">
      <c r="X12783"/>
      <c r="Y12783"/>
      <c r="Z12783"/>
      <c r="AA12783"/>
      <c r="AC12783"/>
      <c r="AR12783"/>
    </row>
    <row r="12784" spans="24:44">
      <c r="X12784"/>
      <c r="Y12784"/>
      <c r="Z12784"/>
      <c r="AA12784"/>
      <c r="AC12784"/>
      <c r="AR12784"/>
    </row>
    <row r="12785" spans="24:44">
      <c r="X12785"/>
      <c r="Y12785"/>
      <c r="Z12785"/>
      <c r="AA12785"/>
      <c r="AC12785"/>
      <c r="AR12785"/>
    </row>
    <row r="12786" spans="24:44">
      <c r="X12786"/>
      <c r="Y12786"/>
      <c r="Z12786"/>
      <c r="AA12786"/>
      <c r="AC12786"/>
      <c r="AR12786"/>
    </row>
    <row r="12787" spans="24:44">
      <c r="X12787"/>
      <c r="Y12787"/>
      <c r="Z12787"/>
      <c r="AA12787"/>
      <c r="AC12787"/>
      <c r="AR12787"/>
    </row>
    <row r="12788" spans="24:44">
      <c r="X12788"/>
      <c r="Y12788"/>
      <c r="Z12788"/>
      <c r="AA12788"/>
      <c r="AC12788"/>
      <c r="AR12788"/>
    </row>
    <row r="12789" spans="24:44">
      <c r="X12789"/>
      <c r="Y12789"/>
      <c r="Z12789"/>
      <c r="AA12789"/>
      <c r="AC12789"/>
      <c r="AR12789"/>
    </row>
    <row r="12790" spans="24:44">
      <c r="X12790"/>
      <c r="Y12790"/>
      <c r="Z12790"/>
      <c r="AA12790"/>
      <c r="AC12790"/>
      <c r="AR12790"/>
    </row>
    <row r="12791" spans="24:44">
      <c r="X12791"/>
      <c r="Y12791"/>
      <c r="Z12791"/>
      <c r="AA12791"/>
      <c r="AC12791"/>
      <c r="AR12791"/>
    </row>
    <row r="12792" spans="24:44">
      <c r="X12792"/>
      <c r="Y12792"/>
      <c r="Z12792"/>
      <c r="AA12792"/>
      <c r="AC12792"/>
      <c r="AR12792"/>
    </row>
    <row r="12793" spans="24:44">
      <c r="X12793"/>
      <c r="Y12793"/>
      <c r="Z12793"/>
      <c r="AA12793"/>
      <c r="AC12793"/>
      <c r="AR12793"/>
    </row>
    <row r="12794" spans="24:44">
      <c r="X12794"/>
      <c r="Y12794"/>
      <c r="Z12794"/>
      <c r="AA12794"/>
      <c r="AC12794"/>
      <c r="AR12794"/>
    </row>
    <row r="12795" spans="24:44">
      <c r="X12795"/>
      <c r="Y12795"/>
      <c r="Z12795"/>
      <c r="AA12795"/>
      <c r="AC12795"/>
      <c r="AR12795"/>
    </row>
    <row r="12796" spans="24:44">
      <c r="X12796"/>
      <c r="Y12796"/>
      <c r="Z12796"/>
      <c r="AA12796"/>
      <c r="AC12796"/>
      <c r="AR12796"/>
    </row>
    <row r="12797" spans="24:44">
      <c r="X12797"/>
      <c r="Y12797"/>
      <c r="Z12797"/>
      <c r="AA12797"/>
      <c r="AC12797"/>
      <c r="AR12797"/>
    </row>
    <row r="12798" spans="24:44">
      <c r="X12798"/>
      <c r="Y12798"/>
      <c r="Z12798"/>
      <c r="AA12798"/>
      <c r="AC12798"/>
      <c r="AR12798"/>
    </row>
    <row r="12799" spans="24:44">
      <c r="X12799"/>
      <c r="Y12799"/>
      <c r="Z12799"/>
      <c r="AA12799"/>
      <c r="AC12799"/>
      <c r="AR12799"/>
    </row>
    <row r="12800" spans="24:44">
      <c r="X12800"/>
      <c r="Y12800"/>
      <c r="Z12800"/>
      <c r="AA12800"/>
      <c r="AC12800"/>
      <c r="AR12800"/>
    </row>
    <row r="12801" spans="24:44">
      <c r="X12801"/>
      <c r="Y12801"/>
      <c r="Z12801"/>
      <c r="AA12801"/>
      <c r="AC12801"/>
      <c r="AR12801"/>
    </row>
    <row r="12802" spans="24:44">
      <c r="X12802"/>
      <c r="Y12802"/>
      <c r="Z12802"/>
      <c r="AA12802"/>
      <c r="AC12802"/>
      <c r="AR12802"/>
    </row>
    <row r="12803" spans="24:44">
      <c r="X12803"/>
      <c r="Y12803"/>
      <c r="Z12803"/>
      <c r="AA12803"/>
      <c r="AC12803"/>
      <c r="AR12803"/>
    </row>
    <row r="12804" spans="24:44">
      <c r="X12804"/>
      <c r="Y12804"/>
      <c r="Z12804"/>
      <c r="AA12804"/>
      <c r="AC12804"/>
      <c r="AR12804"/>
    </row>
    <row r="12805" spans="24:44">
      <c r="X12805"/>
      <c r="Y12805"/>
      <c r="Z12805"/>
      <c r="AA12805"/>
      <c r="AC12805"/>
      <c r="AR12805"/>
    </row>
    <row r="12806" spans="24:44">
      <c r="X12806"/>
      <c r="Y12806"/>
      <c r="Z12806"/>
      <c r="AA12806"/>
      <c r="AC12806"/>
      <c r="AR12806"/>
    </row>
    <row r="12807" spans="24:44">
      <c r="X12807"/>
      <c r="Y12807"/>
      <c r="Z12807"/>
      <c r="AA12807"/>
      <c r="AC12807"/>
      <c r="AR12807"/>
    </row>
    <row r="12808" spans="24:44">
      <c r="X12808"/>
      <c r="Y12808"/>
      <c r="Z12808"/>
      <c r="AA12808"/>
      <c r="AC12808"/>
      <c r="AR12808"/>
    </row>
    <row r="12809" spans="24:44">
      <c r="X12809"/>
      <c r="Y12809"/>
      <c r="Z12809"/>
      <c r="AA12809"/>
      <c r="AC12809"/>
      <c r="AR12809"/>
    </row>
    <row r="12810" spans="24:44">
      <c r="X12810"/>
      <c r="Y12810"/>
      <c r="Z12810"/>
      <c r="AA12810"/>
      <c r="AC12810"/>
      <c r="AR12810"/>
    </row>
    <row r="12811" spans="24:44">
      <c r="X12811"/>
      <c r="Y12811"/>
      <c r="Z12811"/>
      <c r="AA12811"/>
      <c r="AC12811"/>
      <c r="AR12811"/>
    </row>
    <row r="12812" spans="24:44">
      <c r="X12812"/>
      <c r="Y12812"/>
      <c r="Z12812"/>
      <c r="AA12812"/>
      <c r="AC12812"/>
      <c r="AR12812"/>
    </row>
    <row r="12813" spans="24:44">
      <c r="X12813"/>
      <c r="Y12813"/>
      <c r="Z12813"/>
      <c r="AA12813"/>
      <c r="AC12813"/>
      <c r="AR12813"/>
    </row>
    <row r="12814" spans="24:44">
      <c r="X12814"/>
      <c r="Y12814"/>
      <c r="Z12814"/>
      <c r="AA12814"/>
      <c r="AC12814"/>
      <c r="AR12814"/>
    </row>
    <row r="12815" spans="24:44">
      <c r="X12815"/>
      <c r="Y12815"/>
      <c r="Z12815"/>
      <c r="AA12815"/>
      <c r="AC12815"/>
      <c r="AR12815"/>
    </row>
    <row r="12816" spans="24:44">
      <c r="X12816"/>
      <c r="Y12816"/>
      <c r="Z12816"/>
      <c r="AA12816"/>
      <c r="AC12816"/>
      <c r="AR12816"/>
    </row>
    <row r="12817" spans="24:44">
      <c r="X12817"/>
      <c r="Y12817"/>
      <c r="Z12817"/>
      <c r="AA12817"/>
      <c r="AC12817"/>
      <c r="AR12817"/>
    </row>
    <row r="12818" spans="24:44">
      <c r="X12818"/>
      <c r="Y12818"/>
      <c r="Z12818"/>
      <c r="AA12818"/>
      <c r="AC12818"/>
      <c r="AR12818"/>
    </row>
    <row r="12819" spans="24:44">
      <c r="X12819"/>
      <c r="Y12819"/>
      <c r="Z12819"/>
      <c r="AA12819"/>
      <c r="AC12819"/>
      <c r="AR12819"/>
    </row>
    <row r="12820" spans="24:44">
      <c r="X12820"/>
      <c r="Y12820"/>
      <c r="Z12820"/>
      <c r="AA12820"/>
      <c r="AC12820"/>
      <c r="AR12820"/>
    </row>
    <row r="12821" spans="24:44">
      <c r="X12821"/>
      <c r="Y12821"/>
      <c r="Z12821"/>
      <c r="AA12821"/>
      <c r="AC12821"/>
      <c r="AR12821"/>
    </row>
    <row r="12822" spans="24:44">
      <c r="X12822"/>
      <c r="Y12822"/>
      <c r="Z12822"/>
      <c r="AA12822"/>
      <c r="AC12822"/>
      <c r="AR12822"/>
    </row>
    <row r="12823" spans="24:44">
      <c r="X12823"/>
      <c r="Y12823"/>
      <c r="Z12823"/>
      <c r="AA12823"/>
      <c r="AC12823"/>
      <c r="AR12823"/>
    </row>
    <row r="12824" spans="24:44">
      <c r="X12824"/>
      <c r="Y12824"/>
      <c r="Z12824"/>
      <c r="AA12824"/>
      <c r="AC12824"/>
      <c r="AR12824"/>
    </row>
    <row r="12825" spans="24:44">
      <c r="X12825"/>
      <c r="Y12825"/>
      <c r="Z12825"/>
      <c r="AA12825"/>
      <c r="AC12825"/>
      <c r="AR12825"/>
    </row>
    <row r="12826" spans="24:44">
      <c r="X12826"/>
      <c r="Y12826"/>
      <c r="Z12826"/>
      <c r="AA12826"/>
      <c r="AC12826"/>
      <c r="AR12826"/>
    </row>
    <row r="12827" spans="24:44">
      <c r="X12827"/>
      <c r="Y12827"/>
      <c r="Z12827"/>
      <c r="AA12827"/>
      <c r="AC12827"/>
      <c r="AR12827"/>
    </row>
    <row r="12828" spans="24:44">
      <c r="X12828"/>
      <c r="Y12828"/>
      <c r="Z12828"/>
      <c r="AA12828"/>
      <c r="AC12828"/>
      <c r="AR12828"/>
    </row>
    <row r="12829" spans="24:44">
      <c r="X12829"/>
      <c r="Y12829"/>
      <c r="Z12829"/>
      <c r="AA12829"/>
      <c r="AC12829"/>
      <c r="AR12829"/>
    </row>
    <row r="12830" spans="24:44">
      <c r="X12830"/>
      <c r="Y12830"/>
      <c r="Z12830"/>
      <c r="AA12830"/>
      <c r="AC12830"/>
      <c r="AR12830"/>
    </row>
    <row r="12831" spans="24:44">
      <c r="X12831"/>
      <c r="Y12831"/>
      <c r="Z12831"/>
      <c r="AA12831"/>
      <c r="AC12831"/>
      <c r="AR12831"/>
    </row>
    <row r="12832" spans="24:44">
      <c r="X12832"/>
      <c r="Y12832"/>
      <c r="Z12832"/>
      <c r="AA12832"/>
      <c r="AC12832"/>
      <c r="AR12832"/>
    </row>
    <row r="12833" spans="24:44">
      <c r="X12833"/>
      <c r="Y12833"/>
      <c r="Z12833"/>
      <c r="AA12833"/>
      <c r="AC12833"/>
      <c r="AR12833"/>
    </row>
    <row r="12834" spans="24:44">
      <c r="X12834"/>
      <c r="Y12834"/>
      <c r="Z12834"/>
      <c r="AA12834"/>
      <c r="AC12834"/>
      <c r="AR12834"/>
    </row>
    <row r="12835" spans="24:44">
      <c r="X12835"/>
      <c r="Y12835"/>
      <c r="Z12835"/>
      <c r="AA12835"/>
      <c r="AC12835"/>
      <c r="AR12835"/>
    </row>
    <row r="12836" spans="24:44">
      <c r="X12836"/>
      <c r="Y12836"/>
      <c r="Z12836"/>
      <c r="AA12836"/>
      <c r="AC12836"/>
      <c r="AR12836"/>
    </row>
    <row r="12837" spans="24:44">
      <c r="X12837"/>
      <c r="Y12837"/>
      <c r="Z12837"/>
      <c r="AA12837"/>
      <c r="AC12837"/>
      <c r="AR12837"/>
    </row>
    <row r="12838" spans="24:44">
      <c r="X12838"/>
      <c r="Y12838"/>
      <c r="Z12838"/>
      <c r="AA12838"/>
      <c r="AC12838"/>
      <c r="AR12838"/>
    </row>
    <row r="12839" spans="24:44">
      <c r="X12839"/>
      <c r="Y12839"/>
      <c r="Z12839"/>
      <c r="AA12839"/>
      <c r="AC12839"/>
      <c r="AR12839"/>
    </row>
    <row r="12840" spans="24:44">
      <c r="X12840"/>
      <c r="Y12840"/>
      <c r="Z12840"/>
      <c r="AA12840"/>
      <c r="AC12840"/>
      <c r="AR12840"/>
    </row>
    <row r="12841" spans="24:44">
      <c r="X12841"/>
      <c r="Y12841"/>
      <c r="Z12841"/>
      <c r="AA12841"/>
      <c r="AC12841"/>
      <c r="AR12841"/>
    </row>
    <row r="12842" spans="24:44">
      <c r="X12842"/>
      <c r="Y12842"/>
      <c r="Z12842"/>
      <c r="AA12842"/>
      <c r="AC12842"/>
      <c r="AR12842"/>
    </row>
    <row r="12843" spans="24:44">
      <c r="X12843"/>
      <c r="Y12843"/>
      <c r="Z12843"/>
      <c r="AA12843"/>
      <c r="AC12843"/>
      <c r="AR12843"/>
    </row>
    <row r="12844" spans="24:44">
      <c r="X12844"/>
      <c r="Y12844"/>
      <c r="Z12844"/>
      <c r="AA12844"/>
      <c r="AC12844"/>
      <c r="AR12844"/>
    </row>
    <row r="12845" spans="24:44">
      <c r="X12845"/>
      <c r="Y12845"/>
      <c r="Z12845"/>
      <c r="AA12845"/>
      <c r="AC12845"/>
      <c r="AR12845"/>
    </row>
    <row r="12846" spans="24:44">
      <c r="X12846"/>
      <c r="Y12846"/>
      <c r="Z12846"/>
      <c r="AA12846"/>
      <c r="AC12846"/>
      <c r="AR12846"/>
    </row>
    <row r="12847" spans="24:44">
      <c r="X12847"/>
      <c r="Y12847"/>
      <c r="Z12847"/>
      <c r="AA12847"/>
      <c r="AC12847"/>
      <c r="AR12847"/>
    </row>
    <row r="12848" spans="24:44">
      <c r="X12848"/>
      <c r="Y12848"/>
      <c r="Z12848"/>
      <c r="AA12848"/>
      <c r="AC12848"/>
      <c r="AR12848"/>
    </row>
    <row r="12849" spans="24:44">
      <c r="X12849"/>
      <c r="Y12849"/>
      <c r="Z12849"/>
      <c r="AA12849"/>
      <c r="AC12849"/>
      <c r="AR12849"/>
    </row>
    <row r="12850" spans="24:44">
      <c r="X12850"/>
      <c r="Y12850"/>
      <c r="Z12850"/>
      <c r="AA12850"/>
      <c r="AC12850"/>
      <c r="AR12850"/>
    </row>
    <row r="12851" spans="24:44">
      <c r="X12851"/>
      <c r="Y12851"/>
      <c r="Z12851"/>
      <c r="AA12851"/>
      <c r="AC12851"/>
      <c r="AR12851"/>
    </row>
    <row r="12852" spans="24:44">
      <c r="X12852"/>
      <c r="Y12852"/>
      <c r="Z12852"/>
      <c r="AA12852"/>
      <c r="AC12852"/>
      <c r="AR12852"/>
    </row>
    <row r="12853" spans="24:44">
      <c r="X12853"/>
      <c r="Y12853"/>
      <c r="Z12853"/>
      <c r="AA12853"/>
      <c r="AC12853"/>
      <c r="AR12853"/>
    </row>
    <row r="12854" spans="24:44">
      <c r="X12854"/>
      <c r="Y12854"/>
      <c r="Z12854"/>
      <c r="AA12854"/>
      <c r="AC12854"/>
      <c r="AR12854"/>
    </row>
    <row r="12855" spans="24:44">
      <c r="X12855"/>
      <c r="Y12855"/>
      <c r="Z12855"/>
      <c r="AA12855"/>
      <c r="AC12855"/>
      <c r="AR12855"/>
    </row>
    <row r="12856" spans="24:44">
      <c r="X12856"/>
      <c r="Y12856"/>
      <c r="Z12856"/>
      <c r="AA12856"/>
      <c r="AC12856"/>
      <c r="AR12856"/>
    </row>
    <row r="12857" spans="24:44">
      <c r="X12857"/>
      <c r="Y12857"/>
      <c r="Z12857"/>
      <c r="AA12857"/>
      <c r="AC12857"/>
      <c r="AR12857"/>
    </row>
    <row r="12858" spans="24:44">
      <c r="X12858"/>
      <c r="Y12858"/>
      <c r="Z12858"/>
      <c r="AA12858"/>
      <c r="AC12858"/>
      <c r="AR12858"/>
    </row>
    <row r="12859" spans="24:44">
      <c r="X12859"/>
      <c r="Y12859"/>
      <c r="Z12859"/>
      <c r="AA12859"/>
      <c r="AC12859"/>
      <c r="AR12859"/>
    </row>
    <row r="12860" spans="24:44">
      <c r="X12860"/>
      <c r="Y12860"/>
      <c r="Z12860"/>
      <c r="AA12860"/>
      <c r="AC12860"/>
      <c r="AR12860"/>
    </row>
    <row r="12861" spans="24:44">
      <c r="X12861"/>
      <c r="Y12861"/>
      <c r="Z12861"/>
      <c r="AA12861"/>
      <c r="AC12861"/>
      <c r="AR12861"/>
    </row>
    <row r="12862" spans="24:44">
      <c r="X12862"/>
      <c r="Y12862"/>
      <c r="Z12862"/>
      <c r="AA12862"/>
      <c r="AC12862"/>
      <c r="AR12862"/>
    </row>
    <row r="12863" spans="24:44">
      <c r="X12863"/>
      <c r="Y12863"/>
      <c r="Z12863"/>
      <c r="AA12863"/>
      <c r="AC12863"/>
      <c r="AR12863"/>
    </row>
    <row r="12864" spans="24:44">
      <c r="X12864"/>
      <c r="Y12864"/>
      <c r="Z12864"/>
      <c r="AA12864"/>
      <c r="AC12864"/>
      <c r="AR12864"/>
    </row>
    <row r="12865" spans="24:44">
      <c r="X12865"/>
      <c r="Y12865"/>
      <c r="Z12865"/>
      <c r="AA12865"/>
      <c r="AC12865"/>
      <c r="AR12865"/>
    </row>
    <row r="12866" spans="24:44">
      <c r="X12866"/>
      <c r="Y12866"/>
      <c r="Z12866"/>
      <c r="AA12866"/>
      <c r="AC12866"/>
      <c r="AR12866"/>
    </row>
    <row r="12867" spans="24:44">
      <c r="X12867"/>
      <c r="Y12867"/>
      <c r="Z12867"/>
      <c r="AA12867"/>
      <c r="AC12867"/>
      <c r="AR12867"/>
    </row>
    <row r="12868" spans="24:44">
      <c r="X12868"/>
      <c r="Y12868"/>
      <c r="Z12868"/>
      <c r="AA12868"/>
      <c r="AC12868"/>
      <c r="AR12868"/>
    </row>
    <row r="12869" spans="24:44">
      <c r="X12869"/>
      <c r="Y12869"/>
      <c r="Z12869"/>
      <c r="AA12869"/>
      <c r="AC12869"/>
      <c r="AR12869"/>
    </row>
    <row r="12870" spans="24:44">
      <c r="X12870"/>
      <c r="Y12870"/>
      <c r="Z12870"/>
      <c r="AA12870"/>
      <c r="AC12870"/>
      <c r="AR12870"/>
    </row>
    <row r="12871" spans="24:44">
      <c r="X12871"/>
      <c r="Y12871"/>
      <c r="Z12871"/>
      <c r="AA12871"/>
      <c r="AC12871"/>
      <c r="AR12871"/>
    </row>
    <row r="12872" spans="24:44">
      <c r="X12872"/>
      <c r="Y12872"/>
      <c r="Z12872"/>
      <c r="AA12872"/>
      <c r="AC12872"/>
      <c r="AR12872"/>
    </row>
    <row r="12873" spans="24:44">
      <c r="X12873"/>
      <c r="Y12873"/>
      <c r="Z12873"/>
      <c r="AA12873"/>
      <c r="AC12873"/>
      <c r="AR12873"/>
    </row>
    <row r="12874" spans="24:44">
      <c r="X12874"/>
      <c r="Y12874"/>
      <c r="Z12874"/>
      <c r="AA12874"/>
      <c r="AC12874"/>
      <c r="AR12874"/>
    </row>
    <row r="12875" spans="24:44">
      <c r="X12875"/>
      <c r="Y12875"/>
      <c r="Z12875"/>
      <c r="AA12875"/>
      <c r="AC12875"/>
      <c r="AR12875"/>
    </row>
    <row r="12876" spans="24:44">
      <c r="X12876"/>
      <c r="Y12876"/>
      <c r="Z12876"/>
      <c r="AA12876"/>
      <c r="AC12876"/>
      <c r="AR12876"/>
    </row>
    <row r="12877" spans="24:44">
      <c r="X12877"/>
      <c r="Y12877"/>
      <c r="Z12877"/>
      <c r="AA12877"/>
      <c r="AC12877"/>
      <c r="AR12877"/>
    </row>
    <row r="12878" spans="24:44">
      <c r="X12878"/>
      <c r="Y12878"/>
      <c r="Z12878"/>
      <c r="AA12878"/>
      <c r="AC12878"/>
      <c r="AR12878"/>
    </row>
    <row r="12879" spans="24:44">
      <c r="X12879"/>
      <c r="Y12879"/>
      <c r="Z12879"/>
      <c r="AA12879"/>
      <c r="AC12879"/>
      <c r="AR12879"/>
    </row>
    <row r="12880" spans="24:44">
      <c r="X12880"/>
      <c r="Y12880"/>
      <c r="Z12880"/>
      <c r="AA12880"/>
      <c r="AC12880"/>
      <c r="AR12880"/>
    </row>
    <row r="12881" spans="24:44">
      <c r="X12881"/>
      <c r="Y12881"/>
      <c r="Z12881"/>
      <c r="AA12881"/>
      <c r="AC12881"/>
      <c r="AR12881"/>
    </row>
    <row r="12882" spans="24:44">
      <c r="X12882"/>
      <c r="Y12882"/>
      <c r="Z12882"/>
      <c r="AA12882"/>
      <c r="AC12882"/>
      <c r="AR12882"/>
    </row>
    <row r="12883" spans="24:44">
      <c r="X12883"/>
      <c r="Y12883"/>
      <c r="Z12883"/>
      <c r="AA12883"/>
      <c r="AC12883"/>
      <c r="AR12883"/>
    </row>
    <row r="12884" spans="24:44">
      <c r="X12884"/>
      <c r="Y12884"/>
      <c r="Z12884"/>
      <c r="AA12884"/>
      <c r="AC12884"/>
      <c r="AR12884"/>
    </row>
    <row r="12885" spans="24:44">
      <c r="X12885"/>
      <c r="Y12885"/>
      <c r="Z12885"/>
      <c r="AA12885"/>
      <c r="AC12885"/>
      <c r="AR12885"/>
    </row>
    <row r="12886" spans="24:44">
      <c r="X12886"/>
      <c r="Y12886"/>
      <c r="Z12886"/>
      <c r="AA12886"/>
      <c r="AC12886"/>
      <c r="AR12886"/>
    </row>
    <row r="12887" spans="24:44">
      <c r="X12887"/>
      <c r="Y12887"/>
      <c r="Z12887"/>
      <c r="AA12887"/>
      <c r="AC12887"/>
      <c r="AR12887"/>
    </row>
    <row r="12888" spans="24:44">
      <c r="X12888"/>
      <c r="Y12888"/>
      <c r="Z12888"/>
      <c r="AA12888"/>
      <c r="AC12888"/>
      <c r="AR12888"/>
    </row>
    <row r="12889" spans="24:44">
      <c r="X12889"/>
      <c r="Y12889"/>
      <c r="Z12889"/>
      <c r="AA12889"/>
      <c r="AC12889"/>
      <c r="AR12889"/>
    </row>
    <row r="12890" spans="24:44">
      <c r="X12890"/>
      <c r="Y12890"/>
      <c r="Z12890"/>
      <c r="AA12890"/>
      <c r="AC12890"/>
      <c r="AR12890"/>
    </row>
    <row r="12891" spans="24:44">
      <c r="X12891"/>
      <c r="Y12891"/>
      <c r="Z12891"/>
      <c r="AA12891"/>
      <c r="AC12891"/>
      <c r="AR12891"/>
    </row>
    <row r="12892" spans="24:44">
      <c r="X12892"/>
      <c r="Y12892"/>
      <c r="Z12892"/>
      <c r="AA12892"/>
      <c r="AC12892"/>
      <c r="AR12892"/>
    </row>
    <row r="12893" spans="24:44">
      <c r="X12893"/>
      <c r="Y12893"/>
      <c r="Z12893"/>
      <c r="AA12893"/>
      <c r="AC12893"/>
      <c r="AR12893"/>
    </row>
    <row r="12894" spans="24:44">
      <c r="X12894"/>
      <c r="Y12894"/>
      <c r="Z12894"/>
      <c r="AA12894"/>
      <c r="AC12894"/>
      <c r="AR12894"/>
    </row>
    <row r="12895" spans="24:44">
      <c r="X12895"/>
      <c r="Y12895"/>
      <c r="Z12895"/>
      <c r="AA12895"/>
      <c r="AC12895"/>
      <c r="AR12895"/>
    </row>
    <row r="12896" spans="24:44">
      <c r="X12896"/>
      <c r="Y12896"/>
      <c r="Z12896"/>
      <c r="AA12896"/>
      <c r="AC12896"/>
      <c r="AR12896"/>
    </row>
    <row r="12897" spans="24:44">
      <c r="X12897"/>
      <c r="Y12897"/>
      <c r="Z12897"/>
      <c r="AA12897"/>
      <c r="AC12897"/>
      <c r="AR12897"/>
    </row>
    <row r="12898" spans="24:44">
      <c r="X12898"/>
      <c r="Y12898"/>
      <c r="Z12898"/>
      <c r="AA12898"/>
      <c r="AC12898"/>
      <c r="AR12898"/>
    </row>
    <row r="12899" spans="24:44">
      <c r="X12899"/>
      <c r="Y12899"/>
      <c r="Z12899"/>
      <c r="AA12899"/>
      <c r="AC12899"/>
      <c r="AR12899"/>
    </row>
    <row r="12900" spans="24:44">
      <c r="X12900"/>
      <c r="Y12900"/>
      <c r="Z12900"/>
      <c r="AA12900"/>
      <c r="AC12900"/>
      <c r="AR12900"/>
    </row>
    <row r="12901" spans="24:44">
      <c r="X12901"/>
      <c r="Y12901"/>
      <c r="Z12901"/>
      <c r="AA12901"/>
      <c r="AC12901"/>
      <c r="AR12901"/>
    </row>
    <row r="12902" spans="24:44">
      <c r="X12902"/>
      <c r="Y12902"/>
      <c r="Z12902"/>
      <c r="AA12902"/>
      <c r="AC12902"/>
      <c r="AR12902"/>
    </row>
    <row r="12903" spans="24:44">
      <c r="X12903"/>
      <c r="Y12903"/>
      <c r="Z12903"/>
      <c r="AA12903"/>
      <c r="AC12903"/>
      <c r="AR12903"/>
    </row>
    <row r="12904" spans="24:44">
      <c r="X12904"/>
      <c r="Y12904"/>
      <c r="Z12904"/>
      <c r="AA12904"/>
      <c r="AC12904"/>
      <c r="AR12904"/>
    </row>
    <row r="12905" spans="24:44">
      <c r="X12905"/>
      <c r="Y12905"/>
      <c r="Z12905"/>
      <c r="AA12905"/>
      <c r="AC12905"/>
      <c r="AR12905"/>
    </row>
    <row r="12906" spans="24:44">
      <c r="X12906"/>
      <c r="Y12906"/>
      <c r="Z12906"/>
      <c r="AA12906"/>
      <c r="AC12906"/>
      <c r="AR12906"/>
    </row>
    <row r="12907" spans="24:44">
      <c r="X12907"/>
      <c r="Y12907"/>
      <c r="Z12907"/>
      <c r="AA12907"/>
      <c r="AC12907"/>
      <c r="AR12907"/>
    </row>
    <row r="12908" spans="24:44">
      <c r="X12908"/>
      <c r="Y12908"/>
      <c r="Z12908"/>
      <c r="AA12908"/>
      <c r="AC12908"/>
      <c r="AR12908"/>
    </row>
    <row r="12909" spans="24:44">
      <c r="X12909"/>
      <c r="Y12909"/>
      <c r="Z12909"/>
      <c r="AA12909"/>
      <c r="AC12909"/>
      <c r="AR12909"/>
    </row>
    <row r="12910" spans="24:44">
      <c r="X12910"/>
      <c r="Y12910"/>
      <c r="Z12910"/>
      <c r="AA12910"/>
      <c r="AC12910"/>
      <c r="AR12910"/>
    </row>
    <row r="12911" spans="24:44">
      <c r="X12911"/>
      <c r="Y12911"/>
      <c r="Z12911"/>
      <c r="AA12911"/>
      <c r="AC12911"/>
      <c r="AR12911"/>
    </row>
    <row r="12912" spans="24:44">
      <c r="X12912"/>
      <c r="Y12912"/>
      <c r="Z12912"/>
      <c r="AA12912"/>
      <c r="AC12912"/>
      <c r="AR12912"/>
    </row>
    <row r="12913" spans="24:44">
      <c r="X12913"/>
      <c r="Y12913"/>
      <c r="Z12913"/>
      <c r="AA12913"/>
      <c r="AC12913"/>
      <c r="AR12913"/>
    </row>
    <row r="12914" spans="24:44">
      <c r="X12914"/>
      <c r="Y12914"/>
      <c r="Z12914"/>
      <c r="AA12914"/>
      <c r="AC12914"/>
      <c r="AR12914"/>
    </row>
    <row r="12915" spans="24:44">
      <c r="X12915"/>
      <c r="Y12915"/>
      <c r="Z12915"/>
      <c r="AA12915"/>
      <c r="AC12915"/>
      <c r="AR12915"/>
    </row>
    <row r="12916" spans="24:44">
      <c r="X12916"/>
      <c r="Y12916"/>
      <c r="Z12916"/>
      <c r="AA12916"/>
      <c r="AC12916"/>
      <c r="AR12916"/>
    </row>
    <row r="12917" spans="24:44">
      <c r="X12917"/>
      <c r="Y12917"/>
      <c r="Z12917"/>
      <c r="AA12917"/>
      <c r="AC12917"/>
      <c r="AR12917"/>
    </row>
    <row r="12918" spans="24:44">
      <c r="X12918"/>
      <c r="Y12918"/>
      <c r="Z12918"/>
      <c r="AA12918"/>
      <c r="AC12918"/>
      <c r="AR12918"/>
    </row>
    <row r="12919" spans="24:44">
      <c r="X12919"/>
      <c r="Y12919"/>
      <c r="Z12919"/>
      <c r="AA12919"/>
      <c r="AC12919"/>
      <c r="AR12919"/>
    </row>
    <row r="12920" spans="24:44">
      <c r="X12920"/>
      <c r="Y12920"/>
      <c r="Z12920"/>
      <c r="AA12920"/>
      <c r="AC12920"/>
      <c r="AR12920"/>
    </row>
    <row r="12921" spans="24:44">
      <c r="X12921"/>
      <c r="Y12921"/>
      <c r="Z12921"/>
      <c r="AA12921"/>
      <c r="AC12921"/>
      <c r="AR12921"/>
    </row>
    <row r="12922" spans="24:44">
      <c r="X12922"/>
      <c r="Y12922"/>
      <c r="Z12922"/>
      <c r="AA12922"/>
      <c r="AC12922"/>
      <c r="AR12922"/>
    </row>
    <row r="12923" spans="24:44">
      <c r="X12923"/>
      <c r="Y12923"/>
      <c r="Z12923"/>
      <c r="AA12923"/>
      <c r="AC12923"/>
      <c r="AR12923"/>
    </row>
    <row r="12924" spans="24:44">
      <c r="X12924"/>
      <c r="Y12924"/>
      <c r="Z12924"/>
      <c r="AA12924"/>
      <c r="AC12924"/>
      <c r="AR12924"/>
    </row>
    <row r="12925" spans="24:44">
      <c r="X12925"/>
      <c r="Y12925"/>
      <c r="Z12925"/>
      <c r="AA12925"/>
      <c r="AC12925"/>
      <c r="AR12925"/>
    </row>
    <row r="12926" spans="24:44">
      <c r="X12926"/>
      <c r="Y12926"/>
      <c r="Z12926"/>
      <c r="AA12926"/>
      <c r="AC12926"/>
      <c r="AR12926"/>
    </row>
    <row r="12927" spans="24:44">
      <c r="X12927"/>
      <c r="Y12927"/>
      <c r="Z12927"/>
      <c r="AA12927"/>
      <c r="AC12927"/>
      <c r="AR12927"/>
    </row>
    <row r="12928" spans="24:44">
      <c r="X12928"/>
      <c r="Y12928"/>
      <c r="Z12928"/>
      <c r="AA12928"/>
      <c r="AC12928"/>
      <c r="AR12928"/>
    </row>
    <row r="12929" spans="24:44">
      <c r="X12929"/>
      <c r="Y12929"/>
      <c r="Z12929"/>
      <c r="AA12929"/>
      <c r="AC12929"/>
      <c r="AR12929"/>
    </row>
    <row r="12930" spans="24:44">
      <c r="X12930"/>
      <c r="Y12930"/>
      <c r="Z12930"/>
      <c r="AA12930"/>
      <c r="AC12930"/>
      <c r="AR12930"/>
    </row>
    <row r="12931" spans="24:44">
      <c r="X12931"/>
      <c r="Y12931"/>
      <c r="Z12931"/>
      <c r="AA12931"/>
      <c r="AC12931"/>
      <c r="AR12931"/>
    </row>
    <row r="12932" spans="24:44">
      <c r="X12932"/>
      <c r="Y12932"/>
      <c r="Z12932"/>
      <c r="AA12932"/>
      <c r="AC12932"/>
      <c r="AR12932"/>
    </row>
    <row r="12933" spans="24:44">
      <c r="X12933"/>
      <c r="Y12933"/>
      <c r="Z12933"/>
      <c r="AA12933"/>
      <c r="AC12933"/>
      <c r="AR12933"/>
    </row>
    <row r="12934" spans="24:44">
      <c r="X12934"/>
      <c r="Y12934"/>
      <c r="Z12934"/>
      <c r="AA12934"/>
      <c r="AC12934"/>
      <c r="AR12934"/>
    </row>
    <row r="12935" spans="24:44">
      <c r="X12935"/>
      <c r="Y12935"/>
      <c r="Z12935"/>
      <c r="AA12935"/>
      <c r="AC12935"/>
      <c r="AR12935"/>
    </row>
    <row r="12936" spans="24:44">
      <c r="X12936"/>
      <c r="Y12936"/>
      <c r="Z12936"/>
      <c r="AA12936"/>
      <c r="AC12936"/>
      <c r="AR12936"/>
    </row>
    <row r="12937" spans="24:44">
      <c r="X12937"/>
      <c r="Y12937"/>
      <c r="Z12937"/>
      <c r="AA12937"/>
      <c r="AC12937"/>
      <c r="AR12937"/>
    </row>
    <row r="12938" spans="24:44">
      <c r="X12938"/>
      <c r="Y12938"/>
      <c r="Z12938"/>
      <c r="AA12938"/>
      <c r="AC12938"/>
      <c r="AR12938"/>
    </row>
    <row r="12939" spans="24:44">
      <c r="X12939"/>
      <c r="Y12939"/>
      <c r="Z12939"/>
      <c r="AA12939"/>
      <c r="AC12939"/>
      <c r="AR12939"/>
    </row>
    <row r="12940" spans="24:44">
      <c r="X12940"/>
      <c r="Y12940"/>
      <c r="Z12940"/>
      <c r="AA12940"/>
      <c r="AC12940"/>
      <c r="AR12940"/>
    </row>
    <row r="12941" spans="24:44">
      <c r="X12941"/>
      <c r="Y12941"/>
      <c r="Z12941"/>
      <c r="AA12941"/>
      <c r="AC12941"/>
      <c r="AR12941"/>
    </row>
    <row r="12942" spans="24:44">
      <c r="X12942"/>
      <c r="Y12942"/>
      <c r="Z12942"/>
      <c r="AA12942"/>
      <c r="AC12942"/>
      <c r="AR12942"/>
    </row>
    <row r="12943" spans="24:44">
      <c r="X12943"/>
      <c r="Y12943"/>
      <c r="Z12943"/>
      <c r="AA12943"/>
      <c r="AC12943"/>
      <c r="AR12943"/>
    </row>
    <row r="12944" spans="24:44">
      <c r="X12944"/>
      <c r="Y12944"/>
      <c r="Z12944"/>
      <c r="AA12944"/>
      <c r="AC12944"/>
      <c r="AR12944"/>
    </row>
    <row r="12945" spans="24:44">
      <c r="X12945"/>
      <c r="Y12945"/>
      <c r="Z12945"/>
      <c r="AA12945"/>
      <c r="AC12945"/>
      <c r="AR12945"/>
    </row>
    <row r="12946" spans="24:44">
      <c r="X12946"/>
      <c r="Y12946"/>
      <c r="Z12946"/>
      <c r="AA12946"/>
      <c r="AC12946"/>
      <c r="AR12946"/>
    </row>
    <row r="12947" spans="24:44">
      <c r="X12947"/>
      <c r="Y12947"/>
      <c r="Z12947"/>
      <c r="AA12947"/>
      <c r="AC12947"/>
      <c r="AR12947"/>
    </row>
    <row r="12948" spans="24:44">
      <c r="X12948"/>
      <c r="Y12948"/>
      <c r="Z12948"/>
      <c r="AA12948"/>
      <c r="AC12948"/>
      <c r="AR12948"/>
    </row>
    <row r="12949" spans="24:44">
      <c r="X12949"/>
      <c r="Y12949"/>
      <c r="Z12949"/>
      <c r="AA12949"/>
      <c r="AC12949"/>
      <c r="AR12949"/>
    </row>
    <row r="12950" spans="24:44">
      <c r="X12950"/>
      <c r="Y12950"/>
      <c r="Z12950"/>
      <c r="AA12950"/>
      <c r="AC12950"/>
      <c r="AR12950"/>
    </row>
    <row r="12951" spans="24:44">
      <c r="X12951"/>
      <c r="Y12951"/>
      <c r="Z12951"/>
      <c r="AA12951"/>
      <c r="AC12951"/>
      <c r="AR12951"/>
    </row>
    <row r="12952" spans="24:44">
      <c r="X12952"/>
      <c r="Y12952"/>
      <c r="Z12952"/>
      <c r="AA12952"/>
      <c r="AC12952"/>
      <c r="AR12952"/>
    </row>
    <row r="12953" spans="24:44">
      <c r="X12953"/>
      <c r="Y12953"/>
      <c r="Z12953"/>
      <c r="AA12953"/>
      <c r="AC12953"/>
      <c r="AR12953"/>
    </row>
    <row r="12954" spans="24:44">
      <c r="X12954"/>
      <c r="Y12954"/>
      <c r="Z12954"/>
      <c r="AA12954"/>
      <c r="AC12954"/>
      <c r="AR12954"/>
    </row>
    <row r="12955" spans="24:44">
      <c r="X12955"/>
      <c r="Y12955"/>
      <c r="Z12955"/>
      <c r="AA12955"/>
      <c r="AC12955"/>
      <c r="AR12955"/>
    </row>
    <row r="12956" spans="24:44">
      <c r="X12956"/>
      <c r="Y12956"/>
      <c r="Z12956"/>
      <c r="AA12956"/>
      <c r="AC12956"/>
      <c r="AR12956"/>
    </row>
    <row r="12957" spans="24:44">
      <c r="X12957"/>
      <c r="Y12957"/>
      <c r="Z12957"/>
      <c r="AA12957"/>
      <c r="AC12957"/>
      <c r="AR12957"/>
    </row>
    <row r="12958" spans="24:44">
      <c r="X12958"/>
      <c r="Y12958"/>
      <c r="Z12958"/>
      <c r="AA12958"/>
      <c r="AC12958"/>
      <c r="AR12958"/>
    </row>
    <row r="12959" spans="24:44">
      <c r="X12959"/>
      <c r="Y12959"/>
      <c r="Z12959"/>
      <c r="AA12959"/>
      <c r="AC12959"/>
      <c r="AR12959"/>
    </row>
    <row r="12960" spans="24:44">
      <c r="X12960"/>
      <c r="Y12960"/>
      <c r="Z12960"/>
      <c r="AA12960"/>
      <c r="AC12960"/>
      <c r="AR12960"/>
    </row>
    <row r="12961" spans="24:44">
      <c r="X12961"/>
      <c r="Y12961"/>
      <c r="Z12961"/>
      <c r="AA12961"/>
      <c r="AC12961"/>
      <c r="AR12961"/>
    </row>
    <row r="12962" spans="24:44">
      <c r="X12962"/>
      <c r="Y12962"/>
      <c r="Z12962"/>
      <c r="AA12962"/>
      <c r="AC12962"/>
      <c r="AR12962"/>
    </row>
    <row r="12963" spans="24:44">
      <c r="X12963"/>
      <c r="Y12963"/>
      <c r="Z12963"/>
      <c r="AA12963"/>
      <c r="AC12963"/>
      <c r="AR12963"/>
    </row>
    <row r="12964" spans="24:44">
      <c r="X12964"/>
      <c r="Y12964"/>
      <c r="Z12964"/>
      <c r="AA12964"/>
      <c r="AC12964"/>
      <c r="AR12964"/>
    </row>
    <row r="12965" spans="24:44">
      <c r="X12965"/>
      <c r="Y12965"/>
      <c r="Z12965"/>
      <c r="AA12965"/>
      <c r="AC12965"/>
      <c r="AR12965"/>
    </row>
    <row r="12966" spans="24:44">
      <c r="X12966"/>
      <c r="Y12966"/>
      <c r="Z12966"/>
      <c r="AA12966"/>
      <c r="AC12966"/>
      <c r="AR12966"/>
    </row>
    <row r="12967" spans="24:44">
      <c r="X12967"/>
      <c r="Y12967"/>
      <c r="Z12967"/>
      <c r="AA12967"/>
      <c r="AC12967"/>
      <c r="AR12967"/>
    </row>
    <row r="12968" spans="24:44">
      <c r="X12968"/>
      <c r="Y12968"/>
      <c r="Z12968"/>
      <c r="AA12968"/>
      <c r="AC12968"/>
      <c r="AR12968"/>
    </row>
    <row r="12969" spans="24:44">
      <c r="X12969"/>
      <c r="Y12969"/>
      <c r="Z12969"/>
      <c r="AA12969"/>
      <c r="AC12969"/>
      <c r="AR12969"/>
    </row>
    <row r="12970" spans="24:44">
      <c r="X12970"/>
      <c r="Y12970"/>
      <c r="Z12970"/>
      <c r="AA12970"/>
      <c r="AC12970"/>
      <c r="AR12970"/>
    </row>
    <row r="12971" spans="24:44">
      <c r="X12971"/>
      <c r="Y12971"/>
      <c r="Z12971"/>
      <c r="AA12971"/>
      <c r="AC12971"/>
      <c r="AR12971"/>
    </row>
    <row r="12972" spans="24:44">
      <c r="X12972"/>
      <c r="Y12972"/>
      <c r="Z12972"/>
      <c r="AA12972"/>
      <c r="AC12972"/>
      <c r="AR12972"/>
    </row>
    <row r="12973" spans="24:44">
      <c r="X12973"/>
      <c r="Y12973"/>
      <c r="Z12973"/>
      <c r="AA12973"/>
      <c r="AC12973"/>
      <c r="AR12973"/>
    </row>
    <row r="12974" spans="24:44">
      <c r="X12974"/>
      <c r="Y12974"/>
      <c r="Z12974"/>
      <c r="AA12974"/>
      <c r="AC12974"/>
      <c r="AR12974"/>
    </row>
    <row r="12975" spans="24:44">
      <c r="X12975"/>
      <c r="Y12975"/>
      <c r="Z12975"/>
      <c r="AA12975"/>
      <c r="AC12975"/>
      <c r="AR12975"/>
    </row>
    <row r="12976" spans="24:44">
      <c r="X12976"/>
      <c r="Y12976"/>
      <c r="Z12976"/>
      <c r="AA12976"/>
      <c r="AC12976"/>
      <c r="AR12976"/>
    </row>
    <row r="12977" spans="24:44">
      <c r="X12977"/>
      <c r="Y12977"/>
      <c r="Z12977"/>
      <c r="AA12977"/>
      <c r="AC12977"/>
      <c r="AR12977"/>
    </row>
    <row r="12978" spans="24:44">
      <c r="X12978"/>
      <c r="Y12978"/>
      <c r="Z12978"/>
      <c r="AA12978"/>
      <c r="AC12978"/>
      <c r="AR12978"/>
    </row>
    <row r="12979" spans="24:44">
      <c r="X12979"/>
      <c r="Y12979"/>
      <c r="Z12979"/>
      <c r="AA12979"/>
      <c r="AC12979"/>
      <c r="AR12979"/>
    </row>
    <row r="12980" spans="24:44">
      <c r="X12980"/>
      <c r="Y12980"/>
      <c r="Z12980"/>
      <c r="AA12980"/>
      <c r="AC12980"/>
      <c r="AR12980"/>
    </row>
    <row r="12981" spans="24:44">
      <c r="X12981"/>
      <c r="Y12981"/>
      <c r="Z12981"/>
      <c r="AA12981"/>
      <c r="AC12981"/>
      <c r="AR12981"/>
    </row>
    <row r="12982" spans="24:44">
      <c r="X12982"/>
      <c r="Y12982"/>
      <c r="Z12982"/>
      <c r="AA12982"/>
      <c r="AC12982"/>
      <c r="AR12982"/>
    </row>
    <row r="12983" spans="24:44">
      <c r="X12983"/>
      <c r="Y12983"/>
      <c r="Z12983"/>
      <c r="AA12983"/>
      <c r="AC12983"/>
      <c r="AR12983"/>
    </row>
    <row r="12984" spans="24:44">
      <c r="X12984"/>
      <c r="Y12984"/>
      <c r="Z12984"/>
      <c r="AA12984"/>
      <c r="AC12984"/>
      <c r="AR12984"/>
    </row>
    <row r="12985" spans="24:44">
      <c r="X12985"/>
      <c r="Y12985"/>
      <c r="Z12985"/>
      <c r="AA12985"/>
      <c r="AC12985"/>
      <c r="AR12985"/>
    </row>
    <row r="12986" spans="24:44">
      <c r="X12986"/>
      <c r="Y12986"/>
      <c r="Z12986"/>
      <c r="AA12986"/>
      <c r="AC12986"/>
      <c r="AR12986"/>
    </row>
    <row r="12987" spans="24:44">
      <c r="X12987"/>
      <c r="Y12987"/>
      <c r="Z12987"/>
      <c r="AA12987"/>
      <c r="AC12987"/>
      <c r="AR12987"/>
    </row>
    <row r="12988" spans="24:44">
      <c r="X12988"/>
      <c r="Y12988"/>
      <c r="Z12988"/>
      <c r="AA12988"/>
      <c r="AC12988"/>
      <c r="AR12988"/>
    </row>
    <row r="12989" spans="24:44">
      <c r="X12989"/>
      <c r="Y12989"/>
      <c r="Z12989"/>
      <c r="AA12989"/>
      <c r="AC12989"/>
      <c r="AR12989"/>
    </row>
    <row r="12990" spans="24:44">
      <c r="X12990"/>
      <c r="Y12990"/>
      <c r="Z12990"/>
      <c r="AA12990"/>
      <c r="AC12990"/>
      <c r="AR12990"/>
    </row>
    <row r="12991" spans="24:44">
      <c r="X12991"/>
      <c r="Y12991"/>
      <c r="Z12991"/>
      <c r="AA12991"/>
      <c r="AC12991"/>
      <c r="AR12991"/>
    </row>
    <row r="12992" spans="24:44">
      <c r="X12992"/>
      <c r="Y12992"/>
      <c r="Z12992"/>
      <c r="AA12992"/>
      <c r="AC12992"/>
      <c r="AR12992"/>
    </row>
    <row r="12993" spans="24:44">
      <c r="X12993"/>
      <c r="Y12993"/>
      <c r="Z12993"/>
      <c r="AA12993"/>
      <c r="AC12993"/>
      <c r="AR12993"/>
    </row>
    <row r="12994" spans="24:44">
      <c r="X12994"/>
      <c r="Y12994"/>
      <c r="Z12994"/>
      <c r="AA12994"/>
      <c r="AC12994"/>
      <c r="AR12994"/>
    </row>
    <row r="12995" spans="24:44">
      <c r="X12995"/>
      <c r="Y12995"/>
      <c r="Z12995"/>
      <c r="AA12995"/>
      <c r="AC12995"/>
      <c r="AR12995"/>
    </row>
    <row r="12996" spans="24:44">
      <c r="X12996"/>
      <c r="Y12996"/>
      <c r="Z12996"/>
      <c r="AA12996"/>
      <c r="AC12996"/>
      <c r="AR12996"/>
    </row>
    <row r="12997" spans="24:44">
      <c r="X12997"/>
      <c r="Y12997"/>
      <c r="Z12997"/>
      <c r="AA12997"/>
      <c r="AC12997"/>
      <c r="AR12997"/>
    </row>
    <row r="12998" spans="24:44">
      <c r="X12998"/>
      <c r="Y12998"/>
      <c r="Z12998"/>
      <c r="AA12998"/>
      <c r="AC12998"/>
      <c r="AR12998"/>
    </row>
    <row r="12999" spans="24:44">
      <c r="X12999"/>
      <c r="Y12999"/>
      <c r="Z12999"/>
      <c r="AA12999"/>
      <c r="AC12999"/>
      <c r="AR12999"/>
    </row>
    <row r="13000" spans="24:44">
      <c r="X13000"/>
      <c r="Y13000"/>
      <c r="Z13000"/>
      <c r="AA13000"/>
      <c r="AC13000"/>
      <c r="AR13000"/>
    </row>
    <row r="13001" spans="24:44">
      <c r="X13001"/>
      <c r="Y13001"/>
      <c r="Z13001"/>
      <c r="AA13001"/>
      <c r="AC13001"/>
      <c r="AR13001"/>
    </row>
    <row r="13002" spans="24:44">
      <c r="X13002"/>
      <c r="Y13002"/>
      <c r="Z13002"/>
      <c r="AA13002"/>
      <c r="AC13002"/>
      <c r="AR13002"/>
    </row>
    <row r="13003" spans="24:44">
      <c r="X13003"/>
      <c r="Y13003"/>
      <c r="Z13003"/>
      <c r="AA13003"/>
      <c r="AC13003"/>
      <c r="AR13003"/>
    </row>
    <row r="13004" spans="24:44">
      <c r="X13004"/>
      <c r="Y13004"/>
      <c r="Z13004"/>
      <c r="AA13004"/>
      <c r="AC13004"/>
      <c r="AR13004"/>
    </row>
    <row r="13005" spans="24:44">
      <c r="X13005"/>
      <c r="Y13005"/>
      <c r="Z13005"/>
      <c r="AA13005"/>
      <c r="AC13005"/>
      <c r="AR13005"/>
    </row>
    <row r="13006" spans="24:44">
      <c r="X13006"/>
      <c r="Y13006"/>
      <c r="Z13006"/>
      <c r="AA13006"/>
      <c r="AC13006"/>
      <c r="AR13006"/>
    </row>
    <row r="13007" spans="24:44">
      <c r="X13007"/>
      <c r="Y13007"/>
      <c r="Z13007"/>
      <c r="AA13007"/>
      <c r="AC13007"/>
      <c r="AR13007"/>
    </row>
    <row r="13008" spans="24:44">
      <c r="X13008"/>
      <c r="Y13008"/>
      <c r="Z13008"/>
      <c r="AA13008"/>
      <c r="AC13008"/>
      <c r="AR13008"/>
    </row>
    <row r="13009" spans="24:44">
      <c r="X13009"/>
      <c r="Y13009"/>
      <c r="Z13009"/>
      <c r="AA13009"/>
      <c r="AC13009"/>
      <c r="AR13009"/>
    </row>
    <row r="13010" spans="24:44">
      <c r="X13010"/>
      <c r="Y13010"/>
      <c r="Z13010"/>
      <c r="AA13010"/>
      <c r="AC13010"/>
      <c r="AR13010"/>
    </row>
    <row r="13011" spans="24:44">
      <c r="X13011"/>
      <c r="Y13011"/>
      <c r="Z13011"/>
      <c r="AA13011"/>
      <c r="AC13011"/>
      <c r="AR13011"/>
    </row>
    <row r="13012" spans="24:44">
      <c r="X13012"/>
      <c r="Y13012"/>
      <c r="Z13012"/>
      <c r="AA13012"/>
      <c r="AC13012"/>
      <c r="AR13012"/>
    </row>
    <row r="13013" spans="24:44">
      <c r="X13013"/>
      <c r="Y13013"/>
      <c r="Z13013"/>
      <c r="AA13013"/>
      <c r="AC13013"/>
      <c r="AR13013"/>
    </row>
    <row r="13014" spans="24:44">
      <c r="X13014"/>
      <c r="Y13014"/>
      <c r="Z13014"/>
      <c r="AA13014"/>
      <c r="AC13014"/>
      <c r="AR13014"/>
    </row>
    <row r="13015" spans="24:44">
      <c r="X13015"/>
      <c r="Y13015"/>
      <c r="Z13015"/>
      <c r="AA13015"/>
      <c r="AC13015"/>
      <c r="AR13015"/>
    </row>
    <row r="13016" spans="24:44">
      <c r="X13016"/>
      <c r="Y13016"/>
      <c r="Z13016"/>
      <c r="AA13016"/>
      <c r="AC13016"/>
      <c r="AR13016"/>
    </row>
    <row r="13017" spans="24:44">
      <c r="X13017"/>
      <c r="Y13017"/>
      <c r="Z13017"/>
      <c r="AA13017"/>
      <c r="AC13017"/>
      <c r="AR13017"/>
    </row>
    <row r="13018" spans="24:44">
      <c r="X13018"/>
      <c r="Y13018"/>
      <c r="Z13018"/>
      <c r="AA13018"/>
      <c r="AC13018"/>
      <c r="AR13018"/>
    </row>
    <row r="13019" spans="24:44">
      <c r="X13019"/>
      <c r="Y13019"/>
      <c r="Z13019"/>
      <c r="AA13019"/>
      <c r="AC13019"/>
      <c r="AR13019"/>
    </row>
    <row r="13020" spans="24:44">
      <c r="X13020"/>
      <c r="Y13020"/>
      <c r="Z13020"/>
      <c r="AA13020"/>
      <c r="AC13020"/>
      <c r="AR13020"/>
    </row>
    <row r="13021" spans="24:44">
      <c r="X13021"/>
      <c r="Y13021"/>
      <c r="Z13021"/>
      <c r="AA13021"/>
      <c r="AC13021"/>
      <c r="AR13021"/>
    </row>
    <row r="13022" spans="24:44">
      <c r="X13022"/>
      <c r="Y13022"/>
      <c r="Z13022"/>
      <c r="AA13022"/>
      <c r="AC13022"/>
      <c r="AR13022"/>
    </row>
    <row r="13023" spans="24:44">
      <c r="X13023"/>
      <c r="Y13023"/>
      <c r="Z13023"/>
      <c r="AA13023"/>
      <c r="AC13023"/>
      <c r="AR13023"/>
    </row>
    <row r="13024" spans="24:44">
      <c r="X13024"/>
      <c r="Y13024"/>
      <c r="Z13024"/>
      <c r="AA13024"/>
      <c r="AC13024"/>
      <c r="AR13024"/>
    </row>
    <row r="13025" spans="24:44">
      <c r="X13025"/>
      <c r="Y13025"/>
      <c r="Z13025"/>
      <c r="AA13025"/>
      <c r="AC13025"/>
      <c r="AR13025"/>
    </row>
    <row r="13026" spans="24:44">
      <c r="X13026"/>
      <c r="Y13026"/>
      <c r="Z13026"/>
      <c r="AA13026"/>
      <c r="AC13026"/>
      <c r="AR13026"/>
    </row>
    <row r="13027" spans="24:44">
      <c r="X13027"/>
      <c r="Y13027"/>
      <c r="Z13027"/>
      <c r="AA13027"/>
      <c r="AC13027"/>
      <c r="AR13027"/>
    </row>
    <row r="13028" spans="24:44">
      <c r="X13028"/>
      <c r="Y13028"/>
      <c r="Z13028"/>
      <c r="AA13028"/>
      <c r="AC13028"/>
      <c r="AR13028"/>
    </row>
    <row r="13029" spans="24:44">
      <c r="X13029"/>
      <c r="Y13029"/>
      <c r="Z13029"/>
      <c r="AA13029"/>
      <c r="AC13029"/>
      <c r="AR13029"/>
    </row>
    <row r="13030" spans="24:44">
      <c r="X13030"/>
      <c r="Y13030"/>
      <c r="Z13030"/>
      <c r="AA13030"/>
      <c r="AC13030"/>
      <c r="AR13030"/>
    </row>
    <row r="13031" spans="24:44">
      <c r="X13031"/>
      <c r="Y13031"/>
      <c r="Z13031"/>
      <c r="AA13031"/>
      <c r="AC13031"/>
      <c r="AR13031"/>
    </row>
    <row r="13032" spans="24:44">
      <c r="X13032"/>
      <c r="Y13032"/>
      <c r="Z13032"/>
      <c r="AA13032"/>
      <c r="AC13032"/>
      <c r="AR13032"/>
    </row>
    <row r="13033" spans="24:44">
      <c r="X13033"/>
      <c r="Y13033"/>
      <c r="Z13033"/>
      <c r="AA13033"/>
      <c r="AC13033"/>
      <c r="AR13033"/>
    </row>
    <row r="13034" spans="24:44">
      <c r="X13034"/>
      <c r="Y13034"/>
      <c r="Z13034"/>
      <c r="AA13034"/>
      <c r="AC13034"/>
      <c r="AR13034"/>
    </row>
    <row r="13035" spans="24:44">
      <c r="X13035"/>
      <c r="Y13035"/>
      <c r="Z13035"/>
      <c r="AA13035"/>
      <c r="AC13035"/>
      <c r="AR13035"/>
    </row>
    <row r="13036" spans="24:44">
      <c r="X13036"/>
      <c r="Y13036"/>
      <c r="Z13036"/>
      <c r="AA13036"/>
      <c r="AC13036"/>
      <c r="AR13036"/>
    </row>
    <row r="13037" spans="24:44">
      <c r="X13037"/>
      <c r="Y13037"/>
      <c r="Z13037"/>
      <c r="AA13037"/>
      <c r="AC13037"/>
      <c r="AR13037"/>
    </row>
    <row r="13038" spans="24:44">
      <c r="X13038"/>
      <c r="Y13038"/>
      <c r="Z13038"/>
      <c r="AA13038"/>
      <c r="AC13038"/>
      <c r="AR13038"/>
    </row>
    <row r="13039" spans="24:44">
      <c r="X13039"/>
      <c r="Y13039"/>
      <c r="Z13039"/>
      <c r="AA13039"/>
      <c r="AC13039"/>
      <c r="AR13039"/>
    </row>
    <row r="13040" spans="24:44">
      <c r="X13040"/>
      <c r="Y13040"/>
      <c r="Z13040"/>
      <c r="AA13040"/>
      <c r="AC13040"/>
      <c r="AR13040"/>
    </row>
    <row r="13041" spans="24:44">
      <c r="X13041"/>
      <c r="Y13041"/>
      <c r="Z13041"/>
      <c r="AA13041"/>
      <c r="AC13041"/>
      <c r="AR13041"/>
    </row>
    <row r="13042" spans="24:44">
      <c r="X13042"/>
      <c r="Y13042"/>
      <c r="Z13042"/>
      <c r="AA13042"/>
      <c r="AC13042"/>
      <c r="AR13042"/>
    </row>
    <row r="13043" spans="24:44">
      <c r="X13043"/>
      <c r="Y13043"/>
      <c r="Z13043"/>
      <c r="AA13043"/>
      <c r="AC13043"/>
      <c r="AR13043"/>
    </row>
    <row r="13044" spans="24:44">
      <c r="X13044"/>
      <c r="Y13044"/>
      <c r="Z13044"/>
      <c r="AA13044"/>
      <c r="AC13044"/>
      <c r="AR13044"/>
    </row>
    <row r="13045" spans="24:44">
      <c r="X13045"/>
      <c r="Y13045"/>
      <c r="Z13045"/>
      <c r="AA13045"/>
      <c r="AC13045"/>
      <c r="AR13045"/>
    </row>
    <row r="13046" spans="24:44">
      <c r="X13046"/>
      <c r="Y13046"/>
      <c r="Z13046"/>
      <c r="AA13046"/>
      <c r="AC13046"/>
      <c r="AR13046"/>
    </row>
    <row r="13047" spans="24:44">
      <c r="X13047"/>
      <c r="Y13047"/>
      <c r="Z13047"/>
      <c r="AA13047"/>
      <c r="AC13047"/>
      <c r="AR13047"/>
    </row>
    <row r="13048" spans="24:44">
      <c r="X13048"/>
      <c r="Y13048"/>
      <c r="Z13048"/>
      <c r="AA13048"/>
      <c r="AC13048"/>
      <c r="AR13048"/>
    </row>
    <row r="13049" spans="24:44">
      <c r="X13049"/>
      <c r="Y13049"/>
      <c r="Z13049"/>
      <c r="AA13049"/>
      <c r="AC13049"/>
      <c r="AR13049"/>
    </row>
    <row r="13050" spans="24:44">
      <c r="X13050"/>
      <c r="Y13050"/>
      <c r="Z13050"/>
      <c r="AA13050"/>
      <c r="AC13050"/>
      <c r="AR13050"/>
    </row>
    <row r="13051" spans="24:44">
      <c r="X13051"/>
      <c r="Y13051"/>
      <c r="Z13051"/>
      <c r="AA13051"/>
      <c r="AC13051"/>
      <c r="AR13051"/>
    </row>
    <row r="13052" spans="24:44">
      <c r="X13052"/>
      <c r="Y13052"/>
      <c r="Z13052"/>
      <c r="AA13052"/>
      <c r="AC13052"/>
      <c r="AR13052"/>
    </row>
    <row r="13053" spans="24:44">
      <c r="X13053"/>
      <c r="Y13053"/>
      <c r="Z13053"/>
      <c r="AA13053"/>
      <c r="AC13053"/>
      <c r="AR13053"/>
    </row>
    <row r="13054" spans="24:44">
      <c r="X13054"/>
      <c r="Y13054"/>
      <c r="Z13054"/>
      <c r="AA13054"/>
      <c r="AC13054"/>
      <c r="AR13054"/>
    </row>
    <row r="13055" spans="24:44">
      <c r="X13055"/>
      <c r="Y13055"/>
      <c r="Z13055"/>
      <c r="AA13055"/>
      <c r="AC13055"/>
      <c r="AR13055"/>
    </row>
    <row r="13056" spans="24:44">
      <c r="X13056"/>
      <c r="Y13056"/>
      <c r="Z13056"/>
      <c r="AA13056"/>
      <c r="AC13056"/>
      <c r="AR13056"/>
    </row>
    <row r="13057" spans="24:44">
      <c r="X13057"/>
      <c r="Y13057"/>
      <c r="Z13057"/>
      <c r="AA13057"/>
      <c r="AC13057"/>
      <c r="AR13057"/>
    </row>
    <row r="13058" spans="24:44">
      <c r="X13058"/>
      <c r="Y13058"/>
      <c r="Z13058"/>
      <c r="AA13058"/>
      <c r="AC13058"/>
      <c r="AR13058"/>
    </row>
    <row r="13059" spans="24:44">
      <c r="X13059"/>
      <c r="Y13059"/>
      <c r="Z13059"/>
      <c r="AA13059"/>
      <c r="AC13059"/>
      <c r="AR13059"/>
    </row>
    <row r="13060" spans="24:44">
      <c r="X13060"/>
      <c r="Y13060"/>
      <c r="Z13060"/>
      <c r="AA13060"/>
      <c r="AC13060"/>
      <c r="AR13060"/>
    </row>
    <row r="13061" spans="24:44">
      <c r="X13061"/>
      <c r="Y13061"/>
      <c r="Z13061"/>
      <c r="AA13061"/>
      <c r="AC13061"/>
      <c r="AR13061"/>
    </row>
    <row r="13062" spans="24:44">
      <c r="X13062"/>
      <c r="Y13062"/>
      <c r="Z13062"/>
      <c r="AA13062"/>
      <c r="AC13062"/>
      <c r="AR13062"/>
    </row>
    <row r="13063" spans="24:44">
      <c r="X13063"/>
      <c r="Y13063"/>
      <c r="Z13063"/>
      <c r="AA13063"/>
      <c r="AC13063"/>
      <c r="AR13063"/>
    </row>
    <row r="13064" spans="24:44">
      <c r="X13064"/>
      <c r="Y13064"/>
      <c r="Z13064"/>
      <c r="AA13064"/>
      <c r="AC13064"/>
      <c r="AR13064"/>
    </row>
    <row r="13065" spans="24:44">
      <c r="X13065"/>
      <c r="Y13065"/>
      <c r="Z13065"/>
      <c r="AA13065"/>
      <c r="AC13065"/>
      <c r="AR13065"/>
    </row>
    <row r="13066" spans="24:44">
      <c r="X13066"/>
      <c r="Y13066"/>
      <c r="Z13066"/>
      <c r="AA13066"/>
      <c r="AC13066"/>
      <c r="AR13066"/>
    </row>
    <row r="13067" spans="24:44">
      <c r="X13067"/>
      <c r="Y13067"/>
      <c r="Z13067"/>
      <c r="AA13067"/>
      <c r="AC13067"/>
      <c r="AR13067"/>
    </row>
    <row r="13068" spans="24:44">
      <c r="X13068"/>
      <c r="Y13068"/>
      <c r="Z13068"/>
      <c r="AA13068"/>
      <c r="AC13068"/>
      <c r="AR13068"/>
    </row>
    <row r="13069" spans="24:44">
      <c r="X13069"/>
      <c r="Y13069"/>
      <c r="Z13069"/>
      <c r="AA13069"/>
      <c r="AC13069"/>
      <c r="AR13069"/>
    </row>
    <row r="13070" spans="24:44">
      <c r="X13070"/>
      <c r="Y13070"/>
      <c r="Z13070"/>
      <c r="AA13070"/>
      <c r="AC13070"/>
      <c r="AR13070"/>
    </row>
    <row r="13071" spans="24:44">
      <c r="X13071"/>
      <c r="Y13071"/>
      <c r="Z13071"/>
      <c r="AA13071"/>
      <c r="AC13071"/>
      <c r="AR13071"/>
    </row>
    <row r="13072" spans="24:44">
      <c r="X13072"/>
      <c r="Y13072"/>
      <c r="Z13072"/>
      <c r="AA13072"/>
      <c r="AC13072"/>
      <c r="AR13072"/>
    </row>
    <row r="13073" spans="24:44">
      <c r="X13073"/>
      <c r="Y13073"/>
      <c r="Z13073"/>
      <c r="AA13073"/>
      <c r="AC13073"/>
      <c r="AR13073"/>
    </row>
    <row r="13074" spans="24:44">
      <c r="X13074"/>
      <c r="Y13074"/>
      <c r="Z13074"/>
      <c r="AA13074"/>
      <c r="AC13074"/>
      <c r="AR13074"/>
    </row>
    <row r="13075" spans="24:44">
      <c r="X13075"/>
      <c r="Y13075"/>
      <c r="Z13075"/>
      <c r="AA13075"/>
      <c r="AC13075"/>
      <c r="AR13075"/>
    </row>
    <row r="13076" spans="24:44">
      <c r="X13076"/>
      <c r="Y13076"/>
      <c r="Z13076"/>
      <c r="AA13076"/>
      <c r="AC13076"/>
      <c r="AR13076"/>
    </row>
    <row r="13077" spans="24:44">
      <c r="X13077"/>
      <c r="Y13077"/>
      <c r="Z13077"/>
      <c r="AA13077"/>
      <c r="AC13077"/>
      <c r="AR13077"/>
    </row>
    <row r="13078" spans="24:44">
      <c r="X13078"/>
      <c r="Y13078"/>
      <c r="Z13078"/>
      <c r="AA13078"/>
      <c r="AC13078"/>
      <c r="AR13078"/>
    </row>
    <row r="13079" spans="24:44">
      <c r="X13079"/>
      <c r="Y13079"/>
      <c r="Z13079"/>
      <c r="AA13079"/>
      <c r="AC13079"/>
      <c r="AR13079"/>
    </row>
    <row r="13080" spans="24:44">
      <c r="X13080"/>
      <c r="Y13080"/>
      <c r="Z13080"/>
      <c r="AA13080"/>
      <c r="AC13080"/>
      <c r="AR13080"/>
    </row>
    <row r="13081" spans="24:44">
      <c r="X13081"/>
      <c r="Y13081"/>
      <c r="Z13081"/>
      <c r="AA13081"/>
      <c r="AC13081"/>
      <c r="AR13081"/>
    </row>
    <row r="13082" spans="24:44">
      <c r="X13082"/>
      <c r="Y13082"/>
      <c r="Z13082"/>
      <c r="AA13082"/>
      <c r="AC13082"/>
      <c r="AR13082"/>
    </row>
    <row r="13083" spans="24:44">
      <c r="X13083"/>
      <c r="Y13083"/>
      <c r="Z13083"/>
      <c r="AA13083"/>
      <c r="AC13083"/>
      <c r="AR13083"/>
    </row>
    <row r="13084" spans="24:44">
      <c r="X13084"/>
      <c r="Y13084"/>
      <c r="Z13084"/>
      <c r="AA13084"/>
      <c r="AC13084"/>
      <c r="AR13084"/>
    </row>
    <row r="13085" spans="24:44">
      <c r="X13085"/>
      <c r="Y13085"/>
      <c r="Z13085"/>
      <c r="AA13085"/>
      <c r="AC13085"/>
      <c r="AR13085"/>
    </row>
    <row r="13086" spans="24:44">
      <c r="X13086"/>
      <c r="Y13086"/>
      <c r="Z13086"/>
      <c r="AA13086"/>
      <c r="AC13086"/>
      <c r="AR13086"/>
    </row>
    <row r="13087" spans="24:44">
      <c r="X13087"/>
      <c r="Y13087"/>
      <c r="Z13087"/>
      <c r="AA13087"/>
      <c r="AC13087"/>
      <c r="AR13087"/>
    </row>
    <row r="13088" spans="24:44">
      <c r="X13088"/>
      <c r="Y13088"/>
      <c r="Z13088"/>
      <c r="AA13088"/>
      <c r="AC13088"/>
      <c r="AR13088"/>
    </row>
    <row r="13089" spans="24:44">
      <c r="X13089"/>
      <c r="Y13089"/>
      <c r="Z13089"/>
      <c r="AA13089"/>
      <c r="AC13089"/>
      <c r="AR13089"/>
    </row>
    <row r="13090" spans="24:44">
      <c r="X13090"/>
      <c r="Y13090"/>
      <c r="Z13090"/>
      <c r="AA13090"/>
      <c r="AC13090"/>
      <c r="AR13090"/>
    </row>
    <row r="13091" spans="24:44">
      <c r="X13091"/>
      <c r="Y13091"/>
      <c r="Z13091"/>
      <c r="AA13091"/>
      <c r="AC13091"/>
      <c r="AR13091"/>
    </row>
    <row r="13092" spans="24:44">
      <c r="X13092"/>
      <c r="Y13092"/>
      <c r="Z13092"/>
      <c r="AA13092"/>
      <c r="AC13092"/>
      <c r="AR13092"/>
    </row>
    <row r="13093" spans="24:44">
      <c r="X13093"/>
      <c r="Y13093"/>
      <c r="Z13093"/>
      <c r="AA13093"/>
      <c r="AC13093"/>
      <c r="AR13093"/>
    </row>
    <row r="13094" spans="24:44">
      <c r="X13094"/>
      <c r="Y13094"/>
      <c r="Z13094"/>
      <c r="AA13094"/>
      <c r="AC13094"/>
      <c r="AR13094"/>
    </row>
    <row r="13095" spans="24:44">
      <c r="X13095"/>
      <c r="Y13095"/>
      <c r="Z13095"/>
      <c r="AA13095"/>
      <c r="AC13095"/>
      <c r="AR13095"/>
    </row>
    <row r="13096" spans="24:44">
      <c r="X13096"/>
      <c r="Y13096"/>
      <c r="Z13096"/>
      <c r="AA13096"/>
      <c r="AC13096"/>
      <c r="AR13096"/>
    </row>
    <row r="13097" spans="24:44">
      <c r="X13097"/>
      <c r="Y13097"/>
      <c r="Z13097"/>
      <c r="AA13097"/>
      <c r="AC13097"/>
      <c r="AR13097"/>
    </row>
    <row r="13098" spans="24:44">
      <c r="X13098"/>
      <c r="Y13098"/>
      <c r="Z13098"/>
      <c r="AA13098"/>
      <c r="AC13098"/>
      <c r="AR13098"/>
    </row>
    <row r="13099" spans="24:44">
      <c r="X13099"/>
      <c r="Y13099"/>
      <c r="Z13099"/>
      <c r="AA13099"/>
      <c r="AC13099"/>
      <c r="AR13099"/>
    </row>
    <row r="13100" spans="24:44">
      <c r="X13100"/>
      <c r="Y13100"/>
      <c r="Z13100"/>
      <c r="AA13100"/>
      <c r="AC13100"/>
      <c r="AR13100"/>
    </row>
    <row r="13101" spans="24:44">
      <c r="X13101"/>
      <c r="Y13101"/>
      <c r="Z13101"/>
      <c r="AA13101"/>
      <c r="AC13101"/>
      <c r="AR13101"/>
    </row>
    <row r="13102" spans="24:44">
      <c r="X13102"/>
      <c r="Y13102"/>
      <c r="Z13102"/>
      <c r="AA13102"/>
      <c r="AC13102"/>
      <c r="AR13102"/>
    </row>
    <row r="13103" spans="24:44">
      <c r="X13103"/>
      <c r="Y13103"/>
      <c r="Z13103"/>
      <c r="AA13103"/>
      <c r="AC13103"/>
      <c r="AR13103"/>
    </row>
    <row r="13104" spans="24:44">
      <c r="X13104"/>
      <c r="Y13104"/>
      <c r="Z13104"/>
      <c r="AA13104"/>
      <c r="AC13104"/>
      <c r="AR13104"/>
    </row>
    <row r="13105" spans="24:44">
      <c r="X13105"/>
      <c r="Y13105"/>
      <c r="Z13105"/>
      <c r="AA13105"/>
      <c r="AC13105"/>
      <c r="AR13105"/>
    </row>
    <row r="13106" spans="24:44">
      <c r="X13106"/>
      <c r="Y13106"/>
      <c r="Z13106"/>
      <c r="AA13106"/>
      <c r="AC13106"/>
      <c r="AR13106"/>
    </row>
    <row r="13107" spans="24:44">
      <c r="X13107"/>
      <c r="Y13107"/>
      <c r="Z13107"/>
      <c r="AA13107"/>
      <c r="AC13107"/>
      <c r="AR13107"/>
    </row>
    <row r="13108" spans="24:44">
      <c r="X13108"/>
      <c r="Y13108"/>
      <c r="Z13108"/>
      <c r="AA13108"/>
      <c r="AC13108"/>
      <c r="AR13108"/>
    </row>
    <row r="13109" spans="24:44">
      <c r="X13109"/>
      <c r="Y13109"/>
      <c r="Z13109"/>
      <c r="AA13109"/>
      <c r="AC13109"/>
      <c r="AR13109"/>
    </row>
    <row r="13110" spans="24:44">
      <c r="X13110"/>
      <c r="Y13110"/>
      <c r="Z13110"/>
      <c r="AA13110"/>
      <c r="AC13110"/>
      <c r="AR13110"/>
    </row>
    <row r="13111" spans="24:44">
      <c r="X13111"/>
      <c r="Y13111"/>
      <c r="Z13111"/>
      <c r="AA13111"/>
      <c r="AC13111"/>
      <c r="AR13111"/>
    </row>
    <row r="13112" spans="24:44">
      <c r="X13112"/>
      <c r="Y13112"/>
      <c r="Z13112"/>
      <c r="AA13112"/>
      <c r="AC13112"/>
      <c r="AR13112"/>
    </row>
    <row r="13113" spans="24:44">
      <c r="X13113"/>
      <c r="Y13113"/>
      <c r="Z13113"/>
      <c r="AA13113"/>
      <c r="AC13113"/>
      <c r="AR13113"/>
    </row>
    <row r="13114" spans="24:44">
      <c r="X13114"/>
      <c r="Y13114"/>
      <c r="Z13114"/>
      <c r="AA13114"/>
      <c r="AC13114"/>
      <c r="AR13114"/>
    </row>
    <row r="13115" spans="24:44">
      <c r="X13115"/>
      <c r="Y13115"/>
      <c r="Z13115"/>
      <c r="AA13115"/>
      <c r="AC13115"/>
      <c r="AR13115"/>
    </row>
    <row r="13116" spans="24:44">
      <c r="X13116"/>
      <c r="Y13116"/>
      <c r="Z13116"/>
      <c r="AA13116"/>
      <c r="AC13116"/>
      <c r="AR13116"/>
    </row>
    <row r="13117" spans="24:44">
      <c r="X13117"/>
      <c r="Y13117"/>
      <c r="Z13117"/>
      <c r="AA13117"/>
      <c r="AC13117"/>
      <c r="AR13117"/>
    </row>
    <row r="13118" spans="24:44">
      <c r="X13118"/>
      <c r="Y13118"/>
      <c r="Z13118"/>
      <c r="AA13118"/>
      <c r="AC13118"/>
      <c r="AR13118"/>
    </row>
    <row r="13119" spans="24:44">
      <c r="X13119"/>
      <c r="Y13119"/>
      <c r="Z13119"/>
      <c r="AA13119"/>
      <c r="AC13119"/>
      <c r="AR13119"/>
    </row>
    <row r="13120" spans="24:44">
      <c r="X13120"/>
      <c r="Y13120"/>
      <c r="Z13120"/>
      <c r="AA13120"/>
      <c r="AC13120"/>
      <c r="AR13120"/>
    </row>
    <row r="13121" spans="24:44">
      <c r="X13121"/>
      <c r="Y13121"/>
      <c r="Z13121"/>
      <c r="AA13121"/>
      <c r="AC13121"/>
      <c r="AR13121"/>
    </row>
    <row r="13122" spans="24:44">
      <c r="X13122"/>
      <c r="Y13122"/>
      <c r="Z13122"/>
      <c r="AA13122"/>
      <c r="AC13122"/>
      <c r="AR13122"/>
    </row>
    <row r="13123" spans="24:44">
      <c r="X13123"/>
      <c r="Y13123"/>
      <c r="Z13123"/>
      <c r="AA13123"/>
      <c r="AC13123"/>
      <c r="AR13123"/>
    </row>
    <row r="13124" spans="24:44">
      <c r="X13124"/>
      <c r="Y13124"/>
      <c r="Z13124"/>
      <c r="AA13124"/>
      <c r="AC13124"/>
      <c r="AR13124"/>
    </row>
    <row r="13125" spans="24:44">
      <c r="X13125"/>
      <c r="Y13125"/>
      <c r="Z13125"/>
      <c r="AA13125"/>
      <c r="AC13125"/>
      <c r="AR13125"/>
    </row>
    <row r="13126" spans="24:44">
      <c r="X13126"/>
      <c r="Y13126"/>
      <c r="Z13126"/>
      <c r="AA13126"/>
      <c r="AC13126"/>
      <c r="AR13126"/>
    </row>
    <row r="13127" spans="24:44">
      <c r="X13127"/>
      <c r="Y13127"/>
      <c r="Z13127"/>
      <c r="AA13127"/>
      <c r="AC13127"/>
      <c r="AR13127"/>
    </row>
    <row r="13128" spans="24:44">
      <c r="X13128"/>
      <c r="Y13128"/>
      <c r="Z13128"/>
      <c r="AA13128"/>
      <c r="AC13128"/>
      <c r="AR13128"/>
    </row>
    <row r="13129" spans="24:44">
      <c r="X13129"/>
      <c r="Y13129"/>
      <c r="Z13129"/>
      <c r="AA13129"/>
      <c r="AC13129"/>
      <c r="AR13129"/>
    </row>
    <row r="13130" spans="24:44">
      <c r="X13130"/>
      <c r="Y13130"/>
      <c r="Z13130"/>
      <c r="AA13130"/>
      <c r="AC13130"/>
      <c r="AR13130"/>
    </row>
    <row r="13131" spans="24:44">
      <c r="X13131"/>
      <c r="Y13131"/>
      <c r="Z13131"/>
      <c r="AA13131"/>
      <c r="AC13131"/>
      <c r="AR13131"/>
    </row>
    <row r="13132" spans="24:44">
      <c r="X13132"/>
      <c r="Y13132"/>
      <c r="Z13132"/>
      <c r="AA13132"/>
      <c r="AC13132"/>
      <c r="AR13132"/>
    </row>
    <row r="13133" spans="24:44">
      <c r="X13133"/>
      <c r="Y13133"/>
      <c r="Z13133"/>
      <c r="AA13133"/>
      <c r="AC13133"/>
      <c r="AR13133"/>
    </row>
    <row r="13134" spans="24:44">
      <c r="X13134"/>
      <c r="Y13134"/>
      <c r="Z13134"/>
      <c r="AA13134"/>
      <c r="AC13134"/>
      <c r="AR13134"/>
    </row>
    <row r="13135" spans="24:44">
      <c r="X13135"/>
      <c r="Y13135"/>
      <c r="Z13135"/>
      <c r="AA13135"/>
      <c r="AC13135"/>
      <c r="AR13135"/>
    </row>
    <row r="13136" spans="24:44">
      <c r="X13136"/>
      <c r="Y13136"/>
      <c r="Z13136"/>
      <c r="AA13136"/>
      <c r="AC13136"/>
      <c r="AR13136"/>
    </row>
    <row r="13137" spans="24:44">
      <c r="X13137"/>
      <c r="Y13137"/>
      <c r="Z13137"/>
      <c r="AA13137"/>
      <c r="AC13137"/>
      <c r="AR13137"/>
    </row>
    <row r="13138" spans="24:44">
      <c r="X13138"/>
      <c r="Y13138"/>
      <c r="Z13138"/>
      <c r="AA13138"/>
      <c r="AC13138"/>
      <c r="AR13138"/>
    </row>
    <row r="13139" spans="24:44">
      <c r="X13139"/>
      <c r="Y13139"/>
      <c r="Z13139"/>
      <c r="AA13139"/>
      <c r="AC13139"/>
      <c r="AR13139"/>
    </row>
    <row r="13140" spans="24:44">
      <c r="X13140"/>
      <c r="Y13140"/>
      <c r="Z13140"/>
      <c r="AA13140"/>
      <c r="AC13140"/>
      <c r="AR13140"/>
    </row>
    <row r="13141" spans="24:44">
      <c r="X13141"/>
      <c r="Y13141"/>
      <c r="Z13141"/>
      <c r="AA13141"/>
      <c r="AC13141"/>
      <c r="AR13141"/>
    </row>
    <row r="13142" spans="24:44">
      <c r="X13142"/>
      <c r="Y13142"/>
      <c r="Z13142"/>
      <c r="AA13142"/>
      <c r="AC13142"/>
      <c r="AR13142"/>
    </row>
    <row r="13143" spans="24:44">
      <c r="X13143"/>
      <c r="Y13143"/>
      <c r="Z13143"/>
      <c r="AA13143"/>
      <c r="AC13143"/>
      <c r="AR13143"/>
    </row>
    <row r="13144" spans="24:44">
      <c r="X13144"/>
      <c r="Y13144"/>
      <c r="Z13144"/>
      <c r="AA13144"/>
      <c r="AC13144"/>
      <c r="AR13144"/>
    </row>
    <row r="13145" spans="24:44">
      <c r="X13145"/>
      <c r="Y13145"/>
      <c r="Z13145"/>
      <c r="AA13145"/>
      <c r="AC13145"/>
      <c r="AR13145"/>
    </row>
    <row r="13146" spans="24:44">
      <c r="X13146"/>
      <c r="Y13146"/>
      <c r="Z13146"/>
      <c r="AA13146"/>
      <c r="AC13146"/>
      <c r="AR13146"/>
    </row>
    <row r="13147" spans="24:44">
      <c r="X13147"/>
      <c r="Y13147"/>
      <c r="Z13147"/>
      <c r="AA13147"/>
      <c r="AC13147"/>
      <c r="AR13147"/>
    </row>
    <row r="13148" spans="24:44">
      <c r="X13148"/>
      <c r="Y13148"/>
      <c r="Z13148"/>
      <c r="AA13148"/>
      <c r="AC13148"/>
      <c r="AR13148"/>
    </row>
    <row r="13149" spans="24:44">
      <c r="X13149"/>
      <c r="Y13149"/>
      <c r="Z13149"/>
      <c r="AA13149"/>
      <c r="AC13149"/>
      <c r="AR13149"/>
    </row>
    <row r="13150" spans="24:44">
      <c r="X13150"/>
      <c r="Y13150"/>
      <c r="Z13150"/>
      <c r="AA13150"/>
      <c r="AC13150"/>
      <c r="AR13150"/>
    </row>
    <row r="13151" spans="24:44">
      <c r="X13151"/>
      <c r="Y13151"/>
      <c r="Z13151"/>
      <c r="AA13151"/>
      <c r="AC13151"/>
      <c r="AR13151"/>
    </row>
    <row r="13152" spans="24:44">
      <c r="X13152"/>
      <c r="Y13152"/>
      <c r="Z13152"/>
      <c r="AA13152"/>
      <c r="AC13152"/>
      <c r="AR13152"/>
    </row>
    <row r="13153" spans="24:44">
      <c r="X13153"/>
      <c r="Y13153"/>
      <c r="Z13153"/>
      <c r="AA13153"/>
      <c r="AC13153"/>
      <c r="AR13153"/>
    </row>
    <row r="13154" spans="24:44">
      <c r="X13154"/>
      <c r="Y13154"/>
      <c r="Z13154"/>
      <c r="AA13154"/>
      <c r="AC13154"/>
      <c r="AR13154"/>
    </row>
    <row r="13155" spans="24:44">
      <c r="X13155"/>
      <c r="Y13155"/>
      <c r="Z13155"/>
      <c r="AA13155"/>
      <c r="AC13155"/>
      <c r="AR13155"/>
    </row>
    <row r="13156" spans="24:44">
      <c r="X13156"/>
      <c r="Y13156"/>
      <c r="Z13156"/>
      <c r="AA13156"/>
      <c r="AC13156"/>
      <c r="AR13156"/>
    </row>
    <row r="13157" spans="24:44">
      <c r="X13157"/>
      <c r="Y13157"/>
      <c r="Z13157"/>
      <c r="AA13157"/>
      <c r="AC13157"/>
      <c r="AR13157"/>
    </row>
    <row r="13158" spans="24:44">
      <c r="X13158"/>
      <c r="Y13158"/>
      <c r="Z13158"/>
      <c r="AA13158"/>
      <c r="AC13158"/>
      <c r="AR13158"/>
    </row>
    <row r="13159" spans="24:44">
      <c r="X13159"/>
      <c r="Y13159"/>
      <c r="Z13159"/>
      <c r="AA13159"/>
      <c r="AC13159"/>
      <c r="AR13159"/>
    </row>
    <row r="13160" spans="24:44">
      <c r="X13160"/>
      <c r="Y13160"/>
      <c r="Z13160"/>
      <c r="AA13160"/>
      <c r="AC13160"/>
      <c r="AR13160"/>
    </row>
    <row r="13161" spans="24:44">
      <c r="X13161"/>
      <c r="Y13161"/>
      <c r="Z13161"/>
      <c r="AA13161"/>
      <c r="AC13161"/>
      <c r="AR13161"/>
    </row>
    <row r="13162" spans="24:44">
      <c r="X13162"/>
      <c r="Y13162"/>
      <c r="Z13162"/>
      <c r="AA13162"/>
      <c r="AC13162"/>
      <c r="AR13162"/>
    </row>
    <row r="13163" spans="24:44">
      <c r="X13163"/>
      <c r="Y13163"/>
      <c r="Z13163"/>
      <c r="AA13163"/>
      <c r="AC13163"/>
      <c r="AR13163"/>
    </row>
    <row r="13164" spans="24:44">
      <c r="X13164"/>
      <c r="Y13164"/>
      <c r="Z13164"/>
      <c r="AA13164"/>
      <c r="AC13164"/>
      <c r="AR13164"/>
    </row>
    <row r="13165" spans="24:44">
      <c r="X13165"/>
      <c r="Y13165"/>
      <c r="Z13165"/>
      <c r="AA13165"/>
      <c r="AC13165"/>
      <c r="AR13165"/>
    </row>
    <row r="13166" spans="24:44">
      <c r="X13166"/>
      <c r="Y13166"/>
      <c r="Z13166"/>
      <c r="AA13166"/>
      <c r="AC13166"/>
      <c r="AR13166"/>
    </row>
    <row r="13167" spans="24:44">
      <c r="X13167"/>
      <c r="Y13167"/>
      <c r="Z13167"/>
      <c r="AA13167"/>
      <c r="AC13167"/>
      <c r="AR13167"/>
    </row>
    <row r="13168" spans="24:44">
      <c r="X13168"/>
      <c r="Y13168"/>
      <c r="Z13168"/>
      <c r="AA13168"/>
      <c r="AC13168"/>
      <c r="AR13168"/>
    </row>
    <row r="13169" spans="24:44">
      <c r="X13169"/>
      <c r="Y13169"/>
      <c r="Z13169"/>
      <c r="AA13169"/>
      <c r="AC13169"/>
      <c r="AR13169"/>
    </row>
    <row r="13170" spans="24:44">
      <c r="X13170"/>
      <c r="Y13170"/>
      <c r="Z13170"/>
      <c r="AA13170"/>
      <c r="AC13170"/>
      <c r="AR13170"/>
    </row>
    <row r="13171" spans="24:44">
      <c r="X13171"/>
      <c r="Y13171"/>
      <c r="Z13171"/>
      <c r="AA13171"/>
      <c r="AC13171"/>
      <c r="AR13171"/>
    </row>
    <row r="13172" spans="24:44">
      <c r="X13172"/>
      <c r="Y13172"/>
      <c r="Z13172"/>
      <c r="AA13172"/>
      <c r="AC13172"/>
      <c r="AR13172"/>
    </row>
    <row r="13173" spans="24:44">
      <c r="X13173"/>
      <c r="Y13173"/>
      <c r="Z13173"/>
      <c r="AA13173"/>
      <c r="AC13173"/>
      <c r="AR13173"/>
    </row>
    <row r="13174" spans="24:44">
      <c r="X13174"/>
      <c r="Y13174"/>
      <c r="Z13174"/>
      <c r="AA13174"/>
      <c r="AC13174"/>
      <c r="AR13174"/>
    </row>
    <row r="13175" spans="24:44">
      <c r="X13175"/>
      <c r="Y13175"/>
      <c r="Z13175"/>
      <c r="AA13175"/>
      <c r="AC13175"/>
      <c r="AR13175"/>
    </row>
    <row r="13176" spans="24:44">
      <c r="X13176"/>
      <c r="Y13176"/>
      <c r="Z13176"/>
      <c r="AA13176"/>
      <c r="AC13176"/>
      <c r="AR13176"/>
    </row>
    <row r="13177" spans="24:44">
      <c r="X13177"/>
      <c r="Y13177"/>
      <c r="Z13177"/>
      <c r="AA13177"/>
      <c r="AC13177"/>
      <c r="AR13177"/>
    </row>
    <row r="13178" spans="24:44">
      <c r="X13178"/>
      <c r="Y13178"/>
      <c r="Z13178"/>
      <c r="AA13178"/>
      <c r="AC13178"/>
      <c r="AR13178"/>
    </row>
    <row r="13179" spans="24:44">
      <c r="X13179"/>
      <c r="Y13179"/>
      <c r="Z13179"/>
      <c r="AA13179"/>
      <c r="AC13179"/>
      <c r="AR13179"/>
    </row>
    <row r="13180" spans="24:44">
      <c r="X13180"/>
      <c r="Y13180"/>
      <c r="Z13180"/>
      <c r="AA13180"/>
      <c r="AC13180"/>
      <c r="AR13180"/>
    </row>
    <row r="13181" spans="24:44">
      <c r="X13181"/>
      <c r="Y13181"/>
      <c r="Z13181"/>
      <c r="AA13181"/>
      <c r="AC13181"/>
      <c r="AR13181"/>
    </row>
    <row r="13182" spans="24:44">
      <c r="X13182"/>
      <c r="Y13182"/>
      <c r="Z13182"/>
      <c r="AA13182"/>
      <c r="AC13182"/>
      <c r="AR13182"/>
    </row>
    <row r="13183" spans="24:44">
      <c r="X13183"/>
      <c r="Y13183"/>
      <c r="Z13183"/>
      <c r="AA13183"/>
      <c r="AC13183"/>
      <c r="AR13183"/>
    </row>
    <row r="13184" spans="24:44">
      <c r="X13184"/>
      <c r="Y13184"/>
      <c r="Z13184"/>
      <c r="AA13184"/>
      <c r="AC13184"/>
      <c r="AR13184"/>
    </row>
    <row r="13185" spans="24:44">
      <c r="X13185"/>
      <c r="Y13185"/>
      <c r="Z13185"/>
      <c r="AA13185"/>
      <c r="AC13185"/>
      <c r="AR13185"/>
    </row>
    <row r="13186" spans="24:44">
      <c r="X13186"/>
      <c r="Y13186"/>
      <c r="Z13186"/>
      <c r="AA13186"/>
      <c r="AC13186"/>
      <c r="AR13186"/>
    </row>
    <row r="13187" spans="24:44">
      <c r="X13187"/>
      <c r="Y13187"/>
      <c r="Z13187"/>
      <c r="AA13187"/>
      <c r="AC13187"/>
      <c r="AR13187"/>
    </row>
    <row r="13188" spans="24:44">
      <c r="X13188"/>
      <c r="Y13188"/>
      <c r="Z13188"/>
      <c r="AA13188"/>
      <c r="AC13188"/>
      <c r="AR13188"/>
    </row>
    <row r="13189" spans="24:44">
      <c r="X13189"/>
      <c r="Y13189"/>
      <c r="Z13189"/>
      <c r="AA13189"/>
      <c r="AC13189"/>
      <c r="AR13189"/>
    </row>
    <row r="13190" spans="24:44">
      <c r="X13190"/>
      <c r="Y13190"/>
      <c r="Z13190"/>
      <c r="AA13190"/>
      <c r="AC13190"/>
      <c r="AR13190"/>
    </row>
    <row r="13191" spans="24:44">
      <c r="X13191"/>
      <c r="Y13191"/>
      <c r="Z13191"/>
      <c r="AA13191"/>
      <c r="AC13191"/>
      <c r="AR13191"/>
    </row>
    <row r="13192" spans="24:44">
      <c r="X13192"/>
      <c r="Y13192"/>
      <c r="Z13192"/>
      <c r="AA13192"/>
      <c r="AC13192"/>
      <c r="AR13192"/>
    </row>
    <row r="13193" spans="24:44">
      <c r="X13193"/>
      <c r="Y13193"/>
      <c r="Z13193"/>
      <c r="AA13193"/>
      <c r="AC13193"/>
      <c r="AR13193"/>
    </row>
    <row r="13194" spans="24:44">
      <c r="X13194"/>
      <c r="Y13194"/>
      <c r="Z13194"/>
      <c r="AA13194"/>
      <c r="AC13194"/>
      <c r="AR13194"/>
    </row>
    <row r="13195" spans="24:44">
      <c r="X13195"/>
      <c r="Y13195"/>
      <c r="Z13195"/>
      <c r="AA13195"/>
      <c r="AC13195"/>
      <c r="AR13195"/>
    </row>
    <row r="13196" spans="24:44">
      <c r="X13196"/>
      <c r="Y13196"/>
      <c r="Z13196"/>
      <c r="AA13196"/>
      <c r="AC13196"/>
      <c r="AR13196"/>
    </row>
    <row r="13197" spans="24:44">
      <c r="X13197"/>
      <c r="Y13197"/>
      <c r="Z13197"/>
      <c r="AA13197"/>
      <c r="AC13197"/>
      <c r="AR13197"/>
    </row>
    <row r="13198" spans="24:44">
      <c r="X13198"/>
      <c r="Y13198"/>
      <c r="Z13198"/>
      <c r="AA13198"/>
      <c r="AC13198"/>
      <c r="AR13198"/>
    </row>
    <row r="13199" spans="24:44">
      <c r="X13199"/>
      <c r="Y13199"/>
      <c r="Z13199"/>
      <c r="AA13199"/>
      <c r="AC13199"/>
      <c r="AR13199"/>
    </row>
    <row r="13200" spans="24:44">
      <c r="X13200"/>
      <c r="Y13200"/>
      <c r="Z13200"/>
      <c r="AA13200"/>
      <c r="AC13200"/>
      <c r="AR13200"/>
    </row>
    <row r="13201" spans="24:44">
      <c r="X13201"/>
      <c r="Y13201"/>
      <c r="Z13201"/>
      <c r="AA13201"/>
      <c r="AC13201"/>
      <c r="AR13201"/>
    </row>
    <row r="13202" spans="24:44">
      <c r="X13202"/>
      <c r="Y13202"/>
      <c r="Z13202"/>
      <c r="AA13202"/>
      <c r="AC13202"/>
      <c r="AR13202"/>
    </row>
    <row r="13203" spans="24:44">
      <c r="X13203"/>
      <c r="Y13203"/>
      <c r="Z13203"/>
      <c r="AA13203"/>
      <c r="AC13203"/>
      <c r="AR13203"/>
    </row>
    <row r="13204" spans="24:44">
      <c r="X13204"/>
      <c r="Y13204"/>
      <c r="Z13204"/>
      <c r="AA13204"/>
      <c r="AC13204"/>
      <c r="AR13204"/>
    </row>
    <row r="13205" spans="24:44">
      <c r="X13205"/>
      <c r="Y13205"/>
      <c r="Z13205"/>
      <c r="AA13205"/>
      <c r="AC13205"/>
      <c r="AR13205"/>
    </row>
    <row r="13206" spans="24:44">
      <c r="X13206"/>
      <c r="Y13206"/>
      <c r="Z13206"/>
      <c r="AA13206"/>
      <c r="AC13206"/>
      <c r="AR13206"/>
    </row>
    <row r="13207" spans="24:44">
      <c r="X13207"/>
      <c r="Y13207"/>
      <c r="Z13207"/>
      <c r="AA13207"/>
      <c r="AC13207"/>
      <c r="AR13207"/>
    </row>
    <row r="13208" spans="24:44">
      <c r="X13208"/>
      <c r="Y13208"/>
      <c r="Z13208"/>
      <c r="AA13208"/>
      <c r="AC13208"/>
      <c r="AR13208"/>
    </row>
    <row r="13209" spans="24:44">
      <c r="X13209"/>
      <c r="Y13209"/>
      <c r="Z13209"/>
      <c r="AA13209"/>
      <c r="AC13209"/>
      <c r="AR13209"/>
    </row>
    <row r="13210" spans="24:44">
      <c r="X13210"/>
      <c r="Y13210"/>
      <c r="Z13210"/>
      <c r="AA13210"/>
      <c r="AC13210"/>
      <c r="AR13210"/>
    </row>
    <row r="13211" spans="24:44">
      <c r="X13211"/>
      <c r="Y13211"/>
      <c r="Z13211"/>
      <c r="AA13211"/>
      <c r="AC13211"/>
      <c r="AR13211"/>
    </row>
    <row r="13212" spans="24:44">
      <c r="X13212"/>
      <c r="Y13212"/>
      <c r="Z13212"/>
      <c r="AA13212"/>
      <c r="AC13212"/>
      <c r="AR13212"/>
    </row>
    <row r="13213" spans="24:44">
      <c r="X13213"/>
      <c r="Y13213"/>
      <c r="Z13213"/>
      <c r="AA13213"/>
      <c r="AC13213"/>
      <c r="AR13213"/>
    </row>
    <row r="13214" spans="24:44">
      <c r="X13214"/>
      <c r="Y13214"/>
      <c r="Z13214"/>
      <c r="AA13214"/>
      <c r="AC13214"/>
      <c r="AR13214"/>
    </row>
    <row r="13215" spans="24:44">
      <c r="X13215"/>
      <c r="Y13215"/>
      <c r="Z13215"/>
      <c r="AA13215"/>
      <c r="AC13215"/>
      <c r="AR13215"/>
    </row>
    <row r="13216" spans="24:44">
      <c r="X13216"/>
      <c r="Y13216"/>
      <c r="Z13216"/>
      <c r="AA13216"/>
      <c r="AC13216"/>
      <c r="AR13216"/>
    </row>
    <row r="13217" spans="24:44">
      <c r="X13217"/>
      <c r="Y13217"/>
      <c r="Z13217"/>
      <c r="AA13217"/>
      <c r="AC13217"/>
      <c r="AR13217"/>
    </row>
    <row r="13218" spans="24:44">
      <c r="X13218"/>
      <c r="Y13218"/>
      <c r="Z13218"/>
      <c r="AA13218"/>
      <c r="AC13218"/>
      <c r="AR13218"/>
    </row>
    <row r="13219" spans="24:44">
      <c r="X13219"/>
      <c r="Y13219"/>
      <c r="Z13219"/>
      <c r="AA13219"/>
      <c r="AC13219"/>
      <c r="AR13219"/>
    </row>
    <row r="13220" spans="24:44">
      <c r="X13220"/>
      <c r="Y13220"/>
      <c r="Z13220"/>
      <c r="AA13220"/>
      <c r="AC13220"/>
      <c r="AR13220"/>
    </row>
    <row r="13221" spans="24:44">
      <c r="X13221"/>
      <c r="Y13221"/>
      <c r="Z13221"/>
      <c r="AA13221"/>
      <c r="AC13221"/>
      <c r="AR13221"/>
    </row>
    <row r="13222" spans="24:44">
      <c r="X13222"/>
      <c r="Y13222"/>
      <c r="Z13222"/>
      <c r="AA13222"/>
      <c r="AC13222"/>
      <c r="AR13222"/>
    </row>
    <row r="13223" spans="24:44">
      <c r="X13223"/>
      <c r="Y13223"/>
      <c r="Z13223"/>
      <c r="AA13223"/>
      <c r="AC13223"/>
      <c r="AR13223"/>
    </row>
    <row r="13224" spans="24:44">
      <c r="X13224"/>
      <c r="Y13224"/>
      <c r="Z13224"/>
      <c r="AA13224"/>
      <c r="AC13224"/>
      <c r="AR13224"/>
    </row>
    <row r="13225" spans="24:44">
      <c r="X13225"/>
      <c r="Y13225"/>
      <c r="Z13225"/>
      <c r="AA13225"/>
      <c r="AC13225"/>
      <c r="AR13225"/>
    </row>
    <row r="13226" spans="24:44">
      <c r="X13226"/>
      <c r="Y13226"/>
      <c r="Z13226"/>
      <c r="AA13226"/>
      <c r="AC13226"/>
      <c r="AR13226"/>
    </row>
    <row r="13227" spans="24:44">
      <c r="X13227"/>
      <c r="Y13227"/>
      <c r="Z13227"/>
      <c r="AA13227"/>
      <c r="AC13227"/>
      <c r="AR13227"/>
    </row>
    <row r="13228" spans="24:44">
      <c r="X13228"/>
      <c r="Y13228"/>
      <c r="Z13228"/>
      <c r="AA13228"/>
      <c r="AC13228"/>
      <c r="AR13228"/>
    </row>
    <row r="13229" spans="24:44">
      <c r="X13229"/>
      <c r="Y13229"/>
      <c r="Z13229"/>
      <c r="AA13229"/>
      <c r="AC13229"/>
      <c r="AR13229"/>
    </row>
    <row r="13230" spans="24:44">
      <c r="X13230"/>
      <c r="Y13230"/>
      <c r="Z13230"/>
      <c r="AA13230"/>
      <c r="AC13230"/>
      <c r="AR13230"/>
    </row>
    <row r="13231" spans="24:44">
      <c r="X13231"/>
      <c r="Y13231"/>
      <c r="Z13231"/>
      <c r="AA13231"/>
      <c r="AC13231"/>
      <c r="AR13231"/>
    </row>
    <row r="13232" spans="24:44">
      <c r="X13232"/>
      <c r="Y13232"/>
      <c r="Z13232"/>
      <c r="AA13232"/>
      <c r="AC13232"/>
      <c r="AR13232"/>
    </row>
    <row r="13233" spans="24:44">
      <c r="X13233"/>
      <c r="Y13233"/>
      <c r="Z13233"/>
      <c r="AA13233"/>
      <c r="AC13233"/>
      <c r="AR13233"/>
    </row>
    <row r="13234" spans="24:44">
      <c r="X13234"/>
      <c r="Y13234"/>
      <c r="Z13234"/>
      <c r="AA13234"/>
      <c r="AC13234"/>
      <c r="AR13234"/>
    </row>
    <row r="13235" spans="24:44">
      <c r="X13235"/>
      <c r="Y13235"/>
      <c r="Z13235"/>
      <c r="AA13235"/>
      <c r="AC13235"/>
      <c r="AR13235"/>
    </row>
    <row r="13236" spans="24:44">
      <c r="X13236"/>
      <c r="Y13236"/>
      <c r="Z13236"/>
      <c r="AA13236"/>
      <c r="AC13236"/>
      <c r="AR13236"/>
    </row>
    <row r="13237" spans="24:44">
      <c r="X13237"/>
      <c r="Y13237"/>
      <c r="Z13237"/>
      <c r="AA13237"/>
      <c r="AC13237"/>
      <c r="AR13237"/>
    </row>
    <row r="13238" spans="24:44">
      <c r="X13238"/>
      <c r="Y13238"/>
      <c r="Z13238"/>
      <c r="AA13238"/>
      <c r="AC13238"/>
      <c r="AR13238"/>
    </row>
    <row r="13239" spans="24:44">
      <c r="X13239"/>
      <c r="Y13239"/>
      <c r="Z13239"/>
      <c r="AA13239"/>
      <c r="AC13239"/>
      <c r="AR13239"/>
    </row>
    <row r="13240" spans="24:44">
      <c r="X13240"/>
      <c r="Y13240"/>
      <c r="Z13240"/>
      <c r="AA13240"/>
      <c r="AC13240"/>
      <c r="AR13240"/>
    </row>
    <row r="13241" spans="24:44">
      <c r="X13241"/>
      <c r="Y13241"/>
      <c r="Z13241"/>
      <c r="AA13241"/>
      <c r="AC13241"/>
      <c r="AR13241"/>
    </row>
    <row r="13242" spans="24:44">
      <c r="X13242"/>
      <c r="Y13242"/>
      <c r="Z13242"/>
      <c r="AA13242"/>
      <c r="AC13242"/>
      <c r="AR13242"/>
    </row>
    <row r="13243" spans="24:44">
      <c r="X13243"/>
      <c r="Y13243"/>
      <c r="Z13243"/>
      <c r="AA13243"/>
      <c r="AC13243"/>
      <c r="AR13243"/>
    </row>
    <row r="13244" spans="24:44">
      <c r="X13244"/>
      <c r="Y13244"/>
      <c r="Z13244"/>
      <c r="AA13244"/>
      <c r="AC13244"/>
      <c r="AR13244"/>
    </row>
    <row r="13245" spans="24:44">
      <c r="X13245"/>
      <c r="Y13245"/>
      <c r="Z13245"/>
      <c r="AA13245"/>
      <c r="AC13245"/>
      <c r="AR13245"/>
    </row>
    <row r="13246" spans="24:44">
      <c r="X13246"/>
      <c r="Y13246"/>
      <c r="Z13246"/>
      <c r="AA13246"/>
      <c r="AC13246"/>
      <c r="AR13246"/>
    </row>
    <row r="13247" spans="24:44">
      <c r="X13247"/>
      <c r="Y13247"/>
      <c r="Z13247"/>
      <c r="AA13247"/>
      <c r="AC13247"/>
      <c r="AR13247"/>
    </row>
    <row r="13248" spans="24:44">
      <c r="X13248"/>
      <c r="Y13248"/>
      <c r="Z13248"/>
      <c r="AA13248"/>
      <c r="AC13248"/>
      <c r="AR13248"/>
    </row>
    <row r="13249" spans="24:44">
      <c r="X13249"/>
      <c r="Y13249"/>
      <c r="Z13249"/>
      <c r="AA13249"/>
      <c r="AC13249"/>
      <c r="AR13249"/>
    </row>
    <row r="13250" spans="24:44">
      <c r="X13250"/>
      <c r="Y13250"/>
      <c r="Z13250"/>
      <c r="AA13250"/>
      <c r="AC13250"/>
      <c r="AR13250"/>
    </row>
    <row r="13251" spans="24:44">
      <c r="X13251"/>
      <c r="Y13251"/>
      <c r="Z13251"/>
      <c r="AA13251"/>
      <c r="AC13251"/>
      <c r="AR13251"/>
    </row>
    <row r="13252" spans="24:44">
      <c r="X13252"/>
      <c r="Y13252"/>
      <c r="Z13252"/>
      <c r="AA13252"/>
      <c r="AC13252"/>
      <c r="AR13252"/>
    </row>
    <row r="13253" spans="24:44">
      <c r="X13253"/>
      <c r="Y13253"/>
      <c r="Z13253"/>
      <c r="AA13253"/>
      <c r="AC13253"/>
      <c r="AR13253"/>
    </row>
    <row r="13254" spans="24:44">
      <c r="X13254"/>
      <c r="Y13254"/>
      <c r="Z13254"/>
      <c r="AA13254"/>
      <c r="AC13254"/>
      <c r="AR13254"/>
    </row>
    <row r="13255" spans="24:44">
      <c r="X13255"/>
      <c r="Y13255"/>
      <c r="Z13255"/>
      <c r="AA13255"/>
      <c r="AC13255"/>
      <c r="AR13255"/>
    </row>
    <row r="13256" spans="24:44">
      <c r="X13256"/>
      <c r="Y13256"/>
      <c r="Z13256"/>
      <c r="AA13256"/>
      <c r="AC13256"/>
      <c r="AR13256"/>
    </row>
    <row r="13257" spans="24:44">
      <c r="X13257"/>
      <c r="Y13257"/>
      <c r="Z13257"/>
      <c r="AA13257"/>
      <c r="AC13257"/>
      <c r="AR13257"/>
    </row>
    <row r="13258" spans="24:44">
      <c r="X13258"/>
      <c r="Y13258"/>
      <c r="Z13258"/>
      <c r="AA13258"/>
      <c r="AC13258"/>
      <c r="AR13258"/>
    </row>
    <row r="13259" spans="24:44">
      <c r="X13259"/>
      <c r="Y13259"/>
      <c r="Z13259"/>
      <c r="AA13259"/>
      <c r="AC13259"/>
      <c r="AR13259"/>
    </row>
    <row r="13260" spans="24:44">
      <c r="X13260"/>
      <c r="Y13260"/>
      <c r="Z13260"/>
      <c r="AA13260"/>
      <c r="AC13260"/>
      <c r="AR13260"/>
    </row>
    <row r="13261" spans="24:44">
      <c r="X13261"/>
      <c r="Y13261"/>
      <c r="Z13261"/>
      <c r="AA13261"/>
      <c r="AC13261"/>
      <c r="AR13261"/>
    </row>
    <row r="13262" spans="24:44">
      <c r="X13262"/>
      <c r="Y13262"/>
      <c r="Z13262"/>
      <c r="AA13262"/>
      <c r="AC13262"/>
      <c r="AR13262"/>
    </row>
    <row r="13263" spans="24:44">
      <c r="X13263"/>
      <c r="Y13263"/>
      <c r="Z13263"/>
      <c r="AA13263"/>
      <c r="AC13263"/>
      <c r="AR13263"/>
    </row>
    <row r="13264" spans="24:44">
      <c r="X13264"/>
      <c r="Y13264"/>
      <c r="Z13264"/>
      <c r="AA13264"/>
      <c r="AC13264"/>
      <c r="AR13264"/>
    </row>
    <row r="13265" spans="24:44">
      <c r="X13265"/>
      <c r="Y13265"/>
      <c r="Z13265"/>
      <c r="AA13265"/>
      <c r="AC13265"/>
      <c r="AR13265"/>
    </row>
    <row r="13266" spans="24:44">
      <c r="X13266"/>
      <c r="Y13266"/>
      <c r="Z13266"/>
      <c r="AA13266"/>
      <c r="AC13266"/>
      <c r="AR13266"/>
    </row>
    <row r="13267" spans="24:44">
      <c r="X13267"/>
      <c r="Y13267"/>
      <c r="Z13267"/>
      <c r="AA13267"/>
      <c r="AC13267"/>
      <c r="AR13267"/>
    </row>
    <row r="13268" spans="24:44">
      <c r="X13268"/>
      <c r="Y13268"/>
      <c r="Z13268"/>
      <c r="AA13268"/>
      <c r="AC13268"/>
      <c r="AR13268"/>
    </row>
    <row r="13269" spans="24:44">
      <c r="X13269"/>
      <c r="Y13269"/>
      <c r="Z13269"/>
      <c r="AA13269"/>
      <c r="AC13269"/>
      <c r="AR13269"/>
    </row>
    <row r="13270" spans="24:44">
      <c r="X13270"/>
      <c r="Y13270"/>
      <c r="Z13270"/>
      <c r="AA13270"/>
      <c r="AC13270"/>
      <c r="AR13270"/>
    </row>
    <row r="13271" spans="24:44">
      <c r="X13271"/>
      <c r="Y13271"/>
      <c r="Z13271"/>
      <c r="AA13271"/>
      <c r="AC13271"/>
      <c r="AR13271"/>
    </row>
    <row r="13272" spans="24:44">
      <c r="X13272"/>
      <c r="Y13272"/>
      <c r="Z13272"/>
      <c r="AA13272"/>
      <c r="AC13272"/>
      <c r="AR13272"/>
    </row>
    <row r="13273" spans="24:44">
      <c r="X13273"/>
      <c r="Y13273"/>
      <c r="Z13273"/>
      <c r="AA13273"/>
      <c r="AC13273"/>
      <c r="AR13273"/>
    </row>
    <row r="13274" spans="24:44">
      <c r="X13274"/>
      <c r="Y13274"/>
      <c r="Z13274"/>
      <c r="AA13274"/>
      <c r="AC13274"/>
      <c r="AR13274"/>
    </row>
    <row r="13275" spans="24:44">
      <c r="X13275"/>
      <c r="Y13275"/>
      <c r="Z13275"/>
      <c r="AA13275"/>
      <c r="AC13275"/>
      <c r="AR13275"/>
    </row>
    <row r="13276" spans="24:44">
      <c r="X13276"/>
      <c r="Y13276"/>
      <c r="Z13276"/>
      <c r="AA13276"/>
      <c r="AC13276"/>
      <c r="AR13276"/>
    </row>
    <row r="13277" spans="24:44">
      <c r="X13277"/>
      <c r="Y13277"/>
      <c r="Z13277"/>
      <c r="AA13277"/>
      <c r="AC13277"/>
      <c r="AR13277"/>
    </row>
    <row r="13278" spans="24:44">
      <c r="X13278"/>
      <c r="Y13278"/>
      <c r="Z13278"/>
      <c r="AA13278"/>
      <c r="AC13278"/>
      <c r="AR13278"/>
    </row>
    <row r="13279" spans="24:44">
      <c r="X13279"/>
      <c r="Y13279"/>
      <c r="Z13279"/>
      <c r="AA13279"/>
      <c r="AC13279"/>
      <c r="AR13279"/>
    </row>
    <row r="13280" spans="24:44">
      <c r="X13280"/>
      <c r="Y13280"/>
      <c r="Z13280"/>
      <c r="AA13280"/>
      <c r="AC13280"/>
      <c r="AR13280"/>
    </row>
    <row r="13281" spans="24:44">
      <c r="X13281"/>
      <c r="Y13281"/>
      <c r="Z13281"/>
      <c r="AA13281"/>
      <c r="AC13281"/>
      <c r="AR13281"/>
    </row>
    <row r="13282" spans="24:44">
      <c r="X13282"/>
      <c r="Y13282"/>
      <c r="Z13282"/>
      <c r="AA13282"/>
      <c r="AC13282"/>
      <c r="AR13282"/>
    </row>
    <row r="13283" spans="24:44">
      <c r="X13283"/>
      <c r="Y13283"/>
      <c r="Z13283"/>
      <c r="AA13283"/>
      <c r="AC13283"/>
      <c r="AR13283"/>
    </row>
    <row r="13284" spans="24:44">
      <c r="X13284"/>
      <c r="Y13284"/>
      <c r="Z13284"/>
      <c r="AA13284"/>
      <c r="AC13284"/>
      <c r="AR13284"/>
    </row>
    <row r="13285" spans="24:44">
      <c r="X13285"/>
      <c r="Y13285"/>
      <c r="Z13285"/>
      <c r="AA13285"/>
      <c r="AC13285"/>
      <c r="AR13285"/>
    </row>
    <row r="13286" spans="24:44">
      <c r="X13286"/>
      <c r="Y13286"/>
      <c r="Z13286"/>
      <c r="AA13286"/>
      <c r="AC13286"/>
      <c r="AR13286"/>
    </row>
    <row r="13287" spans="24:44">
      <c r="X13287"/>
      <c r="Y13287"/>
      <c r="Z13287"/>
      <c r="AA13287"/>
      <c r="AC13287"/>
      <c r="AR13287"/>
    </row>
    <row r="13288" spans="24:44">
      <c r="X13288"/>
      <c r="Y13288"/>
      <c r="Z13288"/>
      <c r="AA13288"/>
      <c r="AC13288"/>
      <c r="AR13288"/>
    </row>
    <row r="13289" spans="24:44">
      <c r="X13289"/>
      <c r="Y13289"/>
      <c r="Z13289"/>
      <c r="AA13289"/>
      <c r="AC13289"/>
      <c r="AR13289"/>
    </row>
    <row r="13290" spans="24:44">
      <c r="X13290"/>
      <c r="Y13290"/>
      <c r="Z13290"/>
      <c r="AA13290"/>
      <c r="AC13290"/>
      <c r="AR13290"/>
    </row>
    <row r="13291" spans="24:44">
      <c r="X13291"/>
      <c r="Y13291"/>
      <c r="Z13291"/>
      <c r="AA13291"/>
      <c r="AC13291"/>
      <c r="AR13291"/>
    </row>
    <row r="13292" spans="24:44">
      <c r="X13292"/>
      <c r="Y13292"/>
      <c r="Z13292"/>
      <c r="AA13292"/>
      <c r="AC13292"/>
      <c r="AR13292"/>
    </row>
    <row r="13293" spans="24:44">
      <c r="X13293"/>
      <c r="Y13293"/>
      <c r="Z13293"/>
      <c r="AA13293"/>
      <c r="AC13293"/>
      <c r="AR13293"/>
    </row>
    <row r="13294" spans="24:44">
      <c r="X13294"/>
      <c r="Y13294"/>
      <c r="Z13294"/>
      <c r="AA13294"/>
      <c r="AC13294"/>
      <c r="AR13294"/>
    </row>
    <row r="13295" spans="24:44">
      <c r="X13295"/>
      <c r="Y13295"/>
      <c r="Z13295"/>
      <c r="AA13295"/>
      <c r="AC13295"/>
      <c r="AR13295"/>
    </row>
    <row r="13296" spans="24:44">
      <c r="X13296"/>
      <c r="Y13296"/>
      <c r="Z13296"/>
      <c r="AA13296"/>
      <c r="AC13296"/>
      <c r="AR13296"/>
    </row>
    <row r="13297" spans="24:44">
      <c r="X13297"/>
      <c r="Y13297"/>
      <c r="Z13297"/>
      <c r="AA13297"/>
      <c r="AC13297"/>
      <c r="AR13297"/>
    </row>
    <row r="13298" spans="24:44">
      <c r="X13298"/>
      <c r="Y13298"/>
      <c r="Z13298"/>
      <c r="AA13298"/>
      <c r="AC13298"/>
      <c r="AR13298"/>
    </row>
    <row r="13299" spans="24:44">
      <c r="X13299"/>
      <c r="Y13299"/>
      <c r="Z13299"/>
      <c r="AA13299"/>
      <c r="AC13299"/>
      <c r="AR13299"/>
    </row>
    <row r="13300" spans="24:44">
      <c r="X13300"/>
      <c r="Y13300"/>
      <c r="Z13300"/>
      <c r="AA13300"/>
      <c r="AC13300"/>
      <c r="AR13300"/>
    </row>
    <row r="13301" spans="24:44">
      <c r="X13301"/>
      <c r="Y13301"/>
      <c r="Z13301"/>
      <c r="AA13301"/>
      <c r="AC13301"/>
      <c r="AR13301"/>
    </row>
    <row r="13302" spans="24:44">
      <c r="X13302"/>
      <c r="Y13302"/>
      <c r="Z13302"/>
      <c r="AA13302"/>
      <c r="AC13302"/>
      <c r="AR13302"/>
    </row>
    <row r="13303" spans="24:44">
      <c r="X13303"/>
      <c r="Y13303"/>
      <c r="Z13303"/>
      <c r="AA13303"/>
      <c r="AC13303"/>
      <c r="AR13303"/>
    </row>
    <row r="13304" spans="24:44">
      <c r="X13304"/>
      <c r="Y13304"/>
      <c r="Z13304"/>
      <c r="AA13304"/>
      <c r="AC13304"/>
      <c r="AR13304"/>
    </row>
    <row r="13305" spans="24:44">
      <c r="X13305"/>
      <c r="Y13305"/>
      <c r="Z13305"/>
      <c r="AA13305"/>
      <c r="AC13305"/>
      <c r="AR13305"/>
    </row>
    <row r="13306" spans="24:44">
      <c r="X13306"/>
      <c r="Y13306"/>
      <c r="Z13306"/>
      <c r="AA13306"/>
      <c r="AC13306"/>
      <c r="AR13306"/>
    </row>
    <row r="13307" spans="24:44">
      <c r="X13307"/>
      <c r="Y13307"/>
      <c r="Z13307"/>
      <c r="AA13307"/>
      <c r="AC13307"/>
      <c r="AR13307"/>
    </row>
    <row r="13308" spans="24:44">
      <c r="X13308"/>
      <c r="Y13308"/>
      <c r="Z13308"/>
      <c r="AA13308"/>
      <c r="AC13308"/>
      <c r="AR13308"/>
    </row>
    <row r="13309" spans="24:44">
      <c r="X13309"/>
      <c r="Y13309"/>
      <c r="Z13309"/>
      <c r="AA13309"/>
      <c r="AC13309"/>
      <c r="AR13309"/>
    </row>
    <row r="13310" spans="24:44">
      <c r="X13310"/>
      <c r="Y13310"/>
      <c r="Z13310"/>
      <c r="AA13310"/>
      <c r="AC13310"/>
      <c r="AR13310"/>
    </row>
    <row r="13311" spans="24:44">
      <c r="X13311"/>
      <c r="Y13311"/>
      <c r="Z13311"/>
      <c r="AA13311"/>
      <c r="AC13311"/>
      <c r="AR13311"/>
    </row>
    <row r="13312" spans="24:44">
      <c r="X13312"/>
      <c r="Y13312"/>
      <c r="Z13312"/>
      <c r="AA13312"/>
      <c r="AC13312"/>
      <c r="AR13312"/>
    </row>
    <row r="13313" spans="24:44">
      <c r="X13313"/>
      <c r="Y13313"/>
      <c r="Z13313"/>
      <c r="AA13313"/>
      <c r="AC13313"/>
      <c r="AR13313"/>
    </row>
    <row r="13314" spans="24:44">
      <c r="X13314"/>
      <c r="Y13314"/>
      <c r="Z13314"/>
      <c r="AA13314"/>
      <c r="AC13314"/>
      <c r="AR13314"/>
    </row>
    <row r="13315" spans="24:44">
      <c r="X13315"/>
      <c r="Y13315"/>
      <c r="Z13315"/>
      <c r="AA13315"/>
      <c r="AC13315"/>
      <c r="AR13315"/>
    </row>
    <row r="13316" spans="24:44">
      <c r="X13316"/>
      <c r="Y13316"/>
      <c r="Z13316"/>
      <c r="AA13316"/>
      <c r="AC13316"/>
      <c r="AR13316"/>
    </row>
    <row r="13317" spans="24:44">
      <c r="X13317"/>
      <c r="Y13317"/>
      <c r="Z13317"/>
      <c r="AA13317"/>
      <c r="AC13317"/>
      <c r="AR13317"/>
    </row>
    <row r="13318" spans="24:44">
      <c r="X13318"/>
      <c r="Y13318"/>
      <c r="Z13318"/>
      <c r="AA13318"/>
      <c r="AC13318"/>
      <c r="AR13318"/>
    </row>
    <row r="13319" spans="24:44">
      <c r="X13319"/>
      <c r="Y13319"/>
      <c r="Z13319"/>
      <c r="AA13319"/>
      <c r="AC13319"/>
      <c r="AR13319"/>
    </row>
    <row r="13320" spans="24:44">
      <c r="X13320"/>
      <c r="Y13320"/>
      <c r="Z13320"/>
      <c r="AA13320"/>
      <c r="AC13320"/>
      <c r="AR13320"/>
    </row>
    <row r="13321" spans="24:44">
      <c r="X13321"/>
      <c r="Y13321"/>
      <c r="Z13321"/>
      <c r="AA13321"/>
      <c r="AC13321"/>
      <c r="AR13321"/>
    </row>
    <row r="13322" spans="24:44">
      <c r="X13322"/>
      <c r="Y13322"/>
      <c r="Z13322"/>
      <c r="AA13322"/>
      <c r="AC13322"/>
      <c r="AR13322"/>
    </row>
    <row r="13323" spans="24:44">
      <c r="X13323"/>
      <c r="Y13323"/>
      <c r="Z13323"/>
      <c r="AA13323"/>
      <c r="AC13323"/>
      <c r="AR13323"/>
    </row>
    <row r="13324" spans="24:44">
      <c r="X13324"/>
      <c r="Y13324"/>
      <c r="Z13324"/>
      <c r="AA13324"/>
      <c r="AC13324"/>
      <c r="AR13324"/>
    </row>
    <row r="13325" spans="24:44">
      <c r="X13325"/>
      <c r="Y13325"/>
      <c r="Z13325"/>
      <c r="AA13325"/>
      <c r="AC13325"/>
      <c r="AR13325"/>
    </row>
    <row r="13326" spans="24:44">
      <c r="X13326"/>
      <c r="Y13326"/>
      <c r="Z13326"/>
      <c r="AA13326"/>
      <c r="AC13326"/>
      <c r="AR13326"/>
    </row>
    <row r="13327" spans="24:44">
      <c r="X13327"/>
      <c r="Y13327"/>
      <c r="Z13327"/>
      <c r="AA13327"/>
      <c r="AC13327"/>
      <c r="AR13327"/>
    </row>
    <row r="13328" spans="24:44">
      <c r="X13328"/>
      <c r="Y13328"/>
      <c r="Z13328"/>
      <c r="AA13328"/>
      <c r="AC13328"/>
      <c r="AR13328"/>
    </row>
    <row r="13329" spans="24:44">
      <c r="X13329"/>
      <c r="Y13329"/>
      <c r="Z13329"/>
      <c r="AA13329"/>
      <c r="AC13329"/>
      <c r="AR13329"/>
    </row>
    <row r="13330" spans="24:44">
      <c r="X13330"/>
      <c r="Y13330"/>
      <c r="Z13330"/>
      <c r="AA13330"/>
      <c r="AC13330"/>
      <c r="AR13330"/>
    </row>
    <row r="13331" spans="24:44">
      <c r="X13331"/>
      <c r="Y13331"/>
      <c r="Z13331"/>
      <c r="AA13331"/>
      <c r="AC13331"/>
      <c r="AR13331"/>
    </row>
    <row r="13332" spans="24:44">
      <c r="X13332"/>
      <c r="Y13332"/>
      <c r="Z13332"/>
      <c r="AA13332"/>
      <c r="AC13332"/>
      <c r="AR13332"/>
    </row>
    <row r="13333" spans="24:44">
      <c r="X13333"/>
      <c r="Y13333"/>
      <c r="Z13333"/>
      <c r="AA13333"/>
      <c r="AC13333"/>
      <c r="AR13333"/>
    </row>
    <row r="13334" spans="24:44">
      <c r="X13334"/>
      <c r="Y13334"/>
      <c r="Z13334"/>
      <c r="AA13334"/>
      <c r="AC13334"/>
      <c r="AR13334"/>
    </row>
    <row r="13335" spans="24:44">
      <c r="X13335"/>
      <c r="Y13335"/>
      <c r="Z13335"/>
      <c r="AA13335"/>
      <c r="AC13335"/>
      <c r="AR13335"/>
    </row>
    <row r="13336" spans="24:44">
      <c r="X13336"/>
      <c r="Y13336"/>
      <c r="Z13336"/>
      <c r="AA13336"/>
      <c r="AC13336"/>
      <c r="AR13336"/>
    </row>
    <row r="13337" spans="24:44">
      <c r="X13337"/>
      <c r="Y13337"/>
      <c r="Z13337"/>
      <c r="AA13337"/>
      <c r="AC13337"/>
      <c r="AR13337"/>
    </row>
    <row r="13338" spans="24:44">
      <c r="X13338"/>
      <c r="Y13338"/>
      <c r="Z13338"/>
      <c r="AA13338"/>
      <c r="AC13338"/>
      <c r="AR13338"/>
    </row>
    <row r="13339" spans="24:44">
      <c r="X13339"/>
      <c r="Y13339"/>
      <c r="Z13339"/>
      <c r="AA13339"/>
      <c r="AC13339"/>
      <c r="AR13339"/>
    </row>
    <row r="13340" spans="24:44">
      <c r="X13340"/>
      <c r="Y13340"/>
      <c r="Z13340"/>
      <c r="AA13340"/>
      <c r="AC13340"/>
      <c r="AR13340"/>
    </row>
    <row r="13341" spans="24:44">
      <c r="X13341"/>
      <c r="Y13341"/>
      <c r="Z13341"/>
      <c r="AA13341"/>
      <c r="AC13341"/>
      <c r="AR13341"/>
    </row>
    <row r="13342" spans="24:44">
      <c r="X13342"/>
      <c r="Y13342"/>
      <c r="Z13342"/>
      <c r="AA13342"/>
      <c r="AC13342"/>
      <c r="AR13342"/>
    </row>
    <row r="13343" spans="24:44">
      <c r="X13343"/>
      <c r="Y13343"/>
      <c r="Z13343"/>
      <c r="AA13343"/>
      <c r="AC13343"/>
      <c r="AR13343"/>
    </row>
    <row r="13344" spans="24:44">
      <c r="X13344"/>
      <c r="Y13344"/>
      <c r="Z13344"/>
      <c r="AA13344"/>
      <c r="AC13344"/>
      <c r="AR13344"/>
    </row>
    <row r="13345" spans="24:44">
      <c r="X13345"/>
      <c r="Y13345"/>
      <c r="Z13345"/>
      <c r="AA13345"/>
      <c r="AC13345"/>
      <c r="AR13345"/>
    </row>
    <row r="13346" spans="24:44">
      <c r="X13346"/>
      <c r="Y13346"/>
      <c r="Z13346"/>
      <c r="AA13346"/>
      <c r="AC13346"/>
      <c r="AR13346"/>
    </row>
    <row r="13347" spans="24:44">
      <c r="X13347"/>
      <c r="Y13347"/>
      <c r="Z13347"/>
      <c r="AA13347"/>
      <c r="AC13347"/>
      <c r="AR13347"/>
    </row>
    <row r="13348" spans="24:44">
      <c r="X13348"/>
      <c r="Y13348"/>
      <c r="Z13348"/>
      <c r="AA13348"/>
      <c r="AC13348"/>
      <c r="AR13348"/>
    </row>
    <row r="13349" spans="24:44">
      <c r="X13349"/>
      <c r="Y13349"/>
      <c r="Z13349"/>
      <c r="AA13349"/>
      <c r="AC13349"/>
      <c r="AR13349"/>
    </row>
    <row r="13350" spans="24:44">
      <c r="X13350"/>
      <c r="Y13350"/>
      <c r="Z13350"/>
      <c r="AA13350"/>
      <c r="AC13350"/>
      <c r="AR13350"/>
    </row>
    <row r="13351" spans="24:44">
      <c r="X13351"/>
      <c r="Y13351"/>
      <c r="Z13351"/>
      <c r="AA13351"/>
      <c r="AC13351"/>
      <c r="AR13351"/>
    </row>
    <row r="13352" spans="24:44">
      <c r="X13352"/>
      <c r="Y13352"/>
      <c r="Z13352"/>
      <c r="AA13352"/>
      <c r="AC13352"/>
      <c r="AR13352"/>
    </row>
    <row r="13353" spans="24:44">
      <c r="X13353"/>
      <c r="Y13353"/>
      <c r="Z13353"/>
      <c r="AA13353"/>
      <c r="AC13353"/>
      <c r="AR13353"/>
    </row>
    <row r="13354" spans="24:44">
      <c r="X13354"/>
      <c r="Y13354"/>
      <c r="Z13354"/>
      <c r="AA13354"/>
      <c r="AC13354"/>
      <c r="AR13354"/>
    </row>
    <row r="13355" spans="24:44">
      <c r="X13355"/>
      <c r="Y13355"/>
      <c r="Z13355"/>
      <c r="AA13355"/>
      <c r="AC13355"/>
      <c r="AR13355"/>
    </row>
    <row r="13356" spans="24:44">
      <c r="X13356"/>
      <c r="Y13356"/>
      <c r="Z13356"/>
      <c r="AA13356"/>
      <c r="AC13356"/>
      <c r="AR13356"/>
    </row>
    <row r="13357" spans="24:44">
      <c r="X13357"/>
      <c r="Y13357"/>
      <c r="Z13357"/>
      <c r="AA13357"/>
      <c r="AC13357"/>
      <c r="AR13357"/>
    </row>
    <row r="13358" spans="24:44">
      <c r="X13358"/>
      <c r="Y13358"/>
      <c r="Z13358"/>
      <c r="AA13358"/>
      <c r="AC13358"/>
      <c r="AR13358"/>
    </row>
    <row r="13359" spans="24:44">
      <c r="X13359"/>
      <c r="Y13359"/>
      <c r="Z13359"/>
      <c r="AA13359"/>
      <c r="AC13359"/>
      <c r="AR13359"/>
    </row>
    <row r="13360" spans="24:44">
      <c r="X13360"/>
      <c r="Y13360"/>
      <c r="Z13360"/>
      <c r="AA13360"/>
      <c r="AC13360"/>
      <c r="AR13360"/>
    </row>
    <row r="13361" spans="24:44">
      <c r="X13361"/>
      <c r="Y13361"/>
      <c r="Z13361"/>
      <c r="AA13361"/>
      <c r="AC13361"/>
      <c r="AR13361"/>
    </row>
    <row r="13362" spans="24:44">
      <c r="X13362"/>
      <c r="Y13362"/>
      <c r="Z13362"/>
      <c r="AA13362"/>
      <c r="AC13362"/>
      <c r="AR13362"/>
    </row>
    <row r="13363" spans="24:44">
      <c r="X13363"/>
      <c r="Y13363"/>
      <c r="Z13363"/>
      <c r="AA13363"/>
      <c r="AC13363"/>
      <c r="AR13363"/>
    </row>
    <row r="13364" spans="24:44">
      <c r="X13364"/>
      <c r="Y13364"/>
      <c r="Z13364"/>
      <c r="AA13364"/>
      <c r="AC13364"/>
      <c r="AR13364"/>
    </row>
    <row r="13365" spans="24:44">
      <c r="X13365"/>
      <c r="Y13365"/>
      <c r="Z13365"/>
      <c r="AA13365"/>
      <c r="AC13365"/>
      <c r="AR13365"/>
    </row>
    <row r="13366" spans="24:44">
      <c r="X13366"/>
      <c r="Y13366"/>
      <c r="Z13366"/>
      <c r="AA13366"/>
      <c r="AC13366"/>
      <c r="AR13366"/>
    </row>
    <row r="13367" spans="24:44">
      <c r="X13367"/>
      <c r="Y13367"/>
      <c r="Z13367"/>
      <c r="AA13367"/>
      <c r="AC13367"/>
      <c r="AR13367"/>
    </row>
    <row r="13368" spans="24:44">
      <c r="X13368"/>
      <c r="Y13368"/>
      <c r="Z13368"/>
      <c r="AA13368"/>
      <c r="AC13368"/>
      <c r="AR13368"/>
    </row>
    <row r="13369" spans="24:44">
      <c r="X13369"/>
      <c r="Y13369"/>
      <c r="Z13369"/>
      <c r="AA13369"/>
      <c r="AC13369"/>
      <c r="AR13369"/>
    </row>
    <row r="13370" spans="24:44">
      <c r="X13370"/>
      <c r="Y13370"/>
      <c r="Z13370"/>
      <c r="AA13370"/>
      <c r="AC13370"/>
      <c r="AR13370"/>
    </row>
    <row r="13371" spans="24:44">
      <c r="X13371"/>
      <c r="Y13371"/>
      <c r="Z13371"/>
      <c r="AA13371"/>
      <c r="AC13371"/>
      <c r="AR13371"/>
    </row>
    <row r="13372" spans="24:44">
      <c r="X13372"/>
      <c r="Y13372"/>
      <c r="Z13372"/>
      <c r="AA13372"/>
      <c r="AC13372"/>
      <c r="AR13372"/>
    </row>
    <row r="13373" spans="24:44">
      <c r="X13373"/>
      <c r="Y13373"/>
      <c r="Z13373"/>
      <c r="AA13373"/>
      <c r="AC13373"/>
      <c r="AR13373"/>
    </row>
    <row r="13374" spans="24:44">
      <c r="X13374"/>
      <c r="Y13374"/>
      <c r="Z13374"/>
      <c r="AA13374"/>
      <c r="AC13374"/>
      <c r="AR13374"/>
    </row>
    <row r="13375" spans="24:44">
      <c r="X13375"/>
      <c r="Y13375"/>
      <c r="Z13375"/>
      <c r="AA13375"/>
      <c r="AC13375"/>
      <c r="AR13375"/>
    </row>
    <row r="13376" spans="24:44">
      <c r="X13376"/>
      <c r="Y13376"/>
      <c r="Z13376"/>
      <c r="AA13376"/>
      <c r="AC13376"/>
      <c r="AR13376"/>
    </row>
    <row r="13377" spans="24:44">
      <c r="X13377"/>
      <c r="Y13377"/>
      <c r="Z13377"/>
      <c r="AA13377"/>
      <c r="AC13377"/>
      <c r="AR13377"/>
    </row>
    <row r="13378" spans="24:44">
      <c r="X13378"/>
      <c r="Y13378"/>
      <c r="Z13378"/>
      <c r="AA13378"/>
      <c r="AC13378"/>
      <c r="AR13378"/>
    </row>
    <row r="13379" spans="24:44">
      <c r="X13379"/>
      <c r="Y13379"/>
      <c r="Z13379"/>
      <c r="AA13379"/>
      <c r="AC13379"/>
      <c r="AR13379"/>
    </row>
    <row r="13380" spans="24:44">
      <c r="X13380"/>
      <c r="Y13380"/>
      <c r="Z13380"/>
      <c r="AA13380"/>
      <c r="AC13380"/>
      <c r="AR13380"/>
    </row>
    <row r="13381" spans="24:44">
      <c r="X13381"/>
      <c r="Y13381"/>
      <c r="Z13381"/>
      <c r="AA13381"/>
      <c r="AC13381"/>
      <c r="AR13381"/>
    </row>
    <row r="13382" spans="24:44">
      <c r="X13382"/>
      <c r="Y13382"/>
      <c r="Z13382"/>
      <c r="AA13382"/>
      <c r="AC13382"/>
      <c r="AR13382"/>
    </row>
    <row r="13383" spans="24:44">
      <c r="X13383"/>
      <c r="Y13383"/>
      <c r="Z13383"/>
      <c r="AA13383"/>
      <c r="AC13383"/>
      <c r="AR13383"/>
    </row>
    <row r="13384" spans="24:44">
      <c r="X13384"/>
      <c r="Y13384"/>
      <c r="Z13384"/>
      <c r="AA13384"/>
      <c r="AC13384"/>
      <c r="AR13384"/>
    </row>
    <row r="13385" spans="24:44">
      <c r="X13385"/>
      <c r="Y13385"/>
      <c r="Z13385"/>
      <c r="AA13385"/>
      <c r="AC13385"/>
      <c r="AR13385"/>
    </row>
    <row r="13386" spans="24:44">
      <c r="X13386"/>
      <c r="Y13386"/>
      <c r="Z13386"/>
      <c r="AA13386"/>
      <c r="AC13386"/>
      <c r="AR13386"/>
    </row>
    <row r="13387" spans="24:44">
      <c r="X13387"/>
      <c r="Y13387"/>
      <c r="Z13387"/>
      <c r="AA13387"/>
      <c r="AC13387"/>
      <c r="AR13387"/>
    </row>
    <row r="13388" spans="24:44">
      <c r="X13388"/>
      <c r="Y13388"/>
      <c r="Z13388"/>
      <c r="AA13388"/>
      <c r="AC13388"/>
      <c r="AR13388"/>
    </row>
    <row r="13389" spans="24:44">
      <c r="X13389"/>
      <c r="Y13389"/>
      <c r="Z13389"/>
      <c r="AA13389"/>
      <c r="AC13389"/>
      <c r="AR13389"/>
    </row>
    <row r="13390" spans="24:44">
      <c r="X13390"/>
      <c r="Y13390"/>
      <c r="Z13390"/>
      <c r="AA13390"/>
      <c r="AC13390"/>
      <c r="AR13390"/>
    </row>
    <row r="13391" spans="24:44">
      <c r="X13391"/>
      <c r="Y13391"/>
      <c r="Z13391"/>
      <c r="AA13391"/>
      <c r="AC13391"/>
      <c r="AR13391"/>
    </row>
    <row r="13392" spans="24:44">
      <c r="X13392"/>
      <c r="Y13392"/>
      <c r="Z13392"/>
      <c r="AA13392"/>
      <c r="AC13392"/>
      <c r="AR13392"/>
    </row>
    <row r="13393" spans="24:44">
      <c r="X13393"/>
      <c r="Y13393"/>
      <c r="Z13393"/>
      <c r="AA13393"/>
      <c r="AC13393"/>
      <c r="AR13393"/>
    </row>
    <row r="13394" spans="24:44">
      <c r="X13394"/>
      <c r="Y13394"/>
      <c r="Z13394"/>
      <c r="AA13394"/>
      <c r="AC13394"/>
      <c r="AR13394"/>
    </row>
    <row r="13395" spans="24:44">
      <c r="X13395"/>
      <c r="Y13395"/>
      <c r="Z13395"/>
      <c r="AA13395"/>
      <c r="AC13395"/>
      <c r="AR13395"/>
    </row>
    <row r="13396" spans="24:44">
      <c r="X13396"/>
      <c r="Y13396"/>
      <c r="Z13396"/>
      <c r="AA13396"/>
      <c r="AC13396"/>
      <c r="AR13396"/>
    </row>
    <row r="13397" spans="24:44">
      <c r="X13397"/>
      <c r="Y13397"/>
      <c r="Z13397"/>
      <c r="AA13397"/>
      <c r="AC13397"/>
      <c r="AR13397"/>
    </row>
    <row r="13398" spans="24:44">
      <c r="X13398"/>
      <c r="Y13398"/>
      <c r="Z13398"/>
      <c r="AA13398"/>
      <c r="AC13398"/>
      <c r="AR13398"/>
    </row>
    <row r="13399" spans="24:44">
      <c r="X13399"/>
      <c r="Y13399"/>
      <c r="Z13399"/>
      <c r="AA13399"/>
      <c r="AC13399"/>
      <c r="AR13399"/>
    </row>
    <row r="13400" spans="24:44">
      <c r="X13400"/>
      <c r="Y13400"/>
      <c r="Z13400"/>
      <c r="AA13400"/>
      <c r="AC13400"/>
      <c r="AR13400"/>
    </row>
    <row r="13401" spans="24:44">
      <c r="X13401"/>
      <c r="Y13401"/>
      <c r="Z13401"/>
      <c r="AA13401"/>
      <c r="AC13401"/>
      <c r="AR13401"/>
    </row>
    <row r="13402" spans="24:44">
      <c r="X13402"/>
      <c r="Y13402"/>
      <c r="Z13402"/>
      <c r="AA13402"/>
      <c r="AC13402"/>
      <c r="AR13402"/>
    </row>
    <row r="13403" spans="24:44">
      <c r="X13403"/>
      <c r="Y13403"/>
      <c r="Z13403"/>
      <c r="AA13403"/>
      <c r="AC13403"/>
      <c r="AR13403"/>
    </row>
    <row r="13404" spans="24:44">
      <c r="X13404"/>
      <c r="Y13404"/>
      <c r="Z13404"/>
      <c r="AA13404"/>
      <c r="AC13404"/>
      <c r="AR13404"/>
    </row>
    <row r="13405" spans="24:44">
      <c r="X13405"/>
      <c r="Y13405"/>
      <c r="Z13405"/>
      <c r="AA13405"/>
      <c r="AC13405"/>
      <c r="AR13405"/>
    </row>
    <row r="13406" spans="24:44">
      <c r="X13406"/>
      <c r="Y13406"/>
      <c r="Z13406"/>
      <c r="AA13406"/>
      <c r="AC13406"/>
      <c r="AR13406"/>
    </row>
    <row r="13407" spans="24:44">
      <c r="X13407"/>
      <c r="Y13407"/>
      <c r="Z13407"/>
      <c r="AA13407"/>
      <c r="AC13407"/>
      <c r="AR13407"/>
    </row>
    <row r="13408" spans="24:44">
      <c r="X13408"/>
      <c r="Y13408"/>
      <c r="Z13408"/>
      <c r="AA13408"/>
      <c r="AC13408"/>
      <c r="AR13408"/>
    </row>
    <row r="13409" spans="24:44">
      <c r="X13409"/>
      <c r="Y13409"/>
      <c r="Z13409"/>
      <c r="AA13409"/>
      <c r="AC13409"/>
      <c r="AR13409"/>
    </row>
    <row r="13410" spans="24:44">
      <c r="X13410"/>
      <c r="Y13410"/>
      <c r="Z13410"/>
      <c r="AA13410"/>
      <c r="AC13410"/>
      <c r="AR13410"/>
    </row>
    <row r="13411" spans="24:44">
      <c r="X13411"/>
      <c r="Y13411"/>
      <c r="Z13411"/>
      <c r="AA13411"/>
      <c r="AC13411"/>
      <c r="AR13411"/>
    </row>
    <row r="13412" spans="24:44">
      <c r="X13412"/>
      <c r="Y13412"/>
      <c r="Z13412"/>
      <c r="AA13412"/>
      <c r="AC13412"/>
      <c r="AR13412"/>
    </row>
    <row r="13413" spans="24:44">
      <c r="X13413"/>
      <c r="Y13413"/>
      <c r="Z13413"/>
      <c r="AA13413"/>
      <c r="AC13413"/>
      <c r="AR13413"/>
    </row>
    <row r="13414" spans="24:44">
      <c r="X13414"/>
      <c r="Y13414"/>
      <c r="Z13414"/>
      <c r="AA13414"/>
      <c r="AC13414"/>
      <c r="AR13414"/>
    </row>
    <row r="13415" spans="24:44">
      <c r="X13415"/>
      <c r="Y13415"/>
      <c r="Z13415"/>
      <c r="AA13415"/>
      <c r="AC13415"/>
      <c r="AR13415"/>
    </row>
    <row r="13416" spans="24:44">
      <c r="X13416"/>
      <c r="Y13416"/>
      <c r="Z13416"/>
      <c r="AA13416"/>
      <c r="AC13416"/>
      <c r="AR13416"/>
    </row>
    <row r="13417" spans="24:44">
      <c r="X13417"/>
      <c r="Y13417"/>
      <c r="Z13417"/>
      <c r="AA13417"/>
      <c r="AC13417"/>
      <c r="AR13417"/>
    </row>
    <row r="13418" spans="24:44">
      <c r="X13418"/>
      <c r="Y13418"/>
      <c r="Z13418"/>
      <c r="AA13418"/>
      <c r="AC13418"/>
      <c r="AR13418"/>
    </row>
    <row r="13419" spans="24:44">
      <c r="X13419"/>
      <c r="Y13419"/>
      <c r="Z13419"/>
      <c r="AA13419"/>
      <c r="AC13419"/>
      <c r="AR13419"/>
    </row>
    <row r="13420" spans="24:44">
      <c r="X13420"/>
      <c r="Y13420"/>
      <c r="Z13420"/>
      <c r="AA13420"/>
      <c r="AC13420"/>
      <c r="AR13420"/>
    </row>
    <row r="13421" spans="24:44">
      <c r="X13421"/>
      <c r="Y13421"/>
      <c r="Z13421"/>
      <c r="AA13421"/>
      <c r="AC13421"/>
      <c r="AR13421"/>
    </row>
    <row r="13422" spans="24:44">
      <c r="X13422"/>
      <c r="Y13422"/>
      <c r="Z13422"/>
      <c r="AA13422"/>
      <c r="AC13422"/>
      <c r="AR13422"/>
    </row>
    <row r="13423" spans="24:44">
      <c r="X13423"/>
      <c r="Y13423"/>
      <c r="Z13423"/>
      <c r="AA13423"/>
      <c r="AC13423"/>
      <c r="AR13423"/>
    </row>
    <row r="13424" spans="24:44">
      <c r="X13424"/>
      <c r="Y13424"/>
      <c r="Z13424"/>
      <c r="AA13424"/>
      <c r="AC13424"/>
      <c r="AR13424"/>
    </row>
    <row r="13425" spans="24:44">
      <c r="X13425"/>
      <c r="Y13425"/>
      <c r="Z13425"/>
      <c r="AA13425"/>
      <c r="AC13425"/>
      <c r="AR13425"/>
    </row>
    <row r="13426" spans="24:44">
      <c r="X13426"/>
      <c r="Y13426"/>
      <c r="Z13426"/>
      <c r="AA13426"/>
      <c r="AC13426"/>
      <c r="AR13426"/>
    </row>
    <row r="13427" spans="24:44">
      <c r="X13427"/>
      <c r="Y13427"/>
      <c r="Z13427"/>
      <c r="AA13427"/>
      <c r="AC13427"/>
      <c r="AR13427"/>
    </row>
    <row r="13428" spans="24:44">
      <c r="X13428"/>
      <c r="Y13428"/>
      <c r="Z13428"/>
      <c r="AA13428"/>
      <c r="AC13428"/>
      <c r="AR13428"/>
    </row>
    <row r="13429" spans="24:44">
      <c r="X13429"/>
      <c r="Y13429"/>
      <c r="Z13429"/>
      <c r="AA13429"/>
      <c r="AC13429"/>
      <c r="AR13429"/>
    </row>
    <row r="13430" spans="24:44">
      <c r="X13430"/>
      <c r="Y13430"/>
      <c r="Z13430"/>
      <c r="AA13430"/>
      <c r="AC13430"/>
      <c r="AR13430"/>
    </row>
    <row r="13431" spans="24:44">
      <c r="X13431"/>
      <c r="Y13431"/>
      <c r="Z13431"/>
      <c r="AA13431"/>
      <c r="AC13431"/>
      <c r="AR13431"/>
    </row>
    <row r="13432" spans="24:44">
      <c r="X13432"/>
      <c r="Y13432"/>
      <c r="Z13432"/>
      <c r="AA13432"/>
      <c r="AC13432"/>
      <c r="AR13432"/>
    </row>
    <row r="13433" spans="24:44">
      <c r="X13433"/>
      <c r="Y13433"/>
      <c r="Z13433"/>
      <c r="AA13433"/>
      <c r="AC13433"/>
      <c r="AR13433"/>
    </row>
    <row r="13434" spans="24:44">
      <c r="X13434"/>
      <c r="Y13434"/>
      <c r="Z13434"/>
      <c r="AA13434"/>
      <c r="AC13434"/>
      <c r="AR13434"/>
    </row>
    <row r="13435" spans="24:44">
      <c r="X13435"/>
      <c r="Y13435"/>
      <c r="Z13435"/>
      <c r="AA13435"/>
      <c r="AC13435"/>
      <c r="AR13435"/>
    </row>
    <row r="13436" spans="24:44">
      <c r="X13436"/>
      <c r="Y13436"/>
      <c r="Z13436"/>
      <c r="AA13436"/>
      <c r="AC13436"/>
      <c r="AR13436"/>
    </row>
    <row r="13437" spans="24:44">
      <c r="X13437"/>
      <c r="Y13437"/>
      <c r="Z13437"/>
      <c r="AA13437"/>
      <c r="AC13437"/>
      <c r="AR13437"/>
    </row>
    <row r="13438" spans="24:44">
      <c r="X13438"/>
      <c r="Y13438"/>
      <c r="Z13438"/>
      <c r="AA13438"/>
      <c r="AC13438"/>
      <c r="AR13438"/>
    </row>
    <row r="13439" spans="24:44">
      <c r="X13439"/>
      <c r="Y13439"/>
      <c r="Z13439"/>
      <c r="AA13439"/>
      <c r="AC13439"/>
      <c r="AR13439"/>
    </row>
    <row r="13440" spans="24:44">
      <c r="X13440"/>
      <c r="Y13440"/>
      <c r="Z13440"/>
      <c r="AA13440"/>
      <c r="AC13440"/>
      <c r="AR13440"/>
    </row>
    <row r="13441" spans="24:44">
      <c r="X13441"/>
      <c r="Y13441"/>
      <c r="Z13441"/>
      <c r="AA13441"/>
      <c r="AC13441"/>
      <c r="AR13441"/>
    </row>
    <row r="13442" spans="24:44">
      <c r="X13442"/>
      <c r="Y13442"/>
      <c r="Z13442"/>
      <c r="AA13442"/>
      <c r="AC13442"/>
      <c r="AR13442"/>
    </row>
    <row r="13443" spans="24:44">
      <c r="X13443"/>
      <c r="Y13443"/>
      <c r="Z13443"/>
      <c r="AA13443"/>
      <c r="AC13443"/>
      <c r="AR13443"/>
    </row>
    <row r="13444" spans="24:44">
      <c r="X13444"/>
      <c r="Y13444"/>
      <c r="Z13444"/>
      <c r="AA13444"/>
      <c r="AC13444"/>
      <c r="AR13444"/>
    </row>
    <row r="13445" spans="24:44">
      <c r="X13445"/>
      <c r="Y13445"/>
      <c r="Z13445"/>
      <c r="AA13445"/>
      <c r="AC13445"/>
      <c r="AR13445"/>
    </row>
    <row r="13446" spans="24:44">
      <c r="X13446"/>
      <c r="Y13446"/>
      <c r="Z13446"/>
      <c r="AA13446"/>
      <c r="AC13446"/>
      <c r="AR13446"/>
    </row>
    <row r="13447" spans="24:44">
      <c r="X13447"/>
      <c r="Y13447"/>
      <c r="Z13447"/>
      <c r="AA13447"/>
      <c r="AC13447"/>
      <c r="AR13447"/>
    </row>
    <row r="13448" spans="24:44">
      <c r="X13448"/>
      <c r="Y13448"/>
      <c r="Z13448"/>
      <c r="AA13448"/>
      <c r="AC13448"/>
      <c r="AR13448"/>
    </row>
    <row r="13449" spans="24:44">
      <c r="X13449"/>
      <c r="Y13449"/>
      <c r="Z13449"/>
      <c r="AA13449"/>
      <c r="AC13449"/>
      <c r="AR13449"/>
    </row>
    <row r="13450" spans="24:44">
      <c r="X13450"/>
      <c r="Y13450"/>
      <c r="Z13450"/>
      <c r="AA13450"/>
      <c r="AC13450"/>
      <c r="AR13450"/>
    </row>
    <row r="13451" spans="24:44">
      <c r="X13451"/>
      <c r="Y13451"/>
      <c r="Z13451"/>
      <c r="AA13451"/>
      <c r="AC13451"/>
      <c r="AR13451"/>
    </row>
    <row r="13452" spans="24:44">
      <c r="X13452"/>
      <c r="Y13452"/>
      <c r="Z13452"/>
      <c r="AA13452"/>
      <c r="AC13452"/>
      <c r="AR13452"/>
    </row>
    <row r="13453" spans="24:44">
      <c r="X13453"/>
      <c r="Y13453"/>
      <c r="Z13453"/>
      <c r="AA13453"/>
      <c r="AC13453"/>
      <c r="AR13453"/>
    </row>
    <row r="13454" spans="24:44">
      <c r="X13454"/>
      <c r="Y13454"/>
      <c r="Z13454"/>
      <c r="AA13454"/>
      <c r="AC13454"/>
      <c r="AR13454"/>
    </row>
    <row r="13455" spans="24:44">
      <c r="X13455"/>
      <c r="Y13455"/>
      <c r="Z13455"/>
      <c r="AA13455"/>
      <c r="AC13455"/>
      <c r="AR13455"/>
    </row>
    <row r="13456" spans="24:44">
      <c r="X13456"/>
      <c r="Y13456"/>
      <c r="Z13456"/>
      <c r="AA13456"/>
      <c r="AC13456"/>
      <c r="AR13456"/>
    </row>
    <row r="13457" spans="24:44">
      <c r="X13457"/>
      <c r="Y13457"/>
      <c r="Z13457"/>
      <c r="AA13457"/>
      <c r="AC13457"/>
      <c r="AR13457"/>
    </row>
    <row r="13458" spans="24:44">
      <c r="X13458"/>
      <c r="Y13458"/>
      <c r="Z13458"/>
      <c r="AA13458"/>
      <c r="AC13458"/>
      <c r="AR13458"/>
    </row>
    <row r="13459" spans="24:44">
      <c r="X13459"/>
      <c r="Y13459"/>
      <c r="Z13459"/>
      <c r="AA13459"/>
      <c r="AC13459"/>
      <c r="AR13459"/>
    </row>
    <row r="13460" spans="24:44">
      <c r="X13460"/>
      <c r="Y13460"/>
      <c r="Z13460"/>
      <c r="AA13460"/>
      <c r="AC13460"/>
      <c r="AR13460"/>
    </row>
    <row r="13461" spans="24:44">
      <c r="X13461"/>
      <c r="Y13461"/>
      <c r="Z13461"/>
      <c r="AA13461"/>
      <c r="AC13461"/>
      <c r="AR13461"/>
    </row>
    <row r="13462" spans="24:44">
      <c r="X13462"/>
      <c r="Y13462"/>
      <c r="Z13462"/>
      <c r="AA13462"/>
      <c r="AC13462"/>
      <c r="AR13462"/>
    </row>
    <row r="13463" spans="24:44">
      <c r="X13463"/>
      <c r="Y13463"/>
      <c r="Z13463"/>
      <c r="AA13463"/>
      <c r="AC13463"/>
      <c r="AR13463"/>
    </row>
    <row r="13464" spans="24:44">
      <c r="X13464"/>
      <c r="Y13464"/>
      <c r="Z13464"/>
      <c r="AA13464"/>
      <c r="AC13464"/>
      <c r="AR13464"/>
    </row>
    <row r="13465" spans="24:44">
      <c r="X13465"/>
      <c r="Y13465"/>
      <c r="Z13465"/>
      <c r="AA13465"/>
      <c r="AC13465"/>
      <c r="AR13465"/>
    </row>
    <row r="13466" spans="24:44">
      <c r="X13466"/>
      <c r="Y13466"/>
      <c r="Z13466"/>
      <c r="AA13466"/>
      <c r="AC13466"/>
      <c r="AR13466"/>
    </row>
    <row r="13467" spans="24:44">
      <c r="X13467"/>
      <c r="Y13467"/>
      <c r="Z13467"/>
      <c r="AA13467"/>
      <c r="AC13467"/>
      <c r="AR13467"/>
    </row>
    <row r="13468" spans="24:44">
      <c r="X13468"/>
      <c r="Y13468"/>
      <c r="Z13468"/>
      <c r="AA13468"/>
      <c r="AC13468"/>
      <c r="AR13468"/>
    </row>
    <row r="13469" spans="24:44">
      <c r="X13469"/>
      <c r="Y13469"/>
      <c r="Z13469"/>
      <c r="AA13469"/>
      <c r="AC13469"/>
      <c r="AR13469"/>
    </row>
    <row r="13470" spans="24:44">
      <c r="X13470"/>
      <c r="Y13470"/>
      <c r="Z13470"/>
      <c r="AA13470"/>
      <c r="AC13470"/>
      <c r="AR13470"/>
    </row>
    <row r="13471" spans="24:44">
      <c r="X13471"/>
      <c r="Y13471"/>
      <c r="Z13471"/>
      <c r="AA13471"/>
      <c r="AC13471"/>
      <c r="AR13471"/>
    </row>
    <row r="13472" spans="24:44">
      <c r="X13472"/>
      <c r="Y13472"/>
      <c r="Z13472"/>
      <c r="AA13472"/>
      <c r="AC13472"/>
      <c r="AR13472"/>
    </row>
    <row r="13473" spans="24:44">
      <c r="X13473"/>
      <c r="Y13473"/>
      <c r="Z13473"/>
      <c r="AA13473"/>
      <c r="AC13473"/>
      <c r="AR13473"/>
    </row>
    <row r="13474" spans="24:44">
      <c r="X13474"/>
      <c r="Y13474"/>
      <c r="Z13474"/>
      <c r="AA13474"/>
      <c r="AC13474"/>
      <c r="AR13474"/>
    </row>
    <row r="13475" spans="24:44">
      <c r="X13475"/>
      <c r="Y13475"/>
      <c r="Z13475"/>
      <c r="AA13475"/>
      <c r="AC13475"/>
      <c r="AR13475"/>
    </row>
    <row r="13476" spans="24:44">
      <c r="X13476"/>
      <c r="Y13476"/>
      <c r="Z13476"/>
      <c r="AA13476"/>
      <c r="AC13476"/>
      <c r="AR13476"/>
    </row>
    <row r="13477" spans="24:44">
      <c r="X13477"/>
      <c r="Y13477"/>
      <c r="Z13477"/>
      <c r="AA13477"/>
      <c r="AC13477"/>
      <c r="AR13477"/>
    </row>
    <row r="13478" spans="24:44">
      <c r="X13478"/>
      <c r="Y13478"/>
      <c r="Z13478"/>
      <c r="AA13478"/>
      <c r="AC13478"/>
      <c r="AR13478"/>
    </row>
    <row r="13479" spans="24:44">
      <c r="X13479"/>
      <c r="Y13479"/>
      <c r="Z13479"/>
      <c r="AA13479"/>
      <c r="AC13479"/>
      <c r="AR13479"/>
    </row>
    <row r="13480" spans="24:44">
      <c r="X13480"/>
      <c r="Y13480"/>
      <c r="Z13480"/>
      <c r="AA13480"/>
      <c r="AC13480"/>
      <c r="AR13480"/>
    </row>
    <row r="13481" spans="24:44">
      <c r="X13481"/>
      <c r="Y13481"/>
      <c r="Z13481"/>
      <c r="AA13481"/>
      <c r="AC13481"/>
      <c r="AR13481"/>
    </row>
    <row r="13482" spans="24:44">
      <c r="X13482"/>
      <c r="Y13482"/>
      <c r="Z13482"/>
      <c r="AA13482"/>
      <c r="AC13482"/>
      <c r="AR13482"/>
    </row>
    <row r="13483" spans="24:44">
      <c r="X13483"/>
      <c r="Y13483"/>
      <c r="Z13483"/>
      <c r="AA13483"/>
      <c r="AC13483"/>
      <c r="AR13483"/>
    </row>
    <row r="13484" spans="24:44">
      <c r="X13484"/>
      <c r="Y13484"/>
      <c r="Z13484"/>
      <c r="AA13484"/>
      <c r="AC13484"/>
      <c r="AR13484"/>
    </row>
    <row r="13485" spans="24:44">
      <c r="X13485"/>
      <c r="Y13485"/>
      <c r="Z13485"/>
      <c r="AA13485"/>
      <c r="AC13485"/>
      <c r="AR13485"/>
    </row>
    <row r="13486" spans="24:44">
      <c r="X13486"/>
      <c r="Y13486"/>
      <c r="Z13486"/>
      <c r="AA13486"/>
      <c r="AC13486"/>
      <c r="AR13486"/>
    </row>
    <row r="13487" spans="24:44">
      <c r="X13487"/>
      <c r="Y13487"/>
      <c r="Z13487"/>
      <c r="AA13487"/>
      <c r="AC13487"/>
      <c r="AR13487"/>
    </row>
    <row r="13488" spans="24:44">
      <c r="X13488"/>
      <c r="Y13488"/>
      <c r="Z13488"/>
      <c r="AA13488"/>
      <c r="AC13488"/>
      <c r="AR13488"/>
    </row>
    <row r="13489" spans="24:44">
      <c r="X13489"/>
      <c r="Y13489"/>
      <c r="Z13489"/>
      <c r="AA13489"/>
      <c r="AC13489"/>
      <c r="AR13489"/>
    </row>
    <row r="13490" spans="24:44">
      <c r="X13490"/>
      <c r="Y13490"/>
      <c r="Z13490"/>
      <c r="AA13490"/>
      <c r="AC13490"/>
      <c r="AR13490"/>
    </row>
    <row r="13491" spans="24:44">
      <c r="X13491"/>
      <c r="Y13491"/>
      <c r="Z13491"/>
      <c r="AA13491"/>
      <c r="AC13491"/>
      <c r="AR13491"/>
    </row>
    <row r="13492" spans="24:44">
      <c r="X13492"/>
      <c r="Y13492"/>
      <c r="Z13492"/>
      <c r="AA13492"/>
      <c r="AC13492"/>
      <c r="AR13492"/>
    </row>
    <row r="13493" spans="24:44">
      <c r="X13493"/>
      <c r="Y13493"/>
      <c r="Z13493"/>
      <c r="AA13493"/>
      <c r="AC13493"/>
      <c r="AR13493"/>
    </row>
    <row r="13494" spans="24:44">
      <c r="X13494"/>
      <c r="Y13494"/>
      <c r="Z13494"/>
      <c r="AA13494"/>
      <c r="AC13494"/>
      <c r="AR13494"/>
    </row>
    <row r="13495" spans="24:44">
      <c r="X13495"/>
      <c r="Y13495"/>
      <c r="Z13495"/>
      <c r="AA13495"/>
      <c r="AC13495"/>
      <c r="AR13495"/>
    </row>
    <row r="13496" spans="24:44">
      <c r="X13496"/>
      <c r="Y13496"/>
      <c r="Z13496"/>
      <c r="AA13496"/>
      <c r="AC13496"/>
      <c r="AR13496"/>
    </row>
    <row r="13497" spans="24:44">
      <c r="X13497"/>
      <c r="Y13497"/>
      <c r="Z13497"/>
      <c r="AA13497"/>
      <c r="AC13497"/>
      <c r="AR13497"/>
    </row>
    <row r="13498" spans="24:44">
      <c r="X13498"/>
      <c r="Y13498"/>
      <c r="Z13498"/>
      <c r="AA13498"/>
      <c r="AC13498"/>
      <c r="AR13498"/>
    </row>
    <row r="13499" spans="24:44">
      <c r="X13499"/>
      <c r="Y13499"/>
      <c r="Z13499"/>
      <c r="AA13499"/>
      <c r="AC13499"/>
      <c r="AR13499"/>
    </row>
    <row r="13500" spans="24:44">
      <c r="X13500"/>
      <c r="Y13500"/>
      <c r="Z13500"/>
      <c r="AA13500"/>
      <c r="AC13500"/>
      <c r="AR13500"/>
    </row>
    <row r="13501" spans="24:44">
      <c r="X13501"/>
      <c r="Y13501"/>
      <c r="Z13501"/>
      <c r="AA13501"/>
      <c r="AC13501"/>
      <c r="AR13501"/>
    </row>
    <row r="13502" spans="24:44">
      <c r="X13502"/>
      <c r="Y13502"/>
      <c r="Z13502"/>
      <c r="AA13502"/>
      <c r="AC13502"/>
      <c r="AR13502"/>
    </row>
    <row r="13503" spans="24:44">
      <c r="X13503"/>
      <c r="Y13503"/>
      <c r="Z13503"/>
      <c r="AA13503"/>
      <c r="AC13503"/>
      <c r="AR13503"/>
    </row>
    <row r="13504" spans="24:44">
      <c r="X13504"/>
      <c r="Y13504"/>
      <c r="Z13504"/>
      <c r="AA13504"/>
      <c r="AC13504"/>
      <c r="AR13504"/>
    </row>
    <row r="13505" spans="24:44">
      <c r="X13505"/>
      <c r="Y13505"/>
      <c r="Z13505"/>
      <c r="AA13505"/>
      <c r="AC13505"/>
      <c r="AR13505"/>
    </row>
    <row r="13506" spans="24:44">
      <c r="X13506"/>
      <c r="Y13506"/>
      <c r="Z13506"/>
      <c r="AA13506"/>
      <c r="AC13506"/>
      <c r="AR13506"/>
    </row>
    <row r="13507" spans="24:44">
      <c r="X13507"/>
      <c r="Y13507"/>
      <c r="Z13507"/>
      <c r="AA13507"/>
      <c r="AC13507"/>
      <c r="AR13507"/>
    </row>
    <row r="13508" spans="24:44">
      <c r="X13508"/>
      <c r="Y13508"/>
      <c r="Z13508"/>
      <c r="AA13508"/>
      <c r="AC13508"/>
      <c r="AR13508"/>
    </row>
    <row r="13509" spans="24:44">
      <c r="X13509"/>
      <c r="Y13509"/>
      <c r="Z13509"/>
      <c r="AA13509"/>
      <c r="AC13509"/>
      <c r="AR13509"/>
    </row>
    <row r="13510" spans="24:44">
      <c r="X13510"/>
      <c r="Y13510"/>
      <c r="Z13510"/>
      <c r="AA13510"/>
      <c r="AC13510"/>
      <c r="AR13510"/>
    </row>
    <row r="13511" spans="24:44">
      <c r="X13511"/>
      <c r="Y13511"/>
      <c r="Z13511"/>
      <c r="AA13511"/>
      <c r="AC13511"/>
      <c r="AR13511"/>
    </row>
    <row r="13512" spans="24:44">
      <c r="X13512"/>
      <c r="Y13512"/>
      <c r="Z13512"/>
      <c r="AA13512"/>
      <c r="AC13512"/>
      <c r="AR13512"/>
    </row>
    <row r="13513" spans="24:44">
      <c r="X13513"/>
      <c r="Y13513"/>
      <c r="Z13513"/>
      <c r="AA13513"/>
      <c r="AC13513"/>
      <c r="AR13513"/>
    </row>
    <row r="13514" spans="24:44">
      <c r="X13514"/>
      <c r="Y13514"/>
      <c r="Z13514"/>
      <c r="AA13514"/>
      <c r="AC13514"/>
      <c r="AR13514"/>
    </row>
    <row r="13515" spans="24:44">
      <c r="X13515"/>
      <c r="Y13515"/>
      <c r="Z13515"/>
      <c r="AA13515"/>
      <c r="AC13515"/>
      <c r="AR13515"/>
    </row>
    <row r="13516" spans="24:44">
      <c r="X13516"/>
      <c r="Y13516"/>
      <c r="Z13516"/>
      <c r="AA13516"/>
      <c r="AC13516"/>
      <c r="AR13516"/>
    </row>
    <row r="13517" spans="24:44">
      <c r="X13517"/>
      <c r="Y13517"/>
      <c r="Z13517"/>
      <c r="AA13517"/>
      <c r="AC13517"/>
      <c r="AR13517"/>
    </row>
    <row r="13518" spans="24:44">
      <c r="X13518"/>
      <c r="Y13518"/>
      <c r="Z13518"/>
      <c r="AA13518"/>
      <c r="AC13518"/>
      <c r="AR13518"/>
    </row>
    <row r="13519" spans="24:44">
      <c r="X13519"/>
      <c r="Y13519"/>
      <c r="Z13519"/>
      <c r="AA13519"/>
      <c r="AC13519"/>
      <c r="AR13519"/>
    </row>
    <row r="13520" spans="24:44">
      <c r="X13520"/>
      <c r="Y13520"/>
      <c r="Z13520"/>
      <c r="AA13520"/>
      <c r="AC13520"/>
      <c r="AR13520"/>
    </row>
    <row r="13521" spans="24:44">
      <c r="X13521"/>
      <c r="Y13521"/>
      <c r="Z13521"/>
      <c r="AA13521"/>
      <c r="AC13521"/>
      <c r="AR13521"/>
    </row>
    <row r="13522" spans="24:44">
      <c r="X13522"/>
      <c r="Y13522"/>
      <c r="Z13522"/>
      <c r="AA13522"/>
      <c r="AC13522"/>
      <c r="AR13522"/>
    </row>
    <row r="13523" spans="24:44">
      <c r="X13523"/>
      <c r="Y13523"/>
      <c r="Z13523"/>
      <c r="AA13523"/>
      <c r="AC13523"/>
      <c r="AR13523"/>
    </row>
    <row r="13524" spans="24:44">
      <c r="X13524"/>
      <c r="Y13524"/>
      <c r="Z13524"/>
      <c r="AA13524"/>
      <c r="AC13524"/>
      <c r="AR13524"/>
    </row>
    <row r="13525" spans="24:44">
      <c r="X13525"/>
      <c r="Y13525"/>
      <c r="Z13525"/>
      <c r="AA13525"/>
      <c r="AC13525"/>
      <c r="AR13525"/>
    </row>
    <row r="13526" spans="24:44">
      <c r="X13526"/>
      <c r="Y13526"/>
      <c r="Z13526"/>
      <c r="AA13526"/>
      <c r="AC13526"/>
      <c r="AR13526"/>
    </row>
    <row r="13527" spans="24:44">
      <c r="X13527"/>
      <c r="Y13527"/>
      <c r="Z13527"/>
      <c r="AA13527"/>
      <c r="AC13527"/>
      <c r="AR13527"/>
    </row>
    <row r="13528" spans="24:44">
      <c r="X13528"/>
      <c r="Y13528"/>
      <c r="Z13528"/>
      <c r="AA13528"/>
      <c r="AC13528"/>
      <c r="AR13528"/>
    </row>
    <row r="13529" spans="24:44">
      <c r="X13529"/>
      <c r="Y13529"/>
      <c r="Z13529"/>
      <c r="AA13529"/>
      <c r="AC13529"/>
      <c r="AR13529"/>
    </row>
    <row r="13530" spans="24:44">
      <c r="X13530"/>
      <c r="Y13530"/>
      <c r="Z13530"/>
      <c r="AA13530"/>
      <c r="AC13530"/>
      <c r="AR13530"/>
    </row>
    <row r="13531" spans="24:44">
      <c r="X13531"/>
      <c r="Y13531"/>
      <c r="Z13531"/>
      <c r="AA13531"/>
      <c r="AC13531"/>
      <c r="AR13531"/>
    </row>
    <row r="13532" spans="24:44">
      <c r="X13532"/>
      <c r="Y13532"/>
      <c r="Z13532"/>
      <c r="AA13532"/>
      <c r="AC13532"/>
      <c r="AR13532"/>
    </row>
    <row r="13533" spans="24:44">
      <c r="X13533"/>
      <c r="Y13533"/>
      <c r="Z13533"/>
      <c r="AA13533"/>
      <c r="AC13533"/>
      <c r="AR13533"/>
    </row>
    <row r="13534" spans="24:44">
      <c r="X13534"/>
      <c r="Y13534"/>
      <c r="Z13534"/>
      <c r="AA13534"/>
      <c r="AC13534"/>
      <c r="AR13534"/>
    </row>
    <row r="13535" spans="24:44">
      <c r="X13535"/>
      <c r="Y13535"/>
      <c r="Z13535"/>
      <c r="AA13535"/>
      <c r="AC13535"/>
      <c r="AR13535"/>
    </row>
    <row r="13536" spans="24:44">
      <c r="X13536"/>
      <c r="Y13536"/>
      <c r="Z13536"/>
      <c r="AA13536"/>
      <c r="AC13536"/>
      <c r="AR13536"/>
    </row>
    <row r="13537" spans="24:44">
      <c r="X13537"/>
      <c r="Y13537"/>
      <c r="Z13537"/>
      <c r="AA13537"/>
      <c r="AC13537"/>
      <c r="AR13537"/>
    </row>
    <row r="13538" spans="24:44">
      <c r="X13538"/>
      <c r="Y13538"/>
      <c r="Z13538"/>
      <c r="AA13538"/>
      <c r="AC13538"/>
      <c r="AR13538"/>
    </row>
    <row r="13539" spans="24:44">
      <c r="X13539"/>
      <c r="Y13539"/>
      <c r="Z13539"/>
      <c r="AA13539"/>
      <c r="AC13539"/>
      <c r="AR13539"/>
    </row>
    <row r="13540" spans="24:44">
      <c r="X13540"/>
      <c r="Y13540"/>
      <c r="Z13540"/>
      <c r="AA13540"/>
      <c r="AC13540"/>
      <c r="AR13540"/>
    </row>
    <row r="13541" spans="24:44">
      <c r="X13541"/>
      <c r="Y13541"/>
      <c r="Z13541"/>
      <c r="AA13541"/>
      <c r="AC13541"/>
      <c r="AR13541"/>
    </row>
    <row r="13542" spans="24:44">
      <c r="X13542"/>
      <c r="Y13542"/>
      <c r="Z13542"/>
      <c r="AA13542"/>
      <c r="AC13542"/>
      <c r="AR13542"/>
    </row>
    <row r="13543" spans="24:44">
      <c r="X13543"/>
      <c r="Y13543"/>
      <c r="Z13543"/>
      <c r="AA13543"/>
      <c r="AC13543"/>
      <c r="AR13543"/>
    </row>
    <row r="13544" spans="24:44">
      <c r="X13544"/>
      <c r="Y13544"/>
      <c r="Z13544"/>
      <c r="AA13544"/>
      <c r="AC13544"/>
      <c r="AR13544"/>
    </row>
    <row r="13545" spans="24:44">
      <c r="X13545"/>
      <c r="Y13545"/>
      <c r="Z13545"/>
      <c r="AA13545"/>
      <c r="AC13545"/>
      <c r="AR13545"/>
    </row>
    <row r="13546" spans="24:44">
      <c r="X13546"/>
      <c r="Y13546"/>
      <c r="Z13546"/>
      <c r="AA13546"/>
      <c r="AC13546"/>
      <c r="AR13546"/>
    </row>
    <row r="13547" spans="24:44">
      <c r="X13547"/>
      <c r="Y13547"/>
      <c r="Z13547"/>
      <c r="AA13547"/>
      <c r="AC13547"/>
      <c r="AR13547"/>
    </row>
    <row r="13548" spans="24:44">
      <c r="X13548"/>
      <c r="Y13548"/>
      <c r="Z13548"/>
      <c r="AA13548"/>
      <c r="AC13548"/>
      <c r="AR13548"/>
    </row>
    <row r="13549" spans="24:44">
      <c r="X13549"/>
      <c r="Y13549"/>
      <c r="Z13549"/>
      <c r="AA13549"/>
      <c r="AC13549"/>
      <c r="AR13549"/>
    </row>
    <row r="13550" spans="24:44">
      <c r="X13550"/>
      <c r="Y13550"/>
      <c r="Z13550"/>
      <c r="AA13550"/>
      <c r="AC13550"/>
      <c r="AR13550"/>
    </row>
    <row r="13551" spans="24:44">
      <c r="X13551"/>
      <c r="Y13551"/>
      <c r="Z13551"/>
      <c r="AA13551"/>
      <c r="AC13551"/>
      <c r="AR13551"/>
    </row>
    <row r="13552" spans="24:44">
      <c r="X13552"/>
      <c r="Y13552"/>
      <c r="Z13552"/>
      <c r="AA13552"/>
      <c r="AC13552"/>
      <c r="AR13552"/>
    </row>
    <row r="13553" spans="24:44">
      <c r="X13553"/>
      <c r="Y13553"/>
      <c r="Z13553"/>
      <c r="AA13553"/>
      <c r="AC13553"/>
      <c r="AR13553"/>
    </row>
    <row r="13554" spans="24:44">
      <c r="X13554"/>
      <c r="Y13554"/>
      <c r="Z13554"/>
      <c r="AA13554"/>
      <c r="AC13554"/>
      <c r="AR13554"/>
    </row>
    <row r="13555" spans="24:44">
      <c r="X13555"/>
      <c r="Y13555"/>
      <c r="Z13555"/>
      <c r="AA13555"/>
      <c r="AC13555"/>
      <c r="AR13555"/>
    </row>
    <row r="13556" spans="24:44">
      <c r="X13556"/>
      <c r="Y13556"/>
      <c r="Z13556"/>
      <c r="AA13556"/>
      <c r="AC13556"/>
      <c r="AR13556"/>
    </row>
    <row r="13557" spans="24:44">
      <c r="X13557"/>
      <c r="Y13557"/>
      <c r="Z13557"/>
      <c r="AA13557"/>
      <c r="AC13557"/>
      <c r="AR13557"/>
    </row>
    <row r="13558" spans="24:44">
      <c r="X13558"/>
      <c r="Y13558"/>
      <c r="Z13558"/>
      <c r="AA13558"/>
      <c r="AC13558"/>
      <c r="AR13558"/>
    </row>
    <row r="13559" spans="24:44">
      <c r="X13559"/>
      <c r="Y13559"/>
      <c r="Z13559"/>
      <c r="AA13559"/>
      <c r="AC13559"/>
      <c r="AR13559"/>
    </row>
    <row r="13560" spans="24:44">
      <c r="X13560"/>
      <c r="Y13560"/>
      <c r="Z13560"/>
      <c r="AA13560"/>
      <c r="AC13560"/>
      <c r="AR13560"/>
    </row>
    <row r="13561" spans="24:44">
      <c r="X13561"/>
      <c r="Y13561"/>
      <c r="Z13561"/>
      <c r="AA13561"/>
      <c r="AC13561"/>
      <c r="AR13561"/>
    </row>
    <row r="13562" spans="24:44">
      <c r="X13562"/>
      <c r="Y13562"/>
      <c r="Z13562"/>
      <c r="AA13562"/>
      <c r="AC13562"/>
      <c r="AR13562"/>
    </row>
    <row r="13563" spans="24:44">
      <c r="X13563"/>
      <c r="Y13563"/>
      <c r="Z13563"/>
      <c r="AA13563"/>
      <c r="AC13563"/>
      <c r="AR13563"/>
    </row>
    <row r="13564" spans="24:44">
      <c r="X13564"/>
      <c r="Y13564"/>
      <c r="Z13564"/>
      <c r="AA13564"/>
      <c r="AC13564"/>
      <c r="AR13564"/>
    </row>
    <row r="13565" spans="24:44">
      <c r="X13565"/>
      <c r="Y13565"/>
      <c r="Z13565"/>
      <c r="AA13565"/>
      <c r="AC13565"/>
      <c r="AR13565"/>
    </row>
    <row r="13566" spans="24:44">
      <c r="X13566"/>
      <c r="Y13566"/>
      <c r="Z13566"/>
      <c r="AA13566"/>
      <c r="AC13566"/>
      <c r="AR13566"/>
    </row>
    <row r="13567" spans="24:44">
      <c r="X13567"/>
      <c r="Y13567"/>
      <c r="Z13567"/>
      <c r="AA13567"/>
      <c r="AC13567"/>
      <c r="AR13567"/>
    </row>
    <row r="13568" spans="24:44">
      <c r="X13568"/>
      <c r="Y13568"/>
      <c r="Z13568"/>
      <c r="AA13568"/>
      <c r="AC13568"/>
      <c r="AR13568"/>
    </row>
    <row r="13569" spans="24:44">
      <c r="X13569"/>
      <c r="Y13569"/>
      <c r="Z13569"/>
      <c r="AA13569"/>
      <c r="AC13569"/>
      <c r="AR13569"/>
    </row>
    <row r="13570" spans="24:44">
      <c r="X13570"/>
      <c r="Y13570"/>
      <c r="Z13570"/>
      <c r="AA13570"/>
      <c r="AC13570"/>
      <c r="AR13570"/>
    </row>
    <row r="13571" spans="24:44">
      <c r="X13571"/>
      <c r="Y13571"/>
      <c r="Z13571"/>
      <c r="AA13571"/>
      <c r="AC13571"/>
      <c r="AR13571"/>
    </row>
    <row r="13572" spans="24:44">
      <c r="X13572"/>
      <c r="Y13572"/>
      <c r="Z13572"/>
      <c r="AA13572"/>
      <c r="AC13572"/>
      <c r="AR13572"/>
    </row>
    <row r="13573" spans="24:44">
      <c r="X13573"/>
      <c r="Y13573"/>
      <c r="Z13573"/>
      <c r="AA13573"/>
      <c r="AC13573"/>
      <c r="AR13573"/>
    </row>
    <row r="13574" spans="24:44">
      <c r="X13574"/>
      <c r="Y13574"/>
      <c r="Z13574"/>
      <c r="AA13574"/>
      <c r="AC13574"/>
      <c r="AR13574"/>
    </row>
    <row r="13575" spans="24:44">
      <c r="X13575"/>
      <c r="Y13575"/>
      <c r="Z13575"/>
      <c r="AA13575"/>
      <c r="AC13575"/>
      <c r="AR13575"/>
    </row>
    <row r="13576" spans="24:44">
      <c r="X13576"/>
      <c r="Y13576"/>
      <c r="Z13576"/>
      <c r="AA13576"/>
      <c r="AC13576"/>
      <c r="AR13576"/>
    </row>
    <row r="13577" spans="24:44">
      <c r="X13577"/>
      <c r="Y13577"/>
      <c r="Z13577"/>
      <c r="AA13577"/>
      <c r="AC13577"/>
      <c r="AR13577"/>
    </row>
    <row r="13578" spans="24:44">
      <c r="X13578"/>
      <c r="Y13578"/>
      <c r="Z13578"/>
      <c r="AA13578"/>
      <c r="AC13578"/>
      <c r="AR13578"/>
    </row>
    <row r="13579" spans="24:44">
      <c r="X13579"/>
      <c r="Y13579"/>
      <c r="Z13579"/>
      <c r="AA13579"/>
      <c r="AC13579"/>
      <c r="AR13579"/>
    </row>
    <row r="13580" spans="24:44">
      <c r="X13580"/>
      <c r="Y13580"/>
      <c r="Z13580"/>
      <c r="AA13580"/>
      <c r="AC13580"/>
      <c r="AR13580"/>
    </row>
    <row r="13581" spans="24:44">
      <c r="X13581"/>
      <c r="Y13581"/>
      <c r="Z13581"/>
      <c r="AA13581"/>
      <c r="AC13581"/>
      <c r="AR13581"/>
    </row>
    <row r="13582" spans="24:44">
      <c r="X13582"/>
      <c r="Y13582"/>
      <c r="Z13582"/>
      <c r="AA13582"/>
      <c r="AC13582"/>
      <c r="AR13582"/>
    </row>
    <row r="13583" spans="24:44">
      <c r="X13583"/>
      <c r="Y13583"/>
      <c r="Z13583"/>
      <c r="AA13583"/>
      <c r="AC13583"/>
      <c r="AR13583"/>
    </row>
    <row r="13584" spans="24:44">
      <c r="X13584"/>
      <c r="Y13584"/>
      <c r="Z13584"/>
      <c r="AA13584"/>
      <c r="AC13584"/>
      <c r="AR13584"/>
    </row>
    <row r="13585" spans="24:44">
      <c r="X13585"/>
      <c r="Y13585"/>
      <c r="Z13585"/>
      <c r="AA13585"/>
      <c r="AC13585"/>
      <c r="AR13585"/>
    </row>
    <row r="13586" spans="24:44">
      <c r="X13586"/>
      <c r="Y13586"/>
      <c r="Z13586"/>
      <c r="AA13586"/>
      <c r="AC13586"/>
      <c r="AR13586"/>
    </row>
    <row r="13587" spans="24:44">
      <c r="X13587"/>
      <c r="Y13587"/>
      <c r="Z13587"/>
      <c r="AA13587"/>
      <c r="AC13587"/>
      <c r="AR13587"/>
    </row>
    <row r="13588" spans="24:44">
      <c r="X13588"/>
      <c r="Y13588"/>
      <c r="Z13588"/>
      <c r="AA13588"/>
      <c r="AC13588"/>
      <c r="AR13588"/>
    </row>
    <row r="13589" spans="24:44">
      <c r="X13589"/>
      <c r="Y13589"/>
      <c r="Z13589"/>
      <c r="AA13589"/>
      <c r="AC13589"/>
      <c r="AR13589"/>
    </row>
    <row r="13590" spans="24:44">
      <c r="X13590"/>
      <c r="Y13590"/>
      <c r="Z13590"/>
      <c r="AA13590"/>
      <c r="AC13590"/>
      <c r="AR13590"/>
    </row>
    <row r="13591" spans="24:44">
      <c r="X13591"/>
      <c r="Y13591"/>
      <c r="Z13591"/>
      <c r="AA13591"/>
      <c r="AC13591"/>
      <c r="AR13591"/>
    </row>
    <row r="13592" spans="24:44">
      <c r="X13592"/>
      <c r="Y13592"/>
      <c r="Z13592"/>
      <c r="AA13592"/>
      <c r="AC13592"/>
      <c r="AR13592"/>
    </row>
    <row r="13593" spans="24:44">
      <c r="X13593"/>
      <c r="Y13593"/>
      <c r="Z13593"/>
      <c r="AA13593"/>
      <c r="AC13593"/>
      <c r="AR13593"/>
    </row>
    <row r="13594" spans="24:44">
      <c r="X13594"/>
      <c r="Y13594"/>
      <c r="Z13594"/>
      <c r="AA13594"/>
      <c r="AC13594"/>
      <c r="AR13594"/>
    </row>
    <row r="13595" spans="24:44">
      <c r="X13595"/>
      <c r="Y13595"/>
      <c r="Z13595"/>
      <c r="AA13595"/>
      <c r="AC13595"/>
      <c r="AR13595"/>
    </row>
    <row r="13596" spans="24:44">
      <c r="X13596"/>
      <c r="Y13596"/>
      <c r="Z13596"/>
      <c r="AA13596"/>
      <c r="AC13596"/>
      <c r="AR13596"/>
    </row>
    <row r="13597" spans="24:44">
      <c r="X13597"/>
      <c r="Y13597"/>
      <c r="Z13597"/>
      <c r="AA13597"/>
      <c r="AC13597"/>
      <c r="AR13597"/>
    </row>
    <row r="13598" spans="24:44">
      <c r="X13598"/>
      <c r="Y13598"/>
      <c r="Z13598"/>
      <c r="AA13598"/>
      <c r="AC13598"/>
      <c r="AR13598"/>
    </row>
    <row r="13599" spans="24:44">
      <c r="X13599"/>
      <c r="Y13599"/>
      <c r="Z13599"/>
      <c r="AA13599"/>
      <c r="AC13599"/>
      <c r="AR13599"/>
    </row>
    <row r="13600" spans="24:44">
      <c r="X13600"/>
      <c r="Y13600"/>
      <c r="Z13600"/>
      <c r="AA13600"/>
      <c r="AC13600"/>
      <c r="AR13600"/>
    </row>
    <row r="13601" spans="24:44">
      <c r="X13601"/>
      <c r="Y13601"/>
      <c r="Z13601"/>
      <c r="AA13601"/>
      <c r="AC13601"/>
      <c r="AR13601"/>
    </row>
    <row r="13602" spans="24:44">
      <c r="X13602"/>
      <c r="Y13602"/>
      <c r="Z13602"/>
      <c r="AA13602"/>
      <c r="AC13602"/>
      <c r="AR13602"/>
    </row>
    <row r="13603" spans="24:44">
      <c r="X13603"/>
      <c r="Y13603"/>
      <c r="Z13603"/>
      <c r="AA13603"/>
      <c r="AC13603"/>
      <c r="AR13603"/>
    </row>
    <row r="13604" spans="24:44">
      <c r="X13604"/>
      <c r="Y13604"/>
      <c r="Z13604"/>
      <c r="AA13604"/>
      <c r="AC13604"/>
      <c r="AR13604"/>
    </row>
    <row r="13605" spans="24:44">
      <c r="X13605"/>
      <c r="Y13605"/>
      <c r="Z13605"/>
      <c r="AA13605"/>
      <c r="AC13605"/>
      <c r="AR13605"/>
    </row>
    <row r="13606" spans="24:44">
      <c r="X13606"/>
      <c r="Y13606"/>
      <c r="Z13606"/>
      <c r="AA13606"/>
      <c r="AC13606"/>
      <c r="AR13606"/>
    </row>
    <row r="13607" spans="24:44">
      <c r="X13607"/>
      <c r="Y13607"/>
      <c r="Z13607"/>
      <c r="AA13607"/>
      <c r="AC13607"/>
      <c r="AR13607"/>
    </row>
    <row r="13608" spans="24:44">
      <c r="X13608"/>
      <c r="Y13608"/>
      <c r="Z13608"/>
      <c r="AA13608"/>
      <c r="AC13608"/>
      <c r="AR13608"/>
    </row>
    <row r="13609" spans="24:44">
      <c r="X13609"/>
      <c r="Y13609"/>
      <c r="Z13609"/>
      <c r="AA13609"/>
      <c r="AC13609"/>
      <c r="AR13609"/>
    </row>
    <row r="13610" spans="24:44">
      <c r="X13610"/>
      <c r="Y13610"/>
      <c r="Z13610"/>
      <c r="AA13610"/>
      <c r="AC13610"/>
      <c r="AR13610"/>
    </row>
    <row r="13611" spans="24:44">
      <c r="X13611"/>
      <c r="Y13611"/>
      <c r="Z13611"/>
      <c r="AA13611"/>
      <c r="AC13611"/>
      <c r="AR13611"/>
    </row>
    <row r="13612" spans="24:44">
      <c r="X13612"/>
      <c r="Y13612"/>
      <c r="Z13612"/>
      <c r="AA13612"/>
      <c r="AC13612"/>
      <c r="AR13612"/>
    </row>
    <row r="13613" spans="24:44">
      <c r="X13613"/>
      <c r="Y13613"/>
      <c r="Z13613"/>
      <c r="AA13613"/>
      <c r="AC13613"/>
      <c r="AR13613"/>
    </row>
    <row r="13614" spans="24:44">
      <c r="X13614"/>
      <c r="Y13614"/>
      <c r="Z13614"/>
      <c r="AA13614"/>
      <c r="AC13614"/>
      <c r="AR13614"/>
    </row>
    <row r="13615" spans="24:44">
      <c r="X13615"/>
      <c r="Y13615"/>
      <c r="Z13615"/>
      <c r="AA13615"/>
      <c r="AC13615"/>
      <c r="AR13615"/>
    </row>
    <row r="13616" spans="24:44">
      <c r="X13616"/>
      <c r="Y13616"/>
      <c r="Z13616"/>
      <c r="AA13616"/>
      <c r="AC13616"/>
      <c r="AR13616"/>
    </row>
    <row r="13617" spans="24:44">
      <c r="X13617"/>
      <c r="Y13617"/>
      <c r="Z13617"/>
      <c r="AA13617"/>
      <c r="AC13617"/>
      <c r="AR13617"/>
    </row>
    <row r="13618" spans="24:44">
      <c r="X13618"/>
      <c r="Y13618"/>
      <c r="Z13618"/>
      <c r="AA13618"/>
      <c r="AC13618"/>
      <c r="AR13618"/>
    </row>
    <row r="13619" spans="24:44">
      <c r="X13619"/>
      <c r="Y13619"/>
      <c r="Z13619"/>
      <c r="AA13619"/>
      <c r="AC13619"/>
      <c r="AR13619"/>
    </row>
    <row r="13620" spans="24:44">
      <c r="X13620"/>
      <c r="Y13620"/>
      <c r="Z13620"/>
      <c r="AA13620"/>
      <c r="AC13620"/>
      <c r="AR13620"/>
    </row>
    <row r="13621" spans="24:44">
      <c r="X13621"/>
      <c r="Y13621"/>
      <c r="Z13621"/>
      <c r="AA13621"/>
      <c r="AC13621"/>
      <c r="AR13621"/>
    </row>
    <row r="13622" spans="24:44">
      <c r="X13622"/>
      <c r="Y13622"/>
      <c r="Z13622"/>
      <c r="AA13622"/>
      <c r="AC13622"/>
      <c r="AR13622"/>
    </row>
    <row r="13623" spans="24:44">
      <c r="X13623"/>
      <c r="Y13623"/>
      <c r="Z13623"/>
      <c r="AA13623"/>
      <c r="AC13623"/>
      <c r="AR13623"/>
    </row>
    <row r="13624" spans="24:44">
      <c r="X13624"/>
      <c r="Y13624"/>
      <c r="Z13624"/>
      <c r="AA13624"/>
      <c r="AC13624"/>
      <c r="AR13624"/>
    </row>
    <row r="13625" spans="24:44">
      <c r="X13625"/>
      <c r="Y13625"/>
      <c r="Z13625"/>
      <c r="AA13625"/>
      <c r="AC13625"/>
      <c r="AR13625"/>
    </row>
    <row r="13626" spans="24:44">
      <c r="X13626"/>
      <c r="Y13626"/>
      <c r="Z13626"/>
      <c r="AA13626"/>
      <c r="AC13626"/>
      <c r="AR13626"/>
    </row>
    <row r="13627" spans="24:44">
      <c r="X13627"/>
      <c r="Y13627"/>
      <c r="Z13627"/>
      <c r="AA13627"/>
      <c r="AC13627"/>
      <c r="AR13627"/>
    </row>
    <row r="13628" spans="24:44">
      <c r="X13628"/>
      <c r="Y13628"/>
      <c r="Z13628"/>
      <c r="AA13628"/>
      <c r="AC13628"/>
      <c r="AR13628"/>
    </row>
    <row r="13629" spans="24:44">
      <c r="X13629"/>
      <c r="Y13629"/>
      <c r="Z13629"/>
      <c r="AA13629"/>
      <c r="AC13629"/>
      <c r="AR13629"/>
    </row>
    <row r="13630" spans="24:44">
      <c r="X13630"/>
      <c r="Y13630"/>
      <c r="Z13630"/>
      <c r="AA13630"/>
      <c r="AC13630"/>
      <c r="AR13630"/>
    </row>
    <row r="13631" spans="24:44">
      <c r="X13631"/>
      <c r="Y13631"/>
      <c r="Z13631"/>
      <c r="AA13631"/>
      <c r="AC13631"/>
      <c r="AR13631"/>
    </row>
    <row r="13632" spans="24:44">
      <c r="X13632"/>
      <c r="Y13632"/>
      <c r="Z13632"/>
      <c r="AA13632"/>
      <c r="AC13632"/>
      <c r="AR13632"/>
    </row>
    <row r="13633" spans="24:44">
      <c r="X13633"/>
      <c r="Y13633"/>
      <c r="Z13633"/>
      <c r="AA13633"/>
      <c r="AC13633"/>
      <c r="AR13633"/>
    </row>
    <row r="13634" spans="24:44">
      <c r="X13634"/>
      <c r="Y13634"/>
      <c r="Z13634"/>
      <c r="AA13634"/>
      <c r="AC13634"/>
      <c r="AR13634"/>
    </row>
    <row r="13635" spans="24:44">
      <c r="X13635"/>
      <c r="Y13635"/>
      <c r="Z13635"/>
      <c r="AA13635"/>
      <c r="AC13635"/>
      <c r="AR13635"/>
    </row>
    <row r="13636" spans="24:44">
      <c r="X13636"/>
      <c r="Y13636"/>
      <c r="Z13636"/>
      <c r="AA13636"/>
      <c r="AC13636"/>
      <c r="AR13636"/>
    </row>
    <row r="13637" spans="24:44">
      <c r="X13637"/>
      <c r="Y13637"/>
      <c r="Z13637"/>
      <c r="AA13637"/>
      <c r="AC13637"/>
      <c r="AR13637"/>
    </row>
    <row r="13638" spans="24:44">
      <c r="X13638"/>
      <c r="Y13638"/>
      <c r="Z13638"/>
      <c r="AA13638"/>
      <c r="AC13638"/>
      <c r="AR13638"/>
    </row>
    <row r="13639" spans="24:44">
      <c r="X13639"/>
      <c r="Y13639"/>
      <c r="Z13639"/>
      <c r="AA13639"/>
      <c r="AC13639"/>
      <c r="AR13639"/>
    </row>
    <row r="13640" spans="24:44">
      <c r="X13640"/>
      <c r="Y13640"/>
      <c r="Z13640"/>
      <c r="AA13640"/>
      <c r="AC13640"/>
      <c r="AR13640"/>
    </row>
    <row r="13641" spans="24:44">
      <c r="X13641"/>
      <c r="Y13641"/>
      <c r="Z13641"/>
      <c r="AA13641"/>
      <c r="AC13641"/>
      <c r="AR13641"/>
    </row>
    <row r="13642" spans="24:44">
      <c r="X13642"/>
      <c r="Y13642"/>
      <c r="Z13642"/>
      <c r="AA13642"/>
      <c r="AC13642"/>
      <c r="AR13642"/>
    </row>
    <row r="13643" spans="24:44">
      <c r="X13643"/>
      <c r="Y13643"/>
      <c r="Z13643"/>
      <c r="AA13643"/>
      <c r="AC13643"/>
      <c r="AR13643"/>
    </row>
    <row r="13644" spans="24:44">
      <c r="X13644"/>
      <c r="Y13644"/>
      <c r="Z13644"/>
      <c r="AA13644"/>
      <c r="AC13644"/>
      <c r="AR13644"/>
    </row>
    <row r="13645" spans="24:44">
      <c r="X13645"/>
      <c r="Y13645"/>
      <c r="Z13645"/>
      <c r="AA13645"/>
      <c r="AC13645"/>
      <c r="AR13645"/>
    </row>
    <row r="13646" spans="24:44">
      <c r="X13646"/>
      <c r="Y13646"/>
      <c r="Z13646"/>
      <c r="AA13646"/>
      <c r="AC13646"/>
      <c r="AR13646"/>
    </row>
    <row r="13647" spans="24:44">
      <c r="X13647"/>
      <c r="Y13647"/>
      <c r="Z13647"/>
      <c r="AA13647"/>
      <c r="AC13647"/>
      <c r="AR13647"/>
    </row>
    <row r="13648" spans="24:44">
      <c r="X13648"/>
      <c r="Y13648"/>
      <c r="Z13648"/>
      <c r="AA13648"/>
      <c r="AC13648"/>
      <c r="AR13648"/>
    </row>
    <row r="13649" spans="24:44">
      <c r="X13649"/>
      <c r="Y13649"/>
      <c r="Z13649"/>
      <c r="AA13649"/>
      <c r="AC13649"/>
      <c r="AR13649"/>
    </row>
    <row r="13650" spans="24:44">
      <c r="X13650"/>
      <c r="Y13650"/>
      <c r="Z13650"/>
      <c r="AA13650"/>
      <c r="AC13650"/>
      <c r="AR13650"/>
    </row>
    <row r="13651" spans="24:44">
      <c r="X13651"/>
      <c r="Y13651"/>
      <c r="Z13651"/>
      <c r="AA13651"/>
      <c r="AC13651"/>
      <c r="AR13651"/>
    </row>
    <row r="13652" spans="24:44">
      <c r="X13652"/>
      <c r="Y13652"/>
      <c r="Z13652"/>
      <c r="AA13652"/>
      <c r="AC13652"/>
      <c r="AR13652"/>
    </row>
    <row r="13653" spans="24:44">
      <c r="X13653"/>
      <c r="Y13653"/>
      <c r="Z13653"/>
      <c r="AA13653"/>
      <c r="AC13653"/>
      <c r="AR13653"/>
    </row>
    <row r="13654" spans="24:44">
      <c r="X13654"/>
      <c r="Y13654"/>
      <c r="Z13654"/>
      <c r="AA13654"/>
      <c r="AC13654"/>
      <c r="AR13654"/>
    </row>
    <row r="13655" spans="24:44">
      <c r="X13655"/>
      <c r="Y13655"/>
      <c r="Z13655"/>
      <c r="AA13655"/>
      <c r="AC13655"/>
      <c r="AR13655"/>
    </row>
    <row r="13656" spans="24:44">
      <c r="X13656"/>
      <c r="Y13656"/>
      <c r="Z13656"/>
      <c r="AA13656"/>
      <c r="AC13656"/>
      <c r="AR13656"/>
    </row>
    <row r="13657" spans="24:44">
      <c r="X13657"/>
      <c r="Y13657"/>
      <c r="Z13657"/>
      <c r="AA13657"/>
      <c r="AC13657"/>
      <c r="AR13657"/>
    </row>
    <row r="13658" spans="24:44">
      <c r="X13658"/>
      <c r="Y13658"/>
      <c r="Z13658"/>
      <c r="AA13658"/>
      <c r="AC13658"/>
      <c r="AR13658"/>
    </row>
    <row r="13659" spans="24:44">
      <c r="X13659"/>
      <c r="Y13659"/>
      <c r="Z13659"/>
      <c r="AA13659"/>
      <c r="AC13659"/>
      <c r="AR13659"/>
    </row>
    <row r="13660" spans="24:44">
      <c r="X13660"/>
      <c r="Y13660"/>
      <c r="Z13660"/>
      <c r="AA13660"/>
      <c r="AC13660"/>
      <c r="AR13660"/>
    </row>
    <row r="13661" spans="24:44">
      <c r="X13661"/>
      <c r="Y13661"/>
      <c r="Z13661"/>
      <c r="AA13661"/>
      <c r="AC13661"/>
      <c r="AR13661"/>
    </row>
    <row r="13662" spans="24:44">
      <c r="X13662"/>
      <c r="Y13662"/>
      <c r="Z13662"/>
      <c r="AA13662"/>
      <c r="AC13662"/>
      <c r="AR13662"/>
    </row>
    <row r="13663" spans="24:44">
      <c r="X13663"/>
      <c r="Y13663"/>
      <c r="Z13663"/>
      <c r="AA13663"/>
      <c r="AC13663"/>
      <c r="AR13663"/>
    </row>
    <row r="13664" spans="24:44">
      <c r="X13664"/>
      <c r="Y13664"/>
      <c r="Z13664"/>
      <c r="AA13664"/>
      <c r="AC13664"/>
      <c r="AR13664"/>
    </row>
    <row r="13665" spans="24:44">
      <c r="X13665"/>
      <c r="Y13665"/>
      <c r="Z13665"/>
      <c r="AA13665"/>
      <c r="AC13665"/>
      <c r="AR13665"/>
    </row>
    <row r="13666" spans="24:44">
      <c r="X13666"/>
      <c r="Y13666"/>
      <c r="Z13666"/>
      <c r="AA13666"/>
      <c r="AC13666"/>
      <c r="AR13666"/>
    </row>
    <row r="13667" spans="24:44">
      <c r="X13667"/>
      <c r="Y13667"/>
      <c r="Z13667"/>
      <c r="AA13667"/>
      <c r="AC13667"/>
      <c r="AR13667"/>
    </row>
    <row r="13668" spans="24:44">
      <c r="X13668"/>
      <c r="Y13668"/>
      <c r="Z13668"/>
      <c r="AA13668"/>
      <c r="AC13668"/>
      <c r="AR13668"/>
    </row>
    <row r="13669" spans="24:44">
      <c r="X13669"/>
      <c r="Y13669"/>
      <c r="Z13669"/>
      <c r="AA13669"/>
      <c r="AC13669"/>
      <c r="AR13669"/>
    </row>
    <row r="13670" spans="24:44">
      <c r="X13670"/>
      <c r="Y13670"/>
      <c r="Z13670"/>
      <c r="AA13670"/>
      <c r="AC13670"/>
      <c r="AR13670"/>
    </row>
    <row r="13671" spans="24:44">
      <c r="X13671"/>
      <c r="Y13671"/>
      <c r="Z13671"/>
      <c r="AA13671"/>
      <c r="AC13671"/>
      <c r="AR13671"/>
    </row>
    <row r="13672" spans="24:44">
      <c r="X13672"/>
      <c r="Y13672"/>
      <c r="Z13672"/>
      <c r="AA13672"/>
      <c r="AC13672"/>
      <c r="AR13672"/>
    </row>
    <row r="13673" spans="24:44">
      <c r="X13673"/>
      <c r="Y13673"/>
      <c r="Z13673"/>
      <c r="AA13673"/>
      <c r="AC13673"/>
      <c r="AR13673"/>
    </row>
    <row r="13674" spans="24:44">
      <c r="X13674"/>
      <c r="Y13674"/>
      <c r="Z13674"/>
      <c r="AA13674"/>
      <c r="AC13674"/>
      <c r="AR13674"/>
    </row>
    <row r="13675" spans="24:44">
      <c r="X13675"/>
      <c r="Y13675"/>
      <c r="Z13675"/>
      <c r="AA13675"/>
      <c r="AC13675"/>
      <c r="AR13675"/>
    </row>
    <row r="13676" spans="24:44">
      <c r="X13676"/>
      <c r="Y13676"/>
      <c r="Z13676"/>
      <c r="AA13676"/>
      <c r="AC13676"/>
      <c r="AR13676"/>
    </row>
    <row r="13677" spans="24:44">
      <c r="X13677"/>
      <c r="Y13677"/>
      <c r="Z13677"/>
      <c r="AA13677"/>
      <c r="AC13677"/>
      <c r="AR13677"/>
    </row>
    <row r="13678" spans="24:44">
      <c r="X13678"/>
      <c r="Y13678"/>
      <c r="Z13678"/>
      <c r="AA13678"/>
      <c r="AC13678"/>
      <c r="AR13678"/>
    </row>
    <row r="13679" spans="24:44">
      <c r="X13679"/>
      <c r="Y13679"/>
      <c r="Z13679"/>
      <c r="AA13679"/>
      <c r="AC13679"/>
      <c r="AR13679"/>
    </row>
    <row r="13680" spans="24:44">
      <c r="X13680"/>
      <c r="Y13680"/>
      <c r="Z13680"/>
      <c r="AA13680"/>
      <c r="AC13680"/>
      <c r="AR13680"/>
    </row>
    <row r="13681" spans="24:44">
      <c r="X13681"/>
      <c r="Y13681"/>
      <c r="Z13681"/>
      <c r="AA13681"/>
      <c r="AC13681"/>
      <c r="AR13681"/>
    </row>
    <row r="13682" spans="24:44">
      <c r="X13682"/>
      <c r="Y13682"/>
      <c r="Z13682"/>
      <c r="AA13682"/>
      <c r="AC13682"/>
      <c r="AR13682"/>
    </row>
    <row r="13683" spans="24:44">
      <c r="X13683"/>
      <c r="Y13683"/>
      <c r="Z13683"/>
      <c r="AA13683"/>
      <c r="AC13683"/>
      <c r="AR13683"/>
    </row>
    <row r="13684" spans="24:44">
      <c r="X13684"/>
      <c r="Y13684"/>
      <c r="Z13684"/>
      <c r="AA13684"/>
      <c r="AC13684"/>
      <c r="AR13684"/>
    </row>
    <row r="13685" spans="24:44">
      <c r="X13685"/>
      <c r="Y13685"/>
      <c r="Z13685"/>
      <c r="AA13685"/>
      <c r="AC13685"/>
      <c r="AR13685"/>
    </row>
    <row r="13686" spans="24:44">
      <c r="X13686"/>
      <c r="Y13686"/>
      <c r="Z13686"/>
      <c r="AA13686"/>
      <c r="AC13686"/>
      <c r="AR13686"/>
    </row>
    <row r="13687" spans="24:44">
      <c r="X13687"/>
      <c r="Y13687"/>
      <c r="Z13687"/>
      <c r="AA13687"/>
      <c r="AC13687"/>
      <c r="AR13687"/>
    </row>
    <row r="13688" spans="24:44">
      <c r="X13688"/>
      <c r="Y13688"/>
      <c r="Z13688"/>
      <c r="AA13688"/>
      <c r="AC13688"/>
      <c r="AR13688"/>
    </row>
    <row r="13689" spans="24:44">
      <c r="X13689"/>
      <c r="Y13689"/>
      <c r="Z13689"/>
      <c r="AA13689"/>
      <c r="AC13689"/>
      <c r="AR13689"/>
    </row>
    <row r="13690" spans="24:44">
      <c r="X13690"/>
      <c r="Y13690"/>
      <c r="Z13690"/>
      <c r="AA13690"/>
      <c r="AC13690"/>
      <c r="AR13690"/>
    </row>
    <row r="13691" spans="24:44">
      <c r="X13691"/>
      <c r="Y13691"/>
      <c r="Z13691"/>
      <c r="AA13691"/>
      <c r="AC13691"/>
      <c r="AR13691"/>
    </row>
    <row r="13692" spans="24:44">
      <c r="X13692"/>
      <c r="Y13692"/>
      <c r="Z13692"/>
      <c r="AA13692"/>
      <c r="AC13692"/>
      <c r="AR13692"/>
    </row>
    <row r="13693" spans="24:44">
      <c r="X13693"/>
      <c r="Y13693"/>
      <c r="Z13693"/>
      <c r="AA13693"/>
      <c r="AC13693"/>
      <c r="AR13693"/>
    </row>
    <row r="13694" spans="24:44">
      <c r="X13694"/>
      <c r="Y13694"/>
      <c r="Z13694"/>
      <c r="AA13694"/>
      <c r="AC13694"/>
      <c r="AR13694"/>
    </row>
    <row r="13695" spans="24:44">
      <c r="X13695"/>
      <c r="Y13695"/>
      <c r="Z13695"/>
      <c r="AA13695"/>
      <c r="AC13695"/>
      <c r="AR13695"/>
    </row>
    <row r="13696" spans="24:44">
      <c r="X13696"/>
      <c r="Y13696"/>
      <c r="Z13696"/>
      <c r="AA13696"/>
      <c r="AC13696"/>
      <c r="AR13696"/>
    </row>
    <row r="13697" spans="24:44">
      <c r="X13697"/>
      <c r="Y13697"/>
      <c r="Z13697"/>
      <c r="AA13697"/>
      <c r="AC13697"/>
      <c r="AR13697"/>
    </row>
    <row r="13698" spans="24:44">
      <c r="X13698"/>
      <c r="Y13698"/>
      <c r="Z13698"/>
      <c r="AA13698"/>
      <c r="AC13698"/>
      <c r="AR13698"/>
    </row>
    <row r="13699" spans="24:44">
      <c r="X13699"/>
      <c r="Y13699"/>
      <c r="Z13699"/>
      <c r="AA13699"/>
      <c r="AC13699"/>
      <c r="AR13699"/>
    </row>
    <row r="13700" spans="24:44">
      <c r="X13700"/>
      <c r="Y13700"/>
      <c r="Z13700"/>
      <c r="AA13700"/>
      <c r="AC13700"/>
      <c r="AR13700"/>
    </row>
    <row r="13701" spans="24:44">
      <c r="X13701"/>
      <c r="Y13701"/>
      <c r="Z13701"/>
      <c r="AA13701"/>
      <c r="AC13701"/>
      <c r="AR13701"/>
    </row>
    <row r="13702" spans="24:44">
      <c r="X13702"/>
      <c r="Y13702"/>
      <c r="Z13702"/>
      <c r="AA13702"/>
      <c r="AC13702"/>
      <c r="AR13702"/>
    </row>
    <row r="13703" spans="24:44">
      <c r="X13703"/>
      <c r="Y13703"/>
      <c r="Z13703"/>
      <c r="AA13703"/>
      <c r="AC13703"/>
      <c r="AR13703"/>
    </row>
    <row r="13704" spans="24:44">
      <c r="X13704"/>
      <c r="Y13704"/>
      <c r="Z13704"/>
      <c r="AA13704"/>
      <c r="AC13704"/>
      <c r="AR13704"/>
    </row>
    <row r="13705" spans="24:44">
      <c r="X13705"/>
      <c r="Y13705"/>
      <c r="Z13705"/>
      <c r="AA13705"/>
      <c r="AC13705"/>
      <c r="AR13705"/>
    </row>
    <row r="13706" spans="24:44">
      <c r="X13706"/>
      <c r="Y13706"/>
      <c r="Z13706"/>
      <c r="AA13706"/>
      <c r="AC13706"/>
      <c r="AR13706"/>
    </row>
    <row r="13707" spans="24:44">
      <c r="X13707"/>
      <c r="Y13707"/>
      <c r="Z13707"/>
      <c r="AA13707"/>
      <c r="AC13707"/>
      <c r="AR13707"/>
    </row>
    <row r="13708" spans="24:44">
      <c r="X13708"/>
      <c r="Y13708"/>
      <c r="Z13708"/>
      <c r="AA13708"/>
      <c r="AC13708"/>
      <c r="AR13708"/>
    </row>
    <row r="13709" spans="24:44">
      <c r="X13709"/>
      <c r="Y13709"/>
      <c r="Z13709"/>
      <c r="AA13709"/>
      <c r="AC13709"/>
      <c r="AR13709"/>
    </row>
    <row r="13710" spans="24:44">
      <c r="X13710"/>
      <c r="Y13710"/>
      <c r="Z13710"/>
      <c r="AA13710"/>
      <c r="AC13710"/>
      <c r="AR13710"/>
    </row>
    <row r="13711" spans="24:44">
      <c r="X13711"/>
      <c r="Y13711"/>
      <c r="Z13711"/>
      <c r="AA13711"/>
      <c r="AC13711"/>
      <c r="AR13711"/>
    </row>
    <row r="13712" spans="24:44">
      <c r="X13712"/>
      <c r="Y13712"/>
      <c r="Z13712"/>
      <c r="AA13712"/>
      <c r="AC13712"/>
      <c r="AR13712"/>
    </row>
    <row r="13713" spans="24:44">
      <c r="X13713"/>
      <c r="Y13713"/>
      <c r="Z13713"/>
      <c r="AA13713"/>
      <c r="AC13713"/>
      <c r="AR13713"/>
    </row>
    <row r="13714" spans="24:44">
      <c r="X13714"/>
      <c r="Y13714"/>
      <c r="Z13714"/>
      <c r="AA13714"/>
      <c r="AC13714"/>
      <c r="AR13714"/>
    </row>
    <row r="13715" spans="24:44">
      <c r="X13715"/>
      <c r="Y13715"/>
      <c r="Z13715"/>
      <c r="AA13715"/>
      <c r="AC13715"/>
      <c r="AR13715"/>
    </row>
    <row r="13716" spans="24:44">
      <c r="X13716"/>
      <c r="Y13716"/>
      <c r="Z13716"/>
      <c r="AA13716"/>
      <c r="AC13716"/>
      <c r="AR13716"/>
    </row>
    <row r="13717" spans="24:44">
      <c r="X13717"/>
      <c r="Y13717"/>
      <c r="Z13717"/>
      <c r="AA13717"/>
      <c r="AC13717"/>
      <c r="AR13717"/>
    </row>
    <row r="13718" spans="24:44">
      <c r="X13718"/>
      <c r="Y13718"/>
      <c r="Z13718"/>
      <c r="AA13718"/>
      <c r="AC13718"/>
      <c r="AR13718"/>
    </row>
    <row r="13719" spans="24:44">
      <c r="X13719"/>
      <c r="Y13719"/>
      <c r="Z13719"/>
      <c r="AA13719"/>
      <c r="AC13719"/>
      <c r="AR13719"/>
    </row>
    <row r="13720" spans="24:44">
      <c r="X13720"/>
      <c r="Y13720"/>
      <c r="Z13720"/>
      <c r="AA13720"/>
      <c r="AC13720"/>
      <c r="AR13720"/>
    </row>
    <row r="13721" spans="24:44">
      <c r="X13721"/>
      <c r="Y13721"/>
      <c r="Z13721"/>
      <c r="AA13721"/>
      <c r="AC13721"/>
      <c r="AR13721"/>
    </row>
    <row r="13722" spans="24:44">
      <c r="X13722"/>
      <c r="Y13722"/>
      <c r="Z13722"/>
      <c r="AA13722"/>
      <c r="AC13722"/>
      <c r="AR13722"/>
    </row>
    <row r="13723" spans="24:44">
      <c r="X13723"/>
      <c r="Y13723"/>
      <c r="Z13723"/>
      <c r="AA13723"/>
      <c r="AC13723"/>
      <c r="AR13723"/>
    </row>
    <row r="13724" spans="24:44">
      <c r="X13724"/>
      <c r="Y13724"/>
      <c r="Z13724"/>
      <c r="AA13724"/>
      <c r="AC13724"/>
      <c r="AR13724"/>
    </row>
    <row r="13725" spans="24:44">
      <c r="X13725"/>
      <c r="Y13725"/>
      <c r="Z13725"/>
      <c r="AA13725"/>
      <c r="AC13725"/>
      <c r="AR13725"/>
    </row>
    <row r="13726" spans="24:44">
      <c r="X13726"/>
      <c r="Y13726"/>
      <c r="Z13726"/>
      <c r="AA13726"/>
      <c r="AC13726"/>
      <c r="AR13726"/>
    </row>
    <row r="13727" spans="24:44">
      <c r="X13727"/>
      <c r="Y13727"/>
      <c r="Z13727"/>
      <c r="AA13727"/>
      <c r="AC13727"/>
      <c r="AR13727"/>
    </row>
    <row r="13728" spans="24:44">
      <c r="X13728"/>
      <c r="Y13728"/>
      <c r="Z13728"/>
      <c r="AA13728"/>
      <c r="AC13728"/>
      <c r="AR13728"/>
    </row>
    <row r="13729" spans="24:44">
      <c r="X13729"/>
      <c r="Y13729"/>
      <c r="Z13729"/>
      <c r="AA13729"/>
      <c r="AC13729"/>
      <c r="AR13729"/>
    </row>
    <row r="13730" spans="24:44">
      <c r="X13730"/>
      <c r="Y13730"/>
      <c r="Z13730"/>
      <c r="AA13730"/>
      <c r="AC13730"/>
      <c r="AR13730"/>
    </row>
    <row r="13731" spans="24:44">
      <c r="X13731"/>
      <c r="Y13731"/>
      <c r="Z13731"/>
      <c r="AA13731"/>
      <c r="AC13731"/>
      <c r="AR13731"/>
    </row>
    <row r="13732" spans="24:44">
      <c r="X13732"/>
      <c r="Y13732"/>
      <c r="Z13732"/>
      <c r="AA13732"/>
      <c r="AC13732"/>
      <c r="AR13732"/>
    </row>
    <row r="13733" spans="24:44">
      <c r="X13733"/>
      <c r="Y13733"/>
      <c r="Z13733"/>
      <c r="AA13733"/>
      <c r="AC13733"/>
      <c r="AR13733"/>
    </row>
    <row r="13734" spans="24:44">
      <c r="X13734"/>
      <c r="Y13734"/>
      <c r="Z13734"/>
      <c r="AA13734"/>
      <c r="AC13734"/>
      <c r="AR13734"/>
    </row>
    <row r="13735" spans="24:44">
      <c r="X13735"/>
      <c r="Y13735"/>
      <c r="Z13735"/>
      <c r="AA13735"/>
      <c r="AC13735"/>
      <c r="AR13735"/>
    </row>
    <row r="13736" spans="24:44">
      <c r="X13736"/>
      <c r="Y13736"/>
      <c r="Z13736"/>
      <c r="AA13736"/>
      <c r="AC13736"/>
      <c r="AR13736"/>
    </row>
    <row r="13737" spans="24:44">
      <c r="X13737"/>
      <c r="Y13737"/>
      <c r="Z13737"/>
      <c r="AA13737"/>
      <c r="AC13737"/>
      <c r="AR13737"/>
    </row>
    <row r="13738" spans="24:44">
      <c r="X13738"/>
      <c r="Y13738"/>
      <c r="Z13738"/>
      <c r="AA13738"/>
      <c r="AC13738"/>
      <c r="AR13738"/>
    </row>
    <row r="13739" spans="24:44">
      <c r="X13739"/>
      <c r="Y13739"/>
      <c r="Z13739"/>
      <c r="AA13739"/>
      <c r="AC13739"/>
      <c r="AR13739"/>
    </row>
    <row r="13740" spans="24:44">
      <c r="X13740"/>
      <c r="Y13740"/>
      <c r="Z13740"/>
      <c r="AA13740"/>
      <c r="AC13740"/>
      <c r="AR13740"/>
    </row>
    <row r="13741" spans="24:44">
      <c r="X13741"/>
      <c r="Y13741"/>
      <c r="Z13741"/>
      <c r="AA13741"/>
      <c r="AC13741"/>
      <c r="AR13741"/>
    </row>
    <row r="13742" spans="24:44">
      <c r="X13742"/>
      <c r="Y13742"/>
      <c r="Z13742"/>
      <c r="AA13742"/>
      <c r="AC13742"/>
      <c r="AR13742"/>
    </row>
    <row r="13743" spans="24:44">
      <c r="X13743"/>
      <c r="Y13743"/>
      <c r="Z13743"/>
      <c r="AA13743"/>
      <c r="AC13743"/>
      <c r="AR13743"/>
    </row>
    <row r="13744" spans="24:44">
      <c r="X13744"/>
      <c r="Y13744"/>
      <c r="Z13744"/>
      <c r="AA13744"/>
      <c r="AC13744"/>
      <c r="AR13744"/>
    </row>
    <row r="13745" spans="24:44">
      <c r="X13745"/>
      <c r="Y13745"/>
      <c r="Z13745"/>
      <c r="AA13745"/>
      <c r="AC13745"/>
      <c r="AR13745"/>
    </row>
    <row r="13746" spans="24:44">
      <c r="X13746"/>
      <c r="Y13746"/>
      <c r="Z13746"/>
      <c r="AA13746"/>
      <c r="AC13746"/>
      <c r="AR13746"/>
    </row>
    <row r="13747" spans="24:44">
      <c r="X13747"/>
      <c r="Y13747"/>
      <c r="Z13747"/>
      <c r="AA13747"/>
      <c r="AC13747"/>
      <c r="AR13747"/>
    </row>
    <row r="13748" spans="24:44">
      <c r="X13748"/>
      <c r="Y13748"/>
      <c r="Z13748"/>
      <c r="AA13748"/>
      <c r="AC13748"/>
      <c r="AR13748"/>
    </row>
    <row r="13749" spans="24:44">
      <c r="X13749"/>
      <c r="Y13749"/>
      <c r="Z13749"/>
      <c r="AA13749"/>
      <c r="AC13749"/>
      <c r="AR13749"/>
    </row>
    <row r="13750" spans="24:44">
      <c r="X13750"/>
      <c r="Y13750"/>
      <c r="Z13750"/>
      <c r="AA13750"/>
      <c r="AC13750"/>
      <c r="AR13750"/>
    </row>
    <row r="13751" spans="24:44">
      <c r="X13751"/>
      <c r="Y13751"/>
      <c r="Z13751"/>
      <c r="AA13751"/>
      <c r="AC13751"/>
      <c r="AR13751"/>
    </row>
    <row r="13752" spans="24:44">
      <c r="X13752"/>
      <c r="Y13752"/>
      <c r="Z13752"/>
      <c r="AA13752"/>
      <c r="AC13752"/>
      <c r="AR13752"/>
    </row>
    <row r="13753" spans="24:44">
      <c r="X13753"/>
      <c r="Y13753"/>
      <c r="Z13753"/>
      <c r="AA13753"/>
      <c r="AC13753"/>
      <c r="AR13753"/>
    </row>
    <row r="13754" spans="24:44">
      <c r="X13754"/>
      <c r="Y13754"/>
      <c r="Z13754"/>
      <c r="AA13754"/>
      <c r="AC13754"/>
      <c r="AR13754"/>
    </row>
    <row r="13755" spans="24:44">
      <c r="X13755"/>
      <c r="Y13755"/>
      <c r="Z13755"/>
      <c r="AA13755"/>
      <c r="AC13755"/>
      <c r="AR13755"/>
    </row>
    <row r="13756" spans="24:44">
      <c r="X13756"/>
      <c r="Y13756"/>
      <c r="Z13756"/>
      <c r="AA13756"/>
      <c r="AC13756"/>
      <c r="AR13756"/>
    </row>
    <row r="13757" spans="24:44">
      <c r="X13757"/>
      <c r="Y13757"/>
      <c r="Z13757"/>
      <c r="AA13757"/>
      <c r="AC13757"/>
      <c r="AR13757"/>
    </row>
    <row r="13758" spans="24:44">
      <c r="X13758"/>
      <c r="Y13758"/>
      <c r="Z13758"/>
      <c r="AA13758"/>
      <c r="AC13758"/>
      <c r="AR13758"/>
    </row>
    <row r="13759" spans="24:44">
      <c r="X13759"/>
      <c r="Y13759"/>
      <c r="Z13759"/>
      <c r="AA13759"/>
      <c r="AC13759"/>
      <c r="AR13759"/>
    </row>
    <row r="13760" spans="24:44">
      <c r="X13760"/>
      <c r="Y13760"/>
      <c r="Z13760"/>
      <c r="AA13760"/>
      <c r="AC13760"/>
      <c r="AR13760"/>
    </row>
    <row r="13761" spans="24:44">
      <c r="X13761"/>
      <c r="Y13761"/>
      <c r="Z13761"/>
      <c r="AA13761"/>
      <c r="AC13761"/>
      <c r="AR13761"/>
    </row>
    <row r="13762" spans="24:44">
      <c r="X13762"/>
      <c r="Y13762"/>
      <c r="Z13762"/>
      <c r="AA13762"/>
      <c r="AC13762"/>
      <c r="AR13762"/>
    </row>
    <row r="13763" spans="24:44">
      <c r="X13763"/>
      <c r="Y13763"/>
      <c r="Z13763"/>
      <c r="AA13763"/>
      <c r="AC13763"/>
      <c r="AR13763"/>
    </row>
    <row r="13764" spans="24:44">
      <c r="X13764"/>
      <c r="Y13764"/>
      <c r="Z13764"/>
      <c r="AA13764"/>
      <c r="AC13764"/>
      <c r="AR13764"/>
    </row>
    <row r="13765" spans="24:44">
      <c r="X13765"/>
      <c r="Y13765"/>
      <c r="Z13765"/>
      <c r="AA13765"/>
      <c r="AC13765"/>
      <c r="AR13765"/>
    </row>
    <row r="13766" spans="24:44">
      <c r="X13766"/>
      <c r="Y13766"/>
      <c r="Z13766"/>
      <c r="AA13766"/>
      <c r="AC13766"/>
      <c r="AR13766"/>
    </row>
    <row r="13767" spans="24:44">
      <c r="X13767"/>
      <c r="Y13767"/>
      <c r="Z13767"/>
      <c r="AA13767"/>
      <c r="AC13767"/>
      <c r="AR13767"/>
    </row>
    <row r="13768" spans="24:44">
      <c r="X13768"/>
      <c r="Y13768"/>
      <c r="Z13768"/>
      <c r="AA13768"/>
      <c r="AC13768"/>
      <c r="AR13768"/>
    </row>
    <row r="13769" spans="24:44">
      <c r="X13769"/>
      <c r="Y13769"/>
      <c r="Z13769"/>
      <c r="AA13769"/>
      <c r="AC13769"/>
      <c r="AR13769"/>
    </row>
    <row r="13770" spans="24:44">
      <c r="X13770"/>
      <c r="Y13770"/>
      <c r="Z13770"/>
      <c r="AA13770"/>
      <c r="AC13770"/>
      <c r="AR13770"/>
    </row>
    <row r="13771" spans="24:44">
      <c r="X13771"/>
      <c r="Y13771"/>
      <c r="Z13771"/>
      <c r="AA13771"/>
      <c r="AC13771"/>
      <c r="AR13771"/>
    </row>
    <row r="13772" spans="24:44">
      <c r="X13772"/>
      <c r="Y13772"/>
      <c r="Z13772"/>
      <c r="AA13772"/>
      <c r="AC13772"/>
      <c r="AR13772"/>
    </row>
    <row r="13773" spans="24:44">
      <c r="X13773"/>
      <c r="Y13773"/>
      <c r="Z13773"/>
      <c r="AA13773"/>
      <c r="AC13773"/>
      <c r="AR13773"/>
    </row>
    <row r="13774" spans="24:44">
      <c r="X13774"/>
      <c r="Y13774"/>
      <c r="Z13774"/>
      <c r="AA13774"/>
      <c r="AC13774"/>
      <c r="AR13774"/>
    </row>
    <row r="13775" spans="24:44">
      <c r="X13775"/>
      <c r="Y13775"/>
      <c r="Z13775"/>
      <c r="AA13775"/>
      <c r="AC13775"/>
      <c r="AR13775"/>
    </row>
    <row r="13776" spans="24:44">
      <c r="X13776"/>
      <c r="Y13776"/>
      <c r="Z13776"/>
      <c r="AA13776"/>
      <c r="AC13776"/>
      <c r="AR13776"/>
    </row>
    <row r="13777" spans="24:44">
      <c r="X13777"/>
      <c r="Y13777"/>
      <c r="Z13777"/>
      <c r="AA13777"/>
      <c r="AC13777"/>
      <c r="AR13777"/>
    </row>
    <row r="13778" spans="24:44">
      <c r="X13778"/>
      <c r="Y13778"/>
      <c r="Z13778"/>
      <c r="AA13778"/>
      <c r="AC13778"/>
      <c r="AR13778"/>
    </row>
    <row r="13779" spans="24:44">
      <c r="X13779"/>
      <c r="Y13779"/>
      <c r="Z13779"/>
      <c r="AA13779"/>
      <c r="AC13779"/>
      <c r="AR13779"/>
    </row>
    <row r="13780" spans="24:44">
      <c r="X13780"/>
      <c r="Y13780"/>
      <c r="Z13780"/>
      <c r="AA13780"/>
      <c r="AC13780"/>
      <c r="AR13780"/>
    </row>
    <row r="13781" spans="24:44">
      <c r="X13781"/>
      <c r="Y13781"/>
      <c r="Z13781"/>
      <c r="AA13781"/>
      <c r="AC13781"/>
      <c r="AR13781"/>
    </row>
    <row r="13782" spans="24:44">
      <c r="X13782"/>
      <c r="Y13782"/>
      <c r="Z13782"/>
      <c r="AA13782"/>
      <c r="AC13782"/>
      <c r="AR13782"/>
    </row>
    <row r="13783" spans="24:44">
      <c r="X13783"/>
      <c r="Y13783"/>
      <c r="Z13783"/>
      <c r="AA13783"/>
      <c r="AC13783"/>
      <c r="AR13783"/>
    </row>
    <row r="13784" spans="24:44">
      <c r="X13784"/>
      <c r="Y13784"/>
      <c r="Z13784"/>
      <c r="AA13784"/>
      <c r="AC13784"/>
      <c r="AR13784"/>
    </row>
    <row r="13785" spans="24:44">
      <c r="X13785"/>
      <c r="Y13785"/>
      <c r="Z13785"/>
      <c r="AA13785"/>
      <c r="AC13785"/>
      <c r="AR13785"/>
    </row>
    <row r="13786" spans="24:44">
      <c r="X13786"/>
      <c r="Y13786"/>
      <c r="Z13786"/>
      <c r="AA13786"/>
      <c r="AC13786"/>
      <c r="AR13786"/>
    </row>
    <row r="13787" spans="24:44">
      <c r="X13787"/>
      <c r="Y13787"/>
      <c r="Z13787"/>
      <c r="AA13787"/>
      <c r="AC13787"/>
      <c r="AR13787"/>
    </row>
    <row r="13788" spans="24:44">
      <c r="X13788"/>
      <c r="Y13788"/>
      <c r="Z13788"/>
      <c r="AA13788"/>
      <c r="AC13788"/>
      <c r="AR13788"/>
    </row>
    <row r="13789" spans="24:44">
      <c r="X13789"/>
      <c r="Y13789"/>
      <c r="Z13789"/>
      <c r="AA13789"/>
      <c r="AC13789"/>
      <c r="AR13789"/>
    </row>
    <row r="13790" spans="24:44">
      <c r="X13790"/>
      <c r="Y13790"/>
      <c r="Z13790"/>
      <c r="AA13790"/>
      <c r="AC13790"/>
      <c r="AR13790"/>
    </row>
    <row r="13791" spans="24:44">
      <c r="X13791"/>
      <c r="Y13791"/>
      <c r="Z13791"/>
      <c r="AA13791"/>
      <c r="AC13791"/>
      <c r="AR13791"/>
    </row>
    <row r="13792" spans="24:44">
      <c r="X13792"/>
      <c r="Y13792"/>
      <c r="Z13792"/>
      <c r="AA13792"/>
      <c r="AC13792"/>
      <c r="AR13792"/>
    </row>
    <row r="13793" spans="24:44">
      <c r="X13793"/>
      <c r="Y13793"/>
      <c r="Z13793"/>
      <c r="AA13793"/>
      <c r="AC13793"/>
      <c r="AR13793"/>
    </row>
    <row r="13794" spans="24:44">
      <c r="X13794"/>
      <c r="Y13794"/>
      <c r="Z13794"/>
      <c r="AA13794"/>
      <c r="AC13794"/>
      <c r="AR13794"/>
    </row>
    <row r="13795" spans="24:44">
      <c r="X13795"/>
      <c r="Y13795"/>
      <c r="Z13795"/>
      <c r="AA13795"/>
      <c r="AC13795"/>
      <c r="AR13795"/>
    </row>
    <row r="13796" spans="24:44">
      <c r="X13796"/>
      <c r="Y13796"/>
      <c r="Z13796"/>
      <c r="AA13796"/>
      <c r="AC13796"/>
      <c r="AR13796"/>
    </row>
    <row r="13797" spans="24:44">
      <c r="X13797"/>
      <c r="Y13797"/>
      <c r="Z13797"/>
      <c r="AA13797"/>
      <c r="AC13797"/>
      <c r="AR13797"/>
    </row>
    <row r="13798" spans="24:44">
      <c r="X13798"/>
      <c r="Y13798"/>
      <c r="Z13798"/>
      <c r="AA13798"/>
      <c r="AC13798"/>
      <c r="AR13798"/>
    </row>
    <row r="13799" spans="24:44">
      <c r="X13799"/>
      <c r="Y13799"/>
      <c r="Z13799"/>
      <c r="AA13799"/>
      <c r="AC13799"/>
      <c r="AR13799"/>
    </row>
    <row r="13800" spans="24:44">
      <c r="X13800"/>
      <c r="Y13800"/>
      <c r="Z13800"/>
      <c r="AA13800"/>
      <c r="AC13800"/>
      <c r="AR13800"/>
    </row>
    <row r="13801" spans="24:44">
      <c r="X13801"/>
      <c r="Y13801"/>
      <c r="Z13801"/>
      <c r="AA13801"/>
      <c r="AC13801"/>
      <c r="AR13801"/>
    </row>
    <row r="13802" spans="24:44">
      <c r="X13802"/>
      <c r="Y13802"/>
      <c r="Z13802"/>
      <c r="AA13802"/>
      <c r="AC13802"/>
      <c r="AR13802"/>
    </row>
    <row r="13803" spans="24:44">
      <c r="X13803"/>
      <c r="Y13803"/>
      <c r="Z13803"/>
      <c r="AA13803"/>
      <c r="AC13803"/>
      <c r="AR13803"/>
    </row>
    <row r="13804" spans="24:44">
      <c r="X13804"/>
      <c r="Y13804"/>
      <c r="Z13804"/>
      <c r="AA13804"/>
      <c r="AC13804"/>
      <c r="AR13804"/>
    </row>
    <row r="13805" spans="24:44">
      <c r="X13805"/>
      <c r="Y13805"/>
      <c r="Z13805"/>
      <c r="AA13805"/>
      <c r="AC13805"/>
      <c r="AR13805"/>
    </row>
    <row r="13806" spans="24:44">
      <c r="X13806"/>
      <c r="Y13806"/>
      <c r="Z13806"/>
      <c r="AA13806"/>
      <c r="AC13806"/>
      <c r="AR13806"/>
    </row>
    <row r="13807" spans="24:44">
      <c r="X13807"/>
      <c r="Y13807"/>
      <c r="Z13807"/>
      <c r="AA13807"/>
      <c r="AC13807"/>
      <c r="AR13807"/>
    </row>
    <row r="13808" spans="24:44">
      <c r="X13808"/>
      <c r="Y13808"/>
      <c r="Z13808"/>
      <c r="AA13808"/>
      <c r="AC13808"/>
      <c r="AR13808"/>
    </row>
    <row r="13809" spans="24:44">
      <c r="X13809"/>
      <c r="Y13809"/>
      <c r="Z13809"/>
      <c r="AA13809"/>
      <c r="AC13809"/>
      <c r="AR13809"/>
    </row>
    <row r="13810" spans="24:44">
      <c r="X13810"/>
      <c r="Y13810"/>
      <c r="Z13810"/>
      <c r="AA13810"/>
      <c r="AC13810"/>
      <c r="AR13810"/>
    </row>
    <row r="13811" spans="24:44">
      <c r="X13811"/>
      <c r="Y13811"/>
      <c r="Z13811"/>
      <c r="AA13811"/>
      <c r="AC13811"/>
      <c r="AR13811"/>
    </row>
    <row r="13812" spans="24:44">
      <c r="X13812"/>
      <c r="Y13812"/>
      <c r="Z13812"/>
      <c r="AA13812"/>
      <c r="AC13812"/>
      <c r="AR13812"/>
    </row>
    <row r="13813" spans="24:44">
      <c r="X13813"/>
      <c r="Y13813"/>
      <c r="Z13813"/>
      <c r="AA13813"/>
      <c r="AC13813"/>
      <c r="AR13813"/>
    </row>
    <row r="13814" spans="24:44">
      <c r="X13814"/>
      <c r="Y13814"/>
      <c r="Z13814"/>
      <c r="AA13814"/>
      <c r="AC13814"/>
      <c r="AR13814"/>
    </row>
    <row r="13815" spans="24:44">
      <c r="X13815"/>
      <c r="Y13815"/>
      <c r="Z13815"/>
      <c r="AA13815"/>
      <c r="AC13815"/>
      <c r="AR13815"/>
    </row>
    <row r="13816" spans="24:44">
      <c r="X13816"/>
      <c r="Y13816"/>
      <c r="Z13816"/>
      <c r="AA13816"/>
      <c r="AC13816"/>
      <c r="AR13816"/>
    </row>
    <row r="13817" spans="24:44">
      <c r="X13817"/>
      <c r="Y13817"/>
      <c r="Z13817"/>
      <c r="AA13817"/>
      <c r="AC13817"/>
      <c r="AR13817"/>
    </row>
    <row r="13818" spans="24:44">
      <c r="X13818"/>
      <c r="Y13818"/>
      <c r="Z13818"/>
      <c r="AA13818"/>
      <c r="AC13818"/>
      <c r="AR13818"/>
    </row>
    <row r="13819" spans="24:44">
      <c r="X13819"/>
      <c r="Y13819"/>
      <c r="Z13819"/>
      <c r="AA13819"/>
      <c r="AC13819"/>
      <c r="AR13819"/>
    </row>
    <row r="13820" spans="24:44">
      <c r="X13820"/>
      <c r="Y13820"/>
      <c r="Z13820"/>
      <c r="AA13820"/>
      <c r="AC13820"/>
      <c r="AR13820"/>
    </row>
    <row r="13821" spans="24:44">
      <c r="X13821"/>
      <c r="Y13821"/>
      <c r="Z13821"/>
      <c r="AA13821"/>
      <c r="AC13821"/>
      <c r="AR13821"/>
    </row>
    <row r="13822" spans="24:44">
      <c r="X13822"/>
      <c r="Y13822"/>
      <c r="Z13822"/>
      <c r="AA13822"/>
      <c r="AC13822"/>
      <c r="AR13822"/>
    </row>
    <row r="13823" spans="24:44">
      <c r="X13823"/>
      <c r="Y13823"/>
      <c r="Z13823"/>
      <c r="AA13823"/>
      <c r="AC13823"/>
      <c r="AR13823"/>
    </row>
    <row r="13824" spans="24:44">
      <c r="X13824"/>
      <c r="Y13824"/>
      <c r="Z13824"/>
      <c r="AA13824"/>
      <c r="AC13824"/>
      <c r="AR13824"/>
    </row>
    <row r="13825" spans="24:44">
      <c r="X13825"/>
      <c r="Y13825"/>
      <c r="Z13825"/>
      <c r="AA13825"/>
      <c r="AC13825"/>
      <c r="AR13825"/>
    </row>
    <row r="13826" spans="24:44">
      <c r="X13826"/>
      <c r="Y13826"/>
      <c r="Z13826"/>
      <c r="AA13826"/>
      <c r="AC13826"/>
      <c r="AR13826"/>
    </row>
    <row r="13827" spans="24:44">
      <c r="X13827"/>
      <c r="Y13827"/>
      <c r="Z13827"/>
      <c r="AA13827"/>
      <c r="AC13827"/>
      <c r="AR13827"/>
    </row>
    <row r="13828" spans="24:44">
      <c r="X13828"/>
      <c r="Y13828"/>
      <c r="Z13828"/>
      <c r="AA13828"/>
      <c r="AC13828"/>
      <c r="AR13828"/>
    </row>
    <row r="13829" spans="24:44">
      <c r="X13829"/>
      <c r="Y13829"/>
      <c r="Z13829"/>
      <c r="AA13829"/>
      <c r="AC13829"/>
      <c r="AR13829"/>
    </row>
    <row r="13830" spans="24:44">
      <c r="X13830"/>
      <c r="Y13830"/>
      <c r="Z13830"/>
      <c r="AA13830"/>
      <c r="AC13830"/>
      <c r="AR13830"/>
    </row>
    <row r="13831" spans="24:44">
      <c r="X13831"/>
      <c r="Y13831"/>
      <c r="Z13831"/>
      <c r="AA13831"/>
      <c r="AC13831"/>
      <c r="AR13831"/>
    </row>
    <row r="13832" spans="24:44">
      <c r="X13832"/>
      <c r="Y13832"/>
      <c r="Z13832"/>
      <c r="AA13832"/>
      <c r="AC13832"/>
      <c r="AR13832"/>
    </row>
    <row r="13833" spans="24:44">
      <c r="X13833"/>
      <c r="Y13833"/>
      <c r="Z13833"/>
      <c r="AA13833"/>
      <c r="AC13833"/>
      <c r="AR13833"/>
    </row>
    <row r="13834" spans="24:44">
      <c r="X13834"/>
      <c r="Y13834"/>
      <c r="Z13834"/>
      <c r="AA13834"/>
      <c r="AC13834"/>
      <c r="AR13834"/>
    </row>
    <row r="13835" spans="24:44">
      <c r="X13835"/>
      <c r="Y13835"/>
      <c r="Z13835"/>
      <c r="AA13835"/>
      <c r="AC13835"/>
      <c r="AR13835"/>
    </row>
    <row r="13836" spans="24:44">
      <c r="X13836"/>
      <c r="Y13836"/>
      <c r="Z13836"/>
      <c r="AA13836"/>
      <c r="AC13836"/>
      <c r="AR13836"/>
    </row>
    <row r="13837" spans="24:44">
      <c r="X13837"/>
      <c r="Y13837"/>
      <c r="Z13837"/>
      <c r="AA13837"/>
      <c r="AC13837"/>
      <c r="AR13837"/>
    </row>
    <row r="13838" spans="24:44">
      <c r="X13838"/>
      <c r="Y13838"/>
      <c r="Z13838"/>
      <c r="AA13838"/>
      <c r="AC13838"/>
      <c r="AR13838"/>
    </row>
    <row r="13839" spans="24:44">
      <c r="X13839"/>
      <c r="Y13839"/>
      <c r="Z13839"/>
      <c r="AA13839"/>
      <c r="AC13839"/>
      <c r="AR13839"/>
    </row>
    <row r="13840" spans="24:44">
      <c r="X13840"/>
      <c r="Y13840"/>
      <c r="Z13840"/>
      <c r="AA13840"/>
      <c r="AC13840"/>
      <c r="AR13840"/>
    </row>
    <row r="13841" spans="24:44">
      <c r="X13841"/>
      <c r="Y13841"/>
      <c r="Z13841"/>
      <c r="AA13841"/>
      <c r="AC13841"/>
      <c r="AR13841"/>
    </row>
    <row r="13842" spans="24:44">
      <c r="X13842"/>
      <c r="Y13842"/>
      <c r="Z13842"/>
      <c r="AA13842"/>
      <c r="AC13842"/>
      <c r="AR13842"/>
    </row>
    <row r="13843" spans="24:44">
      <c r="X13843"/>
      <c r="Y13843"/>
      <c r="Z13843"/>
      <c r="AA13843"/>
      <c r="AC13843"/>
      <c r="AR13843"/>
    </row>
    <row r="13844" spans="24:44">
      <c r="X13844"/>
      <c r="Y13844"/>
      <c r="Z13844"/>
      <c r="AA13844"/>
      <c r="AC13844"/>
      <c r="AR13844"/>
    </row>
    <row r="13845" spans="24:44">
      <c r="X13845"/>
      <c r="Y13845"/>
      <c r="Z13845"/>
      <c r="AA13845"/>
      <c r="AC13845"/>
      <c r="AR13845"/>
    </row>
    <row r="13846" spans="24:44">
      <c r="X13846"/>
      <c r="Y13846"/>
      <c r="Z13846"/>
      <c r="AA13846"/>
      <c r="AC13846"/>
      <c r="AR13846"/>
    </row>
    <row r="13847" spans="24:44">
      <c r="X13847"/>
      <c r="Y13847"/>
      <c r="Z13847"/>
      <c r="AA13847"/>
      <c r="AC13847"/>
      <c r="AR13847"/>
    </row>
    <row r="13848" spans="24:44">
      <c r="X13848"/>
      <c r="Y13848"/>
      <c r="Z13848"/>
      <c r="AA13848"/>
      <c r="AC13848"/>
      <c r="AR13848"/>
    </row>
    <row r="13849" spans="24:44">
      <c r="X13849"/>
      <c r="Y13849"/>
      <c r="Z13849"/>
      <c r="AA13849"/>
      <c r="AC13849"/>
      <c r="AR13849"/>
    </row>
    <row r="13850" spans="24:44">
      <c r="X13850"/>
      <c r="Y13850"/>
      <c r="Z13850"/>
      <c r="AA13850"/>
      <c r="AC13850"/>
      <c r="AR13850"/>
    </row>
    <row r="13851" spans="24:44">
      <c r="X13851"/>
      <c r="Y13851"/>
      <c r="Z13851"/>
      <c r="AA13851"/>
      <c r="AC13851"/>
      <c r="AR13851"/>
    </row>
    <row r="13852" spans="24:44">
      <c r="X13852"/>
      <c r="Y13852"/>
      <c r="Z13852"/>
      <c r="AA13852"/>
      <c r="AC13852"/>
      <c r="AR13852"/>
    </row>
    <row r="13853" spans="24:44">
      <c r="X13853"/>
      <c r="Y13853"/>
      <c r="Z13853"/>
      <c r="AA13853"/>
      <c r="AC13853"/>
      <c r="AR13853"/>
    </row>
    <row r="13854" spans="24:44">
      <c r="X13854"/>
      <c r="Y13854"/>
      <c r="Z13854"/>
      <c r="AA13854"/>
      <c r="AC13854"/>
      <c r="AR13854"/>
    </row>
    <row r="13855" spans="24:44">
      <c r="X13855"/>
      <c r="Y13855"/>
      <c r="Z13855"/>
      <c r="AA13855"/>
      <c r="AC13855"/>
      <c r="AR13855"/>
    </row>
    <row r="13856" spans="24:44">
      <c r="X13856"/>
      <c r="Y13856"/>
      <c r="Z13856"/>
      <c r="AA13856"/>
      <c r="AC13856"/>
      <c r="AR13856"/>
    </row>
    <row r="13857" spans="24:44">
      <c r="X13857"/>
      <c r="Y13857"/>
      <c r="Z13857"/>
      <c r="AA13857"/>
      <c r="AC13857"/>
      <c r="AR13857"/>
    </row>
    <row r="13858" spans="24:44">
      <c r="X13858"/>
      <c r="Y13858"/>
      <c r="Z13858"/>
      <c r="AA13858"/>
      <c r="AC13858"/>
      <c r="AR13858"/>
    </row>
    <row r="13859" spans="24:44">
      <c r="X13859"/>
      <c r="Y13859"/>
      <c r="Z13859"/>
      <c r="AA13859"/>
      <c r="AC13859"/>
      <c r="AR13859"/>
    </row>
    <row r="13860" spans="24:44">
      <c r="X13860"/>
      <c r="Y13860"/>
      <c r="Z13860"/>
      <c r="AA13860"/>
      <c r="AC13860"/>
      <c r="AR13860"/>
    </row>
    <row r="13861" spans="24:44">
      <c r="X13861"/>
      <c r="Y13861"/>
      <c r="Z13861"/>
      <c r="AA13861"/>
      <c r="AC13861"/>
      <c r="AR13861"/>
    </row>
    <row r="13862" spans="24:44">
      <c r="X13862"/>
      <c r="Y13862"/>
      <c r="Z13862"/>
      <c r="AA13862"/>
      <c r="AC13862"/>
      <c r="AR13862"/>
    </row>
    <row r="13863" spans="24:44">
      <c r="X13863"/>
      <c r="Y13863"/>
      <c r="Z13863"/>
      <c r="AA13863"/>
      <c r="AC13863"/>
      <c r="AR13863"/>
    </row>
    <row r="13864" spans="24:44">
      <c r="X13864"/>
      <c r="Y13864"/>
      <c r="Z13864"/>
      <c r="AA13864"/>
      <c r="AC13864"/>
      <c r="AR13864"/>
    </row>
    <row r="13865" spans="24:44">
      <c r="X13865"/>
      <c r="Y13865"/>
      <c r="Z13865"/>
      <c r="AA13865"/>
      <c r="AC13865"/>
      <c r="AR13865"/>
    </row>
    <row r="13866" spans="24:44">
      <c r="X13866"/>
      <c r="Y13866"/>
      <c r="Z13866"/>
      <c r="AA13866"/>
      <c r="AC13866"/>
      <c r="AR13866"/>
    </row>
    <row r="13867" spans="24:44">
      <c r="X13867"/>
      <c r="Y13867"/>
      <c r="Z13867"/>
      <c r="AA13867"/>
      <c r="AC13867"/>
      <c r="AR13867"/>
    </row>
    <row r="13868" spans="24:44">
      <c r="X13868"/>
      <c r="Y13868"/>
      <c r="Z13868"/>
      <c r="AA13868"/>
      <c r="AC13868"/>
      <c r="AR13868"/>
    </row>
    <row r="13869" spans="24:44">
      <c r="X13869"/>
      <c r="Y13869"/>
      <c r="Z13869"/>
      <c r="AA13869"/>
      <c r="AC13869"/>
      <c r="AR13869"/>
    </row>
    <row r="13870" spans="24:44">
      <c r="X13870"/>
      <c r="Y13870"/>
      <c r="Z13870"/>
      <c r="AA13870"/>
      <c r="AC13870"/>
      <c r="AR13870"/>
    </row>
    <row r="13871" spans="24:44">
      <c r="X13871"/>
      <c r="Y13871"/>
      <c r="Z13871"/>
      <c r="AA13871"/>
      <c r="AC13871"/>
      <c r="AR13871"/>
    </row>
    <row r="13872" spans="24:44">
      <c r="X13872"/>
      <c r="Y13872"/>
      <c r="Z13872"/>
      <c r="AA13872"/>
      <c r="AC13872"/>
      <c r="AR13872"/>
    </row>
    <row r="13873" spans="24:44">
      <c r="X13873"/>
      <c r="Y13873"/>
      <c r="Z13873"/>
      <c r="AA13873"/>
      <c r="AC13873"/>
      <c r="AR13873"/>
    </row>
    <row r="13874" spans="24:44">
      <c r="X13874"/>
      <c r="Y13874"/>
      <c r="Z13874"/>
      <c r="AA13874"/>
      <c r="AC13874"/>
      <c r="AR13874"/>
    </row>
    <row r="13875" spans="24:44">
      <c r="X13875"/>
      <c r="Y13875"/>
      <c r="Z13875"/>
      <c r="AA13875"/>
      <c r="AC13875"/>
      <c r="AR13875"/>
    </row>
    <row r="13876" spans="24:44">
      <c r="X13876"/>
      <c r="Y13876"/>
      <c r="Z13876"/>
      <c r="AA13876"/>
      <c r="AC13876"/>
      <c r="AR13876"/>
    </row>
    <row r="13877" spans="24:44">
      <c r="X13877"/>
      <c r="Y13877"/>
      <c r="Z13877"/>
      <c r="AA13877"/>
      <c r="AC13877"/>
      <c r="AR13877"/>
    </row>
    <row r="13878" spans="24:44">
      <c r="X13878"/>
      <c r="Y13878"/>
      <c r="Z13878"/>
      <c r="AA13878"/>
      <c r="AC13878"/>
      <c r="AR13878"/>
    </row>
    <row r="13879" spans="24:44">
      <c r="X13879"/>
      <c r="Y13879"/>
      <c r="Z13879"/>
      <c r="AA13879"/>
      <c r="AC13879"/>
      <c r="AR13879"/>
    </row>
    <row r="13880" spans="24:44">
      <c r="X13880"/>
      <c r="Y13880"/>
      <c r="Z13880"/>
      <c r="AA13880"/>
      <c r="AC13880"/>
      <c r="AR13880"/>
    </row>
    <row r="13881" spans="24:44">
      <c r="X13881"/>
      <c r="Y13881"/>
      <c r="Z13881"/>
      <c r="AA13881"/>
      <c r="AC13881"/>
      <c r="AR13881"/>
    </row>
    <row r="13882" spans="24:44">
      <c r="X13882"/>
      <c r="Y13882"/>
      <c r="Z13882"/>
      <c r="AA13882"/>
      <c r="AC13882"/>
      <c r="AR13882"/>
    </row>
    <row r="13883" spans="24:44">
      <c r="X13883"/>
      <c r="Y13883"/>
      <c r="Z13883"/>
      <c r="AA13883"/>
      <c r="AC13883"/>
      <c r="AR13883"/>
    </row>
    <row r="13884" spans="24:44">
      <c r="X13884"/>
      <c r="Y13884"/>
      <c r="Z13884"/>
      <c r="AA13884"/>
      <c r="AC13884"/>
      <c r="AR13884"/>
    </row>
    <row r="13885" spans="24:44">
      <c r="X13885"/>
      <c r="Y13885"/>
      <c r="Z13885"/>
      <c r="AA13885"/>
      <c r="AC13885"/>
      <c r="AR13885"/>
    </row>
    <row r="13886" spans="24:44">
      <c r="X13886"/>
      <c r="Y13886"/>
      <c r="Z13886"/>
      <c r="AA13886"/>
      <c r="AC13886"/>
      <c r="AR13886"/>
    </row>
    <row r="13887" spans="24:44">
      <c r="X13887"/>
      <c r="Y13887"/>
      <c r="Z13887"/>
      <c r="AA13887"/>
      <c r="AC13887"/>
      <c r="AR13887"/>
    </row>
    <row r="13888" spans="24:44">
      <c r="X13888"/>
      <c r="Y13888"/>
      <c r="Z13888"/>
      <c r="AA13888"/>
      <c r="AC13888"/>
      <c r="AR13888"/>
    </row>
    <row r="13889" spans="24:44">
      <c r="X13889"/>
      <c r="Y13889"/>
      <c r="Z13889"/>
      <c r="AA13889"/>
      <c r="AC13889"/>
      <c r="AR13889"/>
    </row>
    <row r="13890" spans="24:44">
      <c r="X13890"/>
      <c r="Y13890"/>
      <c r="Z13890"/>
      <c r="AA13890"/>
      <c r="AC13890"/>
      <c r="AR13890"/>
    </row>
    <row r="13891" spans="24:44">
      <c r="X13891"/>
      <c r="Y13891"/>
      <c r="Z13891"/>
      <c r="AA13891"/>
      <c r="AC13891"/>
      <c r="AR13891"/>
    </row>
    <row r="13892" spans="24:44">
      <c r="X13892"/>
      <c r="Y13892"/>
      <c r="Z13892"/>
      <c r="AA13892"/>
      <c r="AC13892"/>
      <c r="AR13892"/>
    </row>
    <row r="13893" spans="24:44">
      <c r="X13893"/>
      <c r="Y13893"/>
      <c r="Z13893"/>
      <c r="AA13893"/>
      <c r="AC13893"/>
      <c r="AR13893"/>
    </row>
    <row r="13894" spans="24:44">
      <c r="X13894"/>
      <c r="Y13894"/>
      <c r="Z13894"/>
      <c r="AA13894"/>
      <c r="AC13894"/>
      <c r="AR13894"/>
    </row>
    <row r="13895" spans="24:44">
      <c r="X13895"/>
      <c r="Y13895"/>
      <c r="Z13895"/>
      <c r="AA13895"/>
      <c r="AC13895"/>
      <c r="AR13895"/>
    </row>
    <row r="13896" spans="24:44">
      <c r="X13896"/>
      <c r="Y13896"/>
      <c r="Z13896"/>
      <c r="AA13896"/>
      <c r="AC13896"/>
      <c r="AR13896"/>
    </row>
    <row r="13897" spans="24:44">
      <c r="X13897"/>
      <c r="Y13897"/>
      <c r="Z13897"/>
      <c r="AA13897"/>
      <c r="AC13897"/>
      <c r="AR13897"/>
    </row>
    <row r="13898" spans="24:44">
      <c r="X13898"/>
      <c r="Y13898"/>
      <c r="Z13898"/>
      <c r="AA13898"/>
      <c r="AC13898"/>
      <c r="AR13898"/>
    </row>
    <row r="13899" spans="24:44">
      <c r="X13899"/>
      <c r="Y13899"/>
      <c r="Z13899"/>
      <c r="AA13899"/>
      <c r="AC13899"/>
      <c r="AR13899"/>
    </row>
    <row r="13900" spans="24:44">
      <c r="X13900"/>
      <c r="Y13900"/>
      <c r="Z13900"/>
      <c r="AA13900"/>
      <c r="AC13900"/>
      <c r="AR13900"/>
    </row>
    <row r="13901" spans="24:44">
      <c r="X13901"/>
      <c r="Y13901"/>
      <c r="Z13901"/>
      <c r="AA13901"/>
      <c r="AC13901"/>
      <c r="AR13901"/>
    </row>
    <row r="13902" spans="24:44">
      <c r="X13902"/>
      <c r="Y13902"/>
      <c r="Z13902"/>
      <c r="AA13902"/>
      <c r="AC13902"/>
      <c r="AR13902"/>
    </row>
    <row r="13903" spans="24:44">
      <c r="X13903"/>
      <c r="Y13903"/>
      <c r="Z13903"/>
      <c r="AA13903"/>
      <c r="AC13903"/>
      <c r="AR13903"/>
    </row>
    <row r="13904" spans="24:44">
      <c r="X13904"/>
      <c r="Y13904"/>
      <c r="Z13904"/>
      <c r="AA13904"/>
      <c r="AC13904"/>
      <c r="AR13904"/>
    </row>
    <row r="13905" spans="24:44">
      <c r="X13905"/>
      <c r="Y13905"/>
      <c r="Z13905"/>
      <c r="AA13905"/>
      <c r="AC13905"/>
      <c r="AR13905"/>
    </row>
    <row r="13906" spans="24:44">
      <c r="X13906"/>
      <c r="Y13906"/>
      <c r="Z13906"/>
      <c r="AA13906"/>
      <c r="AC13906"/>
      <c r="AR13906"/>
    </row>
    <row r="13907" spans="24:44">
      <c r="X13907"/>
      <c r="Y13907"/>
      <c r="Z13907"/>
      <c r="AA13907"/>
      <c r="AC13907"/>
      <c r="AR13907"/>
    </row>
    <row r="13908" spans="24:44">
      <c r="X13908"/>
      <c r="Y13908"/>
      <c r="Z13908"/>
      <c r="AA13908"/>
      <c r="AC13908"/>
      <c r="AR13908"/>
    </row>
    <row r="13909" spans="24:44">
      <c r="X13909"/>
      <c r="Y13909"/>
      <c r="Z13909"/>
      <c r="AA13909"/>
      <c r="AC13909"/>
      <c r="AR13909"/>
    </row>
    <row r="13910" spans="24:44">
      <c r="X13910"/>
      <c r="Y13910"/>
      <c r="Z13910"/>
      <c r="AA13910"/>
      <c r="AC13910"/>
      <c r="AR13910"/>
    </row>
    <row r="13911" spans="24:44">
      <c r="X13911"/>
      <c r="Y13911"/>
      <c r="Z13911"/>
      <c r="AA13911"/>
      <c r="AC13911"/>
      <c r="AR13911"/>
    </row>
    <row r="13912" spans="24:44">
      <c r="X13912"/>
      <c r="Y13912"/>
      <c r="Z13912"/>
      <c r="AA13912"/>
      <c r="AC13912"/>
      <c r="AR13912"/>
    </row>
    <row r="13913" spans="24:44">
      <c r="X13913"/>
      <c r="Y13913"/>
      <c r="Z13913"/>
      <c r="AA13913"/>
      <c r="AC13913"/>
      <c r="AR13913"/>
    </row>
    <row r="13914" spans="24:44">
      <c r="X13914"/>
      <c r="Y13914"/>
      <c r="Z13914"/>
      <c r="AA13914"/>
      <c r="AC13914"/>
      <c r="AR13914"/>
    </row>
    <row r="13915" spans="24:44">
      <c r="X13915"/>
      <c r="Y13915"/>
      <c r="Z13915"/>
      <c r="AA13915"/>
      <c r="AC13915"/>
      <c r="AR13915"/>
    </row>
    <row r="13916" spans="24:44">
      <c r="X13916"/>
      <c r="Y13916"/>
      <c r="Z13916"/>
      <c r="AA13916"/>
      <c r="AC13916"/>
      <c r="AR13916"/>
    </row>
    <row r="13917" spans="24:44">
      <c r="X13917"/>
      <c r="Y13917"/>
      <c r="Z13917"/>
      <c r="AA13917"/>
      <c r="AC13917"/>
      <c r="AR13917"/>
    </row>
    <row r="13918" spans="24:44">
      <c r="X13918"/>
      <c r="Y13918"/>
      <c r="Z13918"/>
      <c r="AA13918"/>
      <c r="AC13918"/>
      <c r="AR13918"/>
    </row>
    <row r="13919" spans="24:44">
      <c r="X13919"/>
      <c r="Y13919"/>
      <c r="Z13919"/>
      <c r="AA13919"/>
      <c r="AC13919"/>
      <c r="AR13919"/>
    </row>
    <row r="13920" spans="24:44">
      <c r="X13920"/>
      <c r="Y13920"/>
      <c r="Z13920"/>
      <c r="AA13920"/>
      <c r="AC13920"/>
      <c r="AR13920"/>
    </row>
    <row r="13921" spans="24:44">
      <c r="X13921"/>
      <c r="Y13921"/>
      <c r="Z13921"/>
      <c r="AA13921"/>
      <c r="AC13921"/>
      <c r="AR13921"/>
    </row>
    <row r="13922" spans="24:44">
      <c r="X13922"/>
      <c r="Y13922"/>
      <c r="Z13922"/>
      <c r="AA13922"/>
      <c r="AC13922"/>
      <c r="AR13922"/>
    </row>
    <row r="13923" spans="24:44">
      <c r="X13923"/>
      <c r="Y13923"/>
      <c r="Z13923"/>
      <c r="AA13923"/>
      <c r="AC13923"/>
      <c r="AR13923"/>
    </row>
    <row r="13924" spans="24:44">
      <c r="X13924"/>
      <c r="Y13924"/>
      <c r="Z13924"/>
      <c r="AA13924"/>
      <c r="AC13924"/>
      <c r="AR13924"/>
    </row>
    <row r="13925" spans="24:44">
      <c r="X13925"/>
      <c r="Y13925"/>
      <c r="Z13925"/>
      <c r="AA13925"/>
      <c r="AC13925"/>
      <c r="AR13925"/>
    </row>
    <row r="13926" spans="24:44">
      <c r="X13926"/>
      <c r="Y13926"/>
      <c r="Z13926"/>
      <c r="AA13926"/>
      <c r="AC13926"/>
      <c r="AR13926"/>
    </row>
    <row r="13927" spans="24:44">
      <c r="X13927"/>
      <c r="Y13927"/>
      <c r="Z13927"/>
      <c r="AA13927"/>
      <c r="AC13927"/>
      <c r="AR13927"/>
    </row>
    <row r="13928" spans="24:44">
      <c r="X13928"/>
      <c r="Y13928"/>
      <c r="Z13928"/>
      <c r="AA13928"/>
      <c r="AC13928"/>
      <c r="AR13928"/>
    </row>
    <row r="13929" spans="24:44">
      <c r="X13929"/>
      <c r="Y13929"/>
      <c r="Z13929"/>
      <c r="AA13929"/>
      <c r="AC13929"/>
      <c r="AR13929"/>
    </row>
    <row r="13930" spans="24:44">
      <c r="X13930"/>
      <c r="Y13930"/>
      <c r="Z13930"/>
      <c r="AA13930"/>
      <c r="AC13930"/>
      <c r="AR13930"/>
    </row>
    <row r="13931" spans="24:44">
      <c r="X13931"/>
      <c r="Y13931"/>
      <c r="Z13931"/>
      <c r="AA13931"/>
      <c r="AC13931"/>
      <c r="AR13931"/>
    </row>
    <row r="13932" spans="24:44">
      <c r="X13932"/>
      <c r="Y13932"/>
      <c r="Z13932"/>
      <c r="AA13932"/>
      <c r="AC13932"/>
      <c r="AR13932"/>
    </row>
    <row r="13933" spans="24:44">
      <c r="X13933"/>
      <c r="Y13933"/>
      <c r="Z13933"/>
      <c r="AA13933"/>
      <c r="AC13933"/>
      <c r="AR13933"/>
    </row>
    <row r="13934" spans="24:44">
      <c r="X13934"/>
      <c r="Y13934"/>
      <c r="Z13934"/>
      <c r="AA13934"/>
      <c r="AC13934"/>
      <c r="AR13934"/>
    </row>
    <row r="13935" spans="24:44">
      <c r="X13935"/>
      <c r="Y13935"/>
      <c r="Z13935"/>
      <c r="AA13935"/>
      <c r="AC13935"/>
      <c r="AR13935"/>
    </row>
    <row r="13936" spans="24:44">
      <c r="X13936"/>
      <c r="Y13936"/>
      <c r="Z13936"/>
      <c r="AA13936"/>
      <c r="AC13936"/>
      <c r="AR13936"/>
    </row>
    <row r="13937" spans="24:44">
      <c r="X13937"/>
      <c r="Y13937"/>
      <c r="Z13937"/>
      <c r="AA13937"/>
      <c r="AC13937"/>
      <c r="AR13937"/>
    </row>
    <row r="13938" spans="24:44">
      <c r="X13938"/>
      <c r="Y13938"/>
      <c r="Z13938"/>
      <c r="AA13938"/>
      <c r="AC13938"/>
      <c r="AR13938"/>
    </row>
    <row r="13939" spans="24:44">
      <c r="X13939"/>
      <c r="Y13939"/>
      <c r="Z13939"/>
      <c r="AA13939"/>
      <c r="AC13939"/>
      <c r="AR13939"/>
    </row>
    <row r="13940" spans="24:44">
      <c r="X13940"/>
      <c r="Y13940"/>
      <c r="Z13940"/>
      <c r="AA13940"/>
      <c r="AC13940"/>
      <c r="AR13940"/>
    </row>
    <row r="13941" spans="24:44">
      <c r="X13941"/>
      <c r="Y13941"/>
      <c r="Z13941"/>
      <c r="AA13941"/>
      <c r="AC13941"/>
      <c r="AR13941"/>
    </row>
    <row r="13942" spans="24:44">
      <c r="X13942"/>
      <c r="Y13942"/>
      <c r="Z13942"/>
      <c r="AA13942"/>
      <c r="AC13942"/>
      <c r="AR13942"/>
    </row>
    <row r="13943" spans="24:44">
      <c r="X13943"/>
      <c r="Y13943"/>
      <c r="Z13943"/>
      <c r="AA13943"/>
      <c r="AC13943"/>
      <c r="AR13943"/>
    </row>
    <row r="13944" spans="24:44">
      <c r="X13944"/>
      <c r="Y13944"/>
      <c r="Z13944"/>
      <c r="AA13944"/>
      <c r="AC13944"/>
      <c r="AR13944"/>
    </row>
    <row r="13945" spans="24:44">
      <c r="X13945"/>
      <c r="Y13945"/>
      <c r="Z13945"/>
      <c r="AA13945"/>
      <c r="AC13945"/>
      <c r="AR13945"/>
    </row>
    <row r="13946" spans="24:44">
      <c r="X13946"/>
      <c r="Y13946"/>
      <c r="Z13946"/>
      <c r="AA13946"/>
      <c r="AC13946"/>
      <c r="AR13946"/>
    </row>
    <row r="13947" spans="24:44">
      <c r="X13947"/>
      <c r="Y13947"/>
      <c r="Z13947"/>
      <c r="AA13947"/>
      <c r="AC13947"/>
      <c r="AR13947"/>
    </row>
    <row r="13948" spans="24:44">
      <c r="X13948"/>
      <c r="Y13948"/>
      <c r="Z13948"/>
      <c r="AA13948"/>
      <c r="AC13948"/>
      <c r="AR13948"/>
    </row>
    <row r="13949" spans="24:44">
      <c r="X13949"/>
      <c r="Y13949"/>
      <c r="Z13949"/>
      <c r="AA13949"/>
      <c r="AC13949"/>
      <c r="AR13949"/>
    </row>
    <row r="13950" spans="24:44">
      <c r="X13950"/>
      <c r="Y13950"/>
      <c r="Z13950"/>
      <c r="AA13950"/>
      <c r="AC13950"/>
      <c r="AR13950"/>
    </row>
    <row r="13951" spans="24:44">
      <c r="X13951"/>
      <c r="Y13951"/>
      <c r="Z13951"/>
      <c r="AA13951"/>
      <c r="AC13951"/>
      <c r="AR13951"/>
    </row>
    <row r="13952" spans="24:44">
      <c r="X13952"/>
      <c r="Y13952"/>
      <c r="Z13952"/>
      <c r="AA13952"/>
      <c r="AC13952"/>
      <c r="AR13952"/>
    </row>
    <row r="13953" spans="24:44">
      <c r="X13953"/>
      <c r="Y13953"/>
      <c r="Z13953"/>
      <c r="AA13953"/>
      <c r="AC13953"/>
      <c r="AR13953"/>
    </row>
    <row r="13954" spans="24:44">
      <c r="X13954"/>
      <c r="Y13954"/>
      <c r="Z13954"/>
      <c r="AA13954"/>
      <c r="AC13954"/>
      <c r="AR13954"/>
    </row>
    <row r="13955" spans="24:44">
      <c r="X13955"/>
      <c r="Y13955"/>
      <c r="Z13955"/>
      <c r="AA13955"/>
      <c r="AC13955"/>
      <c r="AR13955"/>
    </row>
    <row r="13956" spans="24:44">
      <c r="X13956"/>
      <c r="Y13956"/>
      <c r="Z13956"/>
      <c r="AA13956"/>
      <c r="AC13956"/>
      <c r="AR13956"/>
    </row>
    <row r="13957" spans="24:44">
      <c r="X13957"/>
      <c r="Y13957"/>
      <c r="Z13957"/>
      <c r="AA13957"/>
      <c r="AC13957"/>
      <c r="AR13957"/>
    </row>
    <row r="13958" spans="24:44">
      <c r="X13958"/>
      <c r="Y13958"/>
      <c r="Z13958"/>
      <c r="AA13958"/>
      <c r="AC13958"/>
      <c r="AR13958"/>
    </row>
    <row r="13959" spans="24:44">
      <c r="X13959"/>
      <c r="Y13959"/>
      <c r="Z13959"/>
      <c r="AA13959"/>
      <c r="AC13959"/>
      <c r="AR13959"/>
    </row>
    <row r="13960" spans="24:44">
      <c r="X13960"/>
      <c r="Y13960"/>
      <c r="Z13960"/>
      <c r="AA13960"/>
      <c r="AC13960"/>
      <c r="AR13960"/>
    </row>
    <row r="13961" spans="24:44">
      <c r="X13961"/>
      <c r="Y13961"/>
      <c r="Z13961"/>
      <c r="AA13961"/>
      <c r="AC13961"/>
      <c r="AR13961"/>
    </row>
    <row r="13962" spans="24:44">
      <c r="X13962"/>
      <c r="Y13962"/>
      <c r="Z13962"/>
      <c r="AA13962"/>
      <c r="AC13962"/>
      <c r="AR13962"/>
    </row>
    <row r="13963" spans="24:44">
      <c r="X13963"/>
      <c r="Y13963"/>
      <c r="Z13963"/>
      <c r="AA13963"/>
      <c r="AC13963"/>
      <c r="AR13963"/>
    </row>
    <row r="13964" spans="24:44">
      <c r="X13964"/>
      <c r="Y13964"/>
      <c r="Z13964"/>
      <c r="AA13964"/>
      <c r="AC13964"/>
      <c r="AR13964"/>
    </row>
    <row r="13965" spans="24:44">
      <c r="X13965"/>
      <c r="Y13965"/>
      <c r="Z13965"/>
      <c r="AA13965"/>
      <c r="AC13965"/>
      <c r="AR13965"/>
    </row>
    <row r="13966" spans="24:44">
      <c r="X13966"/>
      <c r="Y13966"/>
      <c r="Z13966"/>
      <c r="AA13966"/>
      <c r="AC13966"/>
      <c r="AR13966"/>
    </row>
    <row r="13967" spans="24:44">
      <c r="X13967"/>
      <c r="Y13967"/>
      <c r="Z13967"/>
      <c r="AA13967"/>
      <c r="AC13967"/>
      <c r="AR13967"/>
    </row>
    <row r="13968" spans="24:44">
      <c r="X13968"/>
      <c r="Y13968"/>
      <c r="Z13968"/>
      <c r="AA13968"/>
      <c r="AC13968"/>
      <c r="AR13968"/>
    </row>
    <row r="13969" spans="24:44">
      <c r="X13969"/>
      <c r="Y13969"/>
      <c r="Z13969"/>
      <c r="AA13969"/>
      <c r="AC13969"/>
      <c r="AR13969"/>
    </row>
    <row r="13970" spans="24:44">
      <c r="X13970"/>
      <c r="Y13970"/>
      <c r="Z13970"/>
      <c r="AA13970"/>
      <c r="AC13970"/>
      <c r="AR13970"/>
    </row>
    <row r="13971" spans="24:44">
      <c r="X13971"/>
      <c r="Y13971"/>
      <c r="Z13971"/>
      <c r="AA13971"/>
      <c r="AC13971"/>
      <c r="AR13971"/>
    </row>
    <row r="13972" spans="24:44">
      <c r="X13972"/>
      <c r="Y13972"/>
      <c r="Z13972"/>
      <c r="AA13972"/>
      <c r="AC13972"/>
      <c r="AR13972"/>
    </row>
    <row r="13973" spans="24:44">
      <c r="X13973"/>
      <c r="Y13973"/>
      <c r="Z13973"/>
      <c r="AA13973"/>
      <c r="AC13973"/>
      <c r="AR13973"/>
    </row>
    <row r="13974" spans="24:44">
      <c r="X13974"/>
      <c r="Y13974"/>
      <c r="Z13974"/>
      <c r="AA13974"/>
      <c r="AC13974"/>
      <c r="AR13974"/>
    </row>
    <row r="13975" spans="24:44">
      <c r="X13975"/>
      <c r="Y13975"/>
      <c r="Z13975"/>
      <c r="AA13975"/>
      <c r="AC13975"/>
      <c r="AR13975"/>
    </row>
    <row r="13976" spans="24:44">
      <c r="X13976"/>
      <c r="Y13976"/>
      <c r="Z13976"/>
      <c r="AA13976"/>
      <c r="AC13976"/>
      <c r="AR13976"/>
    </row>
    <row r="13977" spans="24:44">
      <c r="X13977"/>
      <c r="Y13977"/>
      <c r="Z13977"/>
      <c r="AA13977"/>
      <c r="AC13977"/>
      <c r="AR13977"/>
    </row>
    <row r="13978" spans="24:44">
      <c r="X13978"/>
      <c r="Y13978"/>
      <c r="Z13978"/>
      <c r="AA13978"/>
      <c r="AC13978"/>
      <c r="AR13978"/>
    </row>
    <row r="13979" spans="24:44">
      <c r="X13979"/>
      <c r="Y13979"/>
      <c r="Z13979"/>
      <c r="AA13979"/>
      <c r="AC13979"/>
      <c r="AR13979"/>
    </row>
    <row r="13980" spans="24:44">
      <c r="X13980"/>
      <c r="Y13980"/>
      <c r="Z13980"/>
      <c r="AA13980"/>
      <c r="AC13980"/>
      <c r="AR13980"/>
    </row>
    <row r="13981" spans="24:44">
      <c r="X13981"/>
      <c r="Y13981"/>
      <c r="Z13981"/>
      <c r="AA13981"/>
      <c r="AC13981"/>
      <c r="AR13981"/>
    </row>
    <row r="13982" spans="24:44">
      <c r="X13982"/>
      <c r="Y13982"/>
      <c r="Z13982"/>
      <c r="AA13982"/>
      <c r="AC13982"/>
      <c r="AR13982"/>
    </row>
    <row r="13983" spans="24:44">
      <c r="X13983"/>
      <c r="Y13983"/>
      <c r="Z13983"/>
      <c r="AA13983"/>
      <c r="AC13983"/>
      <c r="AR13983"/>
    </row>
    <row r="13984" spans="24:44">
      <c r="X13984"/>
      <c r="Y13984"/>
      <c r="Z13984"/>
      <c r="AA13984"/>
      <c r="AC13984"/>
      <c r="AR13984"/>
    </row>
    <row r="13985" spans="24:44">
      <c r="X13985"/>
      <c r="Y13985"/>
      <c r="Z13985"/>
      <c r="AA13985"/>
      <c r="AC13985"/>
      <c r="AR13985"/>
    </row>
    <row r="13986" spans="24:44">
      <c r="X13986"/>
      <c r="Y13986"/>
      <c r="Z13986"/>
      <c r="AA13986"/>
      <c r="AC13986"/>
      <c r="AR13986"/>
    </row>
    <row r="13987" spans="24:44">
      <c r="X13987"/>
      <c r="Y13987"/>
      <c r="Z13987"/>
      <c r="AA13987"/>
      <c r="AC13987"/>
      <c r="AR13987"/>
    </row>
    <row r="13988" spans="24:44">
      <c r="X13988"/>
      <c r="Y13988"/>
      <c r="Z13988"/>
      <c r="AA13988"/>
      <c r="AC13988"/>
      <c r="AR13988"/>
    </row>
    <row r="13989" spans="24:44">
      <c r="X13989"/>
      <c r="Y13989"/>
      <c r="Z13989"/>
      <c r="AA13989"/>
      <c r="AC13989"/>
      <c r="AR13989"/>
    </row>
    <row r="13990" spans="24:44">
      <c r="X13990"/>
      <c r="Y13990"/>
      <c r="Z13990"/>
      <c r="AA13990"/>
      <c r="AC13990"/>
      <c r="AR13990"/>
    </row>
    <row r="13991" spans="24:44">
      <c r="X13991"/>
      <c r="Y13991"/>
      <c r="Z13991"/>
      <c r="AA13991"/>
      <c r="AC13991"/>
      <c r="AR13991"/>
    </row>
    <row r="13992" spans="24:44">
      <c r="X13992"/>
      <c r="Y13992"/>
      <c r="Z13992"/>
      <c r="AA13992"/>
      <c r="AC13992"/>
      <c r="AR13992"/>
    </row>
    <row r="13993" spans="24:44">
      <c r="X13993"/>
      <c r="Y13993"/>
      <c r="Z13993"/>
      <c r="AA13993"/>
      <c r="AC13993"/>
      <c r="AR13993"/>
    </row>
    <row r="13994" spans="24:44">
      <c r="X13994"/>
      <c r="Y13994"/>
      <c r="Z13994"/>
      <c r="AA13994"/>
      <c r="AC13994"/>
      <c r="AR13994"/>
    </row>
    <row r="13995" spans="24:44">
      <c r="X13995"/>
      <c r="Y13995"/>
      <c r="Z13995"/>
      <c r="AA13995"/>
      <c r="AC13995"/>
      <c r="AR13995"/>
    </row>
    <row r="13996" spans="24:44">
      <c r="X13996"/>
      <c r="Y13996"/>
      <c r="Z13996"/>
      <c r="AA13996"/>
      <c r="AC13996"/>
      <c r="AR13996"/>
    </row>
    <row r="13997" spans="24:44">
      <c r="X13997"/>
      <c r="Y13997"/>
      <c r="Z13997"/>
      <c r="AA13997"/>
      <c r="AC13997"/>
      <c r="AR13997"/>
    </row>
    <row r="13998" spans="24:44">
      <c r="X13998"/>
      <c r="Y13998"/>
      <c r="Z13998"/>
      <c r="AA13998"/>
      <c r="AC13998"/>
      <c r="AR13998"/>
    </row>
    <row r="13999" spans="24:44">
      <c r="X13999"/>
      <c r="Y13999"/>
      <c r="Z13999"/>
      <c r="AA13999"/>
      <c r="AC13999"/>
      <c r="AR13999"/>
    </row>
    <row r="14000" spans="24:44">
      <c r="X14000"/>
      <c r="Y14000"/>
      <c r="Z14000"/>
      <c r="AA14000"/>
      <c r="AC14000"/>
      <c r="AR14000"/>
    </row>
    <row r="14001" spans="24:44">
      <c r="X14001"/>
      <c r="Y14001"/>
      <c r="Z14001"/>
      <c r="AA14001"/>
      <c r="AC14001"/>
      <c r="AR14001"/>
    </row>
    <row r="14002" spans="24:44">
      <c r="X14002"/>
      <c r="Y14002"/>
      <c r="Z14002"/>
      <c r="AA14002"/>
      <c r="AC14002"/>
      <c r="AR14002"/>
    </row>
    <row r="14003" spans="24:44">
      <c r="X14003"/>
      <c r="Y14003"/>
      <c r="Z14003"/>
      <c r="AA14003"/>
      <c r="AC14003"/>
      <c r="AR14003"/>
    </row>
    <row r="14004" spans="24:44">
      <c r="X14004"/>
      <c r="Y14004"/>
      <c r="Z14004"/>
      <c r="AA14004"/>
      <c r="AC14004"/>
      <c r="AR14004"/>
    </row>
    <row r="14005" spans="24:44">
      <c r="X14005"/>
      <c r="Y14005"/>
      <c r="Z14005"/>
      <c r="AA14005"/>
      <c r="AC14005"/>
      <c r="AR14005"/>
    </row>
    <row r="14006" spans="24:44">
      <c r="X14006"/>
      <c r="Y14006"/>
      <c r="Z14006"/>
      <c r="AA14006"/>
      <c r="AC14006"/>
      <c r="AR14006"/>
    </row>
    <row r="14007" spans="24:44">
      <c r="X14007"/>
      <c r="Y14007"/>
      <c r="Z14007"/>
      <c r="AA14007"/>
      <c r="AC14007"/>
      <c r="AR14007"/>
    </row>
    <row r="14008" spans="24:44">
      <c r="X14008"/>
      <c r="Y14008"/>
      <c r="Z14008"/>
      <c r="AA14008"/>
      <c r="AC14008"/>
      <c r="AR14008"/>
    </row>
    <row r="14009" spans="24:44">
      <c r="X14009"/>
      <c r="Y14009"/>
      <c r="Z14009"/>
      <c r="AA14009"/>
      <c r="AC14009"/>
      <c r="AR14009"/>
    </row>
    <row r="14010" spans="24:44">
      <c r="X14010"/>
      <c r="Y14010"/>
      <c r="Z14010"/>
      <c r="AA14010"/>
      <c r="AC14010"/>
      <c r="AR14010"/>
    </row>
    <row r="14011" spans="24:44">
      <c r="X14011"/>
      <c r="Y14011"/>
      <c r="Z14011"/>
      <c r="AA14011"/>
      <c r="AC14011"/>
      <c r="AR14011"/>
    </row>
    <row r="14012" spans="24:44">
      <c r="X14012"/>
      <c r="Y14012"/>
      <c r="Z14012"/>
      <c r="AA14012"/>
      <c r="AC14012"/>
      <c r="AR14012"/>
    </row>
    <row r="14013" spans="24:44">
      <c r="X14013"/>
      <c r="Y14013"/>
      <c r="Z14013"/>
      <c r="AA14013"/>
      <c r="AC14013"/>
      <c r="AR14013"/>
    </row>
    <row r="14014" spans="24:44">
      <c r="X14014"/>
      <c r="Y14014"/>
      <c r="Z14014"/>
      <c r="AA14014"/>
      <c r="AC14014"/>
      <c r="AR14014"/>
    </row>
    <row r="14015" spans="24:44">
      <c r="X14015"/>
      <c r="Y14015"/>
      <c r="Z14015"/>
      <c r="AA14015"/>
      <c r="AC14015"/>
      <c r="AR14015"/>
    </row>
    <row r="14016" spans="24:44">
      <c r="X14016"/>
      <c r="Y14016"/>
      <c r="Z14016"/>
      <c r="AA14016"/>
      <c r="AC14016"/>
      <c r="AR14016"/>
    </row>
    <row r="14017" spans="24:44">
      <c r="X14017"/>
      <c r="Y14017"/>
      <c r="Z14017"/>
      <c r="AA14017"/>
      <c r="AC14017"/>
      <c r="AR14017"/>
    </row>
    <row r="14018" spans="24:44">
      <c r="X14018"/>
      <c r="Y14018"/>
      <c r="Z14018"/>
      <c r="AA14018"/>
      <c r="AC14018"/>
      <c r="AR14018"/>
    </row>
    <row r="14019" spans="24:44">
      <c r="X14019"/>
      <c r="Y14019"/>
      <c r="Z14019"/>
      <c r="AA14019"/>
      <c r="AC14019"/>
      <c r="AR14019"/>
    </row>
    <row r="14020" spans="24:44">
      <c r="X14020"/>
      <c r="Y14020"/>
      <c r="Z14020"/>
      <c r="AA14020"/>
      <c r="AC14020"/>
      <c r="AR14020"/>
    </row>
    <row r="14021" spans="24:44">
      <c r="X14021"/>
      <c r="Y14021"/>
      <c r="Z14021"/>
      <c r="AA14021"/>
      <c r="AC14021"/>
      <c r="AR14021"/>
    </row>
    <row r="14022" spans="24:44">
      <c r="X14022"/>
      <c r="Y14022"/>
      <c r="Z14022"/>
      <c r="AA14022"/>
      <c r="AC14022"/>
      <c r="AR14022"/>
    </row>
    <row r="14023" spans="24:44">
      <c r="X14023"/>
      <c r="Y14023"/>
      <c r="Z14023"/>
      <c r="AA14023"/>
      <c r="AC14023"/>
      <c r="AR14023"/>
    </row>
    <row r="14024" spans="24:44">
      <c r="X14024"/>
      <c r="Y14024"/>
      <c r="Z14024"/>
      <c r="AA14024"/>
      <c r="AC14024"/>
      <c r="AR14024"/>
    </row>
    <row r="14025" spans="24:44">
      <c r="X14025"/>
      <c r="Y14025"/>
      <c r="Z14025"/>
      <c r="AA14025"/>
      <c r="AC14025"/>
      <c r="AR14025"/>
    </row>
    <row r="14026" spans="24:44">
      <c r="X14026"/>
      <c r="Y14026"/>
      <c r="Z14026"/>
      <c r="AA14026"/>
      <c r="AC14026"/>
      <c r="AR14026"/>
    </row>
    <row r="14027" spans="24:44">
      <c r="X14027"/>
      <c r="Y14027"/>
      <c r="Z14027"/>
      <c r="AA14027"/>
      <c r="AC14027"/>
      <c r="AR14027"/>
    </row>
    <row r="14028" spans="24:44">
      <c r="X14028"/>
      <c r="Y14028"/>
      <c r="Z14028"/>
      <c r="AA14028"/>
      <c r="AC14028"/>
      <c r="AR14028"/>
    </row>
    <row r="14029" spans="24:44">
      <c r="X14029"/>
      <c r="Y14029"/>
      <c r="Z14029"/>
      <c r="AA14029"/>
      <c r="AC14029"/>
      <c r="AR14029"/>
    </row>
    <row r="14030" spans="24:44">
      <c r="X14030"/>
      <c r="Y14030"/>
      <c r="Z14030"/>
      <c r="AA14030"/>
      <c r="AC14030"/>
      <c r="AR14030"/>
    </row>
    <row r="14031" spans="24:44">
      <c r="X14031"/>
      <c r="Y14031"/>
      <c r="Z14031"/>
      <c r="AA14031"/>
      <c r="AC14031"/>
      <c r="AR14031"/>
    </row>
    <row r="14032" spans="24:44">
      <c r="X14032"/>
      <c r="Y14032"/>
      <c r="Z14032"/>
      <c r="AA14032"/>
      <c r="AC14032"/>
      <c r="AR14032"/>
    </row>
    <row r="14033" spans="24:44">
      <c r="X14033"/>
      <c r="Y14033"/>
      <c r="Z14033"/>
      <c r="AA14033"/>
      <c r="AC14033"/>
      <c r="AR14033"/>
    </row>
    <row r="14034" spans="24:44">
      <c r="X14034"/>
      <c r="Y14034"/>
      <c r="Z14034"/>
      <c r="AA14034"/>
      <c r="AC14034"/>
      <c r="AR14034"/>
    </row>
    <row r="14035" spans="24:44">
      <c r="X14035"/>
      <c r="Y14035"/>
      <c r="Z14035"/>
      <c r="AA14035"/>
      <c r="AC14035"/>
      <c r="AR14035"/>
    </row>
    <row r="14036" spans="24:44">
      <c r="X14036"/>
      <c r="Y14036"/>
      <c r="Z14036"/>
      <c r="AA14036"/>
      <c r="AC14036"/>
      <c r="AR14036"/>
    </row>
    <row r="14037" spans="24:44">
      <c r="X14037"/>
      <c r="Y14037"/>
      <c r="Z14037"/>
      <c r="AA14037"/>
      <c r="AC14037"/>
      <c r="AR14037"/>
    </row>
    <row r="14038" spans="24:44">
      <c r="X14038"/>
      <c r="Y14038"/>
      <c r="Z14038"/>
      <c r="AA14038"/>
      <c r="AC14038"/>
      <c r="AR14038"/>
    </row>
    <row r="14039" spans="24:44">
      <c r="X14039"/>
      <c r="Y14039"/>
      <c r="Z14039"/>
      <c r="AA14039"/>
      <c r="AC14039"/>
      <c r="AR14039"/>
    </row>
    <row r="14040" spans="24:44">
      <c r="X14040"/>
      <c r="Y14040"/>
      <c r="Z14040"/>
      <c r="AA14040"/>
      <c r="AC14040"/>
      <c r="AR14040"/>
    </row>
    <row r="14041" spans="24:44">
      <c r="X14041"/>
      <c r="Y14041"/>
      <c r="Z14041"/>
      <c r="AA14041"/>
      <c r="AC14041"/>
      <c r="AR14041"/>
    </row>
    <row r="14042" spans="24:44">
      <c r="X14042"/>
      <c r="Y14042"/>
      <c r="Z14042"/>
      <c r="AA14042"/>
      <c r="AC14042"/>
      <c r="AR14042"/>
    </row>
    <row r="14043" spans="24:44">
      <c r="X14043"/>
      <c r="Y14043"/>
      <c r="Z14043"/>
      <c r="AA14043"/>
      <c r="AC14043"/>
      <c r="AR14043"/>
    </row>
    <row r="14044" spans="24:44">
      <c r="X14044"/>
      <c r="Y14044"/>
      <c r="Z14044"/>
      <c r="AA14044"/>
      <c r="AC14044"/>
      <c r="AR14044"/>
    </row>
    <row r="14045" spans="24:44">
      <c r="X14045"/>
      <c r="Y14045"/>
      <c r="Z14045"/>
      <c r="AA14045"/>
      <c r="AC14045"/>
      <c r="AR14045"/>
    </row>
    <row r="14046" spans="24:44">
      <c r="X14046"/>
      <c r="Y14046"/>
      <c r="Z14046"/>
      <c r="AA14046"/>
      <c r="AC14046"/>
      <c r="AR14046"/>
    </row>
    <row r="14047" spans="24:44">
      <c r="X14047"/>
      <c r="Y14047"/>
      <c r="Z14047"/>
      <c r="AA14047"/>
      <c r="AC14047"/>
      <c r="AR14047"/>
    </row>
    <row r="14048" spans="24:44">
      <c r="X14048"/>
      <c r="Y14048"/>
      <c r="Z14048"/>
      <c r="AA14048"/>
      <c r="AC14048"/>
      <c r="AR14048"/>
    </row>
    <row r="14049" spans="24:44">
      <c r="X14049"/>
      <c r="Y14049"/>
      <c r="Z14049"/>
      <c r="AA14049"/>
      <c r="AC14049"/>
      <c r="AR14049"/>
    </row>
    <row r="14050" spans="24:44">
      <c r="X14050"/>
      <c r="Y14050"/>
      <c r="Z14050"/>
      <c r="AA14050"/>
      <c r="AC14050"/>
      <c r="AR14050"/>
    </row>
    <row r="14051" spans="24:44">
      <c r="X14051"/>
      <c r="Y14051"/>
      <c r="Z14051"/>
      <c r="AA14051"/>
      <c r="AC14051"/>
      <c r="AR14051"/>
    </row>
    <row r="14052" spans="24:44">
      <c r="X14052"/>
      <c r="Y14052"/>
      <c r="Z14052"/>
      <c r="AA14052"/>
      <c r="AC14052"/>
      <c r="AR14052"/>
    </row>
    <row r="14053" spans="24:44">
      <c r="X14053"/>
      <c r="Y14053"/>
      <c r="Z14053"/>
      <c r="AA14053"/>
      <c r="AC14053"/>
      <c r="AR14053"/>
    </row>
    <row r="14054" spans="24:44">
      <c r="X14054"/>
      <c r="Y14054"/>
      <c r="Z14054"/>
      <c r="AA14054"/>
      <c r="AC14054"/>
      <c r="AR14054"/>
    </row>
    <row r="14055" spans="24:44">
      <c r="X14055"/>
      <c r="Y14055"/>
      <c r="Z14055"/>
      <c r="AA14055"/>
      <c r="AC14055"/>
      <c r="AR14055"/>
    </row>
    <row r="14056" spans="24:44">
      <c r="X14056"/>
      <c r="Y14056"/>
      <c r="Z14056"/>
      <c r="AA14056"/>
      <c r="AC14056"/>
      <c r="AR14056"/>
    </row>
    <row r="14057" spans="24:44">
      <c r="X14057"/>
      <c r="Y14057"/>
      <c r="Z14057"/>
      <c r="AA14057"/>
      <c r="AC14057"/>
      <c r="AR14057"/>
    </row>
    <row r="14058" spans="24:44">
      <c r="X14058"/>
      <c r="Y14058"/>
      <c r="Z14058"/>
      <c r="AA14058"/>
      <c r="AC14058"/>
      <c r="AR14058"/>
    </row>
    <row r="14059" spans="24:44">
      <c r="X14059"/>
      <c r="Y14059"/>
      <c r="Z14059"/>
      <c r="AA14059"/>
      <c r="AC14059"/>
      <c r="AR14059"/>
    </row>
    <row r="14060" spans="24:44">
      <c r="X14060"/>
      <c r="Y14060"/>
      <c r="Z14060"/>
      <c r="AA14060"/>
      <c r="AC14060"/>
      <c r="AR14060"/>
    </row>
    <row r="14061" spans="24:44">
      <c r="X14061"/>
      <c r="Y14061"/>
      <c r="Z14061"/>
      <c r="AA14061"/>
      <c r="AC14061"/>
      <c r="AR14061"/>
    </row>
    <row r="14062" spans="24:44">
      <c r="X14062"/>
      <c r="Y14062"/>
      <c r="Z14062"/>
      <c r="AA14062"/>
      <c r="AC14062"/>
      <c r="AR14062"/>
    </row>
    <row r="14063" spans="24:44">
      <c r="X14063"/>
      <c r="Y14063"/>
      <c r="Z14063"/>
      <c r="AA14063"/>
      <c r="AC14063"/>
      <c r="AR14063"/>
    </row>
    <row r="14064" spans="24:44">
      <c r="X14064"/>
      <c r="Y14064"/>
      <c r="Z14064"/>
      <c r="AA14064"/>
      <c r="AC14064"/>
      <c r="AR14064"/>
    </row>
    <row r="14065" spans="24:44">
      <c r="X14065"/>
      <c r="Y14065"/>
      <c r="Z14065"/>
      <c r="AA14065"/>
      <c r="AC14065"/>
      <c r="AR14065"/>
    </row>
    <row r="14066" spans="24:44">
      <c r="X14066"/>
      <c r="Y14066"/>
      <c r="Z14066"/>
      <c r="AA14066"/>
      <c r="AC14066"/>
      <c r="AR14066"/>
    </row>
    <row r="14067" spans="24:44">
      <c r="X14067"/>
      <c r="Y14067"/>
      <c r="Z14067"/>
      <c r="AA14067"/>
      <c r="AC14067"/>
      <c r="AR14067"/>
    </row>
    <row r="14068" spans="24:44">
      <c r="X14068"/>
      <c r="Y14068"/>
      <c r="Z14068"/>
      <c r="AA14068"/>
      <c r="AC14068"/>
      <c r="AR14068"/>
    </row>
    <row r="14069" spans="24:44">
      <c r="X14069"/>
      <c r="Y14069"/>
      <c r="Z14069"/>
      <c r="AA14069"/>
      <c r="AC14069"/>
      <c r="AR14069"/>
    </row>
    <row r="14070" spans="24:44">
      <c r="X14070"/>
      <c r="Y14070"/>
      <c r="Z14070"/>
      <c r="AA14070"/>
      <c r="AC14070"/>
      <c r="AR14070"/>
    </row>
    <row r="14071" spans="24:44">
      <c r="X14071"/>
      <c r="Y14071"/>
      <c r="Z14071"/>
      <c r="AA14071"/>
      <c r="AC14071"/>
      <c r="AR14071"/>
    </row>
    <row r="14072" spans="24:44">
      <c r="X14072"/>
      <c r="Y14072"/>
      <c r="Z14072"/>
      <c r="AA14072"/>
      <c r="AC14072"/>
      <c r="AR14072"/>
    </row>
    <row r="14073" spans="24:44">
      <c r="X14073"/>
      <c r="Y14073"/>
      <c r="Z14073"/>
      <c r="AA14073"/>
      <c r="AC14073"/>
      <c r="AR14073"/>
    </row>
    <row r="14074" spans="24:44">
      <c r="X14074"/>
      <c r="Y14074"/>
      <c r="Z14074"/>
      <c r="AA14074"/>
      <c r="AC14074"/>
      <c r="AR14074"/>
    </row>
    <row r="14075" spans="24:44">
      <c r="X14075"/>
      <c r="Y14075"/>
      <c r="Z14075"/>
      <c r="AA14075"/>
      <c r="AC14075"/>
      <c r="AR14075"/>
    </row>
    <row r="14076" spans="24:44">
      <c r="X14076"/>
      <c r="Y14076"/>
      <c r="Z14076"/>
      <c r="AA14076"/>
      <c r="AC14076"/>
      <c r="AR14076"/>
    </row>
    <row r="14077" spans="24:44">
      <c r="X14077"/>
      <c r="Y14077"/>
      <c r="Z14077"/>
      <c r="AA14077"/>
      <c r="AC14077"/>
      <c r="AR14077"/>
    </row>
    <row r="14078" spans="24:44">
      <c r="X14078"/>
      <c r="Y14078"/>
      <c r="Z14078"/>
      <c r="AA14078"/>
      <c r="AC14078"/>
      <c r="AR14078"/>
    </row>
    <row r="14079" spans="24:44">
      <c r="X14079"/>
      <c r="Y14079"/>
      <c r="Z14079"/>
      <c r="AA14079"/>
      <c r="AC14079"/>
      <c r="AR14079"/>
    </row>
    <row r="14080" spans="24:44">
      <c r="X14080"/>
      <c r="Y14080"/>
      <c r="Z14080"/>
      <c r="AA14080"/>
      <c r="AC14080"/>
      <c r="AR14080"/>
    </row>
    <row r="14081" spans="24:44">
      <c r="X14081"/>
      <c r="Y14081"/>
      <c r="Z14081"/>
      <c r="AA14081"/>
      <c r="AC14081"/>
      <c r="AR14081"/>
    </row>
    <row r="14082" spans="24:44">
      <c r="X14082"/>
      <c r="Y14082"/>
      <c r="Z14082"/>
      <c r="AA14082"/>
      <c r="AC14082"/>
      <c r="AR14082"/>
    </row>
    <row r="14083" spans="24:44">
      <c r="X14083"/>
      <c r="Y14083"/>
      <c r="Z14083"/>
      <c r="AA14083"/>
      <c r="AC14083"/>
      <c r="AR14083"/>
    </row>
    <row r="14084" spans="24:44">
      <c r="X14084"/>
      <c r="Y14084"/>
      <c r="Z14084"/>
      <c r="AA14084"/>
      <c r="AC14084"/>
      <c r="AR14084"/>
    </row>
    <row r="14085" spans="24:44">
      <c r="X14085"/>
      <c r="Y14085"/>
      <c r="Z14085"/>
      <c r="AA14085"/>
      <c r="AC14085"/>
      <c r="AR14085"/>
    </row>
    <row r="14086" spans="24:44">
      <c r="X14086"/>
      <c r="Y14086"/>
      <c r="Z14086"/>
      <c r="AA14086"/>
      <c r="AC14086"/>
      <c r="AR14086"/>
    </row>
    <row r="14087" spans="24:44">
      <c r="X14087"/>
      <c r="Y14087"/>
      <c r="Z14087"/>
      <c r="AA14087"/>
      <c r="AC14087"/>
      <c r="AR14087"/>
    </row>
    <row r="14088" spans="24:44">
      <c r="X14088"/>
      <c r="Y14088"/>
      <c r="Z14088"/>
      <c r="AA14088"/>
      <c r="AC14088"/>
      <c r="AR14088"/>
    </row>
    <row r="14089" spans="24:44">
      <c r="X14089"/>
      <c r="Y14089"/>
      <c r="Z14089"/>
      <c r="AA14089"/>
      <c r="AC14089"/>
      <c r="AR14089"/>
    </row>
    <row r="14090" spans="24:44">
      <c r="X14090"/>
      <c r="Y14090"/>
      <c r="Z14090"/>
      <c r="AA14090"/>
      <c r="AC14090"/>
      <c r="AR14090"/>
    </row>
    <row r="14091" spans="24:44">
      <c r="X14091"/>
      <c r="Y14091"/>
      <c r="Z14091"/>
      <c r="AA14091"/>
      <c r="AC14091"/>
      <c r="AR14091"/>
    </row>
    <row r="14092" spans="24:44">
      <c r="X14092"/>
      <c r="Y14092"/>
      <c r="Z14092"/>
      <c r="AA14092"/>
      <c r="AC14092"/>
      <c r="AR14092"/>
    </row>
    <row r="14093" spans="24:44">
      <c r="X14093"/>
      <c r="Y14093"/>
      <c r="Z14093"/>
      <c r="AA14093"/>
      <c r="AC14093"/>
      <c r="AR14093"/>
    </row>
    <row r="14094" spans="24:44">
      <c r="X14094"/>
      <c r="Y14094"/>
      <c r="Z14094"/>
      <c r="AA14094"/>
      <c r="AC14094"/>
      <c r="AR14094"/>
    </row>
    <row r="14095" spans="24:44">
      <c r="X14095"/>
      <c r="Y14095"/>
      <c r="Z14095"/>
      <c r="AA14095"/>
      <c r="AC14095"/>
      <c r="AR14095"/>
    </row>
    <row r="14096" spans="24:44">
      <c r="X14096"/>
      <c r="Y14096"/>
      <c r="Z14096"/>
      <c r="AA14096"/>
      <c r="AC14096"/>
      <c r="AR14096"/>
    </row>
    <row r="14097" spans="24:44">
      <c r="X14097"/>
      <c r="Y14097"/>
      <c r="Z14097"/>
      <c r="AA14097"/>
      <c r="AC14097"/>
      <c r="AR14097"/>
    </row>
    <row r="14098" spans="24:44">
      <c r="X14098"/>
      <c r="Y14098"/>
      <c r="Z14098"/>
      <c r="AA14098"/>
      <c r="AC14098"/>
      <c r="AR14098"/>
    </row>
    <row r="14099" spans="24:44">
      <c r="X14099"/>
      <c r="Y14099"/>
      <c r="Z14099"/>
      <c r="AA14099"/>
      <c r="AC14099"/>
      <c r="AR14099"/>
    </row>
    <row r="14100" spans="24:44">
      <c r="X14100"/>
      <c r="Y14100"/>
      <c r="Z14100"/>
      <c r="AA14100"/>
      <c r="AC14100"/>
      <c r="AR14100"/>
    </row>
    <row r="14101" spans="24:44">
      <c r="X14101"/>
      <c r="Y14101"/>
      <c r="Z14101"/>
      <c r="AA14101"/>
      <c r="AC14101"/>
      <c r="AR14101"/>
    </row>
    <row r="14102" spans="24:44">
      <c r="X14102"/>
      <c r="Y14102"/>
      <c r="Z14102"/>
      <c r="AA14102"/>
      <c r="AC14102"/>
      <c r="AR14102"/>
    </row>
    <row r="14103" spans="24:44">
      <c r="X14103"/>
      <c r="Y14103"/>
      <c r="Z14103"/>
      <c r="AA14103"/>
      <c r="AC14103"/>
      <c r="AR14103"/>
    </row>
    <row r="14104" spans="24:44">
      <c r="X14104"/>
      <c r="Y14104"/>
      <c r="Z14104"/>
      <c r="AA14104"/>
      <c r="AC14104"/>
      <c r="AR14104"/>
    </row>
    <row r="14105" spans="24:44">
      <c r="X14105"/>
      <c r="Y14105"/>
      <c r="Z14105"/>
      <c r="AA14105"/>
      <c r="AC14105"/>
      <c r="AR14105"/>
    </row>
    <row r="14106" spans="24:44">
      <c r="X14106"/>
      <c r="Y14106"/>
      <c r="Z14106"/>
      <c r="AA14106"/>
      <c r="AC14106"/>
      <c r="AR14106"/>
    </row>
    <row r="14107" spans="24:44">
      <c r="X14107"/>
      <c r="Y14107"/>
      <c r="Z14107"/>
      <c r="AA14107"/>
      <c r="AC14107"/>
      <c r="AR14107"/>
    </row>
    <row r="14108" spans="24:44">
      <c r="X14108"/>
      <c r="Y14108"/>
      <c r="Z14108"/>
      <c r="AA14108"/>
      <c r="AC14108"/>
      <c r="AR14108"/>
    </row>
    <row r="14109" spans="24:44">
      <c r="X14109"/>
      <c r="Y14109"/>
      <c r="Z14109"/>
      <c r="AA14109"/>
      <c r="AC14109"/>
      <c r="AR14109"/>
    </row>
    <row r="14110" spans="24:44">
      <c r="X14110"/>
      <c r="Y14110"/>
      <c r="Z14110"/>
      <c r="AA14110"/>
      <c r="AC14110"/>
      <c r="AR14110"/>
    </row>
    <row r="14111" spans="24:44">
      <c r="X14111"/>
      <c r="Y14111"/>
      <c r="Z14111"/>
      <c r="AA14111"/>
      <c r="AC14111"/>
      <c r="AR14111"/>
    </row>
    <row r="14112" spans="24:44">
      <c r="X14112"/>
      <c r="Y14112"/>
      <c r="Z14112"/>
      <c r="AA14112"/>
      <c r="AC14112"/>
      <c r="AR14112"/>
    </row>
    <row r="14113" spans="24:44">
      <c r="X14113"/>
      <c r="Y14113"/>
      <c r="Z14113"/>
      <c r="AA14113"/>
      <c r="AC14113"/>
      <c r="AR14113"/>
    </row>
    <row r="14114" spans="24:44">
      <c r="X14114"/>
      <c r="Y14114"/>
      <c r="Z14114"/>
      <c r="AA14114"/>
      <c r="AC14114"/>
      <c r="AR14114"/>
    </row>
    <row r="14115" spans="24:44">
      <c r="X14115"/>
      <c r="Y14115"/>
      <c r="Z14115"/>
      <c r="AA14115"/>
      <c r="AC14115"/>
      <c r="AR14115"/>
    </row>
    <row r="14116" spans="24:44">
      <c r="X14116"/>
      <c r="Y14116"/>
      <c r="Z14116"/>
      <c r="AA14116"/>
      <c r="AC14116"/>
      <c r="AR14116"/>
    </row>
    <row r="14117" spans="24:44">
      <c r="X14117"/>
      <c r="Y14117"/>
      <c r="Z14117"/>
      <c r="AA14117"/>
      <c r="AC14117"/>
      <c r="AR14117"/>
    </row>
    <row r="14118" spans="24:44">
      <c r="X14118"/>
      <c r="Y14118"/>
      <c r="Z14118"/>
      <c r="AA14118"/>
      <c r="AC14118"/>
      <c r="AR14118"/>
    </row>
    <row r="14119" spans="24:44">
      <c r="X14119"/>
      <c r="Y14119"/>
      <c r="Z14119"/>
      <c r="AA14119"/>
      <c r="AC14119"/>
      <c r="AR14119"/>
    </row>
    <row r="14120" spans="24:44">
      <c r="X14120"/>
      <c r="Y14120"/>
      <c r="Z14120"/>
      <c r="AA14120"/>
      <c r="AC14120"/>
      <c r="AR14120"/>
    </row>
    <row r="14121" spans="24:44">
      <c r="X14121"/>
      <c r="Y14121"/>
      <c r="Z14121"/>
      <c r="AA14121"/>
      <c r="AC14121"/>
      <c r="AR14121"/>
    </row>
    <row r="14122" spans="24:44">
      <c r="X14122"/>
      <c r="Y14122"/>
      <c r="Z14122"/>
      <c r="AA14122"/>
      <c r="AC14122"/>
      <c r="AR14122"/>
    </row>
    <row r="14123" spans="24:44">
      <c r="X14123"/>
      <c r="Y14123"/>
      <c r="Z14123"/>
      <c r="AA14123"/>
      <c r="AC14123"/>
      <c r="AR14123"/>
    </row>
    <row r="14124" spans="24:44">
      <c r="X14124"/>
      <c r="Y14124"/>
      <c r="Z14124"/>
      <c r="AA14124"/>
      <c r="AC14124"/>
      <c r="AR14124"/>
    </row>
    <row r="14125" spans="24:44">
      <c r="X14125"/>
      <c r="Y14125"/>
      <c r="Z14125"/>
      <c r="AA14125"/>
      <c r="AC14125"/>
      <c r="AR14125"/>
    </row>
    <row r="14126" spans="24:44">
      <c r="X14126"/>
      <c r="Y14126"/>
      <c r="Z14126"/>
      <c r="AA14126"/>
      <c r="AC14126"/>
      <c r="AR14126"/>
    </row>
    <row r="14127" spans="24:44">
      <c r="X14127"/>
      <c r="Y14127"/>
      <c r="Z14127"/>
      <c r="AA14127"/>
      <c r="AC14127"/>
      <c r="AR14127"/>
    </row>
    <row r="14128" spans="24:44">
      <c r="X14128"/>
      <c r="Y14128"/>
      <c r="Z14128"/>
      <c r="AA14128"/>
      <c r="AC14128"/>
      <c r="AR14128"/>
    </row>
    <row r="14129" spans="24:44">
      <c r="X14129"/>
      <c r="Y14129"/>
      <c r="Z14129"/>
      <c r="AA14129"/>
      <c r="AC14129"/>
      <c r="AR14129"/>
    </row>
    <row r="14130" spans="24:44">
      <c r="X14130"/>
      <c r="Y14130"/>
      <c r="Z14130"/>
      <c r="AA14130"/>
      <c r="AC14130"/>
      <c r="AR14130"/>
    </row>
    <row r="14131" spans="24:44">
      <c r="X14131"/>
      <c r="Y14131"/>
      <c r="Z14131"/>
      <c r="AA14131"/>
      <c r="AC14131"/>
      <c r="AR14131"/>
    </row>
    <row r="14132" spans="24:44">
      <c r="X14132"/>
      <c r="Y14132"/>
      <c r="Z14132"/>
      <c r="AA14132"/>
      <c r="AC14132"/>
      <c r="AR14132"/>
    </row>
    <row r="14133" spans="24:44">
      <c r="X14133"/>
      <c r="Y14133"/>
      <c r="Z14133"/>
      <c r="AA14133"/>
      <c r="AC14133"/>
      <c r="AR14133"/>
    </row>
    <row r="14134" spans="24:44">
      <c r="X14134"/>
      <c r="Y14134"/>
      <c r="Z14134"/>
      <c r="AA14134"/>
      <c r="AC14134"/>
      <c r="AR14134"/>
    </row>
    <row r="14135" spans="24:44">
      <c r="X14135"/>
      <c r="Y14135"/>
      <c r="Z14135"/>
      <c r="AA14135"/>
      <c r="AC14135"/>
      <c r="AR14135"/>
    </row>
    <row r="14136" spans="24:44">
      <c r="X14136"/>
      <c r="Y14136"/>
      <c r="Z14136"/>
      <c r="AA14136"/>
      <c r="AC14136"/>
      <c r="AR14136"/>
    </row>
    <row r="14137" spans="24:44">
      <c r="X14137"/>
      <c r="Y14137"/>
      <c r="Z14137"/>
      <c r="AA14137"/>
      <c r="AC14137"/>
      <c r="AR14137"/>
    </row>
    <row r="14138" spans="24:44">
      <c r="X14138"/>
      <c r="Y14138"/>
      <c r="Z14138"/>
      <c r="AA14138"/>
      <c r="AC14138"/>
      <c r="AR14138"/>
    </row>
    <row r="14139" spans="24:44">
      <c r="X14139"/>
      <c r="Y14139"/>
      <c r="Z14139"/>
      <c r="AA14139"/>
      <c r="AC14139"/>
      <c r="AR14139"/>
    </row>
    <row r="14140" spans="24:44">
      <c r="X14140"/>
      <c r="Y14140"/>
      <c r="Z14140"/>
      <c r="AA14140"/>
      <c r="AC14140"/>
      <c r="AR14140"/>
    </row>
    <row r="14141" spans="24:44">
      <c r="X14141"/>
      <c r="Y14141"/>
      <c r="Z14141"/>
      <c r="AA14141"/>
      <c r="AC14141"/>
      <c r="AR14141"/>
    </row>
    <row r="14142" spans="24:44">
      <c r="X14142"/>
      <c r="Y14142"/>
      <c r="Z14142"/>
      <c r="AA14142"/>
      <c r="AC14142"/>
      <c r="AR14142"/>
    </row>
    <row r="14143" spans="24:44">
      <c r="X14143"/>
      <c r="Y14143"/>
      <c r="Z14143"/>
      <c r="AA14143"/>
      <c r="AC14143"/>
      <c r="AR14143"/>
    </row>
    <row r="14144" spans="24:44">
      <c r="X14144"/>
      <c r="Y14144"/>
      <c r="Z14144"/>
      <c r="AA14144"/>
      <c r="AC14144"/>
      <c r="AR14144"/>
    </row>
    <row r="14145" spans="24:44">
      <c r="X14145"/>
      <c r="Y14145"/>
      <c r="Z14145"/>
      <c r="AA14145"/>
      <c r="AC14145"/>
      <c r="AR14145"/>
    </row>
    <row r="14146" spans="24:44">
      <c r="X14146"/>
      <c r="Y14146"/>
      <c r="Z14146"/>
      <c r="AA14146"/>
      <c r="AC14146"/>
      <c r="AR14146"/>
    </row>
    <row r="14147" spans="24:44">
      <c r="X14147"/>
      <c r="Y14147"/>
      <c r="Z14147"/>
      <c r="AA14147"/>
      <c r="AC14147"/>
      <c r="AR14147"/>
    </row>
    <row r="14148" spans="24:44">
      <c r="X14148"/>
      <c r="Y14148"/>
      <c r="Z14148"/>
      <c r="AA14148"/>
      <c r="AC14148"/>
      <c r="AR14148"/>
    </row>
    <row r="14149" spans="24:44">
      <c r="X14149"/>
      <c r="Y14149"/>
      <c r="Z14149"/>
      <c r="AA14149"/>
      <c r="AC14149"/>
      <c r="AR14149"/>
    </row>
    <row r="14150" spans="24:44">
      <c r="X14150"/>
      <c r="Y14150"/>
      <c r="Z14150"/>
      <c r="AA14150"/>
      <c r="AC14150"/>
      <c r="AR14150"/>
    </row>
    <row r="14151" spans="24:44">
      <c r="X14151"/>
      <c r="Y14151"/>
      <c r="Z14151"/>
      <c r="AA14151"/>
      <c r="AC14151"/>
      <c r="AR14151"/>
    </row>
    <row r="14152" spans="24:44">
      <c r="X14152"/>
      <c r="Y14152"/>
      <c r="Z14152"/>
      <c r="AA14152"/>
      <c r="AC14152"/>
      <c r="AR14152"/>
    </row>
    <row r="14153" spans="24:44">
      <c r="X14153"/>
      <c r="Y14153"/>
      <c r="Z14153"/>
      <c r="AA14153"/>
      <c r="AC14153"/>
      <c r="AR14153"/>
    </row>
    <row r="14154" spans="24:44">
      <c r="X14154"/>
      <c r="Y14154"/>
      <c r="Z14154"/>
      <c r="AA14154"/>
      <c r="AC14154"/>
      <c r="AR14154"/>
    </row>
    <row r="14155" spans="24:44">
      <c r="X14155"/>
      <c r="Y14155"/>
      <c r="Z14155"/>
      <c r="AA14155"/>
      <c r="AC14155"/>
      <c r="AR14155"/>
    </row>
    <row r="14156" spans="24:44">
      <c r="X14156"/>
      <c r="Y14156"/>
      <c r="Z14156"/>
      <c r="AA14156"/>
      <c r="AC14156"/>
      <c r="AR14156"/>
    </row>
    <row r="14157" spans="24:44">
      <c r="X14157"/>
      <c r="Y14157"/>
      <c r="Z14157"/>
      <c r="AA14157"/>
      <c r="AC14157"/>
      <c r="AR14157"/>
    </row>
    <row r="14158" spans="24:44">
      <c r="X14158"/>
      <c r="Y14158"/>
      <c r="Z14158"/>
      <c r="AA14158"/>
      <c r="AC14158"/>
      <c r="AR14158"/>
    </row>
    <row r="14159" spans="24:44">
      <c r="X14159"/>
      <c r="Y14159"/>
      <c r="Z14159"/>
      <c r="AA14159"/>
      <c r="AC14159"/>
      <c r="AR14159"/>
    </row>
    <row r="14160" spans="24:44">
      <c r="X14160"/>
      <c r="Y14160"/>
      <c r="Z14160"/>
      <c r="AA14160"/>
      <c r="AC14160"/>
      <c r="AR14160"/>
    </row>
    <row r="14161" spans="24:44">
      <c r="X14161"/>
      <c r="Y14161"/>
      <c r="Z14161"/>
      <c r="AA14161"/>
      <c r="AC14161"/>
      <c r="AR14161"/>
    </row>
    <row r="14162" spans="24:44">
      <c r="X14162"/>
      <c r="Y14162"/>
      <c r="Z14162"/>
      <c r="AA14162"/>
      <c r="AC14162"/>
      <c r="AR14162"/>
    </row>
    <row r="14163" spans="24:44">
      <c r="X14163"/>
      <c r="Y14163"/>
      <c r="Z14163"/>
      <c r="AA14163"/>
      <c r="AC14163"/>
      <c r="AR14163"/>
    </row>
    <row r="14164" spans="24:44">
      <c r="X14164"/>
      <c r="Y14164"/>
      <c r="Z14164"/>
      <c r="AA14164"/>
      <c r="AC14164"/>
      <c r="AR14164"/>
    </row>
    <row r="14165" spans="24:44">
      <c r="X14165"/>
      <c r="Y14165"/>
      <c r="Z14165"/>
      <c r="AA14165"/>
      <c r="AC14165"/>
      <c r="AR14165"/>
    </row>
    <row r="14166" spans="24:44">
      <c r="X14166"/>
      <c r="Y14166"/>
      <c r="Z14166"/>
      <c r="AA14166"/>
      <c r="AC14166"/>
      <c r="AR14166"/>
    </row>
    <row r="14167" spans="24:44">
      <c r="X14167"/>
      <c r="Y14167"/>
      <c r="Z14167"/>
      <c r="AA14167"/>
      <c r="AC14167"/>
      <c r="AR14167"/>
    </row>
    <row r="14168" spans="24:44">
      <c r="X14168"/>
      <c r="Y14168"/>
      <c r="Z14168"/>
      <c r="AA14168"/>
      <c r="AC14168"/>
      <c r="AR14168"/>
    </row>
    <row r="14169" spans="24:44">
      <c r="X14169"/>
      <c r="Y14169"/>
      <c r="Z14169"/>
      <c r="AA14169"/>
      <c r="AC14169"/>
      <c r="AR14169"/>
    </row>
    <row r="14170" spans="24:44">
      <c r="X14170"/>
      <c r="Y14170"/>
      <c r="Z14170"/>
      <c r="AA14170"/>
      <c r="AC14170"/>
      <c r="AR14170"/>
    </row>
    <row r="14171" spans="24:44">
      <c r="X14171"/>
      <c r="Y14171"/>
      <c r="Z14171"/>
      <c r="AA14171"/>
      <c r="AC14171"/>
      <c r="AR14171"/>
    </row>
    <row r="14172" spans="24:44">
      <c r="X14172"/>
      <c r="Y14172"/>
      <c r="Z14172"/>
      <c r="AA14172"/>
      <c r="AC14172"/>
      <c r="AR14172"/>
    </row>
    <row r="14173" spans="24:44">
      <c r="X14173"/>
      <c r="Y14173"/>
      <c r="Z14173"/>
      <c r="AA14173"/>
      <c r="AC14173"/>
      <c r="AR14173"/>
    </row>
    <row r="14174" spans="24:44">
      <c r="X14174"/>
      <c r="Y14174"/>
      <c r="Z14174"/>
      <c r="AA14174"/>
      <c r="AC14174"/>
      <c r="AR14174"/>
    </row>
    <row r="14175" spans="24:44">
      <c r="X14175"/>
      <c r="Y14175"/>
      <c r="Z14175"/>
      <c r="AA14175"/>
      <c r="AC14175"/>
      <c r="AR14175"/>
    </row>
    <row r="14176" spans="24:44">
      <c r="X14176"/>
      <c r="Y14176"/>
      <c r="Z14176"/>
      <c r="AA14176"/>
      <c r="AC14176"/>
      <c r="AR14176"/>
    </row>
    <row r="14177" spans="24:44">
      <c r="X14177"/>
      <c r="Y14177"/>
      <c r="Z14177"/>
      <c r="AA14177"/>
      <c r="AC14177"/>
      <c r="AR14177"/>
    </row>
    <row r="14178" spans="24:44">
      <c r="X14178"/>
      <c r="Y14178"/>
      <c r="Z14178"/>
      <c r="AA14178"/>
      <c r="AC14178"/>
      <c r="AR14178"/>
    </row>
    <row r="14179" spans="24:44">
      <c r="X14179"/>
      <c r="Y14179"/>
      <c r="Z14179"/>
      <c r="AA14179"/>
      <c r="AC14179"/>
      <c r="AR14179"/>
    </row>
    <row r="14180" spans="24:44">
      <c r="X14180"/>
      <c r="Y14180"/>
      <c r="Z14180"/>
      <c r="AA14180"/>
      <c r="AC14180"/>
      <c r="AR14180"/>
    </row>
    <row r="14181" spans="24:44">
      <c r="X14181"/>
      <c r="Y14181"/>
      <c r="Z14181"/>
      <c r="AA14181"/>
      <c r="AC14181"/>
      <c r="AR14181"/>
    </row>
    <row r="14182" spans="24:44">
      <c r="X14182"/>
      <c r="Y14182"/>
      <c r="Z14182"/>
      <c r="AA14182"/>
      <c r="AC14182"/>
      <c r="AR14182"/>
    </row>
    <row r="14183" spans="24:44">
      <c r="X14183"/>
      <c r="Y14183"/>
      <c r="Z14183"/>
      <c r="AA14183"/>
      <c r="AC14183"/>
      <c r="AR14183"/>
    </row>
    <row r="14184" spans="24:44">
      <c r="X14184"/>
      <c r="Y14184"/>
      <c r="Z14184"/>
      <c r="AA14184"/>
      <c r="AC14184"/>
      <c r="AR14184"/>
    </row>
    <row r="14185" spans="24:44">
      <c r="X14185"/>
      <c r="Y14185"/>
      <c r="Z14185"/>
      <c r="AA14185"/>
      <c r="AC14185"/>
      <c r="AR14185"/>
    </row>
    <row r="14186" spans="24:44">
      <c r="X14186"/>
      <c r="Y14186"/>
      <c r="Z14186"/>
      <c r="AA14186"/>
      <c r="AC14186"/>
      <c r="AR14186"/>
    </row>
    <row r="14187" spans="24:44">
      <c r="X14187"/>
      <c r="Y14187"/>
      <c r="Z14187"/>
      <c r="AA14187"/>
      <c r="AC14187"/>
      <c r="AR14187"/>
    </row>
    <row r="14188" spans="24:44">
      <c r="X14188"/>
      <c r="Y14188"/>
      <c r="Z14188"/>
      <c r="AA14188"/>
      <c r="AC14188"/>
      <c r="AR14188"/>
    </row>
    <row r="14189" spans="24:44">
      <c r="X14189"/>
      <c r="Y14189"/>
      <c r="Z14189"/>
      <c r="AA14189"/>
      <c r="AC14189"/>
      <c r="AR14189"/>
    </row>
    <row r="14190" spans="24:44">
      <c r="X14190"/>
      <c r="Y14190"/>
      <c r="Z14190"/>
      <c r="AA14190"/>
      <c r="AC14190"/>
      <c r="AR14190"/>
    </row>
    <row r="14191" spans="24:44">
      <c r="X14191"/>
      <c r="Y14191"/>
      <c r="Z14191"/>
      <c r="AA14191"/>
      <c r="AC14191"/>
      <c r="AR14191"/>
    </row>
    <row r="14192" spans="24:44">
      <c r="X14192"/>
      <c r="Y14192"/>
      <c r="Z14192"/>
      <c r="AA14192"/>
      <c r="AC14192"/>
      <c r="AR14192"/>
    </row>
    <row r="14193" spans="24:44">
      <c r="X14193"/>
      <c r="Y14193"/>
      <c r="Z14193"/>
      <c r="AA14193"/>
      <c r="AC14193"/>
      <c r="AR14193"/>
    </row>
    <row r="14194" spans="24:44">
      <c r="X14194"/>
      <c r="Y14194"/>
      <c r="Z14194"/>
      <c r="AA14194"/>
      <c r="AC14194"/>
      <c r="AR14194"/>
    </row>
    <row r="14195" spans="24:44">
      <c r="X14195"/>
      <c r="Y14195"/>
      <c r="Z14195"/>
      <c r="AA14195"/>
      <c r="AC14195"/>
      <c r="AR14195"/>
    </row>
    <row r="14196" spans="24:44">
      <c r="X14196"/>
      <c r="Y14196"/>
      <c r="Z14196"/>
      <c r="AA14196"/>
      <c r="AC14196"/>
      <c r="AR14196"/>
    </row>
    <row r="14197" spans="24:44">
      <c r="X14197"/>
      <c r="Y14197"/>
      <c r="Z14197"/>
      <c r="AA14197"/>
      <c r="AC14197"/>
      <c r="AR14197"/>
    </row>
    <row r="14198" spans="24:44">
      <c r="X14198"/>
      <c r="Y14198"/>
      <c r="Z14198"/>
      <c r="AA14198"/>
      <c r="AC14198"/>
      <c r="AR14198"/>
    </row>
    <row r="14199" spans="24:44">
      <c r="X14199"/>
      <c r="Y14199"/>
      <c r="Z14199"/>
      <c r="AA14199"/>
      <c r="AC14199"/>
      <c r="AR14199"/>
    </row>
    <row r="14200" spans="24:44">
      <c r="X14200"/>
      <c r="Y14200"/>
      <c r="Z14200"/>
      <c r="AA14200"/>
      <c r="AC14200"/>
      <c r="AR14200"/>
    </row>
    <row r="14201" spans="24:44">
      <c r="X14201"/>
      <c r="Y14201"/>
      <c r="Z14201"/>
      <c r="AA14201"/>
      <c r="AC14201"/>
      <c r="AR14201"/>
    </row>
    <row r="14202" spans="24:44">
      <c r="X14202"/>
      <c r="Y14202"/>
      <c r="Z14202"/>
      <c r="AA14202"/>
      <c r="AC14202"/>
      <c r="AR14202"/>
    </row>
    <row r="14203" spans="24:44">
      <c r="X14203"/>
      <c r="Y14203"/>
      <c r="Z14203"/>
      <c r="AA14203"/>
      <c r="AC14203"/>
      <c r="AR14203"/>
    </row>
    <row r="14204" spans="24:44">
      <c r="X14204"/>
      <c r="Y14204"/>
      <c r="Z14204"/>
      <c r="AA14204"/>
      <c r="AC14204"/>
      <c r="AR14204"/>
    </row>
    <row r="14205" spans="24:44">
      <c r="X14205"/>
      <c r="Y14205"/>
      <c r="Z14205"/>
      <c r="AA14205"/>
      <c r="AC14205"/>
      <c r="AR14205"/>
    </row>
    <row r="14206" spans="24:44">
      <c r="X14206"/>
      <c r="Y14206"/>
      <c r="Z14206"/>
      <c r="AA14206"/>
      <c r="AC14206"/>
      <c r="AR14206"/>
    </row>
    <row r="14207" spans="24:44">
      <c r="X14207"/>
      <c r="Y14207"/>
      <c r="Z14207"/>
      <c r="AA14207"/>
      <c r="AC14207"/>
      <c r="AR14207"/>
    </row>
    <row r="14208" spans="24:44">
      <c r="X14208"/>
      <c r="Y14208"/>
      <c r="Z14208"/>
      <c r="AA14208"/>
      <c r="AC14208"/>
      <c r="AR14208"/>
    </row>
    <row r="14209" spans="24:44">
      <c r="X14209"/>
      <c r="Y14209"/>
      <c r="Z14209"/>
      <c r="AA14209"/>
      <c r="AC14209"/>
      <c r="AR14209"/>
    </row>
    <row r="14210" spans="24:44">
      <c r="X14210"/>
      <c r="Y14210"/>
      <c r="Z14210"/>
      <c r="AA14210"/>
      <c r="AC14210"/>
      <c r="AR14210"/>
    </row>
    <row r="14211" spans="24:44">
      <c r="X14211"/>
      <c r="Y14211"/>
      <c r="Z14211"/>
      <c r="AA14211"/>
      <c r="AC14211"/>
      <c r="AR14211"/>
    </row>
    <row r="14212" spans="24:44">
      <c r="X14212"/>
      <c r="Y14212"/>
      <c r="Z14212"/>
      <c r="AA14212"/>
      <c r="AC14212"/>
      <c r="AR14212"/>
    </row>
    <row r="14213" spans="24:44">
      <c r="X14213"/>
      <c r="Y14213"/>
      <c r="Z14213"/>
      <c r="AA14213"/>
      <c r="AC14213"/>
      <c r="AR14213"/>
    </row>
    <row r="14214" spans="24:44">
      <c r="X14214"/>
      <c r="Y14214"/>
      <c r="Z14214"/>
      <c r="AA14214"/>
      <c r="AC14214"/>
      <c r="AR14214"/>
    </row>
    <row r="14215" spans="24:44">
      <c r="X14215"/>
      <c r="Y14215"/>
      <c r="Z14215"/>
      <c r="AA14215"/>
      <c r="AC14215"/>
      <c r="AR14215"/>
    </row>
    <row r="14216" spans="24:44">
      <c r="X14216"/>
      <c r="Y14216"/>
      <c r="Z14216"/>
      <c r="AA14216"/>
      <c r="AC14216"/>
      <c r="AR14216"/>
    </row>
    <row r="14217" spans="24:44">
      <c r="X14217"/>
      <c r="Y14217"/>
      <c r="Z14217"/>
      <c r="AA14217"/>
      <c r="AC14217"/>
      <c r="AR14217"/>
    </row>
    <row r="14218" spans="24:44">
      <c r="X14218"/>
      <c r="Y14218"/>
      <c r="Z14218"/>
      <c r="AA14218"/>
      <c r="AC14218"/>
      <c r="AR14218"/>
    </row>
    <row r="14219" spans="24:44">
      <c r="X14219"/>
      <c r="Y14219"/>
      <c r="Z14219"/>
      <c r="AA14219"/>
      <c r="AC14219"/>
      <c r="AR14219"/>
    </row>
    <row r="14220" spans="24:44">
      <c r="X14220"/>
      <c r="Y14220"/>
      <c r="Z14220"/>
      <c r="AA14220"/>
      <c r="AC14220"/>
      <c r="AR14220"/>
    </row>
    <row r="14221" spans="24:44">
      <c r="X14221"/>
      <c r="Y14221"/>
      <c r="Z14221"/>
      <c r="AA14221"/>
      <c r="AC14221"/>
      <c r="AR14221"/>
    </row>
    <row r="14222" spans="24:44">
      <c r="X14222"/>
      <c r="Y14222"/>
      <c r="Z14222"/>
      <c r="AA14222"/>
      <c r="AC14222"/>
      <c r="AR14222"/>
    </row>
    <row r="14223" spans="24:44">
      <c r="X14223"/>
      <c r="Y14223"/>
      <c r="Z14223"/>
      <c r="AA14223"/>
      <c r="AC14223"/>
      <c r="AR14223"/>
    </row>
    <row r="14224" spans="24:44">
      <c r="X14224"/>
      <c r="Y14224"/>
      <c r="Z14224"/>
      <c r="AA14224"/>
      <c r="AC14224"/>
      <c r="AR14224"/>
    </row>
    <row r="14225" spans="24:44">
      <c r="X14225"/>
      <c r="Y14225"/>
      <c r="Z14225"/>
      <c r="AA14225"/>
      <c r="AC14225"/>
      <c r="AR14225"/>
    </row>
    <row r="14226" spans="24:44">
      <c r="X14226"/>
      <c r="Y14226"/>
      <c r="Z14226"/>
      <c r="AA14226"/>
      <c r="AC14226"/>
      <c r="AR14226"/>
    </row>
    <row r="14227" spans="24:44">
      <c r="X14227"/>
      <c r="Y14227"/>
      <c r="Z14227"/>
      <c r="AA14227"/>
      <c r="AC14227"/>
      <c r="AR14227"/>
    </row>
    <row r="14228" spans="24:44">
      <c r="X14228"/>
      <c r="Y14228"/>
      <c r="Z14228"/>
      <c r="AA14228"/>
      <c r="AC14228"/>
      <c r="AR14228"/>
    </row>
    <row r="14229" spans="24:44">
      <c r="X14229"/>
      <c r="Y14229"/>
      <c r="Z14229"/>
      <c r="AA14229"/>
      <c r="AC14229"/>
      <c r="AR14229"/>
    </row>
    <row r="14230" spans="24:44">
      <c r="X14230"/>
      <c r="Y14230"/>
      <c r="Z14230"/>
      <c r="AA14230"/>
      <c r="AC14230"/>
      <c r="AR14230"/>
    </row>
    <row r="14231" spans="24:44">
      <c r="X14231"/>
      <c r="Y14231"/>
      <c r="Z14231"/>
      <c r="AA14231"/>
      <c r="AC14231"/>
      <c r="AR14231"/>
    </row>
    <row r="14232" spans="24:44">
      <c r="X14232"/>
      <c r="Y14232"/>
      <c r="Z14232"/>
      <c r="AA14232"/>
      <c r="AC14232"/>
      <c r="AR14232"/>
    </row>
    <row r="14233" spans="24:44">
      <c r="X14233"/>
      <c r="Y14233"/>
      <c r="Z14233"/>
      <c r="AA14233"/>
      <c r="AC14233"/>
      <c r="AR14233"/>
    </row>
    <row r="14234" spans="24:44">
      <c r="X14234"/>
      <c r="Y14234"/>
      <c r="Z14234"/>
      <c r="AA14234"/>
      <c r="AC14234"/>
      <c r="AR14234"/>
    </row>
    <row r="14235" spans="24:44">
      <c r="X14235"/>
      <c r="Y14235"/>
      <c r="Z14235"/>
      <c r="AA14235"/>
      <c r="AC14235"/>
      <c r="AR14235"/>
    </row>
    <row r="14236" spans="24:44">
      <c r="X14236"/>
      <c r="Y14236"/>
      <c r="Z14236"/>
      <c r="AA14236"/>
      <c r="AC14236"/>
      <c r="AR14236"/>
    </row>
    <row r="14237" spans="24:44">
      <c r="X14237"/>
      <c r="Y14237"/>
      <c r="Z14237"/>
      <c r="AA14237"/>
      <c r="AC14237"/>
      <c r="AR14237"/>
    </row>
    <row r="14238" spans="24:44">
      <c r="X14238"/>
      <c r="Y14238"/>
      <c r="Z14238"/>
      <c r="AA14238"/>
      <c r="AC14238"/>
      <c r="AR14238"/>
    </row>
    <row r="14239" spans="24:44">
      <c r="X14239"/>
      <c r="Y14239"/>
      <c r="Z14239"/>
      <c r="AA14239"/>
      <c r="AC14239"/>
      <c r="AR14239"/>
    </row>
    <row r="14240" spans="24:44">
      <c r="X14240"/>
      <c r="Y14240"/>
      <c r="Z14240"/>
      <c r="AA14240"/>
      <c r="AC14240"/>
      <c r="AR14240"/>
    </row>
    <row r="14241" spans="24:44">
      <c r="X14241"/>
      <c r="Y14241"/>
      <c r="Z14241"/>
      <c r="AA14241"/>
      <c r="AC14241"/>
      <c r="AR14241"/>
    </row>
    <row r="14242" spans="24:44">
      <c r="X14242"/>
      <c r="Y14242"/>
      <c r="Z14242"/>
      <c r="AA14242"/>
      <c r="AC14242"/>
      <c r="AR14242"/>
    </row>
    <row r="14243" spans="24:44">
      <c r="X14243"/>
      <c r="Y14243"/>
      <c r="Z14243"/>
      <c r="AA14243"/>
      <c r="AC14243"/>
      <c r="AR14243"/>
    </row>
    <row r="14244" spans="24:44">
      <c r="X14244"/>
      <c r="Y14244"/>
      <c r="Z14244"/>
      <c r="AA14244"/>
      <c r="AC14244"/>
      <c r="AR14244"/>
    </row>
    <row r="14245" spans="24:44">
      <c r="X14245"/>
      <c r="Y14245"/>
      <c r="Z14245"/>
      <c r="AA14245"/>
      <c r="AC14245"/>
      <c r="AR14245"/>
    </row>
    <row r="14246" spans="24:44">
      <c r="X14246"/>
      <c r="Y14246"/>
      <c r="Z14246"/>
      <c r="AA14246"/>
      <c r="AC14246"/>
      <c r="AR14246"/>
    </row>
    <row r="14247" spans="24:44">
      <c r="X14247"/>
      <c r="Y14247"/>
      <c r="Z14247"/>
      <c r="AA14247"/>
      <c r="AC14247"/>
      <c r="AR14247"/>
    </row>
    <row r="14248" spans="24:44">
      <c r="X14248"/>
      <c r="Y14248"/>
      <c r="Z14248"/>
      <c r="AA14248"/>
      <c r="AC14248"/>
      <c r="AR14248"/>
    </row>
    <row r="14249" spans="24:44">
      <c r="X14249"/>
      <c r="Y14249"/>
      <c r="Z14249"/>
      <c r="AA14249"/>
      <c r="AC14249"/>
      <c r="AR14249"/>
    </row>
    <row r="14250" spans="24:44">
      <c r="X14250"/>
      <c r="Y14250"/>
      <c r="Z14250"/>
      <c r="AA14250"/>
      <c r="AC14250"/>
      <c r="AR14250"/>
    </row>
    <row r="14251" spans="24:44">
      <c r="X14251"/>
      <c r="Y14251"/>
      <c r="Z14251"/>
      <c r="AA14251"/>
      <c r="AC14251"/>
      <c r="AR14251"/>
    </row>
    <row r="14252" spans="24:44">
      <c r="X14252"/>
      <c r="Y14252"/>
      <c r="Z14252"/>
      <c r="AA14252"/>
      <c r="AC14252"/>
      <c r="AR14252"/>
    </row>
    <row r="14253" spans="24:44">
      <c r="X14253"/>
      <c r="Y14253"/>
      <c r="Z14253"/>
      <c r="AA14253"/>
      <c r="AC14253"/>
      <c r="AR14253"/>
    </row>
    <row r="14254" spans="24:44">
      <c r="X14254"/>
      <c r="Y14254"/>
      <c r="Z14254"/>
      <c r="AA14254"/>
      <c r="AC14254"/>
      <c r="AR14254"/>
    </row>
    <row r="14255" spans="24:44">
      <c r="X14255"/>
      <c r="Y14255"/>
      <c r="Z14255"/>
      <c r="AA14255"/>
      <c r="AC14255"/>
      <c r="AR14255"/>
    </row>
    <row r="14256" spans="24:44">
      <c r="X14256"/>
      <c r="Y14256"/>
      <c r="Z14256"/>
      <c r="AA14256"/>
      <c r="AC14256"/>
      <c r="AR14256"/>
    </row>
    <row r="14257" spans="24:44">
      <c r="X14257"/>
      <c r="Y14257"/>
      <c r="Z14257"/>
      <c r="AA14257"/>
      <c r="AC14257"/>
      <c r="AR14257"/>
    </row>
    <row r="14258" spans="24:44">
      <c r="X14258"/>
      <c r="Y14258"/>
      <c r="Z14258"/>
      <c r="AA14258"/>
      <c r="AC14258"/>
      <c r="AR14258"/>
    </row>
    <row r="14259" spans="24:44">
      <c r="X14259"/>
      <c r="Y14259"/>
      <c r="Z14259"/>
      <c r="AA14259"/>
      <c r="AC14259"/>
      <c r="AR14259"/>
    </row>
    <row r="14260" spans="24:44">
      <c r="X14260"/>
      <c r="Y14260"/>
      <c r="Z14260"/>
      <c r="AA14260"/>
      <c r="AC14260"/>
      <c r="AR14260"/>
    </row>
    <row r="14261" spans="24:44">
      <c r="X14261"/>
      <c r="Y14261"/>
      <c r="Z14261"/>
      <c r="AA14261"/>
      <c r="AC14261"/>
      <c r="AR14261"/>
    </row>
    <row r="14262" spans="24:44">
      <c r="X14262"/>
      <c r="Y14262"/>
      <c r="Z14262"/>
      <c r="AA14262"/>
      <c r="AC14262"/>
      <c r="AR14262"/>
    </row>
    <row r="14263" spans="24:44">
      <c r="X14263"/>
      <c r="Y14263"/>
      <c r="Z14263"/>
      <c r="AA14263"/>
      <c r="AC14263"/>
      <c r="AR14263"/>
    </row>
    <row r="14264" spans="24:44">
      <c r="X14264"/>
      <c r="Y14264"/>
      <c r="Z14264"/>
      <c r="AA14264"/>
      <c r="AC14264"/>
      <c r="AR14264"/>
    </row>
    <row r="14265" spans="24:44">
      <c r="X14265"/>
      <c r="Y14265"/>
      <c r="Z14265"/>
      <c r="AA14265"/>
      <c r="AC14265"/>
      <c r="AR14265"/>
    </row>
    <row r="14266" spans="24:44">
      <c r="X14266"/>
      <c r="Y14266"/>
      <c r="Z14266"/>
      <c r="AA14266"/>
      <c r="AC14266"/>
      <c r="AR14266"/>
    </row>
    <row r="14267" spans="24:44">
      <c r="X14267"/>
      <c r="Y14267"/>
      <c r="Z14267"/>
      <c r="AA14267"/>
      <c r="AC14267"/>
      <c r="AR14267"/>
    </row>
    <row r="14268" spans="24:44">
      <c r="X14268"/>
      <c r="Y14268"/>
      <c r="Z14268"/>
      <c r="AA14268"/>
      <c r="AC14268"/>
      <c r="AR14268"/>
    </row>
    <row r="14269" spans="24:44">
      <c r="X14269"/>
      <c r="Y14269"/>
      <c r="Z14269"/>
      <c r="AA14269"/>
      <c r="AC14269"/>
      <c r="AR14269"/>
    </row>
    <row r="14270" spans="24:44">
      <c r="X14270"/>
      <c r="Y14270"/>
      <c r="Z14270"/>
      <c r="AA14270"/>
      <c r="AC14270"/>
      <c r="AR14270"/>
    </row>
    <row r="14271" spans="24:44">
      <c r="X14271"/>
      <c r="Y14271"/>
      <c r="Z14271"/>
      <c r="AA14271"/>
      <c r="AC14271"/>
      <c r="AR14271"/>
    </row>
    <row r="14272" spans="24:44">
      <c r="X14272"/>
      <c r="Y14272"/>
      <c r="Z14272"/>
      <c r="AA14272"/>
      <c r="AC14272"/>
      <c r="AR14272"/>
    </row>
    <row r="14273" spans="24:44">
      <c r="X14273"/>
      <c r="Y14273"/>
      <c r="Z14273"/>
      <c r="AA14273"/>
      <c r="AC14273"/>
      <c r="AR14273"/>
    </row>
    <row r="14274" spans="24:44">
      <c r="X14274"/>
      <c r="Y14274"/>
      <c r="Z14274"/>
      <c r="AA14274"/>
      <c r="AC14274"/>
      <c r="AR14274"/>
    </row>
    <row r="14275" spans="24:44">
      <c r="X14275"/>
      <c r="Y14275"/>
      <c r="Z14275"/>
      <c r="AA14275"/>
      <c r="AC14275"/>
      <c r="AR14275"/>
    </row>
    <row r="14276" spans="24:44">
      <c r="X14276"/>
      <c r="Y14276"/>
      <c r="Z14276"/>
      <c r="AA14276"/>
      <c r="AC14276"/>
      <c r="AR14276"/>
    </row>
    <row r="14277" spans="24:44">
      <c r="X14277"/>
      <c r="Y14277"/>
      <c r="Z14277"/>
      <c r="AA14277"/>
      <c r="AC14277"/>
      <c r="AR14277"/>
    </row>
    <row r="14278" spans="24:44">
      <c r="X14278"/>
      <c r="Y14278"/>
      <c r="Z14278"/>
      <c r="AA14278"/>
      <c r="AC14278"/>
      <c r="AR14278"/>
    </row>
    <row r="14279" spans="24:44">
      <c r="X14279"/>
      <c r="Y14279"/>
      <c r="Z14279"/>
      <c r="AA14279"/>
      <c r="AC14279"/>
      <c r="AR14279"/>
    </row>
    <row r="14280" spans="24:44">
      <c r="X14280"/>
      <c r="Y14280"/>
      <c r="Z14280"/>
      <c r="AA14280"/>
      <c r="AC14280"/>
      <c r="AR14280"/>
    </row>
    <row r="14281" spans="24:44">
      <c r="X14281"/>
      <c r="Y14281"/>
      <c r="Z14281"/>
      <c r="AA14281"/>
      <c r="AC14281"/>
      <c r="AR14281"/>
    </row>
    <row r="14282" spans="24:44">
      <c r="X14282"/>
      <c r="Y14282"/>
      <c r="Z14282"/>
      <c r="AA14282"/>
      <c r="AC14282"/>
      <c r="AR14282"/>
    </row>
    <row r="14283" spans="24:44">
      <c r="X14283"/>
      <c r="Y14283"/>
      <c r="Z14283"/>
      <c r="AA14283"/>
      <c r="AC14283"/>
      <c r="AR14283"/>
    </row>
    <row r="14284" spans="24:44">
      <c r="X14284"/>
      <c r="Y14284"/>
      <c r="Z14284"/>
      <c r="AA14284"/>
      <c r="AC14284"/>
      <c r="AR14284"/>
    </row>
    <row r="14285" spans="24:44">
      <c r="X14285"/>
      <c r="Y14285"/>
      <c r="Z14285"/>
      <c r="AA14285"/>
      <c r="AC14285"/>
      <c r="AR14285"/>
    </row>
    <row r="14286" spans="24:44">
      <c r="X14286"/>
      <c r="Y14286"/>
      <c r="Z14286"/>
      <c r="AA14286"/>
      <c r="AC14286"/>
      <c r="AR14286"/>
    </row>
    <row r="14287" spans="24:44">
      <c r="X14287"/>
      <c r="Y14287"/>
      <c r="Z14287"/>
      <c r="AA14287"/>
      <c r="AC14287"/>
      <c r="AR14287"/>
    </row>
    <row r="14288" spans="24:44">
      <c r="X14288"/>
      <c r="Y14288"/>
      <c r="Z14288"/>
      <c r="AA14288"/>
      <c r="AC14288"/>
      <c r="AR14288"/>
    </row>
    <row r="14289" spans="24:44">
      <c r="X14289"/>
      <c r="Y14289"/>
      <c r="Z14289"/>
      <c r="AA14289"/>
      <c r="AC14289"/>
      <c r="AR14289"/>
    </row>
    <row r="14290" spans="24:44">
      <c r="X14290"/>
      <c r="Y14290"/>
      <c r="Z14290"/>
      <c r="AA14290"/>
      <c r="AC14290"/>
      <c r="AR14290"/>
    </row>
    <row r="14291" spans="24:44">
      <c r="X14291"/>
      <c r="Y14291"/>
      <c r="Z14291"/>
      <c r="AA14291"/>
      <c r="AC14291"/>
      <c r="AR14291"/>
    </row>
    <row r="14292" spans="24:44">
      <c r="X14292"/>
      <c r="Y14292"/>
      <c r="Z14292"/>
      <c r="AA14292"/>
      <c r="AC14292"/>
      <c r="AR14292"/>
    </row>
    <row r="14293" spans="24:44">
      <c r="X14293"/>
      <c r="Y14293"/>
      <c r="Z14293"/>
      <c r="AA14293"/>
      <c r="AC14293"/>
      <c r="AR14293"/>
    </row>
    <row r="14294" spans="24:44">
      <c r="X14294"/>
      <c r="Y14294"/>
      <c r="Z14294"/>
      <c r="AA14294"/>
      <c r="AC14294"/>
      <c r="AR14294"/>
    </row>
    <row r="14295" spans="24:44">
      <c r="X14295"/>
      <c r="Y14295"/>
      <c r="Z14295"/>
      <c r="AA14295"/>
      <c r="AC14295"/>
      <c r="AR14295"/>
    </row>
    <row r="14296" spans="24:44">
      <c r="X14296"/>
      <c r="Y14296"/>
      <c r="Z14296"/>
      <c r="AA14296"/>
      <c r="AC14296"/>
      <c r="AR14296"/>
    </row>
    <row r="14297" spans="24:44">
      <c r="X14297"/>
      <c r="Y14297"/>
      <c r="Z14297"/>
      <c r="AA14297"/>
      <c r="AC14297"/>
      <c r="AR14297"/>
    </row>
    <row r="14298" spans="24:44">
      <c r="X14298"/>
      <c r="Y14298"/>
      <c r="Z14298"/>
      <c r="AA14298"/>
      <c r="AC14298"/>
      <c r="AR14298"/>
    </row>
    <row r="14299" spans="24:44">
      <c r="X14299"/>
      <c r="Y14299"/>
      <c r="Z14299"/>
      <c r="AA14299"/>
      <c r="AC14299"/>
      <c r="AR14299"/>
    </row>
    <row r="14300" spans="24:44">
      <c r="X14300"/>
      <c r="Y14300"/>
      <c r="Z14300"/>
      <c r="AA14300"/>
      <c r="AC14300"/>
      <c r="AR14300"/>
    </row>
    <row r="14301" spans="24:44">
      <c r="X14301"/>
      <c r="Y14301"/>
      <c r="Z14301"/>
      <c r="AA14301"/>
      <c r="AC14301"/>
      <c r="AR14301"/>
    </row>
    <row r="14302" spans="24:44">
      <c r="X14302"/>
      <c r="Y14302"/>
      <c r="Z14302"/>
      <c r="AA14302"/>
      <c r="AC14302"/>
      <c r="AR14302"/>
    </row>
    <row r="14303" spans="24:44">
      <c r="X14303"/>
      <c r="Y14303"/>
      <c r="Z14303"/>
      <c r="AA14303"/>
      <c r="AC14303"/>
      <c r="AR14303"/>
    </row>
    <row r="14304" spans="24:44">
      <c r="X14304"/>
      <c r="Y14304"/>
      <c r="Z14304"/>
      <c r="AA14304"/>
      <c r="AC14304"/>
      <c r="AR14304"/>
    </row>
    <row r="14305" spans="24:44">
      <c r="X14305"/>
      <c r="Y14305"/>
      <c r="Z14305"/>
      <c r="AA14305"/>
      <c r="AC14305"/>
      <c r="AR14305"/>
    </row>
    <row r="14306" spans="24:44">
      <c r="X14306"/>
      <c r="Y14306"/>
      <c r="Z14306"/>
      <c r="AA14306"/>
      <c r="AC14306"/>
      <c r="AR14306"/>
    </row>
    <row r="14307" spans="24:44">
      <c r="X14307"/>
      <c r="Y14307"/>
      <c r="Z14307"/>
      <c r="AA14307"/>
      <c r="AC14307"/>
      <c r="AR14307"/>
    </row>
    <row r="14308" spans="24:44">
      <c r="X14308"/>
      <c r="Y14308"/>
      <c r="Z14308"/>
      <c r="AA14308"/>
      <c r="AC14308"/>
      <c r="AR14308"/>
    </row>
    <row r="14309" spans="24:44">
      <c r="X14309"/>
      <c r="Y14309"/>
      <c r="Z14309"/>
      <c r="AA14309"/>
      <c r="AC14309"/>
      <c r="AR14309"/>
    </row>
    <row r="14310" spans="24:44">
      <c r="X14310"/>
      <c r="Y14310"/>
      <c r="Z14310"/>
      <c r="AA14310"/>
      <c r="AC14310"/>
      <c r="AR14310"/>
    </row>
    <row r="14311" spans="24:44">
      <c r="X14311"/>
      <c r="Y14311"/>
      <c r="Z14311"/>
      <c r="AA14311"/>
      <c r="AC14311"/>
      <c r="AR14311"/>
    </row>
    <row r="14312" spans="24:44">
      <c r="X14312"/>
      <c r="Y14312"/>
      <c r="Z14312"/>
      <c r="AA14312"/>
      <c r="AC14312"/>
      <c r="AR14312"/>
    </row>
    <row r="14313" spans="24:44">
      <c r="X14313"/>
      <c r="Y14313"/>
      <c r="Z14313"/>
      <c r="AA14313"/>
      <c r="AC14313"/>
      <c r="AR14313"/>
    </row>
    <row r="14314" spans="24:44">
      <c r="X14314"/>
      <c r="Y14314"/>
      <c r="Z14314"/>
      <c r="AA14314"/>
      <c r="AC14314"/>
      <c r="AR14314"/>
    </row>
    <row r="14315" spans="24:44">
      <c r="X14315"/>
      <c r="Y14315"/>
      <c r="Z14315"/>
      <c r="AA14315"/>
      <c r="AC14315"/>
      <c r="AR14315"/>
    </row>
    <row r="14316" spans="24:44">
      <c r="X14316"/>
      <c r="Y14316"/>
      <c r="Z14316"/>
      <c r="AA14316"/>
      <c r="AC14316"/>
      <c r="AR14316"/>
    </row>
    <row r="14317" spans="24:44">
      <c r="X14317"/>
      <c r="Y14317"/>
      <c r="Z14317"/>
      <c r="AA14317"/>
      <c r="AC14317"/>
      <c r="AR14317"/>
    </row>
    <row r="14318" spans="24:44">
      <c r="X14318"/>
      <c r="Y14318"/>
      <c r="Z14318"/>
      <c r="AA14318"/>
      <c r="AC14318"/>
      <c r="AR14318"/>
    </row>
    <row r="14319" spans="24:44">
      <c r="X14319"/>
      <c r="Y14319"/>
      <c r="Z14319"/>
      <c r="AA14319"/>
      <c r="AC14319"/>
      <c r="AR14319"/>
    </row>
    <row r="14320" spans="24:44">
      <c r="X14320"/>
      <c r="Y14320"/>
      <c r="Z14320"/>
      <c r="AA14320"/>
      <c r="AC14320"/>
      <c r="AR14320"/>
    </row>
    <row r="14321" spans="24:44">
      <c r="X14321"/>
      <c r="Y14321"/>
      <c r="Z14321"/>
      <c r="AA14321"/>
      <c r="AC14321"/>
      <c r="AR14321"/>
    </row>
    <row r="14322" spans="24:44">
      <c r="X14322"/>
      <c r="Y14322"/>
      <c r="Z14322"/>
      <c r="AA14322"/>
      <c r="AC14322"/>
      <c r="AR14322"/>
    </row>
    <row r="14323" spans="24:44">
      <c r="X14323"/>
      <c r="Y14323"/>
      <c r="Z14323"/>
      <c r="AA14323"/>
      <c r="AC14323"/>
      <c r="AR14323"/>
    </row>
    <row r="14324" spans="24:44">
      <c r="X14324"/>
      <c r="Y14324"/>
      <c r="Z14324"/>
      <c r="AA14324"/>
      <c r="AC14324"/>
      <c r="AR14324"/>
    </row>
    <row r="14325" spans="24:44">
      <c r="X14325"/>
      <c r="Y14325"/>
      <c r="Z14325"/>
      <c r="AA14325"/>
      <c r="AC14325"/>
      <c r="AR14325"/>
    </row>
    <row r="14326" spans="24:44">
      <c r="X14326"/>
      <c r="Y14326"/>
      <c r="Z14326"/>
      <c r="AA14326"/>
      <c r="AC14326"/>
      <c r="AR14326"/>
    </row>
    <row r="14327" spans="24:44">
      <c r="X14327"/>
      <c r="Y14327"/>
      <c r="Z14327"/>
      <c r="AA14327"/>
      <c r="AC14327"/>
      <c r="AR14327"/>
    </row>
    <row r="14328" spans="24:44">
      <c r="X14328"/>
      <c r="Y14328"/>
      <c r="Z14328"/>
      <c r="AA14328"/>
      <c r="AC14328"/>
      <c r="AR14328"/>
    </row>
    <row r="14329" spans="24:44">
      <c r="X14329"/>
      <c r="Y14329"/>
      <c r="Z14329"/>
      <c r="AA14329"/>
      <c r="AC14329"/>
      <c r="AR14329"/>
    </row>
    <row r="14330" spans="24:44">
      <c r="X14330"/>
      <c r="Y14330"/>
      <c r="Z14330"/>
      <c r="AA14330"/>
      <c r="AC14330"/>
      <c r="AR14330"/>
    </row>
    <row r="14331" spans="24:44">
      <c r="X14331"/>
      <c r="Y14331"/>
      <c r="Z14331"/>
      <c r="AA14331"/>
      <c r="AC14331"/>
      <c r="AR14331"/>
    </row>
    <row r="14332" spans="24:44">
      <c r="X14332"/>
      <c r="Y14332"/>
      <c r="Z14332"/>
      <c r="AA14332"/>
      <c r="AC14332"/>
      <c r="AR14332"/>
    </row>
    <row r="14333" spans="24:44">
      <c r="X14333"/>
      <c r="Y14333"/>
      <c r="Z14333"/>
      <c r="AA14333"/>
      <c r="AC14333"/>
      <c r="AR14333"/>
    </row>
    <row r="14334" spans="24:44">
      <c r="X14334"/>
      <c r="Y14334"/>
      <c r="Z14334"/>
      <c r="AA14334"/>
      <c r="AC14334"/>
      <c r="AR14334"/>
    </row>
    <row r="14335" spans="24:44">
      <c r="X14335"/>
      <c r="Y14335"/>
      <c r="Z14335"/>
      <c r="AA14335"/>
      <c r="AC14335"/>
      <c r="AR14335"/>
    </row>
    <row r="14336" spans="24:44">
      <c r="X14336"/>
      <c r="Y14336"/>
      <c r="Z14336"/>
      <c r="AA14336"/>
      <c r="AC14336"/>
      <c r="AR14336"/>
    </row>
    <row r="14337" spans="24:44">
      <c r="X14337"/>
      <c r="Y14337"/>
      <c r="Z14337"/>
      <c r="AA14337"/>
      <c r="AC14337"/>
      <c r="AR14337"/>
    </row>
    <row r="14338" spans="24:44">
      <c r="X14338"/>
      <c r="Y14338"/>
      <c r="Z14338"/>
      <c r="AA14338"/>
      <c r="AC14338"/>
      <c r="AR14338"/>
    </row>
    <row r="14339" spans="24:44">
      <c r="X14339"/>
      <c r="Y14339"/>
      <c r="Z14339"/>
      <c r="AA14339"/>
      <c r="AC14339"/>
      <c r="AR14339"/>
    </row>
    <row r="14340" spans="24:44">
      <c r="X14340"/>
      <c r="Y14340"/>
      <c r="Z14340"/>
      <c r="AA14340"/>
      <c r="AC14340"/>
      <c r="AR14340"/>
    </row>
    <row r="14341" spans="24:44">
      <c r="X14341"/>
      <c r="Y14341"/>
      <c r="Z14341"/>
      <c r="AA14341"/>
      <c r="AC14341"/>
      <c r="AR14341"/>
    </row>
    <row r="14342" spans="24:44">
      <c r="X14342"/>
      <c r="Y14342"/>
      <c r="Z14342"/>
      <c r="AA14342"/>
      <c r="AC14342"/>
      <c r="AR14342"/>
    </row>
    <row r="14343" spans="24:44">
      <c r="X14343"/>
      <c r="Y14343"/>
      <c r="Z14343"/>
      <c r="AA14343"/>
      <c r="AC14343"/>
      <c r="AR14343"/>
    </row>
    <row r="14344" spans="24:44">
      <c r="X14344"/>
      <c r="Y14344"/>
      <c r="Z14344"/>
      <c r="AA14344"/>
      <c r="AC14344"/>
      <c r="AR14344"/>
    </row>
    <row r="14345" spans="24:44">
      <c r="X14345"/>
      <c r="Y14345"/>
      <c r="Z14345"/>
      <c r="AA14345"/>
      <c r="AC14345"/>
      <c r="AR14345"/>
    </row>
    <row r="14346" spans="24:44">
      <c r="X14346"/>
      <c r="Y14346"/>
      <c r="Z14346"/>
      <c r="AA14346"/>
      <c r="AC14346"/>
      <c r="AR14346"/>
    </row>
    <row r="14347" spans="24:44">
      <c r="X14347"/>
      <c r="Y14347"/>
      <c r="Z14347"/>
      <c r="AA14347"/>
      <c r="AC14347"/>
      <c r="AR14347"/>
    </row>
    <row r="14348" spans="24:44">
      <c r="X14348"/>
      <c r="Y14348"/>
      <c r="Z14348"/>
      <c r="AA14348"/>
      <c r="AC14348"/>
      <c r="AR14348"/>
    </row>
    <row r="14349" spans="24:44">
      <c r="X14349"/>
      <c r="Y14349"/>
      <c r="Z14349"/>
      <c r="AA14349"/>
      <c r="AC14349"/>
      <c r="AR14349"/>
    </row>
    <row r="14350" spans="24:44">
      <c r="X14350"/>
      <c r="Y14350"/>
      <c r="Z14350"/>
      <c r="AA14350"/>
      <c r="AC14350"/>
      <c r="AR14350"/>
    </row>
    <row r="14351" spans="24:44">
      <c r="X14351"/>
      <c r="Y14351"/>
      <c r="Z14351"/>
      <c r="AA14351"/>
      <c r="AC14351"/>
      <c r="AR14351"/>
    </row>
    <row r="14352" spans="24:44">
      <c r="X14352"/>
      <c r="Y14352"/>
      <c r="Z14352"/>
      <c r="AA14352"/>
      <c r="AC14352"/>
      <c r="AR14352"/>
    </row>
    <row r="14353" spans="24:44">
      <c r="X14353"/>
      <c r="Y14353"/>
      <c r="Z14353"/>
      <c r="AA14353"/>
      <c r="AC14353"/>
      <c r="AR14353"/>
    </row>
    <row r="14354" spans="24:44">
      <c r="X14354"/>
      <c r="Y14354"/>
      <c r="Z14354"/>
      <c r="AA14354"/>
      <c r="AC14354"/>
      <c r="AR14354"/>
    </row>
    <row r="14355" spans="24:44">
      <c r="X14355"/>
      <c r="Y14355"/>
      <c r="Z14355"/>
      <c r="AA14355"/>
      <c r="AC14355"/>
      <c r="AR14355"/>
    </row>
    <row r="14356" spans="24:44">
      <c r="X14356"/>
      <c r="Y14356"/>
      <c r="Z14356"/>
      <c r="AA14356"/>
      <c r="AC14356"/>
      <c r="AR14356"/>
    </row>
    <row r="14357" spans="24:44">
      <c r="X14357"/>
      <c r="Y14357"/>
      <c r="Z14357"/>
      <c r="AA14357"/>
      <c r="AC14357"/>
      <c r="AR14357"/>
    </row>
    <row r="14358" spans="24:44">
      <c r="X14358"/>
      <c r="Y14358"/>
      <c r="Z14358"/>
      <c r="AA14358"/>
      <c r="AC14358"/>
      <c r="AR14358"/>
    </row>
    <row r="14359" spans="24:44">
      <c r="X14359"/>
      <c r="Y14359"/>
      <c r="Z14359"/>
      <c r="AA14359"/>
      <c r="AC14359"/>
      <c r="AR14359"/>
    </row>
    <row r="14360" spans="24:44">
      <c r="X14360"/>
      <c r="Y14360"/>
      <c r="Z14360"/>
      <c r="AA14360"/>
      <c r="AC14360"/>
      <c r="AR14360"/>
    </row>
    <row r="14361" spans="24:44">
      <c r="X14361"/>
      <c r="Y14361"/>
      <c r="Z14361"/>
      <c r="AA14361"/>
      <c r="AC14361"/>
      <c r="AR14361"/>
    </row>
    <row r="14362" spans="24:44">
      <c r="X14362"/>
      <c r="Y14362"/>
      <c r="Z14362"/>
      <c r="AA14362"/>
      <c r="AC14362"/>
      <c r="AR14362"/>
    </row>
    <row r="14363" spans="24:44">
      <c r="X14363"/>
      <c r="Y14363"/>
      <c r="Z14363"/>
      <c r="AA14363"/>
      <c r="AC14363"/>
      <c r="AR14363"/>
    </row>
    <row r="14364" spans="24:44">
      <c r="X14364"/>
      <c r="Y14364"/>
      <c r="Z14364"/>
      <c r="AA14364"/>
      <c r="AC14364"/>
      <c r="AR14364"/>
    </row>
    <row r="14365" spans="24:44">
      <c r="X14365"/>
      <c r="Y14365"/>
      <c r="Z14365"/>
      <c r="AA14365"/>
      <c r="AC14365"/>
      <c r="AR14365"/>
    </row>
    <row r="14366" spans="24:44">
      <c r="X14366"/>
      <c r="Y14366"/>
      <c r="Z14366"/>
      <c r="AA14366"/>
      <c r="AC14366"/>
      <c r="AR14366"/>
    </row>
    <row r="14367" spans="24:44">
      <c r="X14367"/>
      <c r="Y14367"/>
      <c r="Z14367"/>
      <c r="AA14367"/>
      <c r="AC14367"/>
      <c r="AR14367"/>
    </row>
    <row r="14368" spans="24:44">
      <c r="X14368"/>
      <c r="Y14368"/>
      <c r="Z14368"/>
      <c r="AA14368"/>
      <c r="AC14368"/>
      <c r="AR14368"/>
    </row>
    <row r="14369" spans="24:44">
      <c r="X14369"/>
      <c r="Y14369"/>
      <c r="Z14369"/>
      <c r="AA14369"/>
      <c r="AC14369"/>
      <c r="AR14369"/>
    </row>
    <row r="14370" spans="24:44">
      <c r="X14370"/>
      <c r="Y14370"/>
      <c r="Z14370"/>
      <c r="AA14370"/>
      <c r="AC14370"/>
      <c r="AR14370"/>
    </row>
    <row r="14371" spans="24:44">
      <c r="X14371"/>
      <c r="Y14371"/>
      <c r="Z14371"/>
      <c r="AA14371"/>
      <c r="AC14371"/>
      <c r="AR14371"/>
    </row>
    <row r="14372" spans="24:44">
      <c r="X14372"/>
      <c r="Y14372"/>
      <c r="Z14372"/>
      <c r="AA14372"/>
      <c r="AC14372"/>
      <c r="AR14372"/>
    </row>
    <row r="14373" spans="24:44">
      <c r="X14373"/>
      <c r="Y14373"/>
      <c r="Z14373"/>
      <c r="AA14373"/>
      <c r="AC14373"/>
      <c r="AR14373"/>
    </row>
    <row r="14374" spans="24:44">
      <c r="X14374"/>
      <c r="Y14374"/>
      <c r="Z14374"/>
      <c r="AA14374"/>
      <c r="AC14374"/>
      <c r="AR14374"/>
    </row>
    <row r="14375" spans="24:44">
      <c r="X14375"/>
      <c r="Y14375"/>
      <c r="Z14375"/>
      <c r="AA14375"/>
      <c r="AC14375"/>
      <c r="AR14375"/>
    </row>
    <row r="14376" spans="24:44">
      <c r="X14376"/>
      <c r="Y14376"/>
      <c r="Z14376"/>
      <c r="AA14376"/>
      <c r="AC14376"/>
      <c r="AR14376"/>
    </row>
    <row r="14377" spans="24:44">
      <c r="X14377"/>
      <c r="Y14377"/>
      <c r="Z14377"/>
      <c r="AA14377"/>
      <c r="AC14377"/>
      <c r="AR14377"/>
    </row>
    <row r="14378" spans="24:44">
      <c r="X14378"/>
      <c r="Y14378"/>
      <c r="Z14378"/>
      <c r="AA14378"/>
      <c r="AC14378"/>
      <c r="AR14378"/>
    </row>
    <row r="14379" spans="24:44">
      <c r="X14379"/>
      <c r="Y14379"/>
      <c r="Z14379"/>
      <c r="AA14379"/>
      <c r="AC14379"/>
      <c r="AR14379"/>
    </row>
    <row r="14380" spans="24:44">
      <c r="X14380"/>
      <c r="Y14380"/>
      <c r="Z14380"/>
      <c r="AA14380"/>
      <c r="AC14380"/>
      <c r="AR14380"/>
    </row>
    <row r="14381" spans="24:44">
      <c r="X14381"/>
      <c r="Y14381"/>
      <c r="Z14381"/>
      <c r="AA14381"/>
      <c r="AC14381"/>
      <c r="AR14381"/>
    </row>
    <row r="14382" spans="24:44">
      <c r="X14382"/>
      <c r="Y14382"/>
      <c r="Z14382"/>
      <c r="AA14382"/>
      <c r="AC14382"/>
      <c r="AR14382"/>
    </row>
    <row r="14383" spans="24:44">
      <c r="X14383"/>
      <c r="Y14383"/>
      <c r="Z14383"/>
      <c r="AA14383"/>
      <c r="AC14383"/>
      <c r="AR14383"/>
    </row>
    <row r="14384" spans="24:44">
      <c r="X14384"/>
      <c r="Y14384"/>
      <c r="Z14384"/>
      <c r="AA14384"/>
      <c r="AC14384"/>
      <c r="AR14384"/>
    </row>
    <row r="14385" spans="24:44">
      <c r="X14385"/>
      <c r="Y14385"/>
      <c r="Z14385"/>
      <c r="AA14385"/>
      <c r="AC14385"/>
      <c r="AR14385"/>
    </row>
    <row r="14386" spans="24:44">
      <c r="X14386"/>
      <c r="Y14386"/>
      <c r="Z14386"/>
      <c r="AA14386"/>
      <c r="AC14386"/>
      <c r="AR14386"/>
    </row>
    <row r="14387" spans="24:44">
      <c r="X14387"/>
      <c r="Y14387"/>
      <c r="Z14387"/>
      <c r="AA14387"/>
      <c r="AC14387"/>
      <c r="AR14387"/>
    </row>
    <row r="14388" spans="24:44">
      <c r="X14388"/>
      <c r="Y14388"/>
      <c r="Z14388"/>
      <c r="AA14388"/>
      <c r="AC14388"/>
      <c r="AR14388"/>
    </row>
    <row r="14389" spans="24:44">
      <c r="X14389"/>
      <c r="Y14389"/>
      <c r="Z14389"/>
      <c r="AA14389"/>
      <c r="AC14389"/>
      <c r="AR14389"/>
    </row>
    <row r="14390" spans="24:44">
      <c r="X14390"/>
      <c r="Y14390"/>
      <c r="Z14390"/>
      <c r="AA14390"/>
      <c r="AC14390"/>
      <c r="AR14390"/>
    </row>
    <row r="14391" spans="24:44">
      <c r="X14391"/>
      <c r="Y14391"/>
      <c r="Z14391"/>
      <c r="AA14391"/>
      <c r="AC14391"/>
      <c r="AR14391"/>
    </row>
    <row r="14392" spans="24:44">
      <c r="X14392"/>
      <c r="Y14392"/>
      <c r="Z14392"/>
      <c r="AA14392"/>
      <c r="AC14392"/>
      <c r="AR14392"/>
    </row>
    <row r="14393" spans="24:44">
      <c r="X14393"/>
      <c r="Y14393"/>
      <c r="Z14393"/>
      <c r="AA14393"/>
      <c r="AC14393"/>
      <c r="AR14393"/>
    </row>
    <row r="14394" spans="24:44">
      <c r="X14394"/>
      <c r="Y14394"/>
      <c r="Z14394"/>
      <c r="AA14394"/>
      <c r="AC14394"/>
      <c r="AR14394"/>
    </row>
    <row r="14395" spans="24:44">
      <c r="X14395"/>
      <c r="Y14395"/>
      <c r="Z14395"/>
      <c r="AA14395"/>
      <c r="AC14395"/>
      <c r="AR14395"/>
    </row>
    <row r="14396" spans="24:44">
      <c r="X14396"/>
      <c r="Y14396"/>
      <c r="Z14396"/>
      <c r="AA14396"/>
      <c r="AC14396"/>
      <c r="AR14396"/>
    </row>
    <row r="14397" spans="24:44">
      <c r="X14397"/>
      <c r="Y14397"/>
      <c r="Z14397"/>
      <c r="AA14397"/>
      <c r="AC14397"/>
      <c r="AR14397"/>
    </row>
    <row r="14398" spans="24:44">
      <c r="X14398"/>
      <c r="Y14398"/>
      <c r="Z14398"/>
      <c r="AA14398"/>
      <c r="AC14398"/>
      <c r="AR14398"/>
    </row>
    <row r="14399" spans="24:44">
      <c r="X14399"/>
      <c r="Y14399"/>
      <c r="Z14399"/>
      <c r="AA14399"/>
      <c r="AC14399"/>
      <c r="AR14399"/>
    </row>
    <row r="14400" spans="24:44">
      <c r="X14400"/>
      <c r="Y14400"/>
      <c r="Z14400"/>
      <c r="AA14400"/>
      <c r="AC14400"/>
      <c r="AR14400"/>
    </row>
    <row r="14401" spans="24:44">
      <c r="X14401"/>
      <c r="Y14401"/>
      <c r="Z14401"/>
      <c r="AA14401"/>
      <c r="AC14401"/>
      <c r="AR14401"/>
    </row>
    <row r="14402" spans="24:44">
      <c r="X14402"/>
      <c r="Y14402"/>
      <c r="Z14402"/>
      <c r="AA14402"/>
      <c r="AC14402"/>
      <c r="AR14402"/>
    </row>
    <row r="14403" spans="24:44">
      <c r="X14403"/>
      <c r="Y14403"/>
      <c r="Z14403"/>
      <c r="AA14403"/>
      <c r="AC14403"/>
      <c r="AR14403"/>
    </row>
    <row r="14404" spans="24:44">
      <c r="X14404"/>
      <c r="Y14404"/>
      <c r="Z14404"/>
      <c r="AA14404"/>
      <c r="AC14404"/>
      <c r="AR14404"/>
    </row>
    <row r="14405" spans="24:44">
      <c r="X14405"/>
      <c r="Y14405"/>
      <c r="Z14405"/>
      <c r="AA14405"/>
      <c r="AC14405"/>
      <c r="AR14405"/>
    </row>
    <row r="14406" spans="24:44">
      <c r="X14406"/>
      <c r="Y14406"/>
      <c r="Z14406"/>
      <c r="AA14406"/>
      <c r="AC14406"/>
      <c r="AR14406"/>
    </row>
    <row r="14407" spans="24:44">
      <c r="X14407"/>
      <c r="Y14407"/>
      <c r="Z14407"/>
      <c r="AA14407"/>
      <c r="AC14407"/>
      <c r="AR14407"/>
    </row>
    <row r="14408" spans="24:44">
      <c r="X14408"/>
      <c r="Y14408"/>
      <c r="Z14408"/>
      <c r="AA14408"/>
      <c r="AC14408"/>
      <c r="AR14408"/>
    </row>
    <row r="14409" spans="24:44">
      <c r="X14409"/>
      <c r="Y14409"/>
      <c r="Z14409"/>
      <c r="AA14409"/>
      <c r="AC14409"/>
      <c r="AR14409"/>
    </row>
    <row r="14410" spans="24:44">
      <c r="X14410"/>
      <c r="Y14410"/>
      <c r="Z14410"/>
      <c r="AA14410"/>
      <c r="AC14410"/>
      <c r="AR14410"/>
    </row>
    <row r="14411" spans="24:44">
      <c r="X14411"/>
      <c r="Y14411"/>
      <c r="Z14411"/>
      <c r="AA14411"/>
      <c r="AC14411"/>
      <c r="AR14411"/>
    </row>
    <row r="14412" spans="24:44">
      <c r="X14412"/>
      <c r="Y14412"/>
      <c r="Z14412"/>
      <c r="AA14412"/>
      <c r="AC14412"/>
      <c r="AR14412"/>
    </row>
    <row r="14413" spans="24:44">
      <c r="X14413"/>
      <c r="Y14413"/>
      <c r="Z14413"/>
      <c r="AA14413"/>
      <c r="AC14413"/>
      <c r="AR14413"/>
    </row>
    <row r="14414" spans="24:44">
      <c r="X14414"/>
      <c r="Y14414"/>
      <c r="Z14414"/>
      <c r="AA14414"/>
      <c r="AC14414"/>
      <c r="AR14414"/>
    </row>
    <row r="14415" spans="24:44">
      <c r="X14415"/>
      <c r="Y14415"/>
      <c r="Z14415"/>
      <c r="AA14415"/>
      <c r="AC14415"/>
      <c r="AR14415"/>
    </row>
    <row r="14416" spans="24:44">
      <c r="X14416"/>
      <c r="Y14416"/>
      <c r="Z14416"/>
      <c r="AA14416"/>
      <c r="AC14416"/>
      <c r="AR14416"/>
    </row>
    <row r="14417" spans="24:44">
      <c r="X14417"/>
      <c r="Y14417"/>
      <c r="Z14417"/>
      <c r="AA14417"/>
      <c r="AC14417"/>
      <c r="AR14417"/>
    </row>
    <row r="14418" spans="24:44">
      <c r="X14418"/>
      <c r="Y14418"/>
      <c r="Z14418"/>
      <c r="AA14418"/>
      <c r="AC14418"/>
      <c r="AR14418"/>
    </row>
    <row r="14419" spans="24:44">
      <c r="X14419"/>
      <c r="Y14419"/>
      <c r="Z14419"/>
      <c r="AA14419"/>
      <c r="AC14419"/>
      <c r="AR14419"/>
    </row>
    <row r="14420" spans="24:44">
      <c r="X14420"/>
      <c r="Y14420"/>
      <c r="Z14420"/>
      <c r="AA14420"/>
      <c r="AC14420"/>
      <c r="AR14420"/>
    </row>
    <row r="14421" spans="24:44">
      <c r="X14421"/>
      <c r="Y14421"/>
      <c r="Z14421"/>
      <c r="AA14421"/>
      <c r="AC14421"/>
      <c r="AR14421"/>
    </row>
    <row r="14422" spans="24:44">
      <c r="X14422"/>
      <c r="Y14422"/>
      <c r="Z14422"/>
      <c r="AA14422"/>
      <c r="AC14422"/>
      <c r="AR14422"/>
    </row>
    <row r="14423" spans="24:44">
      <c r="X14423"/>
      <c r="Y14423"/>
      <c r="Z14423"/>
      <c r="AA14423"/>
      <c r="AC14423"/>
      <c r="AR14423"/>
    </row>
    <row r="14424" spans="24:44">
      <c r="X14424"/>
      <c r="Y14424"/>
      <c r="Z14424"/>
      <c r="AA14424"/>
      <c r="AC14424"/>
      <c r="AR14424"/>
    </row>
    <row r="14425" spans="24:44">
      <c r="X14425"/>
      <c r="Y14425"/>
      <c r="Z14425"/>
      <c r="AA14425"/>
      <c r="AC14425"/>
      <c r="AR14425"/>
    </row>
    <row r="14426" spans="24:44">
      <c r="X14426"/>
      <c r="Y14426"/>
      <c r="Z14426"/>
      <c r="AA14426"/>
      <c r="AC14426"/>
      <c r="AR14426"/>
    </row>
    <row r="14427" spans="24:44">
      <c r="X14427"/>
      <c r="Y14427"/>
      <c r="Z14427"/>
      <c r="AA14427"/>
      <c r="AC14427"/>
      <c r="AR14427"/>
    </row>
    <row r="14428" spans="24:44">
      <c r="X14428"/>
      <c r="Y14428"/>
      <c r="Z14428"/>
      <c r="AA14428"/>
      <c r="AC14428"/>
      <c r="AR14428"/>
    </row>
    <row r="14429" spans="24:44">
      <c r="X14429"/>
      <c r="Y14429"/>
      <c r="Z14429"/>
      <c r="AA14429"/>
      <c r="AC14429"/>
      <c r="AR14429"/>
    </row>
    <row r="14430" spans="24:44">
      <c r="X14430"/>
      <c r="Y14430"/>
      <c r="Z14430"/>
      <c r="AA14430"/>
      <c r="AC14430"/>
      <c r="AR14430"/>
    </row>
    <row r="14431" spans="24:44">
      <c r="X14431"/>
      <c r="Y14431"/>
      <c r="Z14431"/>
      <c r="AA14431"/>
      <c r="AC14431"/>
      <c r="AR14431"/>
    </row>
    <row r="14432" spans="24:44">
      <c r="X14432"/>
      <c r="Y14432"/>
      <c r="Z14432"/>
      <c r="AA14432"/>
      <c r="AC14432"/>
      <c r="AR14432"/>
    </row>
    <row r="14433" spans="24:44">
      <c r="X14433"/>
      <c r="Y14433"/>
      <c r="Z14433"/>
      <c r="AA14433"/>
      <c r="AC14433"/>
      <c r="AR14433"/>
    </row>
    <row r="14434" spans="24:44">
      <c r="X14434"/>
      <c r="Y14434"/>
      <c r="Z14434"/>
      <c r="AA14434"/>
      <c r="AC14434"/>
      <c r="AR14434"/>
    </row>
    <row r="14435" spans="24:44">
      <c r="X14435"/>
      <c r="Y14435"/>
      <c r="Z14435"/>
      <c r="AA14435"/>
      <c r="AC14435"/>
      <c r="AR14435"/>
    </row>
    <row r="14436" spans="24:44">
      <c r="X14436"/>
      <c r="Y14436"/>
      <c r="Z14436"/>
      <c r="AA14436"/>
      <c r="AC14436"/>
      <c r="AR14436"/>
    </row>
    <row r="14437" spans="24:44">
      <c r="X14437"/>
      <c r="Y14437"/>
      <c r="Z14437"/>
      <c r="AA14437"/>
      <c r="AC14437"/>
      <c r="AR14437"/>
    </row>
    <row r="14438" spans="24:44">
      <c r="X14438"/>
      <c r="Y14438"/>
      <c r="Z14438"/>
      <c r="AA14438"/>
      <c r="AC14438"/>
      <c r="AR14438"/>
    </row>
    <row r="14439" spans="24:44">
      <c r="X14439"/>
      <c r="Y14439"/>
      <c r="Z14439"/>
      <c r="AA14439"/>
      <c r="AC14439"/>
      <c r="AR14439"/>
    </row>
    <row r="14440" spans="24:44">
      <c r="X14440"/>
      <c r="Y14440"/>
      <c r="Z14440"/>
      <c r="AA14440"/>
      <c r="AC14440"/>
      <c r="AR14440"/>
    </row>
    <row r="14441" spans="24:44">
      <c r="X14441"/>
      <c r="Y14441"/>
      <c r="Z14441"/>
      <c r="AA14441"/>
      <c r="AC14441"/>
      <c r="AR14441"/>
    </row>
    <row r="14442" spans="24:44">
      <c r="X14442"/>
      <c r="Y14442"/>
      <c r="Z14442"/>
      <c r="AA14442"/>
      <c r="AC14442"/>
      <c r="AR14442"/>
    </row>
    <row r="14443" spans="24:44">
      <c r="X14443"/>
      <c r="Y14443"/>
      <c r="Z14443"/>
      <c r="AA14443"/>
      <c r="AC14443"/>
      <c r="AR14443"/>
    </row>
    <row r="14444" spans="24:44">
      <c r="X14444"/>
      <c r="Y14444"/>
      <c r="Z14444"/>
      <c r="AA14444"/>
      <c r="AC14444"/>
      <c r="AR14444"/>
    </row>
    <row r="14445" spans="24:44">
      <c r="X14445"/>
      <c r="Y14445"/>
      <c r="Z14445"/>
      <c r="AA14445"/>
      <c r="AC14445"/>
      <c r="AR14445"/>
    </row>
    <row r="14446" spans="24:44">
      <c r="X14446"/>
      <c r="Y14446"/>
      <c r="Z14446"/>
      <c r="AA14446"/>
      <c r="AC14446"/>
      <c r="AR14446"/>
    </row>
    <row r="14447" spans="24:44">
      <c r="X14447"/>
      <c r="Y14447"/>
      <c r="Z14447"/>
      <c r="AA14447"/>
      <c r="AC14447"/>
      <c r="AR14447"/>
    </row>
    <row r="14448" spans="24:44">
      <c r="X14448"/>
      <c r="Y14448"/>
      <c r="Z14448"/>
      <c r="AA14448"/>
      <c r="AC14448"/>
      <c r="AR14448"/>
    </row>
    <row r="14449" spans="24:44">
      <c r="X14449"/>
      <c r="Y14449"/>
      <c r="Z14449"/>
      <c r="AA14449"/>
      <c r="AC14449"/>
      <c r="AR14449"/>
    </row>
    <row r="14450" spans="24:44">
      <c r="X14450"/>
      <c r="Y14450"/>
      <c r="Z14450"/>
      <c r="AA14450"/>
      <c r="AC14450"/>
      <c r="AR14450"/>
    </row>
    <row r="14451" spans="24:44">
      <c r="X14451"/>
      <c r="Y14451"/>
      <c r="Z14451"/>
      <c r="AA14451"/>
      <c r="AC14451"/>
      <c r="AR14451"/>
    </row>
    <row r="14452" spans="24:44">
      <c r="X14452"/>
      <c r="Y14452"/>
      <c r="Z14452"/>
      <c r="AA14452"/>
      <c r="AC14452"/>
      <c r="AR14452"/>
    </row>
    <row r="14453" spans="24:44">
      <c r="X14453"/>
      <c r="Y14453"/>
      <c r="Z14453"/>
      <c r="AA14453"/>
      <c r="AC14453"/>
      <c r="AR14453"/>
    </row>
    <row r="14454" spans="24:44">
      <c r="X14454"/>
      <c r="Y14454"/>
      <c r="Z14454"/>
      <c r="AA14454"/>
      <c r="AC14454"/>
      <c r="AR14454"/>
    </row>
    <row r="14455" spans="24:44">
      <c r="X14455"/>
      <c r="Y14455"/>
      <c r="Z14455"/>
      <c r="AA14455"/>
      <c r="AC14455"/>
      <c r="AR14455"/>
    </row>
    <row r="14456" spans="24:44">
      <c r="X14456"/>
      <c r="Y14456"/>
      <c r="Z14456"/>
      <c r="AA14456"/>
      <c r="AC14456"/>
      <c r="AR14456"/>
    </row>
    <row r="14457" spans="24:44">
      <c r="X14457"/>
      <c r="Y14457"/>
      <c r="Z14457"/>
      <c r="AA14457"/>
      <c r="AC14457"/>
      <c r="AR14457"/>
    </row>
    <row r="14458" spans="24:44">
      <c r="X14458"/>
      <c r="Y14458"/>
      <c r="Z14458"/>
      <c r="AA14458"/>
      <c r="AC14458"/>
      <c r="AR14458"/>
    </row>
    <row r="14459" spans="24:44">
      <c r="X14459"/>
      <c r="Y14459"/>
      <c r="Z14459"/>
      <c r="AA14459"/>
      <c r="AC14459"/>
      <c r="AR14459"/>
    </row>
    <row r="14460" spans="24:44">
      <c r="X14460"/>
      <c r="Y14460"/>
      <c r="Z14460"/>
      <c r="AA14460"/>
      <c r="AC14460"/>
      <c r="AR14460"/>
    </row>
    <row r="14461" spans="24:44">
      <c r="X14461"/>
      <c r="Y14461"/>
      <c r="Z14461"/>
      <c r="AA14461"/>
      <c r="AC14461"/>
      <c r="AR14461"/>
    </row>
    <row r="14462" spans="24:44">
      <c r="X14462"/>
      <c r="Y14462"/>
      <c r="Z14462"/>
      <c r="AA14462"/>
      <c r="AC14462"/>
      <c r="AR14462"/>
    </row>
    <row r="14463" spans="24:44">
      <c r="X14463"/>
      <c r="Y14463"/>
      <c r="Z14463"/>
      <c r="AA14463"/>
      <c r="AC14463"/>
      <c r="AR14463"/>
    </row>
    <row r="14464" spans="24:44">
      <c r="X14464"/>
      <c r="Y14464"/>
      <c r="Z14464"/>
      <c r="AA14464"/>
      <c r="AC14464"/>
      <c r="AR14464"/>
    </row>
    <row r="14465" spans="24:44">
      <c r="X14465"/>
      <c r="Y14465"/>
      <c r="Z14465"/>
      <c r="AA14465"/>
      <c r="AC14465"/>
      <c r="AR14465"/>
    </row>
    <row r="14466" spans="24:44">
      <c r="X14466"/>
      <c r="Y14466"/>
      <c r="Z14466"/>
      <c r="AA14466"/>
      <c r="AC14466"/>
      <c r="AR14466"/>
    </row>
    <row r="14467" spans="24:44">
      <c r="X14467"/>
      <c r="Y14467"/>
      <c r="Z14467"/>
      <c r="AA14467"/>
      <c r="AC14467"/>
      <c r="AR14467"/>
    </row>
    <row r="14468" spans="24:44">
      <c r="X14468"/>
      <c r="Y14468"/>
      <c r="Z14468"/>
      <c r="AA14468"/>
      <c r="AC14468"/>
      <c r="AR14468"/>
    </row>
    <row r="14469" spans="24:44">
      <c r="X14469"/>
      <c r="Y14469"/>
      <c r="Z14469"/>
      <c r="AA14469"/>
      <c r="AC14469"/>
      <c r="AR14469"/>
    </row>
    <row r="14470" spans="24:44">
      <c r="X14470"/>
      <c r="Y14470"/>
      <c r="Z14470"/>
      <c r="AA14470"/>
      <c r="AC14470"/>
      <c r="AR14470"/>
    </row>
    <row r="14471" spans="24:44">
      <c r="X14471"/>
      <c r="Y14471"/>
      <c r="Z14471"/>
      <c r="AA14471"/>
      <c r="AC14471"/>
      <c r="AR14471"/>
    </row>
    <row r="14472" spans="24:44">
      <c r="X14472"/>
      <c r="Y14472"/>
      <c r="Z14472"/>
      <c r="AA14472"/>
      <c r="AC14472"/>
      <c r="AR14472"/>
    </row>
    <row r="14473" spans="24:44">
      <c r="X14473"/>
      <c r="Y14473"/>
      <c r="Z14473"/>
      <c r="AA14473"/>
      <c r="AC14473"/>
      <c r="AR14473"/>
    </row>
    <row r="14474" spans="24:44">
      <c r="X14474"/>
      <c r="Y14474"/>
      <c r="Z14474"/>
      <c r="AA14474"/>
      <c r="AC14474"/>
      <c r="AR14474"/>
    </row>
    <row r="14475" spans="24:44">
      <c r="X14475"/>
      <c r="Y14475"/>
      <c r="Z14475"/>
      <c r="AA14475"/>
      <c r="AC14475"/>
      <c r="AR14475"/>
    </row>
    <row r="14476" spans="24:44">
      <c r="X14476"/>
      <c r="Y14476"/>
      <c r="Z14476"/>
      <c r="AA14476"/>
      <c r="AC14476"/>
      <c r="AR14476"/>
    </row>
    <row r="14477" spans="24:44">
      <c r="X14477"/>
      <c r="Y14477"/>
      <c r="Z14477"/>
      <c r="AA14477"/>
      <c r="AC14477"/>
      <c r="AR14477"/>
    </row>
    <row r="14478" spans="24:44">
      <c r="X14478"/>
      <c r="Y14478"/>
      <c r="Z14478"/>
      <c r="AA14478"/>
      <c r="AC14478"/>
      <c r="AR14478"/>
    </row>
    <row r="14479" spans="24:44">
      <c r="X14479"/>
      <c r="Y14479"/>
      <c r="Z14479"/>
      <c r="AA14479"/>
      <c r="AC14479"/>
      <c r="AR14479"/>
    </row>
    <row r="14480" spans="24:44">
      <c r="X14480"/>
      <c r="Y14480"/>
      <c r="Z14480"/>
      <c r="AA14480"/>
      <c r="AC14480"/>
      <c r="AR14480"/>
    </row>
    <row r="14481" spans="24:44">
      <c r="X14481"/>
      <c r="Y14481"/>
      <c r="Z14481"/>
      <c r="AA14481"/>
      <c r="AC14481"/>
      <c r="AR14481"/>
    </row>
    <row r="14482" spans="24:44">
      <c r="X14482"/>
      <c r="Y14482"/>
      <c r="Z14482"/>
      <c r="AA14482"/>
      <c r="AC14482"/>
      <c r="AR14482"/>
    </row>
    <row r="14483" spans="24:44">
      <c r="X14483"/>
      <c r="Y14483"/>
      <c r="Z14483"/>
      <c r="AA14483"/>
      <c r="AC14483"/>
      <c r="AR14483"/>
    </row>
    <row r="14484" spans="24:44">
      <c r="X14484"/>
      <c r="Y14484"/>
      <c r="Z14484"/>
      <c r="AA14484"/>
      <c r="AC14484"/>
      <c r="AR14484"/>
    </row>
    <row r="14485" spans="24:44">
      <c r="X14485"/>
      <c r="Y14485"/>
      <c r="Z14485"/>
      <c r="AA14485"/>
      <c r="AC14485"/>
      <c r="AR14485"/>
    </row>
    <row r="14486" spans="24:44">
      <c r="X14486"/>
      <c r="Y14486"/>
      <c r="Z14486"/>
      <c r="AA14486"/>
      <c r="AC14486"/>
      <c r="AR14486"/>
    </row>
    <row r="14487" spans="24:44">
      <c r="X14487"/>
      <c r="Y14487"/>
      <c r="Z14487"/>
      <c r="AA14487"/>
      <c r="AC14487"/>
      <c r="AR14487"/>
    </row>
    <row r="14488" spans="24:44">
      <c r="X14488"/>
      <c r="Y14488"/>
      <c r="Z14488"/>
      <c r="AA14488"/>
      <c r="AC14488"/>
      <c r="AR14488"/>
    </row>
    <row r="14489" spans="24:44">
      <c r="X14489"/>
      <c r="Y14489"/>
      <c r="Z14489"/>
      <c r="AA14489"/>
      <c r="AC14489"/>
      <c r="AR14489"/>
    </row>
    <row r="14490" spans="24:44">
      <c r="X14490"/>
      <c r="Y14490"/>
      <c r="Z14490"/>
      <c r="AA14490"/>
      <c r="AC14490"/>
      <c r="AR14490"/>
    </row>
    <row r="14491" spans="24:44">
      <c r="X14491"/>
      <c r="Y14491"/>
      <c r="Z14491"/>
      <c r="AA14491"/>
      <c r="AC14491"/>
      <c r="AR14491"/>
    </row>
    <row r="14492" spans="24:44">
      <c r="X14492"/>
      <c r="Y14492"/>
      <c r="Z14492"/>
      <c r="AA14492"/>
      <c r="AC14492"/>
      <c r="AR14492"/>
    </row>
    <row r="14493" spans="24:44">
      <c r="X14493"/>
      <c r="Y14493"/>
      <c r="Z14493"/>
      <c r="AA14493"/>
      <c r="AC14493"/>
      <c r="AR14493"/>
    </row>
    <row r="14494" spans="24:44">
      <c r="X14494"/>
      <c r="Y14494"/>
      <c r="Z14494"/>
      <c r="AA14494"/>
      <c r="AC14494"/>
      <c r="AR14494"/>
    </row>
    <row r="14495" spans="24:44">
      <c r="X14495"/>
      <c r="Y14495"/>
      <c r="Z14495"/>
      <c r="AA14495"/>
      <c r="AC14495"/>
      <c r="AR14495"/>
    </row>
    <row r="14496" spans="24:44">
      <c r="X14496"/>
      <c r="Y14496"/>
      <c r="Z14496"/>
      <c r="AA14496"/>
      <c r="AC14496"/>
      <c r="AR14496"/>
    </row>
    <row r="14497" spans="24:44">
      <c r="X14497"/>
      <c r="Y14497"/>
      <c r="Z14497"/>
      <c r="AA14497"/>
      <c r="AC14497"/>
      <c r="AR14497"/>
    </row>
    <row r="14498" spans="24:44">
      <c r="X14498"/>
      <c r="Y14498"/>
      <c r="Z14498"/>
      <c r="AA14498"/>
      <c r="AC14498"/>
      <c r="AR14498"/>
    </row>
    <row r="14499" spans="24:44">
      <c r="X14499"/>
      <c r="Y14499"/>
      <c r="Z14499"/>
      <c r="AA14499"/>
      <c r="AC14499"/>
      <c r="AR14499"/>
    </row>
    <row r="14500" spans="24:44">
      <c r="X14500"/>
      <c r="Y14500"/>
      <c r="Z14500"/>
      <c r="AA14500"/>
      <c r="AC14500"/>
      <c r="AR14500"/>
    </row>
    <row r="14501" spans="24:44">
      <c r="X14501"/>
      <c r="Y14501"/>
      <c r="Z14501"/>
      <c r="AA14501"/>
      <c r="AC14501"/>
      <c r="AR14501"/>
    </row>
    <row r="14502" spans="24:44">
      <c r="X14502"/>
      <c r="Y14502"/>
      <c r="Z14502"/>
      <c r="AA14502"/>
      <c r="AC14502"/>
      <c r="AR14502"/>
    </row>
    <row r="14503" spans="24:44">
      <c r="X14503"/>
      <c r="Y14503"/>
      <c r="Z14503"/>
      <c r="AA14503"/>
      <c r="AC14503"/>
      <c r="AR14503"/>
    </row>
    <row r="14504" spans="24:44">
      <c r="X14504"/>
      <c r="Y14504"/>
      <c r="Z14504"/>
      <c r="AA14504"/>
      <c r="AC14504"/>
      <c r="AR14504"/>
    </row>
    <row r="14505" spans="24:44">
      <c r="X14505"/>
      <c r="Y14505"/>
      <c r="Z14505"/>
      <c r="AA14505"/>
      <c r="AC14505"/>
      <c r="AR14505"/>
    </row>
    <row r="14506" spans="24:44">
      <c r="X14506"/>
      <c r="Y14506"/>
      <c r="Z14506"/>
      <c r="AA14506"/>
      <c r="AC14506"/>
      <c r="AR14506"/>
    </row>
    <row r="14507" spans="24:44">
      <c r="X14507"/>
      <c r="Y14507"/>
      <c r="Z14507"/>
      <c r="AA14507"/>
      <c r="AC14507"/>
      <c r="AR14507"/>
    </row>
    <row r="14508" spans="24:44">
      <c r="X14508"/>
      <c r="Y14508"/>
      <c r="Z14508"/>
      <c r="AA14508"/>
      <c r="AC14508"/>
      <c r="AR14508"/>
    </row>
    <row r="14509" spans="24:44">
      <c r="X14509"/>
      <c r="Y14509"/>
      <c r="Z14509"/>
      <c r="AA14509"/>
      <c r="AC14509"/>
      <c r="AR14509"/>
    </row>
    <row r="14510" spans="24:44">
      <c r="X14510"/>
      <c r="Y14510"/>
      <c r="Z14510"/>
      <c r="AA14510"/>
      <c r="AC14510"/>
      <c r="AR14510"/>
    </row>
    <row r="14511" spans="24:44">
      <c r="X14511"/>
      <c r="Y14511"/>
      <c r="Z14511"/>
      <c r="AA14511"/>
      <c r="AC14511"/>
      <c r="AR14511"/>
    </row>
    <row r="14512" spans="24:44">
      <c r="X14512"/>
      <c r="Y14512"/>
      <c r="Z14512"/>
      <c r="AA14512"/>
      <c r="AC14512"/>
      <c r="AR14512"/>
    </row>
    <row r="14513" spans="24:44">
      <c r="X14513"/>
      <c r="Y14513"/>
      <c r="Z14513"/>
      <c r="AA14513"/>
      <c r="AC14513"/>
      <c r="AR14513"/>
    </row>
    <row r="14514" spans="24:44">
      <c r="X14514"/>
      <c r="Y14514"/>
      <c r="Z14514"/>
      <c r="AA14514"/>
      <c r="AC14514"/>
      <c r="AR14514"/>
    </row>
    <row r="14515" spans="24:44">
      <c r="X14515"/>
      <c r="Y14515"/>
      <c r="Z14515"/>
      <c r="AA14515"/>
      <c r="AC14515"/>
      <c r="AR14515"/>
    </row>
    <row r="14516" spans="24:44">
      <c r="X14516"/>
      <c r="Y14516"/>
      <c r="Z14516"/>
      <c r="AA14516"/>
      <c r="AC14516"/>
      <c r="AR14516"/>
    </row>
    <row r="14517" spans="24:44">
      <c r="X14517"/>
      <c r="Y14517"/>
      <c r="Z14517"/>
      <c r="AA14517"/>
      <c r="AC14517"/>
      <c r="AR14517"/>
    </row>
    <row r="14518" spans="24:44">
      <c r="X14518"/>
      <c r="Y14518"/>
      <c r="Z14518"/>
      <c r="AA14518"/>
      <c r="AC14518"/>
      <c r="AR14518"/>
    </row>
    <row r="14519" spans="24:44">
      <c r="X14519"/>
      <c r="Y14519"/>
      <c r="Z14519"/>
      <c r="AA14519"/>
      <c r="AC14519"/>
      <c r="AR14519"/>
    </row>
    <row r="14520" spans="24:44">
      <c r="X14520"/>
      <c r="Y14520"/>
      <c r="Z14520"/>
      <c r="AA14520"/>
      <c r="AC14520"/>
      <c r="AR14520"/>
    </row>
    <row r="14521" spans="24:44">
      <c r="X14521"/>
      <c r="Y14521"/>
      <c r="Z14521"/>
      <c r="AA14521"/>
      <c r="AC14521"/>
      <c r="AR14521"/>
    </row>
    <row r="14522" spans="24:44">
      <c r="X14522"/>
      <c r="Y14522"/>
      <c r="Z14522"/>
      <c r="AA14522"/>
      <c r="AC14522"/>
      <c r="AR14522"/>
    </row>
    <row r="14523" spans="24:44">
      <c r="X14523"/>
      <c r="Y14523"/>
      <c r="Z14523"/>
      <c r="AA14523"/>
      <c r="AC14523"/>
      <c r="AR14523"/>
    </row>
    <row r="14524" spans="24:44">
      <c r="X14524"/>
      <c r="Y14524"/>
      <c r="Z14524"/>
      <c r="AA14524"/>
      <c r="AC14524"/>
      <c r="AR14524"/>
    </row>
    <row r="14525" spans="24:44">
      <c r="X14525"/>
      <c r="Y14525"/>
      <c r="Z14525"/>
      <c r="AA14525"/>
      <c r="AC14525"/>
      <c r="AR14525"/>
    </row>
    <row r="14526" spans="24:44">
      <c r="X14526"/>
      <c r="Y14526"/>
      <c r="Z14526"/>
      <c r="AA14526"/>
      <c r="AC14526"/>
      <c r="AR14526"/>
    </row>
    <row r="14527" spans="24:44">
      <c r="X14527"/>
      <c r="Y14527"/>
      <c r="Z14527"/>
      <c r="AA14527"/>
      <c r="AC14527"/>
      <c r="AR14527"/>
    </row>
    <row r="14528" spans="24:44">
      <c r="X14528"/>
      <c r="Y14528"/>
      <c r="Z14528"/>
      <c r="AA14528"/>
      <c r="AC14528"/>
      <c r="AR14528"/>
    </row>
    <row r="14529" spans="24:44">
      <c r="X14529"/>
      <c r="Y14529"/>
      <c r="Z14529"/>
      <c r="AA14529"/>
      <c r="AC14529"/>
      <c r="AR14529"/>
    </row>
    <row r="14530" spans="24:44">
      <c r="X14530"/>
      <c r="Y14530"/>
      <c r="Z14530"/>
      <c r="AA14530"/>
      <c r="AC14530"/>
      <c r="AR14530"/>
    </row>
    <row r="14531" spans="24:44">
      <c r="X14531"/>
      <c r="Y14531"/>
      <c r="Z14531"/>
      <c r="AA14531"/>
      <c r="AC14531"/>
      <c r="AR14531"/>
    </row>
    <row r="14532" spans="24:44">
      <c r="X14532"/>
      <c r="Y14532"/>
      <c r="Z14532"/>
      <c r="AA14532"/>
      <c r="AC14532"/>
      <c r="AR14532"/>
    </row>
    <row r="14533" spans="24:44">
      <c r="X14533"/>
      <c r="Y14533"/>
      <c r="Z14533"/>
      <c r="AA14533"/>
      <c r="AC14533"/>
      <c r="AR14533"/>
    </row>
    <row r="14534" spans="24:44">
      <c r="X14534"/>
      <c r="Y14534"/>
      <c r="Z14534"/>
      <c r="AA14534"/>
      <c r="AC14534"/>
      <c r="AR14534"/>
    </row>
    <row r="14535" spans="24:44">
      <c r="X14535"/>
      <c r="Y14535"/>
      <c r="Z14535"/>
      <c r="AA14535"/>
      <c r="AC14535"/>
      <c r="AR14535"/>
    </row>
    <row r="14536" spans="24:44">
      <c r="X14536"/>
      <c r="Y14536"/>
      <c r="Z14536"/>
      <c r="AA14536"/>
      <c r="AC14536"/>
      <c r="AR14536"/>
    </row>
    <row r="14537" spans="24:44">
      <c r="X14537"/>
      <c r="Y14537"/>
      <c r="Z14537"/>
      <c r="AA14537"/>
      <c r="AC14537"/>
      <c r="AR14537"/>
    </row>
    <row r="14538" spans="24:44">
      <c r="X14538"/>
      <c r="Y14538"/>
      <c r="Z14538"/>
      <c r="AA14538"/>
      <c r="AC14538"/>
      <c r="AR14538"/>
    </row>
    <row r="14539" spans="24:44">
      <c r="X14539"/>
      <c r="Y14539"/>
      <c r="Z14539"/>
      <c r="AA14539"/>
      <c r="AC14539"/>
      <c r="AR14539"/>
    </row>
    <row r="14540" spans="24:44">
      <c r="X14540"/>
      <c r="Y14540"/>
      <c r="Z14540"/>
      <c r="AA14540"/>
      <c r="AC14540"/>
      <c r="AR14540"/>
    </row>
    <row r="14541" spans="24:44">
      <c r="X14541"/>
      <c r="Y14541"/>
      <c r="Z14541"/>
      <c r="AA14541"/>
      <c r="AC14541"/>
      <c r="AR14541"/>
    </row>
    <row r="14542" spans="24:44">
      <c r="X14542"/>
      <c r="Y14542"/>
      <c r="Z14542"/>
      <c r="AA14542"/>
      <c r="AC14542"/>
      <c r="AR14542"/>
    </row>
    <row r="14543" spans="24:44">
      <c r="X14543"/>
      <c r="Y14543"/>
      <c r="Z14543"/>
      <c r="AA14543"/>
      <c r="AC14543"/>
      <c r="AR14543"/>
    </row>
    <row r="14544" spans="24:44">
      <c r="X14544"/>
      <c r="Y14544"/>
      <c r="Z14544"/>
      <c r="AA14544"/>
      <c r="AC14544"/>
      <c r="AR14544"/>
    </row>
    <row r="14545" spans="24:44">
      <c r="X14545"/>
      <c r="Y14545"/>
      <c r="Z14545"/>
      <c r="AA14545"/>
      <c r="AC14545"/>
      <c r="AR14545"/>
    </row>
    <row r="14546" spans="24:44">
      <c r="X14546"/>
      <c r="Y14546"/>
      <c r="Z14546"/>
      <c r="AA14546"/>
      <c r="AC14546"/>
      <c r="AR14546"/>
    </row>
    <row r="14547" spans="24:44">
      <c r="X14547"/>
      <c r="Y14547"/>
      <c r="Z14547"/>
      <c r="AA14547"/>
      <c r="AC14547"/>
      <c r="AR14547"/>
    </row>
    <row r="14548" spans="24:44">
      <c r="X14548"/>
      <c r="Y14548"/>
      <c r="Z14548"/>
      <c r="AA14548"/>
      <c r="AC14548"/>
      <c r="AR14548"/>
    </row>
    <row r="14549" spans="24:44">
      <c r="X14549"/>
      <c r="Y14549"/>
      <c r="Z14549"/>
      <c r="AA14549"/>
      <c r="AC14549"/>
      <c r="AR14549"/>
    </row>
    <row r="14550" spans="24:44">
      <c r="X14550"/>
      <c r="Y14550"/>
      <c r="Z14550"/>
      <c r="AA14550"/>
      <c r="AC14550"/>
      <c r="AR14550"/>
    </row>
    <row r="14551" spans="24:44">
      <c r="X14551"/>
      <c r="Y14551"/>
      <c r="Z14551"/>
      <c r="AA14551"/>
      <c r="AC14551"/>
      <c r="AR14551"/>
    </row>
    <row r="14552" spans="24:44">
      <c r="X14552"/>
      <c r="Y14552"/>
      <c r="Z14552"/>
      <c r="AA14552"/>
      <c r="AC14552"/>
      <c r="AR14552"/>
    </row>
    <row r="14553" spans="24:44">
      <c r="X14553"/>
      <c r="Y14553"/>
      <c r="Z14553"/>
      <c r="AA14553"/>
      <c r="AC14553"/>
      <c r="AR14553"/>
    </row>
    <row r="14554" spans="24:44">
      <c r="X14554"/>
      <c r="Y14554"/>
      <c r="Z14554"/>
      <c r="AA14554"/>
      <c r="AC14554"/>
      <c r="AR14554"/>
    </row>
    <row r="14555" spans="24:44">
      <c r="X14555"/>
      <c r="Y14555"/>
      <c r="Z14555"/>
      <c r="AA14555"/>
      <c r="AC14555"/>
      <c r="AR14555"/>
    </row>
    <row r="14556" spans="24:44">
      <c r="X14556"/>
      <c r="Y14556"/>
      <c r="Z14556"/>
      <c r="AA14556"/>
      <c r="AC14556"/>
      <c r="AR14556"/>
    </row>
    <row r="14557" spans="24:44">
      <c r="X14557"/>
      <c r="Y14557"/>
      <c r="Z14557"/>
      <c r="AA14557"/>
      <c r="AC14557"/>
      <c r="AR14557"/>
    </row>
    <row r="14558" spans="24:44">
      <c r="X14558"/>
      <c r="Y14558"/>
      <c r="Z14558"/>
      <c r="AA14558"/>
      <c r="AC14558"/>
      <c r="AR14558"/>
    </row>
    <row r="14559" spans="24:44">
      <c r="X14559"/>
      <c r="Y14559"/>
      <c r="Z14559"/>
      <c r="AA14559"/>
      <c r="AC14559"/>
      <c r="AR14559"/>
    </row>
    <row r="14560" spans="24:44">
      <c r="X14560"/>
      <c r="Y14560"/>
      <c r="Z14560"/>
      <c r="AA14560"/>
      <c r="AC14560"/>
      <c r="AR14560"/>
    </row>
    <row r="14561" spans="24:44">
      <c r="X14561"/>
      <c r="Y14561"/>
      <c r="Z14561"/>
      <c r="AA14561"/>
      <c r="AC14561"/>
      <c r="AR14561"/>
    </row>
    <row r="14562" spans="24:44">
      <c r="X14562"/>
      <c r="Y14562"/>
      <c r="Z14562"/>
      <c r="AA14562"/>
      <c r="AC14562"/>
      <c r="AR14562"/>
    </row>
    <row r="14563" spans="24:44">
      <c r="X14563"/>
      <c r="Y14563"/>
      <c r="Z14563"/>
      <c r="AA14563"/>
      <c r="AC14563"/>
      <c r="AR14563"/>
    </row>
    <row r="14564" spans="24:44">
      <c r="X14564"/>
      <c r="Y14564"/>
      <c r="Z14564"/>
      <c r="AA14564"/>
      <c r="AC14564"/>
      <c r="AR14564"/>
    </row>
    <row r="14565" spans="24:44">
      <c r="X14565"/>
      <c r="Y14565"/>
      <c r="Z14565"/>
      <c r="AA14565"/>
      <c r="AC14565"/>
      <c r="AR14565"/>
    </row>
    <row r="14566" spans="24:44">
      <c r="X14566"/>
      <c r="Y14566"/>
      <c r="Z14566"/>
      <c r="AA14566"/>
      <c r="AC14566"/>
      <c r="AR14566"/>
    </row>
    <row r="14567" spans="24:44">
      <c r="X14567"/>
      <c r="Y14567"/>
      <c r="Z14567"/>
      <c r="AA14567"/>
      <c r="AC14567"/>
      <c r="AR14567"/>
    </row>
    <row r="14568" spans="24:44">
      <c r="X14568"/>
      <c r="Y14568"/>
      <c r="Z14568"/>
      <c r="AA14568"/>
      <c r="AC14568"/>
      <c r="AR14568"/>
    </row>
    <row r="14569" spans="24:44">
      <c r="X14569"/>
      <c r="Y14569"/>
      <c r="Z14569"/>
      <c r="AA14569"/>
      <c r="AC14569"/>
      <c r="AR14569"/>
    </row>
    <row r="14570" spans="24:44">
      <c r="X14570"/>
      <c r="Y14570"/>
      <c r="Z14570"/>
      <c r="AA14570"/>
      <c r="AC14570"/>
      <c r="AR14570"/>
    </row>
    <row r="14571" spans="24:44">
      <c r="X14571"/>
      <c r="Y14571"/>
      <c r="Z14571"/>
      <c r="AA14571"/>
      <c r="AC14571"/>
      <c r="AR14571"/>
    </row>
    <row r="14572" spans="24:44">
      <c r="X14572"/>
      <c r="Y14572"/>
      <c r="Z14572"/>
      <c r="AA14572"/>
      <c r="AC14572"/>
      <c r="AR14572"/>
    </row>
    <row r="14573" spans="24:44">
      <c r="X14573"/>
      <c r="Y14573"/>
      <c r="Z14573"/>
      <c r="AA14573"/>
      <c r="AC14573"/>
      <c r="AR14573"/>
    </row>
    <row r="14574" spans="24:44">
      <c r="X14574"/>
      <c r="Y14574"/>
      <c r="Z14574"/>
      <c r="AA14574"/>
      <c r="AC14574"/>
      <c r="AR14574"/>
    </row>
    <row r="14575" spans="24:44">
      <c r="X14575"/>
      <c r="Y14575"/>
      <c r="Z14575"/>
      <c r="AA14575"/>
      <c r="AC14575"/>
      <c r="AR14575"/>
    </row>
    <row r="14576" spans="24:44">
      <c r="X14576"/>
      <c r="Y14576"/>
      <c r="Z14576"/>
      <c r="AA14576"/>
      <c r="AC14576"/>
      <c r="AR14576"/>
    </row>
    <row r="14577" spans="24:44">
      <c r="X14577"/>
      <c r="Y14577"/>
      <c r="Z14577"/>
      <c r="AA14577"/>
      <c r="AC14577"/>
      <c r="AR14577"/>
    </row>
    <row r="14578" spans="24:44">
      <c r="X14578"/>
      <c r="Y14578"/>
      <c r="Z14578"/>
      <c r="AA14578"/>
      <c r="AC14578"/>
      <c r="AR14578"/>
    </row>
    <row r="14579" spans="24:44">
      <c r="X14579"/>
      <c r="Y14579"/>
      <c r="Z14579"/>
      <c r="AA14579"/>
      <c r="AC14579"/>
      <c r="AR14579"/>
    </row>
    <row r="14580" spans="24:44">
      <c r="X14580"/>
      <c r="Y14580"/>
      <c r="Z14580"/>
      <c r="AA14580"/>
      <c r="AC14580"/>
      <c r="AR14580"/>
    </row>
    <row r="14581" spans="24:44">
      <c r="X14581"/>
      <c r="Y14581"/>
      <c r="Z14581"/>
      <c r="AA14581"/>
      <c r="AC14581"/>
      <c r="AR14581"/>
    </row>
    <row r="14582" spans="24:44">
      <c r="X14582"/>
      <c r="Y14582"/>
      <c r="Z14582"/>
      <c r="AA14582"/>
      <c r="AC14582"/>
      <c r="AR14582"/>
    </row>
    <row r="14583" spans="24:44">
      <c r="X14583"/>
      <c r="Y14583"/>
      <c r="Z14583"/>
      <c r="AA14583"/>
      <c r="AC14583"/>
      <c r="AR14583"/>
    </row>
    <row r="14584" spans="24:44">
      <c r="X14584"/>
      <c r="Y14584"/>
      <c r="Z14584"/>
      <c r="AA14584"/>
      <c r="AC14584"/>
      <c r="AR14584"/>
    </row>
    <row r="14585" spans="24:44">
      <c r="X14585"/>
      <c r="Y14585"/>
      <c r="Z14585"/>
      <c r="AA14585"/>
      <c r="AC14585"/>
      <c r="AR14585"/>
    </row>
    <row r="14586" spans="24:44">
      <c r="X14586"/>
      <c r="Y14586"/>
      <c r="Z14586"/>
      <c r="AA14586"/>
      <c r="AC14586"/>
      <c r="AR14586"/>
    </row>
    <row r="14587" spans="24:44">
      <c r="X14587"/>
      <c r="Y14587"/>
      <c r="Z14587"/>
      <c r="AA14587"/>
      <c r="AC14587"/>
      <c r="AR14587"/>
    </row>
    <row r="14588" spans="24:44">
      <c r="X14588"/>
      <c r="Y14588"/>
      <c r="Z14588"/>
      <c r="AA14588"/>
      <c r="AC14588"/>
      <c r="AR14588"/>
    </row>
    <row r="14589" spans="24:44">
      <c r="X14589"/>
      <c r="Y14589"/>
      <c r="Z14589"/>
      <c r="AA14589"/>
      <c r="AC14589"/>
      <c r="AR14589"/>
    </row>
    <row r="14590" spans="24:44">
      <c r="X14590"/>
      <c r="Y14590"/>
      <c r="Z14590"/>
      <c r="AA14590"/>
      <c r="AC14590"/>
      <c r="AR14590"/>
    </row>
    <row r="14591" spans="24:44">
      <c r="X14591"/>
      <c r="Y14591"/>
      <c r="Z14591"/>
      <c r="AA14591"/>
      <c r="AC14591"/>
      <c r="AR14591"/>
    </row>
    <row r="14592" spans="24:44">
      <c r="X14592"/>
      <c r="Y14592"/>
      <c r="Z14592"/>
      <c r="AA14592"/>
      <c r="AC14592"/>
      <c r="AR14592"/>
    </row>
    <row r="14593" spans="24:44">
      <c r="X14593"/>
      <c r="Y14593"/>
      <c r="Z14593"/>
      <c r="AA14593"/>
      <c r="AC14593"/>
      <c r="AR14593"/>
    </row>
    <row r="14594" spans="24:44">
      <c r="X14594"/>
      <c r="Y14594"/>
      <c r="Z14594"/>
      <c r="AA14594"/>
      <c r="AC14594"/>
      <c r="AR14594"/>
    </row>
    <row r="14595" spans="24:44">
      <c r="X14595"/>
      <c r="Y14595"/>
      <c r="Z14595"/>
      <c r="AA14595"/>
      <c r="AC14595"/>
      <c r="AR14595"/>
    </row>
    <row r="14596" spans="24:44">
      <c r="X14596"/>
      <c r="Y14596"/>
      <c r="Z14596"/>
      <c r="AA14596"/>
      <c r="AC14596"/>
      <c r="AR14596"/>
    </row>
    <row r="14597" spans="24:44">
      <c r="X14597"/>
      <c r="Y14597"/>
      <c r="Z14597"/>
      <c r="AA14597"/>
      <c r="AC14597"/>
      <c r="AR14597"/>
    </row>
    <row r="14598" spans="24:44">
      <c r="X14598"/>
      <c r="Y14598"/>
      <c r="Z14598"/>
      <c r="AA14598"/>
      <c r="AC14598"/>
      <c r="AR14598"/>
    </row>
    <row r="14599" spans="24:44">
      <c r="X14599"/>
      <c r="Y14599"/>
      <c r="Z14599"/>
      <c r="AA14599"/>
      <c r="AC14599"/>
      <c r="AR14599"/>
    </row>
    <row r="14600" spans="24:44">
      <c r="X14600"/>
      <c r="Y14600"/>
      <c r="Z14600"/>
      <c r="AA14600"/>
      <c r="AC14600"/>
      <c r="AR14600"/>
    </row>
    <row r="14601" spans="24:44">
      <c r="X14601"/>
      <c r="Y14601"/>
      <c r="Z14601"/>
      <c r="AA14601"/>
      <c r="AC14601"/>
      <c r="AR14601"/>
    </row>
    <row r="14602" spans="24:44">
      <c r="X14602"/>
      <c r="Y14602"/>
      <c r="Z14602"/>
      <c r="AA14602"/>
      <c r="AC14602"/>
      <c r="AR14602"/>
    </row>
    <row r="14603" spans="24:44">
      <c r="X14603"/>
      <c r="Y14603"/>
      <c r="Z14603"/>
      <c r="AA14603"/>
      <c r="AC14603"/>
      <c r="AR14603"/>
    </row>
    <row r="14604" spans="24:44">
      <c r="X14604"/>
      <c r="Y14604"/>
      <c r="Z14604"/>
      <c r="AA14604"/>
      <c r="AC14604"/>
      <c r="AR14604"/>
    </row>
    <row r="14605" spans="24:44">
      <c r="X14605"/>
      <c r="Y14605"/>
      <c r="Z14605"/>
      <c r="AA14605"/>
      <c r="AC14605"/>
      <c r="AR14605"/>
    </row>
    <row r="14606" spans="24:44">
      <c r="X14606"/>
      <c r="Y14606"/>
      <c r="Z14606"/>
      <c r="AA14606"/>
      <c r="AC14606"/>
      <c r="AR14606"/>
    </row>
    <row r="14607" spans="24:44">
      <c r="X14607"/>
      <c r="Y14607"/>
      <c r="Z14607"/>
      <c r="AA14607"/>
      <c r="AC14607"/>
      <c r="AR14607"/>
    </row>
    <row r="14608" spans="24:44">
      <c r="X14608"/>
      <c r="Y14608"/>
      <c r="Z14608"/>
      <c r="AA14608"/>
      <c r="AC14608"/>
      <c r="AR14608"/>
    </row>
    <row r="14609" spans="24:44">
      <c r="X14609"/>
      <c r="Y14609"/>
      <c r="Z14609"/>
      <c r="AA14609"/>
      <c r="AC14609"/>
      <c r="AR14609"/>
    </row>
    <row r="14610" spans="24:44">
      <c r="X14610"/>
      <c r="Y14610"/>
      <c r="Z14610"/>
      <c r="AA14610"/>
      <c r="AC14610"/>
      <c r="AR14610"/>
    </row>
    <row r="14611" spans="24:44">
      <c r="X14611"/>
      <c r="Y14611"/>
      <c r="Z14611"/>
      <c r="AA14611"/>
      <c r="AC14611"/>
      <c r="AR14611"/>
    </row>
    <row r="14612" spans="24:44">
      <c r="X14612"/>
      <c r="Y14612"/>
      <c r="Z14612"/>
      <c r="AA14612"/>
      <c r="AC14612"/>
      <c r="AR14612"/>
    </row>
    <row r="14613" spans="24:44">
      <c r="X14613"/>
      <c r="Y14613"/>
      <c r="Z14613"/>
      <c r="AA14613"/>
      <c r="AC14613"/>
      <c r="AR14613"/>
    </row>
    <row r="14614" spans="24:44">
      <c r="X14614"/>
      <c r="Y14614"/>
      <c r="Z14614"/>
      <c r="AA14614"/>
      <c r="AC14614"/>
      <c r="AR14614"/>
    </row>
    <row r="14615" spans="24:44">
      <c r="X14615"/>
      <c r="Y14615"/>
      <c r="Z14615"/>
      <c r="AA14615"/>
      <c r="AC14615"/>
      <c r="AR14615"/>
    </row>
    <row r="14616" spans="24:44">
      <c r="X14616"/>
      <c r="Y14616"/>
      <c r="Z14616"/>
      <c r="AA14616"/>
      <c r="AC14616"/>
      <c r="AR14616"/>
    </row>
    <row r="14617" spans="24:44">
      <c r="X14617"/>
      <c r="Y14617"/>
      <c r="Z14617"/>
      <c r="AA14617"/>
      <c r="AC14617"/>
      <c r="AR14617"/>
    </row>
    <row r="14618" spans="24:44">
      <c r="X14618"/>
      <c r="Y14618"/>
      <c r="Z14618"/>
      <c r="AA14618"/>
      <c r="AC14618"/>
      <c r="AR14618"/>
    </row>
    <row r="14619" spans="24:44">
      <c r="X14619"/>
      <c r="Y14619"/>
      <c r="Z14619"/>
      <c r="AA14619"/>
      <c r="AC14619"/>
      <c r="AR14619"/>
    </row>
    <row r="14620" spans="24:44">
      <c r="X14620"/>
      <c r="Y14620"/>
      <c r="Z14620"/>
      <c r="AA14620"/>
      <c r="AC14620"/>
      <c r="AR14620"/>
    </row>
    <row r="14621" spans="24:44">
      <c r="X14621"/>
      <c r="Y14621"/>
      <c r="Z14621"/>
      <c r="AA14621"/>
      <c r="AC14621"/>
      <c r="AR14621"/>
    </row>
    <row r="14622" spans="24:44">
      <c r="X14622"/>
      <c r="Y14622"/>
      <c r="Z14622"/>
      <c r="AA14622"/>
      <c r="AC14622"/>
      <c r="AR14622"/>
    </row>
    <row r="14623" spans="24:44">
      <c r="X14623"/>
      <c r="Y14623"/>
      <c r="Z14623"/>
      <c r="AA14623"/>
      <c r="AC14623"/>
      <c r="AR14623"/>
    </row>
    <row r="14624" spans="24:44">
      <c r="X14624"/>
      <c r="Y14624"/>
      <c r="Z14624"/>
      <c r="AA14624"/>
      <c r="AC14624"/>
      <c r="AR14624"/>
    </row>
    <row r="14625" spans="24:44">
      <c r="X14625"/>
      <c r="Y14625"/>
      <c r="Z14625"/>
      <c r="AA14625"/>
      <c r="AC14625"/>
      <c r="AR14625"/>
    </row>
    <row r="14626" spans="24:44">
      <c r="X14626"/>
      <c r="Y14626"/>
      <c r="Z14626"/>
      <c r="AA14626"/>
      <c r="AC14626"/>
      <c r="AR14626"/>
    </row>
    <row r="14627" spans="24:44">
      <c r="X14627"/>
      <c r="Y14627"/>
      <c r="Z14627"/>
      <c r="AA14627"/>
      <c r="AC14627"/>
      <c r="AR14627"/>
    </row>
    <row r="14628" spans="24:44">
      <c r="X14628"/>
      <c r="Y14628"/>
      <c r="Z14628"/>
      <c r="AA14628"/>
      <c r="AC14628"/>
      <c r="AR14628"/>
    </row>
    <row r="14629" spans="24:44">
      <c r="X14629"/>
      <c r="Y14629"/>
      <c r="Z14629"/>
      <c r="AA14629"/>
      <c r="AC14629"/>
      <c r="AR14629"/>
    </row>
    <row r="14630" spans="24:44">
      <c r="X14630"/>
      <c r="Y14630"/>
      <c r="Z14630"/>
      <c r="AA14630"/>
      <c r="AC14630"/>
      <c r="AR14630"/>
    </row>
    <row r="14631" spans="24:44">
      <c r="X14631"/>
      <c r="Y14631"/>
      <c r="Z14631"/>
      <c r="AA14631"/>
      <c r="AC14631"/>
      <c r="AR14631"/>
    </row>
    <row r="14632" spans="24:44">
      <c r="X14632"/>
      <c r="Y14632"/>
      <c r="Z14632"/>
      <c r="AA14632"/>
      <c r="AC14632"/>
      <c r="AR14632"/>
    </row>
    <row r="14633" spans="24:44">
      <c r="X14633"/>
      <c r="Y14633"/>
      <c r="Z14633"/>
      <c r="AA14633"/>
      <c r="AC14633"/>
      <c r="AR14633"/>
    </row>
    <row r="14634" spans="24:44">
      <c r="X14634"/>
      <c r="Y14634"/>
      <c r="Z14634"/>
      <c r="AA14634"/>
      <c r="AC14634"/>
      <c r="AR14634"/>
    </row>
    <row r="14635" spans="24:44">
      <c r="X14635"/>
      <c r="Y14635"/>
      <c r="Z14635"/>
      <c r="AA14635"/>
      <c r="AC14635"/>
      <c r="AR14635"/>
    </row>
    <row r="14636" spans="24:44">
      <c r="X14636"/>
      <c r="Y14636"/>
      <c r="Z14636"/>
      <c r="AA14636"/>
      <c r="AC14636"/>
      <c r="AR14636"/>
    </row>
    <row r="14637" spans="24:44">
      <c r="X14637"/>
      <c r="Y14637"/>
      <c r="Z14637"/>
      <c r="AA14637"/>
      <c r="AC14637"/>
      <c r="AR14637"/>
    </row>
    <row r="14638" spans="24:44">
      <c r="X14638"/>
      <c r="Y14638"/>
      <c r="Z14638"/>
      <c r="AA14638"/>
      <c r="AC14638"/>
      <c r="AR14638"/>
    </row>
    <row r="14639" spans="24:44">
      <c r="X14639"/>
      <c r="Y14639"/>
      <c r="Z14639"/>
      <c r="AA14639"/>
      <c r="AC14639"/>
      <c r="AR14639"/>
    </row>
    <row r="14640" spans="24:44">
      <c r="X14640"/>
      <c r="Y14640"/>
      <c r="Z14640"/>
      <c r="AA14640"/>
      <c r="AC14640"/>
      <c r="AR14640"/>
    </row>
    <row r="14641" spans="24:44">
      <c r="X14641"/>
      <c r="Y14641"/>
      <c r="Z14641"/>
      <c r="AA14641"/>
      <c r="AC14641"/>
      <c r="AR14641"/>
    </row>
    <row r="14642" spans="24:44">
      <c r="X14642"/>
      <c r="Y14642"/>
      <c r="Z14642"/>
      <c r="AA14642"/>
      <c r="AC14642"/>
      <c r="AR14642"/>
    </row>
    <row r="14643" spans="24:44">
      <c r="X14643"/>
      <c r="Y14643"/>
      <c r="Z14643"/>
      <c r="AA14643"/>
      <c r="AC14643"/>
      <c r="AR14643"/>
    </row>
    <row r="14644" spans="24:44">
      <c r="X14644"/>
      <c r="Y14644"/>
      <c r="Z14644"/>
      <c r="AA14644"/>
      <c r="AC14644"/>
      <c r="AR14644"/>
    </row>
    <row r="14645" spans="24:44">
      <c r="X14645"/>
      <c r="Y14645"/>
      <c r="Z14645"/>
      <c r="AA14645"/>
      <c r="AC14645"/>
      <c r="AR14645"/>
    </row>
    <row r="14646" spans="24:44">
      <c r="X14646"/>
      <c r="Y14646"/>
      <c r="Z14646"/>
      <c r="AA14646"/>
      <c r="AC14646"/>
      <c r="AR14646"/>
    </row>
    <row r="14647" spans="24:44">
      <c r="X14647"/>
      <c r="Y14647"/>
      <c r="Z14647"/>
      <c r="AA14647"/>
      <c r="AC14647"/>
      <c r="AR14647"/>
    </row>
    <row r="14648" spans="24:44">
      <c r="X14648"/>
      <c r="Y14648"/>
      <c r="Z14648"/>
      <c r="AA14648"/>
      <c r="AC14648"/>
      <c r="AR14648"/>
    </row>
    <row r="14649" spans="24:44">
      <c r="X14649"/>
      <c r="Y14649"/>
      <c r="Z14649"/>
      <c r="AA14649"/>
      <c r="AC14649"/>
      <c r="AR14649"/>
    </row>
    <row r="14650" spans="24:44">
      <c r="X14650"/>
      <c r="Y14650"/>
      <c r="Z14650"/>
      <c r="AA14650"/>
      <c r="AC14650"/>
      <c r="AR14650"/>
    </row>
    <row r="14651" spans="24:44">
      <c r="X14651"/>
      <c r="Y14651"/>
      <c r="Z14651"/>
      <c r="AA14651"/>
      <c r="AC14651"/>
      <c r="AR14651"/>
    </row>
    <row r="14652" spans="24:44">
      <c r="X14652"/>
      <c r="Y14652"/>
      <c r="Z14652"/>
      <c r="AA14652"/>
      <c r="AC14652"/>
      <c r="AR14652"/>
    </row>
    <row r="14653" spans="24:44">
      <c r="X14653"/>
      <c r="Y14653"/>
      <c r="Z14653"/>
      <c r="AA14653"/>
      <c r="AC14653"/>
      <c r="AR14653"/>
    </row>
    <row r="14654" spans="24:44">
      <c r="X14654"/>
      <c r="Y14654"/>
      <c r="Z14654"/>
      <c r="AA14654"/>
      <c r="AC14654"/>
      <c r="AR14654"/>
    </row>
    <row r="14655" spans="24:44">
      <c r="X14655"/>
      <c r="Y14655"/>
      <c r="Z14655"/>
      <c r="AA14655"/>
      <c r="AC14655"/>
      <c r="AR14655"/>
    </row>
    <row r="14656" spans="24:44">
      <c r="X14656"/>
      <c r="Y14656"/>
      <c r="Z14656"/>
      <c r="AA14656"/>
      <c r="AC14656"/>
      <c r="AR14656"/>
    </row>
    <row r="14657" spans="24:44">
      <c r="X14657"/>
      <c r="Y14657"/>
      <c r="Z14657"/>
      <c r="AA14657"/>
      <c r="AC14657"/>
      <c r="AR14657"/>
    </row>
    <row r="14658" spans="24:44">
      <c r="X14658"/>
      <c r="Y14658"/>
      <c r="Z14658"/>
      <c r="AA14658"/>
      <c r="AC14658"/>
      <c r="AR14658"/>
    </row>
    <row r="14659" spans="24:44">
      <c r="X14659"/>
      <c r="Y14659"/>
      <c r="Z14659"/>
      <c r="AA14659"/>
      <c r="AC14659"/>
      <c r="AR14659"/>
    </row>
    <row r="14660" spans="24:44">
      <c r="X14660"/>
      <c r="Y14660"/>
      <c r="Z14660"/>
      <c r="AA14660"/>
      <c r="AC14660"/>
      <c r="AR14660"/>
    </row>
    <row r="14661" spans="24:44">
      <c r="X14661"/>
      <c r="Y14661"/>
      <c r="Z14661"/>
      <c r="AA14661"/>
      <c r="AC14661"/>
      <c r="AR14661"/>
    </row>
    <row r="14662" spans="24:44">
      <c r="X14662"/>
      <c r="Y14662"/>
      <c r="Z14662"/>
      <c r="AA14662"/>
      <c r="AC14662"/>
      <c r="AR14662"/>
    </row>
    <row r="14663" spans="24:44">
      <c r="X14663"/>
      <c r="Y14663"/>
      <c r="Z14663"/>
      <c r="AA14663"/>
      <c r="AC14663"/>
      <c r="AR14663"/>
    </row>
    <row r="14664" spans="24:44">
      <c r="X14664"/>
      <c r="Y14664"/>
      <c r="Z14664"/>
      <c r="AA14664"/>
      <c r="AC14664"/>
      <c r="AR14664"/>
    </row>
    <row r="14665" spans="24:44">
      <c r="X14665"/>
      <c r="Y14665"/>
      <c r="Z14665"/>
      <c r="AA14665"/>
      <c r="AC14665"/>
      <c r="AR14665"/>
    </row>
    <row r="14666" spans="24:44">
      <c r="X14666"/>
      <c r="Y14666"/>
      <c r="Z14666"/>
      <c r="AA14666"/>
      <c r="AC14666"/>
      <c r="AR14666"/>
    </row>
    <row r="14667" spans="24:44">
      <c r="X14667"/>
      <c r="Y14667"/>
      <c r="Z14667"/>
      <c r="AA14667"/>
      <c r="AC14667"/>
      <c r="AR14667"/>
    </row>
    <row r="14668" spans="24:44">
      <c r="X14668"/>
      <c r="Y14668"/>
      <c r="Z14668"/>
      <c r="AA14668"/>
      <c r="AC14668"/>
      <c r="AR14668"/>
    </row>
    <row r="14669" spans="24:44">
      <c r="X14669"/>
      <c r="Y14669"/>
      <c r="Z14669"/>
      <c r="AA14669"/>
      <c r="AC14669"/>
      <c r="AR14669"/>
    </row>
    <row r="14670" spans="24:44">
      <c r="X14670"/>
      <c r="Y14670"/>
      <c r="Z14670"/>
      <c r="AA14670"/>
      <c r="AC14670"/>
      <c r="AR14670"/>
    </row>
    <row r="14671" spans="24:44">
      <c r="X14671"/>
      <c r="Y14671"/>
      <c r="Z14671"/>
      <c r="AA14671"/>
      <c r="AC14671"/>
      <c r="AR14671"/>
    </row>
    <row r="14672" spans="24:44">
      <c r="X14672"/>
      <c r="Y14672"/>
      <c r="Z14672"/>
      <c r="AA14672"/>
      <c r="AC14672"/>
      <c r="AR14672"/>
    </row>
    <row r="14673" spans="24:44">
      <c r="X14673"/>
      <c r="Y14673"/>
      <c r="Z14673"/>
      <c r="AA14673"/>
      <c r="AC14673"/>
      <c r="AR14673"/>
    </row>
    <row r="14674" spans="24:44">
      <c r="X14674"/>
      <c r="Y14674"/>
      <c r="Z14674"/>
      <c r="AA14674"/>
      <c r="AC14674"/>
      <c r="AR14674"/>
    </row>
    <row r="14675" spans="24:44">
      <c r="X14675"/>
      <c r="Y14675"/>
      <c r="Z14675"/>
      <c r="AA14675"/>
      <c r="AC14675"/>
      <c r="AR14675"/>
    </row>
    <row r="14676" spans="24:44">
      <c r="X14676"/>
      <c r="Y14676"/>
      <c r="Z14676"/>
      <c r="AA14676"/>
      <c r="AC14676"/>
      <c r="AR14676"/>
    </row>
    <row r="14677" spans="24:44">
      <c r="X14677"/>
      <c r="Y14677"/>
      <c r="Z14677"/>
      <c r="AA14677"/>
      <c r="AC14677"/>
      <c r="AR14677"/>
    </row>
    <row r="14678" spans="24:44">
      <c r="X14678"/>
      <c r="Y14678"/>
      <c r="Z14678"/>
      <c r="AA14678"/>
      <c r="AC14678"/>
      <c r="AR14678"/>
    </row>
    <row r="14679" spans="24:44">
      <c r="X14679"/>
      <c r="Y14679"/>
      <c r="Z14679"/>
      <c r="AA14679"/>
      <c r="AC14679"/>
      <c r="AR14679"/>
    </row>
    <row r="14680" spans="24:44">
      <c r="X14680"/>
      <c r="Y14680"/>
      <c r="Z14680"/>
      <c r="AA14680"/>
      <c r="AC14680"/>
      <c r="AR14680"/>
    </row>
    <row r="14681" spans="24:44">
      <c r="X14681"/>
      <c r="Y14681"/>
      <c r="Z14681"/>
      <c r="AA14681"/>
      <c r="AC14681"/>
      <c r="AR14681"/>
    </row>
    <row r="14682" spans="24:44">
      <c r="X14682"/>
      <c r="Y14682"/>
      <c r="Z14682"/>
      <c r="AA14682"/>
      <c r="AC14682"/>
      <c r="AR14682"/>
    </row>
    <row r="14683" spans="24:44">
      <c r="X14683"/>
      <c r="Y14683"/>
      <c r="Z14683"/>
      <c r="AA14683"/>
      <c r="AC14683"/>
      <c r="AR14683"/>
    </row>
    <row r="14684" spans="24:44">
      <c r="X14684"/>
      <c r="Y14684"/>
      <c r="Z14684"/>
      <c r="AA14684"/>
      <c r="AC14684"/>
      <c r="AR14684"/>
    </row>
    <row r="14685" spans="24:44">
      <c r="X14685"/>
      <c r="Y14685"/>
      <c r="Z14685"/>
      <c r="AA14685"/>
      <c r="AC14685"/>
      <c r="AR14685"/>
    </row>
    <row r="14686" spans="24:44">
      <c r="X14686"/>
      <c r="Y14686"/>
      <c r="Z14686"/>
      <c r="AA14686"/>
      <c r="AC14686"/>
      <c r="AR14686"/>
    </row>
    <row r="14687" spans="24:44">
      <c r="X14687"/>
      <c r="Y14687"/>
      <c r="Z14687"/>
      <c r="AA14687"/>
      <c r="AC14687"/>
      <c r="AR14687"/>
    </row>
    <row r="14688" spans="24:44">
      <c r="X14688"/>
      <c r="Y14688"/>
      <c r="Z14688"/>
      <c r="AA14688"/>
      <c r="AC14688"/>
      <c r="AR14688"/>
    </row>
    <row r="14689" spans="24:44">
      <c r="X14689"/>
      <c r="Y14689"/>
      <c r="Z14689"/>
      <c r="AA14689"/>
      <c r="AC14689"/>
      <c r="AR14689"/>
    </row>
    <row r="14690" spans="24:44">
      <c r="X14690"/>
      <c r="Y14690"/>
      <c r="Z14690"/>
      <c r="AA14690"/>
      <c r="AC14690"/>
      <c r="AR14690"/>
    </row>
    <row r="14691" spans="24:44">
      <c r="X14691"/>
      <c r="Y14691"/>
      <c r="Z14691"/>
      <c r="AA14691"/>
      <c r="AC14691"/>
      <c r="AR14691"/>
    </row>
    <row r="14692" spans="24:44">
      <c r="X14692"/>
      <c r="Y14692"/>
      <c r="Z14692"/>
      <c r="AA14692"/>
      <c r="AC14692"/>
      <c r="AR14692"/>
    </row>
    <row r="14693" spans="24:44">
      <c r="X14693"/>
      <c r="Y14693"/>
      <c r="Z14693"/>
      <c r="AA14693"/>
      <c r="AC14693"/>
      <c r="AR14693"/>
    </row>
    <row r="14694" spans="24:44">
      <c r="X14694"/>
      <c r="Y14694"/>
      <c r="Z14694"/>
      <c r="AA14694"/>
      <c r="AC14694"/>
      <c r="AR14694"/>
    </row>
    <row r="14695" spans="24:44">
      <c r="X14695"/>
      <c r="Y14695"/>
      <c r="Z14695"/>
      <c r="AA14695"/>
      <c r="AC14695"/>
      <c r="AR14695"/>
    </row>
    <row r="14696" spans="24:44">
      <c r="X14696"/>
      <c r="Y14696"/>
      <c r="Z14696"/>
      <c r="AA14696"/>
      <c r="AC14696"/>
      <c r="AR14696"/>
    </row>
    <row r="14697" spans="24:44">
      <c r="X14697"/>
      <c r="Y14697"/>
      <c r="Z14697"/>
      <c r="AA14697"/>
      <c r="AC14697"/>
      <c r="AR14697"/>
    </row>
    <row r="14698" spans="24:44">
      <c r="X14698"/>
      <c r="Y14698"/>
      <c r="Z14698"/>
      <c r="AA14698"/>
      <c r="AC14698"/>
      <c r="AR14698"/>
    </row>
    <row r="14699" spans="24:44">
      <c r="X14699"/>
      <c r="Y14699"/>
      <c r="Z14699"/>
      <c r="AA14699"/>
      <c r="AC14699"/>
      <c r="AR14699"/>
    </row>
    <row r="14700" spans="24:44">
      <c r="X14700"/>
      <c r="Y14700"/>
      <c r="Z14700"/>
      <c r="AA14700"/>
      <c r="AC14700"/>
      <c r="AR14700"/>
    </row>
    <row r="14701" spans="24:44">
      <c r="X14701"/>
      <c r="Y14701"/>
      <c r="Z14701"/>
      <c r="AA14701"/>
      <c r="AC14701"/>
      <c r="AR14701"/>
    </row>
    <row r="14702" spans="24:44">
      <c r="X14702"/>
      <c r="Y14702"/>
      <c r="Z14702"/>
      <c r="AA14702"/>
      <c r="AC14702"/>
      <c r="AR14702"/>
    </row>
    <row r="14703" spans="24:44">
      <c r="X14703"/>
      <c r="Y14703"/>
      <c r="Z14703"/>
      <c r="AA14703"/>
      <c r="AC14703"/>
      <c r="AR14703"/>
    </row>
    <row r="14704" spans="24:44">
      <c r="X14704"/>
      <c r="Y14704"/>
      <c r="Z14704"/>
      <c r="AA14704"/>
      <c r="AC14704"/>
      <c r="AR14704"/>
    </row>
    <row r="14705" spans="24:44">
      <c r="X14705"/>
      <c r="Y14705"/>
      <c r="Z14705"/>
      <c r="AA14705"/>
      <c r="AC14705"/>
      <c r="AR14705"/>
    </row>
    <row r="14706" spans="24:44">
      <c r="X14706"/>
      <c r="Y14706"/>
      <c r="Z14706"/>
      <c r="AA14706"/>
      <c r="AC14706"/>
      <c r="AR14706"/>
    </row>
    <row r="14707" spans="24:44">
      <c r="X14707"/>
      <c r="Y14707"/>
      <c r="Z14707"/>
      <c r="AA14707"/>
      <c r="AC14707"/>
      <c r="AR14707"/>
    </row>
    <row r="14708" spans="24:44">
      <c r="X14708"/>
      <c r="Y14708"/>
      <c r="Z14708"/>
      <c r="AA14708"/>
      <c r="AC14708"/>
      <c r="AR14708"/>
    </row>
    <row r="14709" spans="24:44">
      <c r="X14709"/>
      <c r="Y14709"/>
      <c r="Z14709"/>
      <c r="AA14709"/>
      <c r="AC14709"/>
      <c r="AR14709"/>
    </row>
    <row r="14710" spans="24:44">
      <c r="X14710"/>
      <c r="Y14710"/>
      <c r="Z14710"/>
      <c r="AA14710"/>
      <c r="AC14710"/>
      <c r="AR14710"/>
    </row>
    <row r="14711" spans="24:44">
      <c r="X14711"/>
      <c r="Y14711"/>
      <c r="Z14711"/>
      <c r="AA14711"/>
      <c r="AC14711"/>
      <c r="AR14711"/>
    </row>
    <row r="14712" spans="24:44">
      <c r="X14712"/>
      <c r="Y14712"/>
      <c r="Z14712"/>
      <c r="AA14712"/>
      <c r="AC14712"/>
      <c r="AR14712"/>
    </row>
    <row r="14713" spans="24:44">
      <c r="X14713"/>
      <c r="Y14713"/>
      <c r="Z14713"/>
      <c r="AA14713"/>
      <c r="AC14713"/>
      <c r="AR14713"/>
    </row>
    <row r="14714" spans="24:44">
      <c r="X14714"/>
      <c r="Y14714"/>
      <c r="Z14714"/>
      <c r="AA14714"/>
      <c r="AC14714"/>
      <c r="AR14714"/>
    </row>
    <row r="14715" spans="24:44">
      <c r="X14715"/>
      <c r="Y14715"/>
      <c r="Z14715"/>
      <c r="AA14715"/>
      <c r="AC14715"/>
      <c r="AR14715"/>
    </row>
    <row r="14716" spans="24:44">
      <c r="X14716"/>
      <c r="Y14716"/>
      <c r="Z14716"/>
      <c r="AA14716"/>
      <c r="AC14716"/>
      <c r="AR14716"/>
    </row>
    <row r="14717" spans="24:44">
      <c r="X14717"/>
      <c r="Y14717"/>
      <c r="Z14717"/>
      <c r="AA14717"/>
      <c r="AC14717"/>
      <c r="AR14717"/>
    </row>
    <row r="14718" spans="24:44">
      <c r="X14718"/>
      <c r="Y14718"/>
      <c r="Z14718"/>
      <c r="AA14718"/>
      <c r="AC14718"/>
      <c r="AR14718"/>
    </row>
    <row r="14719" spans="24:44">
      <c r="X14719"/>
      <c r="Y14719"/>
      <c r="Z14719"/>
      <c r="AA14719"/>
      <c r="AC14719"/>
      <c r="AR14719"/>
    </row>
    <row r="14720" spans="24:44">
      <c r="X14720"/>
      <c r="Y14720"/>
      <c r="Z14720"/>
      <c r="AA14720"/>
      <c r="AC14720"/>
      <c r="AR14720"/>
    </row>
    <row r="14721" spans="24:44">
      <c r="X14721"/>
      <c r="Y14721"/>
      <c r="Z14721"/>
      <c r="AA14721"/>
      <c r="AC14721"/>
      <c r="AR14721"/>
    </row>
    <row r="14722" spans="24:44">
      <c r="X14722"/>
      <c r="Y14722"/>
      <c r="Z14722"/>
      <c r="AA14722"/>
      <c r="AC14722"/>
      <c r="AR14722"/>
    </row>
    <row r="14723" spans="24:44">
      <c r="X14723"/>
      <c r="Y14723"/>
      <c r="Z14723"/>
      <c r="AA14723"/>
      <c r="AC14723"/>
      <c r="AR14723"/>
    </row>
    <row r="14724" spans="24:44">
      <c r="X14724"/>
      <c r="Y14724"/>
      <c r="Z14724"/>
      <c r="AA14724"/>
      <c r="AC14724"/>
      <c r="AR14724"/>
    </row>
    <row r="14725" spans="24:44">
      <c r="X14725"/>
      <c r="Y14725"/>
      <c r="Z14725"/>
      <c r="AA14725"/>
      <c r="AC14725"/>
      <c r="AR14725"/>
    </row>
    <row r="14726" spans="24:44">
      <c r="X14726"/>
      <c r="Y14726"/>
      <c r="Z14726"/>
      <c r="AA14726"/>
      <c r="AC14726"/>
      <c r="AR14726"/>
    </row>
    <row r="14727" spans="24:44">
      <c r="X14727"/>
      <c r="Y14727"/>
      <c r="Z14727"/>
      <c r="AA14727"/>
      <c r="AC14727"/>
      <c r="AR14727"/>
    </row>
    <row r="14728" spans="24:44">
      <c r="X14728"/>
      <c r="Y14728"/>
      <c r="Z14728"/>
      <c r="AA14728"/>
      <c r="AC14728"/>
      <c r="AR14728"/>
    </row>
    <row r="14729" spans="24:44">
      <c r="X14729"/>
      <c r="Y14729"/>
      <c r="Z14729"/>
      <c r="AA14729"/>
      <c r="AC14729"/>
      <c r="AR14729"/>
    </row>
    <row r="14730" spans="24:44">
      <c r="X14730"/>
      <c r="Y14730"/>
      <c r="Z14730"/>
      <c r="AA14730"/>
      <c r="AC14730"/>
      <c r="AR14730"/>
    </row>
    <row r="14731" spans="24:44">
      <c r="X14731"/>
      <c r="Y14731"/>
      <c r="Z14731"/>
      <c r="AA14731"/>
      <c r="AC14731"/>
      <c r="AR14731"/>
    </row>
    <row r="14732" spans="24:44">
      <c r="X14732"/>
      <c r="Y14732"/>
      <c r="Z14732"/>
      <c r="AA14732"/>
      <c r="AC14732"/>
      <c r="AR14732"/>
    </row>
    <row r="14733" spans="24:44">
      <c r="X14733"/>
      <c r="Y14733"/>
      <c r="Z14733"/>
      <c r="AA14733"/>
      <c r="AC14733"/>
      <c r="AR14733"/>
    </row>
    <row r="14734" spans="24:44">
      <c r="X14734"/>
      <c r="Y14734"/>
      <c r="Z14734"/>
      <c r="AA14734"/>
      <c r="AC14734"/>
      <c r="AR14734"/>
    </row>
    <row r="14735" spans="24:44">
      <c r="X14735"/>
      <c r="Y14735"/>
      <c r="Z14735"/>
      <c r="AA14735"/>
      <c r="AC14735"/>
      <c r="AR14735"/>
    </row>
    <row r="14736" spans="24:44">
      <c r="X14736"/>
      <c r="Y14736"/>
      <c r="Z14736"/>
      <c r="AA14736"/>
      <c r="AC14736"/>
      <c r="AR14736"/>
    </row>
    <row r="14737" spans="24:44">
      <c r="X14737"/>
      <c r="Y14737"/>
      <c r="Z14737"/>
      <c r="AA14737"/>
      <c r="AC14737"/>
      <c r="AR14737"/>
    </row>
    <row r="14738" spans="24:44">
      <c r="X14738"/>
      <c r="Y14738"/>
      <c r="Z14738"/>
      <c r="AA14738"/>
      <c r="AC14738"/>
      <c r="AR14738"/>
    </row>
    <row r="14739" spans="24:44">
      <c r="X14739"/>
      <c r="Y14739"/>
      <c r="Z14739"/>
      <c r="AA14739"/>
      <c r="AC14739"/>
      <c r="AR14739"/>
    </row>
    <row r="14740" spans="24:44">
      <c r="X14740"/>
      <c r="Y14740"/>
      <c r="Z14740"/>
      <c r="AA14740"/>
      <c r="AC14740"/>
      <c r="AR14740"/>
    </row>
    <row r="14741" spans="24:44">
      <c r="X14741"/>
      <c r="Y14741"/>
      <c r="Z14741"/>
      <c r="AA14741"/>
      <c r="AC14741"/>
      <c r="AR14741"/>
    </row>
    <row r="14742" spans="24:44">
      <c r="X14742"/>
      <c r="Y14742"/>
      <c r="Z14742"/>
      <c r="AA14742"/>
      <c r="AC14742"/>
      <c r="AR14742"/>
    </row>
    <row r="14743" spans="24:44">
      <c r="X14743"/>
      <c r="Y14743"/>
      <c r="Z14743"/>
      <c r="AA14743"/>
      <c r="AC14743"/>
      <c r="AR14743"/>
    </row>
    <row r="14744" spans="24:44">
      <c r="X14744"/>
      <c r="Y14744"/>
      <c r="Z14744"/>
      <c r="AA14744"/>
      <c r="AC14744"/>
      <c r="AR14744"/>
    </row>
    <row r="14745" spans="24:44">
      <c r="X14745"/>
      <c r="Y14745"/>
      <c r="Z14745"/>
      <c r="AA14745"/>
      <c r="AC14745"/>
      <c r="AR14745"/>
    </row>
    <row r="14746" spans="24:44">
      <c r="X14746"/>
      <c r="Y14746"/>
      <c r="Z14746"/>
      <c r="AA14746"/>
      <c r="AC14746"/>
      <c r="AR14746"/>
    </row>
    <row r="14747" spans="24:44">
      <c r="X14747"/>
      <c r="Y14747"/>
      <c r="Z14747"/>
      <c r="AA14747"/>
      <c r="AC14747"/>
      <c r="AR14747"/>
    </row>
    <row r="14748" spans="24:44">
      <c r="X14748"/>
      <c r="Y14748"/>
      <c r="Z14748"/>
      <c r="AA14748"/>
      <c r="AC14748"/>
      <c r="AR14748"/>
    </row>
    <row r="14749" spans="24:44">
      <c r="X14749"/>
      <c r="Y14749"/>
      <c r="Z14749"/>
      <c r="AA14749"/>
      <c r="AC14749"/>
      <c r="AR14749"/>
    </row>
    <row r="14750" spans="24:44">
      <c r="X14750"/>
      <c r="Y14750"/>
      <c r="Z14750"/>
      <c r="AA14750"/>
      <c r="AC14750"/>
      <c r="AR14750"/>
    </row>
    <row r="14751" spans="24:44">
      <c r="X14751"/>
      <c r="Y14751"/>
      <c r="Z14751"/>
      <c r="AA14751"/>
      <c r="AC14751"/>
      <c r="AR14751"/>
    </row>
    <row r="14752" spans="24:44">
      <c r="X14752"/>
      <c r="Y14752"/>
      <c r="Z14752"/>
      <c r="AA14752"/>
      <c r="AC14752"/>
      <c r="AR14752"/>
    </row>
    <row r="14753" spans="24:44">
      <c r="X14753"/>
      <c r="Y14753"/>
      <c r="Z14753"/>
      <c r="AA14753"/>
      <c r="AC14753"/>
      <c r="AR14753"/>
    </row>
    <row r="14754" spans="24:44">
      <c r="X14754"/>
      <c r="Y14754"/>
      <c r="Z14754"/>
      <c r="AA14754"/>
      <c r="AC14754"/>
      <c r="AR14754"/>
    </row>
    <row r="14755" spans="24:44">
      <c r="X14755"/>
      <c r="Y14755"/>
      <c r="Z14755"/>
      <c r="AA14755"/>
      <c r="AC14755"/>
      <c r="AR14755"/>
    </row>
    <row r="14756" spans="24:44">
      <c r="X14756"/>
      <c r="Y14756"/>
      <c r="Z14756"/>
      <c r="AA14756"/>
      <c r="AC14756"/>
      <c r="AR14756"/>
    </row>
    <row r="14757" spans="24:44">
      <c r="X14757"/>
      <c r="Y14757"/>
      <c r="Z14757"/>
      <c r="AA14757"/>
      <c r="AC14757"/>
      <c r="AR14757"/>
    </row>
    <row r="14758" spans="24:44">
      <c r="X14758"/>
      <c r="Y14758"/>
      <c r="Z14758"/>
      <c r="AA14758"/>
      <c r="AC14758"/>
      <c r="AR14758"/>
    </row>
    <row r="14759" spans="24:44">
      <c r="X14759"/>
      <c r="Y14759"/>
      <c r="Z14759"/>
      <c r="AA14759"/>
      <c r="AC14759"/>
      <c r="AR14759"/>
    </row>
    <row r="14760" spans="24:44">
      <c r="X14760"/>
      <c r="Y14760"/>
      <c r="Z14760"/>
      <c r="AA14760"/>
      <c r="AC14760"/>
      <c r="AR14760"/>
    </row>
    <row r="14761" spans="24:44">
      <c r="X14761"/>
      <c r="Y14761"/>
      <c r="Z14761"/>
      <c r="AA14761"/>
      <c r="AC14761"/>
      <c r="AR14761"/>
    </row>
    <row r="14762" spans="24:44">
      <c r="X14762"/>
      <c r="Y14762"/>
      <c r="Z14762"/>
      <c r="AA14762"/>
      <c r="AC14762"/>
      <c r="AR14762"/>
    </row>
    <row r="14763" spans="24:44">
      <c r="X14763"/>
      <c r="Y14763"/>
      <c r="Z14763"/>
      <c r="AA14763"/>
      <c r="AC14763"/>
      <c r="AR14763"/>
    </row>
    <row r="14764" spans="24:44">
      <c r="X14764"/>
      <c r="Y14764"/>
      <c r="Z14764"/>
      <c r="AA14764"/>
      <c r="AC14764"/>
      <c r="AR14764"/>
    </row>
    <row r="14765" spans="24:44">
      <c r="X14765"/>
      <c r="Y14765"/>
      <c r="Z14765"/>
      <c r="AA14765"/>
      <c r="AC14765"/>
      <c r="AR14765"/>
    </row>
    <row r="14766" spans="24:44">
      <c r="X14766"/>
      <c r="Y14766"/>
      <c r="Z14766"/>
      <c r="AA14766"/>
      <c r="AC14766"/>
      <c r="AR14766"/>
    </row>
    <row r="14767" spans="24:44">
      <c r="X14767"/>
      <c r="Y14767"/>
      <c r="Z14767"/>
      <c r="AA14767"/>
      <c r="AC14767"/>
      <c r="AR14767"/>
    </row>
    <row r="14768" spans="24:44">
      <c r="X14768"/>
      <c r="Y14768"/>
      <c r="Z14768"/>
      <c r="AA14768"/>
      <c r="AC14768"/>
      <c r="AR14768"/>
    </row>
    <row r="14769" spans="24:44">
      <c r="X14769"/>
      <c r="Y14769"/>
      <c r="Z14769"/>
      <c r="AA14769"/>
      <c r="AC14769"/>
      <c r="AR14769"/>
    </row>
    <row r="14770" spans="24:44">
      <c r="X14770"/>
      <c r="Y14770"/>
      <c r="Z14770"/>
      <c r="AA14770"/>
      <c r="AC14770"/>
      <c r="AR14770"/>
    </row>
    <row r="14771" spans="24:44">
      <c r="X14771"/>
      <c r="Y14771"/>
      <c r="Z14771"/>
      <c r="AA14771"/>
      <c r="AC14771"/>
      <c r="AR14771"/>
    </row>
    <row r="14772" spans="24:44">
      <c r="X14772"/>
      <c r="Y14772"/>
      <c r="Z14772"/>
      <c r="AA14772"/>
      <c r="AC14772"/>
      <c r="AR14772"/>
    </row>
    <row r="14773" spans="24:44">
      <c r="X14773"/>
      <c r="Y14773"/>
      <c r="Z14773"/>
      <c r="AA14773"/>
      <c r="AC14773"/>
      <c r="AR14773"/>
    </row>
    <row r="14774" spans="24:44">
      <c r="X14774"/>
      <c r="Y14774"/>
      <c r="Z14774"/>
      <c r="AA14774"/>
      <c r="AC14774"/>
      <c r="AR14774"/>
    </row>
    <row r="14775" spans="24:44">
      <c r="X14775"/>
      <c r="Y14775"/>
      <c r="Z14775"/>
      <c r="AA14775"/>
      <c r="AC14775"/>
      <c r="AR14775"/>
    </row>
    <row r="14776" spans="24:44">
      <c r="X14776"/>
      <c r="Y14776"/>
      <c r="Z14776"/>
      <c r="AA14776"/>
      <c r="AC14776"/>
      <c r="AR14776"/>
    </row>
    <row r="14777" spans="24:44">
      <c r="X14777"/>
      <c r="Y14777"/>
      <c r="Z14777"/>
      <c r="AA14777"/>
      <c r="AC14777"/>
      <c r="AR14777"/>
    </row>
    <row r="14778" spans="24:44">
      <c r="X14778"/>
      <c r="Y14778"/>
      <c r="Z14778"/>
      <c r="AA14778"/>
      <c r="AC14778"/>
      <c r="AR14778"/>
    </row>
    <row r="14779" spans="24:44">
      <c r="X14779"/>
      <c r="Y14779"/>
      <c r="Z14779"/>
      <c r="AA14779"/>
      <c r="AC14779"/>
      <c r="AR14779"/>
    </row>
    <row r="14780" spans="24:44">
      <c r="X14780"/>
      <c r="Y14780"/>
      <c r="Z14780"/>
      <c r="AA14780"/>
      <c r="AC14780"/>
      <c r="AR14780"/>
    </row>
    <row r="14781" spans="24:44">
      <c r="X14781"/>
      <c r="Y14781"/>
      <c r="Z14781"/>
      <c r="AA14781"/>
      <c r="AC14781"/>
      <c r="AR14781"/>
    </row>
    <row r="14782" spans="24:44">
      <c r="X14782"/>
      <c r="Y14782"/>
      <c r="Z14782"/>
      <c r="AA14782"/>
      <c r="AC14782"/>
      <c r="AR14782"/>
    </row>
    <row r="14783" spans="24:44">
      <c r="X14783"/>
      <c r="Y14783"/>
      <c r="Z14783"/>
      <c r="AA14783"/>
      <c r="AC14783"/>
      <c r="AR14783"/>
    </row>
    <row r="14784" spans="24:44">
      <c r="X14784"/>
      <c r="Y14784"/>
      <c r="Z14784"/>
      <c r="AA14784"/>
      <c r="AC14784"/>
      <c r="AR14784"/>
    </row>
    <row r="14785" spans="24:44">
      <c r="X14785"/>
      <c r="Y14785"/>
      <c r="Z14785"/>
      <c r="AA14785"/>
      <c r="AC14785"/>
      <c r="AR14785"/>
    </row>
    <row r="14786" spans="24:44">
      <c r="X14786"/>
      <c r="Y14786"/>
      <c r="Z14786"/>
      <c r="AA14786"/>
      <c r="AC14786"/>
      <c r="AR14786"/>
    </row>
    <row r="14787" spans="24:44">
      <c r="X14787"/>
      <c r="Y14787"/>
      <c r="Z14787"/>
      <c r="AA14787"/>
      <c r="AC14787"/>
      <c r="AR14787"/>
    </row>
    <row r="14788" spans="24:44">
      <c r="X14788"/>
      <c r="Y14788"/>
      <c r="Z14788"/>
      <c r="AA14788"/>
      <c r="AC14788"/>
      <c r="AR14788"/>
    </row>
    <row r="14789" spans="24:44">
      <c r="X14789"/>
      <c r="Y14789"/>
      <c r="Z14789"/>
      <c r="AA14789"/>
      <c r="AC14789"/>
      <c r="AR14789"/>
    </row>
    <row r="14790" spans="24:44">
      <c r="X14790"/>
      <c r="Y14790"/>
      <c r="Z14790"/>
      <c r="AA14790"/>
      <c r="AC14790"/>
      <c r="AR14790"/>
    </row>
    <row r="14791" spans="24:44">
      <c r="X14791"/>
      <c r="Y14791"/>
      <c r="Z14791"/>
      <c r="AA14791"/>
      <c r="AC14791"/>
      <c r="AR14791"/>
    </row>
    <row r="14792" spans="24:44">
      <c r="X14792"/>
      <c r="Y14792"/>
      <c r="Z14792"/>
      <c r="AA14792"/>
      <c r="AC14792"/>
      <c r="AR14792"/>
    </row>
    <row r="14793" spans="24:44">
      <c r="X14793"/>
      <c r="Y14793"/>
      <c r="Z14793"/>
      <c r="AA14793"/>
      <c r="AC14793"/>
      <c r="AR14793"/>
    </row>
    <row r="14794" spans="24:44">
      <c r="X14794"/>
      <c r="Y14794"/>
      <c r="Z14794"/>
      <c r="AA14794"/>
      <c r="AC14794"/>
      <c r="AR14794"/>
    </row>
    <row r="14795" spans="24:44">
      <c r="X14795"/>
      <c r="Y14795"/>
      <c r="Z14795"/>
      <c r="AA14795"/>
      <c r="AC14795"/>
      <c r="AR14795"/>
    </row>
    <row r="14796" spans="24:44">
      <c r="X14796"/>
      <c r="Y14796"/>
      <c r="Z14796"/>
      <c r="AA14796"/>
      <c r="AC14796"/>
      <c r="AR14796"/>
    </row>
    <row r="14797" spans="24:44">
      <c r="X14797"/>
      <c r="Y14797"/>
      <c r="Z14797"/>
      <c r="AA14797"/>
      <c r="AC14797"/>
      <c r="AR14797"/>
    </row>
    <row r="14798" spans="24:44">
      <c r="X14798"/>
      <c r="Y14798"/>
      <c r="Z14798"/>
      <c r="AA14798"/>
      <c r="AC14798"/>
      <c r="AR14798"/>
    </row>
    <row r="14799" spans="24:44">
      <c r="X14799"/>
      <c r="Y14799"/>
      <c r="Z14799"/>
      <c r="AA14799"/>
      <c r="AC14799"/>
      <c r="AR14799"/>
    </row>
    <row r="14800" spans="24:44">
      <c r="X14800"/>
      <c r="Y14800"/>
      <c r="Z14800"/>
      <c r="AA14800"/>
      <c r="AC14800"/>
      <c r="AR14800"/>
    </row>
    <row r="14801" spans="24:44">
      <c r="X14801"/>
      <c r="Y14801"/>
      <c r="Z14801"/>
      <c r="AA14801"/>
      <c r="AC14801"/>
      <c r="AR14801"/>
    </row>
    <row r="14802" spans="24:44">
      <c r="X14802"/>
      <c r="Y14802"/>
      <c r="Z14802"/>
      <c r="AA14802"/>
      <c r="AC14802"/>
      <c r="AR14802"/>
    </row>
    <row r="14803" spans="24:44">
      <c r="X14803"/>
      <c r="Y14803"/>
      <c r="Z14803"/>
      <c r="AA14803"/>
      <c r="AC14803"/>
      <c r="AR14803"/>
    </row>
    <row r="14804" spans="24:44">
      <c r="X14804"/>
      <c r="Y14804"/>
      <c r="Z14804"/>
      <c r="AA14804"/>
      <c r="AC14804"/>
      <c r="AR14804"/>
    </row>
    <row r="14805" spans="24:44">
      <c r="X14805"/>
      <c r="Y14805"/>
      <c r="Z14805"/>
      <c r="AA14805"/>
      <c r="AC14805"/>
      <c r="AR14805"/>
    </row>
    <row r="14806" spans="24:44">
      <c r="X14806"/>
      <c r="Y14806"/>
      <c r="Z14806"/>
      <c r="AA14806"/>
      <c r="AC14806"/>
      <c r="AR14806"/>
    </row>
    <row r="14807" spans="24:44">
      <c r="X14807"/>
      <c r="Y14807"/>
      <c r="Z14807"/>
      <c r="AA14807"/>
      <c r="AC14807"/>
      <c r="AR14807"/>
    </row>
    <row r="14808" spans="24:44">
      <c r="X14808"/>
      <c r="Y14808"/>
      <c r="Z14808"/>
      <c r="AA14808"/>
      <c r="AC14808"/>
      <c r="AR14808"/>
    </row>
    <row r="14809" spans="24:44">
      <c r="X14809"/>
      <c r="Y14809"/>
      <c r="Z14809"/>
      <c r="AA14809"/>
      <c r="AC14809"/>
      <c r="AR14809"/>
    </row>
    <row r="14810" spans="24:44">
      <c r="X14810"/>
      <c r="Y14810"/>
      <c r="Z14810"/>
      <c r="AA14810"/>
      <c r="AC14810"/>
      <c r="AR14810"/>
    </row>
    <row r="14811" spans="24:44">
      <c r="X14811"/>
      <c r="Y14811"/>
      <c r="Z14811"/>
      <c r="AA14811"/>
      <c r="AC14811"/>
      <c r="AR14811"/>
    </row>
    <row r="14812" spans="24:44">
      <c r="X14812"/>
      <c r="Y14812"/>
      <c r="Z14812"/>
      <c r="AA14812"/>
      <c r="AC14812"/>
      <c r="AR14812"/>
    </row>
    <row r="14813" spans="24:44">
      <c r="X14813"/>
      <c r="Y14813"/>
      <c r="Z14813"/>
      <c r="AA14813"/>
      <c r="AC14813"/>
      <c r="AR14813"/>
    </row>
    <row r="14814" spans="24:44">
      <c r="X14814"/>
      <c r="Y14814"/>
      <c r="Z14814"/>
      <c r="AA14814"/>
      <c r="AC14814"/>
      <c r="AR14814"/>
    </row>
    <row r="14815" spans="24:44">
      <c r="X14815"/>
      <c r="Y14815"/>
      <c r="Z14815"/>
      <c r="AA14815"/>
      <c r="AC14815"/>
      <c r="AR14815"/>
    </row>
    <row r="14816" spans="24:44">
      <c r="X14816"/>
      <c r="Y14816"/>
      <c r="Z14816"/>
      <c r="AA14816"/>
      <c r="AC14816"/>
      <c r="AR14816"/>
    </row>
    <row r="14817" spans="24:44">
      <c r="X14817"/>
      <c r="Y14817"/>
      <c r="Z14817"/>
      <c r="AA14817"/>
      <c r="AC14817"/>
      <c r="AR14817"/>
    </row>
    <row r="14818" spans="24:44">
      <c r="X14818"/>
      <c r="Y14818"/>
      <c r="Z14818"/>
      <c r="AA14818"/>
      <c r="AC14818"/>
      <c r="AR14818"/>
    </row>
    <row r="14819" spans="24:44">
      <c r="X14819"/>
      <c r="Y14819"/>
      <c r="Z14819"/>
      <c r="AA14819"/>
      <c r="AC14819"/>
      <c r="AR14819"/>
    </row>
    <row r="14820" spans="24:44">
      <c r="X14820"/>
      <c r="Y14820"/>
      <c r="Z14820"/>
      <c r="AA14820"/>
      <c r="AC14820"/>
      <c r="AR14820"/>
    </row>
    <row r="14821" spans="24:44">
      <c r="X14821"/>
      <c r="Y14821"/>
      <c r="Z14821"/>
      <c r="AA14821"/>
      <c r="AC14821"/>
      <c r="AR14821"/>
    </row>
    <row r="14822" spans="24:44">
      <c r="X14822"/>
      <c r="Y14822"/>
      <c r="Z14822"/>
      <c r="AA14822"/>
      <c r="AC14822"/>
      <c r="AR14822"/>
    </row>
    <row r="14823" spans="24:44">
      <c r="X14823"/>
      <c r="Y14823"/>
      <c r="Z14823"/>
      <c r="AA14823"/>
      <c r="AC14823"/>
      <c r="AR14823"/>
    </row>
    <row r="14824" spans="24:44">
      <c r="X14824"/>
      <c r="Y14824"/>
      <c r="Z14824"/>
      <c r="AA14824"/>
      <c r="AC14824"/>
      <c r="AR14824"/>
    </row>
    <row r="14825" spans="24:44">
      <c r="X14825"/>
      <c r="Y14825"/>
      <c r="Z14825"/>
      <c r="AA14825"/>
      <c r="AC14825"/>
      <c r="AR14825"/>
    </row>
    <row r="14826" spans="24:44">
      <c r="X14826"/>
      <c r="Y14826"/>
      <c r="Z14826"/>
      <c r="AA14826"/>
      <c r="AC14826"/>
      <c r="AR14826"/>
    </row>
    <row r="14827" spans="24:44">
      <c r="X14827"/>
      <c r="Y14827"/>
      <c r="Z14827"/>
      <c r="AA14827"/>
      <c r="AC14827"/>
      <c r="AR14827"/>
    </row>
    <row r="14828" spans="24:44">
      <c r="X14828"/>
      <c r="Y14828"/>
      <c r="Z14828"/>
      <c r="AA14828"/>
      <c r="AC14828"/>
      <c r="AR14828"/>
    </row>
    <row r="14829" spans="24:44">
      <c r="X14829"/>
      <c r="Y14829"/>
      <c r="Z14829"/>
      <c r="AA14829"/>
      <c r="AC14829"/>
      <c r="AR14829"/>
    </row>
    <row r="14830" spans="24:44">
      <c r="X14830"/>
      <c r="Y14830"/>
      <c r="Z14830"/>
      <c r="AA14830"/>
      <c r="AC14830"/>
      <c r="AR14830"/>
    </row>
    <row r="14831" spans="24:44">
      <c r="X14831"/>
      <c r="Y14831"/>
      <c r="Z14831"/>
      <c r="AA14831"/>
      <c r="AC14831"/>
      <c r="AR14831"/>
    </row>
    <row r="14832" spans="24:44">
      <c r="X14832"/>
      <c r="Y14832"/>
      <c r="Z14832"/>
      <c r="AA14832"/>
      <c r="AC14832"/>
      <c r="AR14832"/>
    </row>
    <row r="14833" spans="24:44">
      <c r="X14833"/>
      <c r="Y14833"/>
      <c r="Z14833"/>
      <c r="AA14833"/>
      <c r="AC14833"/>
      <c r="AR14833"/>
    </row>
    <row r="14834" spans="24:44">
      <c r="X14834"/>
      <c r="Y14834"/>
      <c r="Z14834"/>
      <c r="AA14834"/>
      <c r="AC14834"/>
      <c r="AR14834"/>
    </row>
    <row r="14835" spans="24:44">
      <c r="X14835"/>
      <c r="Y14835"/>
      <c r="Z14835"/>
      <c r="AA14835"/>
      <c r="AC14835"/>
      <c r="AR14835"/>
    </row>
    <row r="14836" spans="24:44">
      <c r="X14836"/>
      <c r="Y14836"/>
      <c r="Z14836"/>
      <c r="AA14836"/>
      <c r="AC14836"/>
      <c r="AR14836"/>
    </row>
    <row r="14837" spans="24:44">
      <c r="X14837"/>
      <c r="Y14837"/>
      <c r="Z14837"/>
      <c r="AA14837"/>
      <c r="AC14837"/>
      <c r="AR14837"/>
    </row>
    <row r="14838" spans="24:44">
      <c r="X14838"/>
      <c r="Y14838"/>
      <c r="Z14838"/>
      <c r="AA14838"/>
      <c r="AC14838"/>
      <c r="AR14838"/>
    </row>
    <row r="14839" spans="24:44">
      <c r="X14839"/>
      <c r="Y14839"/>
      <c r="Z14839"/>
      <c r="AA14839"/>
      <c r="AC14839"/>
      <c r="AR14839"/>
    </row>
    <row r="14840" spans="24:44">
      <c r="X14840"/>
      <c r="Y14840"/>
      <c r="Z14840"/>
      <c r="AA14840"/>
      <c r="AC14840"/>
      <c r="AR14840"/>
    </row>
    <row r="14841" spans="24:44">
      <c r="X14841"/>
      <c r="Y14841"/>
      <c r="Z14841"/>
      <c r="AA14841"/>
      <c r="AC14841"/>
      <c r="AR14841"/>
    </row>
    <row r="14842" spans="24:44">
      <c r="X14842"/>
      <c r="Y14842"/>
      <c r="Z14842"/>
      <c r="AA14842"/>
      <c r="AC14842"/>
      <c r="AR14842"/>
    </row>
    <row r="14843" spans="24:44">
      <c r="X14843"/>
      <c r="Y14843"/>
      <c r="Z14843"/>
      <c r="AA14843"/>
      <c r="AC14843"/>
      <c r="AR14843"/>
    </row>
    <row r="14844" spans="24:44">
      <c r="X14844"/>
      <c r="Y14844"/>
      <c r="Z14844"/>
      <c r="AA14844"/>
      <c r="AC14844"/>
      <c r="AR14844"/>
    </row>
    <row r="14845" spans="24:44">
      <c r="X14845"/>
      <c r="Y14845"/>
      <c r="Z14845"/>
      <c r="AA14845"/>
      <c r="AC14845"/>
      <c r="AR14845"/>
    </row>
    <row r="14846" spans="24:44">
      <c r="X14846"/>
      <c r="Y14846"/>
      <c r="Z14846"/>
      <c r="AA14846"/>
      <c r="AC14846"/>
      <c r="AR14846"/>
    </row>
    <row r="14847" spans="24:44">
      <c r="X14847"/>
      <c r="Y14847"/>
      <c r="Z14847"/>
      <c r="AA14847"/>
      <c r="AC14847"/>
      <c r="AR14847"/>
    </row>
    <row r="14848" spans="24:44">
      <c r="X14848"/>
      <c r="Y14848"/>
      <c r="Z14848"/>
      <c r="AA14848"/>
      <c r="AC14848"/>
      <c r="AR14848"/>
    </row>
    <row r="14849" spans="24:44">
      <c r="X14849"/>
      <c r="Y14849"/>
      <c r="Z14849"/>
      <c r="AA14849"/>
      <c r="AC14849"/>
      <c r="AR14849"/>
    </row>
    <row r="14850" spans="24:44">
      <c r="X14850"/>
      <c r="Y14850"/>
      <c r="Z14850"/>
      <c r="AA14850"/>
      <c r="AC14850"/>
      <c r="AR14850"/>
    </row>
    <row r="14851" spans="24:44">
      <c r="X14851"/>
      <c r="Y14851"/>
      <c r="Z14851"/>
      <c r="AA14851"/>
      <c r="AC14851"/>
      <c r="AR14851"/>
    </row>
    <row r="14852" spans="24:44">
      <c r="X14852"/>
      <c r="Y14852"/>
      <c r="Z14852"/>
      <c r="AA14852"/>
      <c r="AC14852"/>
      <c r="AR14852"/>
    </row>
    <row r="14853" spans="24:44">
      <c r="X14853"/>
      <c r="Y14853"/>
      <c r="Z14853"/>
      <c r="AA14853"/>
      <c r="AC14853"/>
      <c r="AR14853"/>
    </row>
    <row r="14854" spans="24:44">
      <c r="X14854"/>
      <c r="Y14854"/>
      <c r="Z14854"/>
      <c r="AA14854"/>
      <c r="AC14854"/>
      <c r="AR14854"/>
    </row>
    <row r="14855" spans="24:44">
      <c r="X14855"/>
      <c r="Y14855"/>
      <c r="Z14855"/>
      <c r="AA14855"/>
      <c r="AC14855"/>
      <c r="AR14855"/>
    </row>
    <row r="14856" spans="24:44">
      <c r="X14856"/>
      <c r="Y14856"/>
      <c r="Z14856"/>
      <c r="AA14856"/>
      <c r="AC14856"/>
      <c r="AR14856"/>
    </row>
    <row r="14857" spans="24:44">
      <c r="X14857"/>
      <c r="Y14857"/>
      <c r="Z14857"/>
      <c r="AA14857"/>
      <c r="AC14857"/>
      <c r="AR14857"/>
    </row>
    <row r="14858" spans="24:44">
      <c r="X14858"/>
      <c r="Y14858"/>
      <c r="Z14858"/>
      <c r="AA14858"/>
      <c r="AC14858"/>
      <c r="AR14858"/>
    </row>
    <row r="14859" spans="24:44">
      <c r="X14859"/>
      <c r="Y14859"/>
      <c r="Z14859"/>
      <c r="AA14859"/>
      <c r="AC14859"/>
      <c r="AR14859"/>
    </row>
    <row r="14860" spans="24:44">
      <c r="X14860"/>
      <c r="Y14860"/>
      <c r="Z14860"/>
      <c r="AA14860"/>
      <c r="AC14860"/>
      <c r="AR14860"/>
    </row>
    <row r="14861" spans="24:44">
      <c r="X14861"/>
      <c r="Y14861"/>
      <c r="Z14861"/>
      <c r="AA14861"/>
      <c r="AC14861"/>
      <c r="AR14861"/>
    </row>
    <row r="14862" spans="24:44">
      <c r="X14862"/>
      <c r="Y14862"/>
      <c r="Z14862"/>
      <c r="AA14862"/>
      <c r="AC14862"/>
      <c r="AR14862"/>
    </row>
    <row r="14863" spans="24:44">
      <c r="X14863"/>
      <c r="Y14863"/>
      <c r="Z14863"/>
      <c r="AA14863"/>
      <c r="AC14863"/>
      <c r="AR14863"/>
    </row>
    <row r="14864" spans="24:44">
      <c r="X14864"/>
      <c r="Y14864"/>
      <c r="Z14864"/>
      <c r="AA14864"/>
      <c r="AC14864"/>
      <c r="AR14864"/>
    </row>
    <row r="14865" spans="24:44">
      <c r="X14865"/>
      <c r="Y14865"/>
      <c r="Z14865"/>
      <c r="AA14865"/>
      <c r="AC14865"/>
      <c r="AR14865"/>
    </row>
    <row r="14866" spans="24:44">
      <c r="X14866"/>
      <c r="Y14866"/>
      <c r="Z14866"/>
      <c r="AA14866"/>
      <c r="AC14866"/>
      <c r="AR14866"/>
    </row>
    <row r="14867" spans="24:44">
      <c r="X14867"/>
      <c r="Y14867"/>
      <c r="Z14867"/>
      <c r="AA14867"/>
      <c r="AC14867"/>
      <c r="AR14867"/>
    </row>
    <row r="14868" spans="24:44">
      <c r="X14868"/>
      <c r="Y14868"/>
      <c r="Z14868"/>
      <c r="AA14868"/>
      <c r="AC14868"/>
      <c r="AR14868"/>
    </row>
    <row r="14869" spans="24:44">
      <c r="X14869"/>
      <c r="Y14869"/>
      <c r="Z14869"/>
      <c r="AA14869"/>
      <c r="AC14869"/>
      <c r="AR14869"/>
    </row>
    <row r="14870" spans="24:44">
      <c r="X14870"/>
      <c r="Y14870"/>
      <c r="Z14870"/>
      <c r="AA14870"/>
      <c r="AC14870"/>
      <c r="AR14870"/>
    </row>
    <row r="14871" spans="24:44">
      <c r="X14871"/>
      <c r="Y14871"/>
      <c r="Z14871"/>
      <c r="AA14871"/>
      <c r="AC14871"/>
      <c r="AR14871"/>
    </row>
    <row r="14872" spans="24:44">
      <c r="X14872"/>
      <c r="Y14872"/>
      <c r="Z14872"/>
      <c r="AA14872"/>
      <c r="AC14872"/>
      <c r="AR14872"/>
    </row>
    <row r="14873" spans="24:44">
      <c r="X14873"/>
      <c r="Y14873"/>
      <c r="Z14873"/>
      <c r="AA14873"/>
      <c r="AC14873"/>
      <c r="AR14873"/>
    </row>
    <row r="14874" spans="24:44">
      <c r="X14874"/>
      <c r="Y14874"/>
      <c r="Z14874"/>
      <c r="AA14874"/>
      <c r="AC14874"/>
      <c r="AR14874"/>
    </row>
    <row r="14875" spans="24:44">
      <c r="X14875"/>
      <c r="Y14875"/>
      <c r="Z14875"/>
      <c r="AA14875"/>
      <c r="AC14875"/>
      <c r="AR14875"/>
    </row>
    <row r="14876" spans="24:44">
      <c r="X14876"/>
      <c r="Y14876"/>
      <c r="Z14876"/>
      <c r="AA14876"/>
      <c r="AC14876"/>
      <c r="AR14876"/>
    </row>
    <row r="14877" spans="24:44">
      <c r="X14877"/>
      <c r="Y14877"/>
      <c r="Z14877"/>
      <c r="AA14877"/>
      <c r="AC14877"/>
      <c r="AR14877"/>
    </row>
    <row r="14878" spans="24:44">
      <c r="X14878"/>
      <c r="Y14878"/>
      <c r="Z14878"/>
      <c r="AA14878"/>
      <c r="AC14878"/>
      <c r="AR14878"/>
    </row>
    <row r="14879" spans="24:44">
      <c r="X14879"/>
      <c r="Y14879"/>
      <c r="Z14879"/>
      <c r="AA14879"/>
      <c r="AC14879"/>
      <c r="AR14879"/>
    </row>
    <row r="14880" spans="24:44">
      <c r="X14880"/>
      <c r="Y14880"/>
      <c r="Z14880"/>
      <c r="AA14880"/>
      <c r="AC14880"/>
      <c r="AR14880"/>
    </row>
    <row r="14881" spans="24:44">
      <c r="X14881"/>
      <c r="Y14881"/>
      <c r="Z14881"/>
      <c r="AA14881"/>
      <c r="AC14881"/>
      <c r="AR14881"/>
    </row>
    <row r="14882" spans="24:44">
      <c r="X14882"/>
      <c r="Y14882"/>
      <c r="Z14882"/>
      <c r="AA14882"/>
      <c r="AC14882"/>
      <c r="AR14882"/>
    </row>
    <row r="14883" spans="24:44">
      <c r="X14883"/>
      <c r="Y14883"/>
      <c r="Z14883"/>
      <c r="AA14883"/>
      <c r="AC14883"/>
      <c r="AR14883"/>
    </row>
    <row r="14884" spans="24:44">
      <c r="X14884"/>
      <c r="Y14884"/>
      <c r="Z14884"/>
      <c r="AA14884"/>
      <c r="AC14884"/>
      <c r="AR14884"/>
    </row>
    <row r="14885" spans="24:44">
      <c r="X14885"/>
      <c r="Y14885"/>
      <c r="Z14885"/>
      <c r="AA14885"/>
      <c r="AC14885"/>
      <c r="AR14885"/>
    </row>
    <row r="14886" spans="24:44">
      <c r="X14886"/>
      <c r="Y14886"/>
      <c r="Z14886"/>
      <c r="AA14886"/>
      <c r="AC14886"/>
      <c r="AR14886"/>
    </row>
    <row r="14887" spans="24:44">
      <c r="X14887"/>
      <c r="Y14887"/>
      <c r="Z14887"/>
      <c r="AA14887"/>
      <c r="AC14887"/>
      <c r="AR14887"/>
    </row>
    <row r="14888" spans="24:44">
      <c r="X14888"/>
      <c r="Y14888"/>
      <c r="Z14888"/>
      <c r="AA14888"/>
      <c r="AC14888"/>
      <c r="AR14888"/>
    </row>
    <row r="14889" spans="24:44">
      <c r="X14889"/>
      <c r="Y14889"/>
      <c r="Z14889"/>
      <c r="AA14889"/>
      <c r="AC14889"/>
      <c r="AR14889"/>
    </row>
    <row r="14890" spans="24:44">
      <c r="X14890"/>
      <c r="Y14890"/>
      <c r="Z14890"/>
      <c r="AA14890"/>
      <c r="AC14890"/>
      <c r="AR14890"/>
    </row>
    <row r="14891" spans="24:44">
      <c r="X14891"/>
      <c r="Y14891"/>
      <c r="Z14891"/>
      <c r="AA14891"/>
      <c r="AC14891"/>
      <c r="AR14891"/>
    </row>
    <row r="14892" spans="24:44">
      <c r="X14892"/>
      <c r="Y14892"/>
      <c r="Z14892"/>
      <c r="AA14892"/>
      <c r="AC14892"/>
      <c r="AR14892"/>
    </row>
    <row r="14893" spans="24:44">
      <c r="X14893"/>
      <c r="Y14893"/>
      <c r="Z14893"/>
      <c r="AA14893"/>
      <c r="AC14893"/>
      <c r="AR14893"/>
    </row>
    <row r="14894" spans="24:44">
      <c r="X14894"/>
      <c r="Y14894"/>
      <c r="Z14894"/>
      <c r="AA14894"/>
      <c r="AC14894"/>
      <c r="AR14894"/>
    </row>
    <row r="14895" spans="24:44">
      <c r="X14895"/>
      <c r="Y14895"/>
      <c r="Z14895"/>
      <c r="AA14895"/>
      <c r="AC14895"/>
      <c r="AR14895"/>
    </row>
    <row r="14896" spans="24:44">
      <c r="X14896"/>
      <c r="Y14896"/>
      <c r="Z14896"/>
      <c r="AA14896"/>
      <c r="AC14896"/>
      <c r="AR14896"/>
    </row>
    <row r="14897" spans="24:44">
      <c r="X14897"/>
      <c r="Y14897"/>
      <c r="Z14897"/>
      <c r="AA14897"/>
      <c r="AC14897"/>
      <c r="AR14897"/>
    </row>
    <row r="14898" spans="24:44">
      <c r="X14898"/>
      <c r="Y14898"/>
      <c r="Z14898"/>
      <c r="AA14898"/>
      <c r="AC14898"/>
      <c r="AR14898"/>
    </row>
    <row r="14899" spans="24:44">
      <c r="X14899"/>
      <c r="Y14899"/>
      <c r="Z14899"/>
      <c r="AA14899"/>
      <c r="AC14899"/>
      <c r="AR14899"/>
    </row>
    <row r="14900" spans="24:44">
      <c r="X14900"/>
      <c r="Y14900"/>
      <c r="Z14900"/>
      <c r="AA14900"/>
      <c r="AC14900"/>
      <c r="AR14900"/>
    </row>
    <row r="14901" spans="24:44">
      <c r="X14901"/>
      <c r="Y14901"/>
      <c r="Z14901"/>
      <c r="AA14901"/>
      <c r="AC14901"/>
      <c r="AR14901"/>
    </row>
    <row r="14902" spans="24:44">
      <c r="X14902"/>
      <c r="Y14902"/>
      <c r="Z14902"/>
      <c r="AA14902"/>
      <c r="AC14902"/>
      <c r="AR14902"/>
    </row>
    <row r="14903" spans="24:44">
      <c r="X14903"/>
      <c r="Y14903"/>
      <c r="Z14903"/>
      <c r="AA14903"/>
      <c r="AC14903"/>
      <c r="AR14903"/>
    </row>
    <row r="14904" spans="24:44">
      <c r="X14904"/>
      <c r="Y14904"/>
      <c r="Z14904"/>
      <c r="AA14904"/>
      <c r="AC14904"/>
      <c r="AR14904"/>
    </row>
    <row r="14905" spans="24:44">
      <c r="X14905"/>
      <c r="Y14905"/>
      <c r="Z14905"/>
      <c r="AA14905"/>
      <c r="AC14905"/>
      <c r="AR14905"/>
    </row>
    <row r="14906" spans="24:44">
      <c r="X14906"/>
      <c r="Y14906"/>
      <c r="Z14906"/>
      <c r="AA14906"/>
      <c r="AC14906"/>
      <c r="AR14906"/>
    </row>
    <row r="14907" spans="24:44">
      <c r="X14907"/>
      <c r="Y14907"/>
      <c r="Z14907"/>
      <c r="AA14907"/>
      <c r="AC14907"/>
      <c r="AR14907"/>
    </row>
    <row r="14908" spans="24:44">
      <c r="X14908"/>
      <c r="Y14908"/>
      <c r="Z14908"/>
      <c r="AA14908"/>
      <c r="AC14908"/>
      <c r="AR14908"/>
    </row>
    <row r="14909" spans="24:44">
      <c r="X14909"/>
      <c r="Y14909"/>
      <c r="Z14909"/>
      <c r="AA14909"/>
      <c r="AC14909"/>
      <c r="AR14909"/>
    </row>
    <row r="14910" spans="24:44">
      <c r="X14910"/>
      <c r="Y14910"/>
      <c r="Z14910"/>
      <c r="AA14910"/>
      <c r="AC14910"/>
      <c r="AR14910"/>
    </row>
    <row r="14911" spans="24:44">
      <c r="X14911"/>
      <c r="Y14911"/>
      <c r="Z14911"/>
      <c r="AA14911"/>
      <c r="AC14911"/>
      <c r="AR14911"/>
    </row>
    <row r="14912" spans="24:44">
      <c r="X14912"/>
      <c r="Y14912"/>
      <c r="Z14912"/>
      <c r="AA14912"/>
      <c r="AC14912"/>
      <c r="AR14912"/>
    </row>
    <row r="14913" spans="24:44">
      <c r="X14913"/>
      <c r="Y14913"/>
      <c r="Z14913"/>
      <c r="AA14913"/>
      <c r="AC14913"/>
      <c r="AR14913"/>
    </row>
    <row r="14914" spans="24:44">
      <c r="X14914"/>
      <c r="Y14914"/>
      <c r="Z14914"/>
      <c r="AA14914"/>
      <c r="AC14914"/>
      <c r="AR14914"/>
    </row>
    <row r="14915" spans="24:44">
      <c r="X14915"/>
      <c r="Y14915"/>
      <c r="Z14915"/>
      <c r="AA14915"/>
      <c r="AC14915"/>
      <c r="AR14915"/>
    </row>
    <row r="14916" spans="24:44">
      <c r="X14916"/>
      <c r="Y14916"/>
      <c r="Z14916"/>
      <c r="AA14916"/>
      <c r="AC14916"/>
      <c r="AR14916"/>
    </row>
    <row r="14917" spans="24:44">
      <c r="X14917"/>
      <c r="Y14917"/>
      <c r="Z14917"/>
      <c r="AA14917"/>
      <c r="AC14917"/>
      <c r="AR14917"/>
    </row>
    <row r="14918" spans="24:44">
      <c r="X14918"/>
      <c r="Y14918"/>
      <c r="Z14918"/>
      <c r="AA14918"/>
      <c r="AC14918"/>
      <c r="AR14918"/>
    </row>
    <row r="14919" spans="24:44">
      <c r="X14919"/>
      <c r="Y14919"/>
      <c r="Z14919"/>
      <c r="AA14919"/>
      <c r="AC14919"/>
      <c r="AR14919"/>
    </row>
    <row r="14920" spans="24:44">
      <c r="X14920"/>
      <c r="Y14920"/>
      <c r="Z14920"/>
      <c r="AA14920"/>
      <c r="AC14920"/>
      <c r="AR14920"/>
    </row>
    <row r="14921" spans="24:44">
      <c r="X14921"/>
      <c r="Y14921"/>
      <c r="Z14921"/>
      <c r="AA14921"/>
      <c r="AC14921"/>
      <c r="AR14921"/>
    </row>
    <row r="14922" spans="24:44">
      <c r="X14922"/>
      <c r="Y14922"/>
      <c r="Z14922"/>
      <c r="AA14922"/>
      <c r="AC14922"/>
      <c r="AR14922"/>
    </row>
    <row r="14923" spans="24:44">
      <c r="X14923"/>
      <c r="Y14923"/>
      <c r="Z14923"/>
      <c r="AA14923"/>
      <c r="AC14923"/>
      <c r="AR14923"/>
    </row>
    <row r="14924" spans="24:44">
      <c r="X14924"/>
      <c r="Y14924"/>
      <c r="Z14924"/>
      <c r="AA14924"/>
      <c r="AC14924"/>
      <c r="AR14924"/>
    </row>
    <row r="14925" spans="24:44">
      <c r="X14925"/>
      <c r="Y14925"/>
      <c r="Z14925"/>
      <c r="AA14925"/>
      <c r="AC14925"/>
      <c r="AR14925"/>
    </row>
    <row r="14926" spans="24:44">
      <c r="X14926"/>
      <c r="Y14926"/>
      <c r="Z14926"/>
      <c r="AA14926"/>
      <c r="AC14926"/>
      <c r="AR14926"/>
    </row>
    <row r="14927" spans="24:44">
      <c r="X14927"/>
      <c r="Y14927"/>
      <c r="Z14927"/>
      <c r="AA14927"/>
      <c r="AC14927"/>
      <c r="AR14927"/>
    </row>
    <row r="14928" spans="24:44">
      <c r="X14928"/>
      <c r="Y14928"/>
      <c r="Z14928"/>
      <c r="AA14928"/>
      <c r="AC14928"/>
      <c r="AR14928"/>
    </row>
    <row r="14929" spans="24:44">
      <c r="X14929"/>
      <c r="Y14929"/>
      <c r="Z14929"/>
      <c r="AA14929"/>
      <c r="AC14929"/>
      <c r="AR14929"/>
    </row>
    <row r="14930" spans="24:44">
      <c r="X14930"/>
      <c r="Y14930"/>
      <c r="Z14930"/>
      <c r="AA14930"/>
      <c r="AC14930"/>
      <c r="AR14930"/>
    </row>
    <row r="14931" spans="24:44">
      <c r="X14931"/>
      <c r="Y14931"/>
      <c r="Z14931"/>
      <c r="AA14931"/>
      <c r="AC14931"/>
      <c r="AR14931"/>
    </row>
    <row r="14932" spans="24:44">
      <c r="X14932"/>
      <c r="Y14932"/>
      <c r="Z14932"/>
      <c r="AA14932"/>
      <c r="AC14932"/>
      <c r="AR14932"/>
    </row>
    <row r="14933" spans="24:44">
      <c r="X14933"/>
      <c r="Y14933"/>
      <c r="Z14933"/>
      <c r="AA14933"/>
      <c r="AC14933"/>
      <c r="AR14933"/>
    </row>
    <row r="14934" spans="24:44">
      <c r="X14934"/>
      <c r="Y14934"/>
      <c r="Z14934"/>
      <c r="AA14934"/>
      <c r="AC14934"/>
      <c r="AR14934"/>
    </row>
    <row r="14935" spans="24:44">
      <c r="X14935"/>
      <c r="Y14935"/>
      <c r="Z14935"/>
      <c r="AA14935"/>
      <c r="AC14935"/>
      <c r="AR14935"/>
    </row>
    <row r="14936" spans="24:44">
      <c r="X14936"/>
      <c r="Y14936"/>
      <c r="Z14936"/>
      <c r="AA14936"/>
      <c r="AC14936"/>
      <c r="AR14936"/>
    </row>
    <row r="14937" spans="24:44">
      <c r="X14937"/>
      <c r="Y14937"/>
      <c r="Z14937"/>
      <c r="AA14937"/>
      <c r="AC14937"/>
      <c r="AR14937"/>
    </row>
    <row r="14938" spans="24:44">
      <c r="X14938"/>
      <c r="Y14938"/>
      <c r="Z14938"/>
      <c r="AA14938"/>
      <c r="AC14938"/>
      <c r="AR14938"/>
    </row>
    <row r="14939" spans="24:44">
      <c r="X14939"/>
      <c r="Y14939"/>
      <c r="Z14939"/>
      <c r="AA14939"/>
      <c r="AC14939"/>
      <c r="AR14939"/>
    </row>
    <row r="14940" spans="24:44">
      <c r="X14940"/>
      <c r="Y14940"/>
      <c r="Z14940"/>
      <c r="AA14940"/>
      <c r="AC14940"/>
      <c r="AR14940"/>
    </row>
    <row r="14941" spans="24:44">
      <c r="X14941"/>
      <c r="Y14941"/>
      <c r="Z14941"/>
      <c r="AA14941"/>
      <c r="AC14941"/>
      <c r="AR14941"/>
    </row>
    <row r="14942" spans="24:44">
      <c r="X14942"/>
      <c r="Y14942"/>
      <c r="Z14942"/>
      <c r="AA14942"/>
      <c r="AC14942"/>
      <c r="AR14942"/>
    </row>
    <row r="14943" spans="24:44">
      <c r="X14943"/>
      <c r="Y14943"/>
      <c r="Z14943"/>
      <c r="AA14943"/>
      <c r="AC14943"/>
      <c r="AR14943"/>
    </row>
    <row r="14944" spans="24:44">
      <c r="X14944"/>
      <c r="Y14944"/>
      <c r="Z14944"/>
      <c r="AA14944"/>
      <c r="AC14944"/>
      <c r="AR14944"/>
    </row>
    <row r="14945" spans="24:44">
      <c r="X14945"/>
      <c r="Y14945"/>
      <c r="Z14945"/>
      <c r="AA14945"/>
      <c r="AC14945"/>
      <c r="AR14945"/>
    </row>
    <row r="14946" spans="24:44">
      <c r="X14946"/>
      <c r="Y14946"/>
      <c r="Z14946"/>
      <c r="AA14946"/>
      <c r="AC14946"/>
      <c r="AR14946"/>
    </row>
    <row r="14947" spans="24:44">
      <c r="X14947"/>
      <c r="Y14947"/>
      <c r="Z14947"/>
      <c r="AA14947"/>
      <c r="AC14947"/>
      <c r="AR14947"/>
    </row>
    <row r="14948" spans="24:44">
      <c r="X14948"/>
      <c r="Y14948"/>
      <c r="Z14948"/>
      <c r="AA14948"/>
      <c r="AC14948"/>
      <c r="AR14948"/>
    </row>
    <row r="14949" spans="24:44">
      <c r="X14949"/>
      <c r="Y14949"/>
      <c r="Z14949"/>
      <c r="AA14949"/>
      <c r="AC14949"/>
      <c r="AR14949"/>
    </row>
    <row r="14950" spans="24:44">
      <c r="X14950"/>
      <c r="Y14950"/>
      <c r="Z14950"/>
      <c r="AA14950"/>
      <c r="AC14950"/>
      <c r="AR14950"/>
    </row>
    <row r="14951" spans="24:44">
      <c r="X14951"/>
      <c r="Y14951"/>
      <c r="Z14951"/>
      <c r="AA14951"/>
      <c r="AC14951"/>
      <c r="AR14951"/>
    </row>
    <row r="14952" spans="24:44">
      <c r="X14952"/>
      <c r="Y14952"/>
      <c r="Z14952"/>
      <c r="AA14952"/>
      <c r="AC14952"/>
      <c r="AR14952"/>
    </row>
    <row r="14953" spans="24:44">
      <c r="X14953"/>
      <c r="Y14953"/>
      <c r="Z14953"/>
      <c r="AA14953"/>
      <c r="AC14953"/>
      <c r="AR14953"/>
    </row>
    <row r="14954" spans="24:44">
      <c r="X14954"/>
      <c r="Y14954"/>
      <c r="Z14954"/>
      <c r="AA14954"/>
      <c r="AC14954"/>
      <c r="AR14954"/>
    </row>
    <row r="14955" spans="24:44">
      <c r="X14955"/>
      <c r="Y14955"/>
      <c r="Z14955"/>
      <c r="AA14955"/>
      <c r="AC14955"/>
      <c r="AR14955"/>
    </row>
    <row r="14956" spans="24:44">
      <c r="X14956"/>
      <c r="Y14956"/>
      <c r="Z14956"/>
      <c r="AA14956"/>
      <c r="AC14956"/>
      <c r="AR14956"/>
    </row>
    <row r="14957" spans="24:44">
      <c r="X14957"/>
      <c r="Y14957"/>
      <c r="Z14957"/>
      <c r="AA14957"/>
      <c r="AC14957"/>
      <c r="AR14957"/>
    </row>
    <row r="14958" spans="24:44">
      <c r="X14958"/>
      <c r="Y14958"/>
      <c r="Z14958"/>
      <c r="AA14958"/>
      <c r="AC14958"/>
      <c r="AR14958"/>
    </row>
    <row r="14959" spans="24:44">
      <c r="X14959"/>
      <c r="Y14959"/>
      <c r="Z14959"/>
      <c r="AA14959"/>
      <c r="AC14959"/>
      <c r="AR14959"/>
    </row>
    <row r="14960" spans="24:44">
      <c r="X14960"/>
      <c r="Y14960"/>
      <c r="Z14960"/>
      <c r="AA14960"/>
      <c r="AC14960"/>
      <c r="AR14960"/>
    </row>
    <row r="14961" spans="24:44">
      <c r="X14961"/>
      <c r="Y14961"/>
      <c r="Z14961"/>
      <c r="AA14961"/>
      <c r="AC14961"/>
      <c r="AR14961"/>
    </row>
    <row r="14962" spans="24:44">
      <c r="X14962"/>
      <c r="Y14962"/>
      <c r="Z14962"/>
      <c r="AA14962"/>
      <c r="AC14962"/>
      <c r="AR14962"/>
    </row>
    <row r="14963" spans="24:44">
      <c r="X14963"/>
      <c r="Y14963"/>
      <c r="Z14963"/>
      <c r="AA14963"/>
      <c r="AC14963"/>
      <c r="AR14963"/>
    </row>
    <row r="14964" spans="24:44">
      <c r="X14964"/>
      <c r="Y14964"/>
      <c r="Z14964"/>
      <c r="AA14964"/>
      <c r="AC14964"/>
      <c r="AR14964"/>
    </row>
    <row r="14965" spans="24:44">
      <c r="X14965"/>
      <c r="Y14965"/>
      <c r="Z14965"/>
      <c r="AA14965"/>
      <c r="AC14965"/>
      <c r="AR14965"/>
    </row>
    <row r="14966" spans="24:44">
      <c r="X14966"/>
      <c r="Y14966"/>
      <c r="Z14966"/>
      <c r="AA14966"/>
      <c r="AC14966"/>
      <c r="AR14966"/>
    </row>
    <row r="14967" spans="24:44">
      <c r="X14967"/>
      <c r="Y14967"/>
      <c r="Z14967"/>
      <c r="AA14967"/>
      <c r="AC14967"/>
      <c r="AR14967"/>
    </row>
    <row r="14968" spans="24:44">
      <c r="X14968"/>
      <c r="Y14968"/>
      <c r="Z14968"/>
      <c r="AA14968"/>
      <c r="AC14968"/>
      <c r="AR14968"/>
    </row>
    <row r="14969" spans="24:44">
      <c r="X14969"/>
      <c r="Y14969"/>
      <c r="Z14969"/>
      <c r="AA14969"/>
      <c r="AC14969"/>
      <c r="AR14969"/>
    </row>
    <row r="14970" spans="24:44">
      <c r="X14970"/>
      <c r="Y14970"/>
      <c r="Z14970"/>
      <c r="AA14970"/>
      <c r="AC14970"/>
      <c r="AR14970"/>
    </row>
    <row r="14971" spans="24:44">
      <c r="X14971"/>
      <c r="Y14971"/>
      <c r="Z14971"/>
      <c r="AA14971"/>
      <c r="AC14971"/>
      <c r="AR14971"/>
    </row>
    <row r="14972" spans="24:44">
      <c r="X14972"/>
      <c r="Y14972"/>
      <c r="Z14972"/>
      <c r="AA14972"/>
      <c r="AC14972"/>
      <c r="AR14972"/>
    </row>
    <row r="14973" spans="24:44">
      <c r="X14973"/>
      <c r="Y14973"/>
      <c r="Z14973"/>
      <c r="AA14973"/>
      <c r="AC14973"/>
      <c r="AR14973"/>
    </row>
    <row r="14974" spans="24:44">
      <c r="X14974"/>
      <c r="Y14974"/>
      <c r="Z14974"/>
      <c r="AA14974"/>
      <c r="AC14974"/>
      <c r="AR14974"/>
    </row>
    <row r="14975" spans="24:44">
      <c r="X14975"/>
      <c r="Y14975"/>
      <c r="Z14975"/>
      <c r="AA14975"/>
      <c r="AC14975"/>
      <c r="AR14975"/>
    </row>
    <row r="14976" spans="24:44">
      <c r="X14976"/>
      <c r="Y14976"/>
      <c r="Z14976"/>
      <c r="AA14976"/>
      <c r="AC14976"/>
      <c r="AR14976"/>
    </row>
    <row r="14977" spans="24:44">
      <c r="X14977"/>
      <c r="Y14977"/>
      <c r="Z14977"/>
      <c r="AA14977"/>
      <c r="AC14977"/>
      <c r="AR14977"/>
    </row>
    <row r="14978" spans="24:44">
      <c r="X14978"/>
      <c r="Y14978"/>
      <c r="Z14978"/>
      <c r="AA14978"/>
      <c r="AC14978"/>
      <c r="AR14978"/>
    </row>
    <row r="14979" spans="24:44">
      <c r="X14979"/>
      <c r="Y14979"/>
      <c r="Z14979"/>
      <c r="AA14979"/>
      <c r="AC14979"/>
      <c r="AR14979"/>
    </row>
    <row r="14980" spans="24:44">
      <c r="X14980"/>
      <c r="Y14980"/>
      <c r="Z14980"/>
      <c r="AA14980"/>
      <c r="AC14980"/>
      <c r="AR14980"/>
    </row>
    <row r="14981" spans="24:44">
      <c r="X14981"/>
      <c r="Y14981"/>
      <c r="Z14981"/>
      <c r="AA14981"/>
      <c r="AC14981"/>
      <c r="AR14981"/>
    </row>
    <row r="14982" spans="24:44">
      <c r="X14982"/>
      <c r="Y14982"/>
      <c r="Z14982"/>
      <c r="AA14982"/>
      <c r="AC14982"/>
      <c r="AR14982"/>
    </row>
    <row r="14983" spans="24:44">
      <c r="X14983"/>
      <c r="Y14983"/>
      <c r="Z14983"/>
      <c r="AA14983"/>
      <c r="AC14983"/>
      <c r="AR14983"/>
    </row>
    <row r="14984" spans="24:44">
      <c r="X14984"/>
      <c r="Y14984"/>
      <c r="Z14984"/>
      <c r="AA14984"/>
      <c r="AC14984"/>
      <c r="AR14984"/>
    </row>
    <row r="14985" spans="24:44">
      <c r="X14985"/>
      <c r="Y14985"/>
      <c r="Z14985"/>
      <c r="AA14985"/>
      <c r="AC14985"/>
      <c r="AR14985"/>
    </row>
    <row r="14986" spans="24:44">
      <c r="X14986"/>
      <c r="Y14986"/>
      <c r="Z14986"/>
      <c r="AA14986"/>
      <c r="AC14986"/>
      <c r="AR14986"/>
    </row>
    <row r="14987" spans="24:44">
      <c r="X14987"/>
      <c r="Y14987"/>
      <c r="Z14987"/>
      <c r="AA14987"/>
      <c r="AC14987"/>
      <c r="AR14987"/>
    </row>
    <row r="14988" spans="24:44">
      <c r="X14988"/>
      <c r="Y14988"/>
      <c r="Z14988"/>
      <c r="AA14988"/>
      <c r="AC14988"/>
      <c r="AR14988"/>
    </row>
    <row r="14989" spans="24:44">
      <c r="X14989"/>
      <c r="Y14989"/>
      <c r="Z14989"/>
      <c r="AA14989"/>
      <c r="AC14989"/>
      <c r="AR14989"/>
    </row>
    <row r="14990" spans="24:44">
      <c r="X14990"/>
      <c r="Y14990"/>
      <c r="Z14990"/>
      <c r="AA14990"/>
      <c r="AC14990"/>
      <c r="AR14990"/>
    </row>
    <row r="14991" spans="24:44">
      <c r="X14991"/>
      <c r="Y14991"/>
      <c r="Z14991"/>
      <c r="AA14991"/>
      <c r="AC14991"/>
      <c r="AR14991"/>
    </row>
    <row r="14992" spans="24:44">
      <c r="X14992"/>
      <c r="Y14992"/>
      <c r="Z14992"/>
      <c r="AA14992"/>
      <c r="AC14992"/>
      <c r="AR14992"/>
    </row>
    <row r="14993" spans="24:44">
      <c r="X14993"/>
      <c r="Y14993"/>
      <c r="Z14993"/>
      <c r="AA14993"/>
      <c r="AC14993"/>
      <c r="AR14993"/>
    </row>
    <row r="14994" spans="24:44">
      <c r="X14994"/>
      <c r="Y14994"/>
      <c r="Z14994"/>
      <c r="AA14994"/>
      <c r="AC14994"/>
      <c r="AR14994"/>
    </row>
    <row r="14995" spans="24:44">
      <c r="X14995"/>
      <c r="Y14995"/>
      <c r="Z14995"/>
      <c r="AA14995"/>
      <c r="AC14995"/>
      <c r="AR14995"/>
    </row>
    <row r="14996" spans="24:44">
      <c r="X14996"/>
      <c r="Y14996"/>
      <c r="Z14996"/>
      <c r="AA14996"/>
      <c r="AC14996"/>
      <c r="AR14996"/>
    </row>
    <row r="14997" spans="24:44">
      <c r="X14997"/>
      <c r="Y14997"/>
      <c r="Z14997"/>
      <c r="AA14997"/>
      <c r="AC14997"/>
      <c r="AR14997"/>
    </row>
    <row r="14998" spans="24:44">
      <c r="X14998"/>
      <c r="Y14998"/>
      <c r="Z14998"/>
      <c r="AA14998"/>
      <c r="AC14998"/>
      <c r="AR14998"/>
    </row>
    <row r="14999" spans="24:44">
      <c r="X14999"/>
      <c r="Y14999"/>
      <c r="Z14999"/>
      <c r="AA14999"/>
      <c r="AC14999"/>
      <c r="AR14999"/>
    </row>
    <row r="15000" spans="24:44">
      <c r="X15000"/>
      <c r="Y15000"/>
      <c r="Z15000"/>
      <c r="AA15000"/>
      <c r="AC15000"/>
      <c r="AR15000"/>
    </row>
    <row r="15001" spans="24:44">
      <c r="X15001"/>
      <c r="Y15001"/>
      <c r="Z15001"/>
      <c r="AA15001"/>
      <c r="AC15001"/>
      <c r="AR15001"/>
    </row>
    <row r="15002" spans="24:44">
      <c r="X15002"/>
      <c r="Y15002"/>
      <c r="Z15002"/>
      <c r="AA15002"/>
      <c r="AC15002"/>
      <c r="AR15002"/>
    </row>
    <row r="15003" spans="24:44">
      <c r="X15003"/>
      <c r="Y15003"/>
      <c r="Z15003"/>
      <c r="AA15003"/>
      <c r="AC15003"/>
      <c r="AR15003"/>
    </row>
    <row r="15004" spans="24:44">
      <c r="X15004"/>
      <c r="Y15004"/>
      <c r="Z15004"/>
      <c r="AA15004"/>
      <c r="AC15004"/>
      <c r="AR15004"/>
    </row>
    <row r="15005" spans="24:44">
      <c r="X15005"/>
      <c r="Y15005"/>
      <c r="Z15005"/>
      <c r="AA15005"/>
      <c r="AC15005"/>
      <c r="AR15005"/>
    </row>
    <row r="15006" spans="24:44">
      <c r="X15006"/>
      <c r="Y15006"/>
      <c r="Z15006"/>
      <c r="AA15006"/>
      <c r="AC15006"/>
      <c r="AR15006"/>
    </row>
    <row r="15007" spans="24:44">
      <c r="X15007"/>
      <c r="Y15007"/>
      <c r="Z15007"/>
      <c r="AA15007"/>
      <c r="AC15007"/>
      <c r="AR15007"/>
    </row>
    <row r="15008" spans="24:44">
      <c r="X15008"/>
      <c r="Y15008"/>
      <c r="Z15008"/>
      <c r="AA15008"/>
      <c r="AC15008"/>
      <c r="AR15008"/>
    </row>
    <row r="15009" spans="24:44">
      <c r="X15009"/>
      <c r="Y15009"/>
      <c r="Z15009"/>
      <c r="AA15009"/>
      <c r="AC15009"/>
      <c r="AR15009"/>
    </row>
    <row r="15010" spans="24:44">
      <c r="X15010"/>
      <c r="Y15010"/>
      <c r="Z15010"/>
      <c r="AA15010"/>
      <c r="AC15010"/>
      <c r="AR15010"/>
    </row>
    <row r="15011" spans="24:44">
      <c r="X15011"/>
      <c r="Y15011"/>
      <c r="Z15011"/>
      <c r="AA15011"/>
      <c r="AC15011"/>
      <c r="AR15011"/>
    </row>
    <row r="15012" spans="24:44">
      <c r="X15012"/>
      <c r="Y15012"/>
      <c r="Z15012"/>
      <c r="AA15012"/>
      <c r="AC15012"/>
      <c r="AR15012"/>
    </row>
    <row r="15013" spans="24:44">
      <c r="X15013"/>
      <c r="Y15013"/>
      <c r="Z15013"/>
      <c r="AA15013"/>
      <c r="AC15013"/>
      <c r="AR15013"/>
    </row>
    <row r="15014" spans="24:44">
      <c r="X15014"/>
      <c r="Y15014"/>
      <c r="Z15014"/>
      <c r="AA15014"/>
      <c r="AC15014"/>
      <c r="AR15014"/>
    </row>
    <row r="15015" spans="24:44">
      <c r="X15015"/>
      <c r="Y15015"/>
      <c r="Z15015"/>
      <c r="AA15015"/>
      <c r="AC15015"/>
      <c r="AR15015"/>
    </row>
    <row r="15016" spans="24:44">
      <c r="X15016"/>
      <c r="Y15016"/>
      <c r="Z15016"/>
      <c r="AA15016"/>
      <c r="AC15016"/>
      <c r="AR15016"/>
    </row>
    <row r="15017" spans="24:44">
      <c r="X15017"/>
      <c r="Y15017"/>
      <c r="Z15017"/>
      <c r="AA15017"/>
      <c r="AC15017"/>
      <c r="AR15017"/>
    </row>
    <row r="15018" spans="24:44">
      <c r="X15018"/>
      <c r="Y15018"/>
      <c r="Z15018"/>
      <c r="AA15018"/>
      <c r="AC15018"/>
      <c r="AR15018"/>
    </row>
    <row r="15019" spans="24:44">
      <c r="X15019"/>
      <c r="Y15019"/>
      <c r="Z15019"/>
      <c r="AA15019"/>
      <c r="AC15019"/>
      <c r="AR15019"/>
    </row>
    <row r="15020" spans="24:44">
      <c r="X15020"/>
      <c r="Y15020"/>
      <c r="Z15020"/>
      <c r="AA15020"/>
      <c r="AC15020"/>
      <c r="AR15020"/>
    </row>
    <row r="15021" spans="24:44">
      <c r="X15021"/>
      <c r="Y15021"/>
      <c r="Z15021"/>
      <c r="AA15021"/>
      <c r="AC15021"/>
      <c r="AR15021"/>
    </row>
    <row r="15022" spans="24:44">
      <c r="X15022"/>
      <c r="Y15022"/>
      <c r="Z15022"/>
      <c r="AA15022"/>
      <c r="AC15022"/>
      <c r="AR15022"/>
    </row>
    <row r="15023" spans="24:44">
      <c r="X15023"/>
      <c r="Y15023"/>
      <c r="Z15023"/>
      <c r="AA15023"/>
      <c r="AC15023"/>
      <c r="AR15023"/>
    </row>
    <row r="15024" spans="24:44">
      <c r="X15024"/>
      <c r="Y15024"/>
      <c r="Z15024"/>
      <c r="AA15024"/>
      <c r="AC15024"/>
      <c r="AR15024"/>
    </row>
    <row r="15025" spans="24:44">
      <c r="X15025"/>
      <c r="Y15025"/>
      <c r="Z15025"/>
      <c r="AA15025"/>
      <c r="AC15025"/>
      <c r="AR15025"/>
    </row>
    <row r="15026" spans="24:44">
      <c r="X15026"/>
      <c r="Y15026"/>
      <c r="Z15026"/>
      <c r="AA15026"/>
      <c r="AC15026"/>
      <c r="AR15026"/>
    </row>
    <row r="15027" spans="24:44">
      <c r="X15027"/>
      <c r="Y15027"/>
      <c r="Z15027"/>
      <c r="AA15027"/>
      <c r="AC15027"/>
      <c r="AR15027"/>
    </row>
    <row r="15028" spans="24:44">
      <c r="X15028"/>
      <c r="Y15028"/>
      <c r="Z15028"/>
      <c r="AA15028"/>
      <c r="AC15028"/>
      <c r="AR15028"/>
    </row>
    <row r="15029" spans="24:44">
      <c r="X15029"/>
      <c r="Y15029"/>
      <c r="Z15029"/>
      <c r="AA15029"/>
      <c r="AC15029"/>
      <c r="AR15029"/>
    </row>
    <row r="15030" spans="24:44">
      <c r="X15030"/>
      <c r="Y15030"/>
      <c r="Z15030"/>
      <c r="AA15030"/>
      <c r="AC15030"/>
      <c r="AR15030"/>
    </row>
    <row r="15031" spans="24:44">
      <c r="X15031"/>
      <c r="Y15031"/>
      <c r="Z15031"/>
      <c r="AA15031"/>
      <c r="AC15031"/>
      <c r="AR15031"/>
    </row>
    <row r="15032" spans="24:44">
      <c r="X15032"/>
      <c r="Y15032"/>
      <c r="Z15032"/>
      <c r="AA15032"/>
      <c r="AC15032"/>
      <c r="AR15032"/>
    </row>
    <row r="15033" spans="24:44">
      <c r="X15033"/>
      <c r="Y15033"/>
      <c r="Z15033"/>
      <c r="AA15033"/>
      <c r="AC15033"/>
      <c r="AR15033"/>
    </row>
    <row r="15034" spans="24:44">
      <c r="X15034"/>
      <c r="Y15034"/>
      <c r="Z15034"/>
      <c r="AA15034"/>
      <c r="AC15034"/>
      <c r="AR15034"/>
    </row>
    <row r="15035" spans="24:44">
      <c r="X15035"/>
      <c r="Y15035"/>
      <c r="Z15035"/>
      <c r="AA15035"/>
      <c r="AC15035"/>
      <c r="AR15035"/>
    </row>
    <row r="15036" spans="24:44">
      <c r="X15036"/>
      <c r="Y15036"/>
      <c r="Z15036"/>
      <c r="AA15036"/>
      <c r="AC15036"/>
      <c r="AR15036"/>
    </row>
    <row r="15037" spans="24:44">
      <c r="X15037"/>
      <c r="Y15037"/>
      <c r="Z15037"/>
      <c r="AA15037"/>
      <c r="AC15037"/>
      <c r="AR15037"/>
    </row>
    <row r="15038" spans="24:44">
      <c r="X15038"/>
      <c r="Y15038"/>
      <c r="Z15038"/>
      <c r="AA15038"/>
      <c r="AC15038"/>
      <c r="AR15038"/>
    </row>
    <row r="15039" spans="24:44">
      <c r="X15039"/>
      <c r="Y15039"/>
      <c r="Z15039"/>
      <c r="AA15039"/>
      <c r="AC15039"/>
      <c r="AR15039"/>
    </row>
    <row r="15040" spans="24:44">
      <c r="X15040"/>
      <c r="Y15040"/>
      <c r="Z15040"/>
      <c r="AA15040"/>
      <c r="AC15040"/>
      <c r="AR15040"/>
    </row>
    <row r="15041" spans="24:44">
      <c r="X15041"/>
      <c r="Y15041"/>
      <c r="Z15041"/>
      <c r="AA15041"/>
      <c r="AC15041"/>
      <c r="AR15041"/>
    </row>
    <row r="15042" spans="24:44">
      <c r="X15042"/>
      <c r="Y15042"/>
      <c r="Z15042"/>
      <c r="AA15042"/>
      <c r="AC15042"/>
      <c r="AR15042"/>
    </row>
    <row r="15043" spans="24:44">
      <c r="X15043"/>
      <c r="Y15043"/>
      <c r="Z15043"/>
      <c r="AA15043"/>
      <c r="AC15043"/>
      <c r="AR15043"/>
    </row>
    <row r="15044" spans="24:44">
      <c r="X15044"/>
      <c r="Y15044"/>
      <c r="Z15044"/>
      <c r="AA15044"/>
      <c r="AC15044"/>
      <c r="AR15044"/>
    </row>
    <row r="15045" spans="24:44">
      <c r="X15045"/>
      <c r="Y15045"/>
      <c r="Z15045"/>
      <c r="AA15045"/>
      <c r="AC15045"/>
      <c r="AR15045"/>
    </row>
    <row r="15046" spans="24:44">
      <c r="X15046"/>
      <c r="Y15046"/>
      <c r="Z15046"/>
      <c r="AA15046"/>
      <c r="AC15046"/>
      <c r="AR15046"/>
    </row>
    <row r="15047" spans="24:44">
      <c r="X15047"/>
      <c r="Y15047"/>
      <c r="Z15047"/>
      <c r="AA15047"/>
      <c r="AC15047"/>
      <c r="AR15047"/>
    </row>
    <row r="15048" spans="24:44">
      <c r="X15048"/>
      <c r="Y15048"/>
      <c r="Z15048"/>
      <c r="AA15048"/>
      <c r="AC15048"/>
      <c r="AR15048"/>
    </row>
    <row r="15049" spans="24:44">
      <c r="X15049"/>
      <c r="Y15049"/>
      <c r="Z15049"/>
      <c r="AA15049"/>
      <c r="AC15049"/>
      <c r="AR15049"/>
    </row>
    <row r="15050" spans="24:44">
      <c r="X15050"/>
      <c r="Y15050"/>
      <c r="Z15050"/>
      <c r="AA15050"/>
      <c r="AC15050"/>
      <c r="AR15050"/>
    </row>
    <row r="15051" spans="24:44">
      <c r="X15051"/>
      <c r="Y15051"/>
      <c r="Z15051"/>
      <c r="AA15051"/>
      <c r="AC15051"/>
      <c r="AR15051"/>
    </row>
    <row r="15052" spans="24:44">
      <c r="X15052"/>
      <c r="Y15052"/>
      <c r="Z15052"/>
      <c r="AA15052"/>
      <c r="AC15052"/>
      <c r="AR15052"/>
    </row>
    <row r="15053" spans="24:44">
      <c r="X15053"/>
      <c r="Y15053"/>
      <c r="Z15053"/>
      <c r="AA15053"/>
      <c r="AC15053"/>
      <c r="AR15053"/>
    </row>
    <row r="15054" spans="24:44">
      <c r="X15054"/>
      <c r="Y15054"/>
      <c r="Z15054"/>
      <c r="AA15054"/>
      <c r="AC15054"/>
      <c r="AR15054"/>
    </row>
    <row r="15055" spans="24:44">
      <c r="X15055"/>
      <c r="Y15055"/>
      <c r="Z15055"/>
      <c r="AA15055"/>
      <c r="AC15055"/>
      <c r="AR15055"/>
    </row>
    <row r="15056" spans="24:44">
      <c r="X15056"/>
      <c r="Y15056"/>
      <c r="Z15056"/>
      <c r="AA15056"/>
      <c r="AC15056"/>
      <c r="AR15056"/>
    </row>
    <row r="15057" spans="24:44">
      <c r="X15057"/>
      <c r="Y15057"/>
      <c r="Z15057"/>
      <c r="AA15057"/>
      <c r="AC15057"/>
      <c r="AR15057"/>
    </row>
    <row r="15058" spans="24:44">
      <c r="X15058"/>
      <c r="Y15058"/>
      <c r="Z15058"/>
      <c r="AA15058"/>
      <c r="AC15058"/>
      <c r="AR15058"/>
    </row>
    <row r="15059" spans="24:44">
      <c r="X15059"/>
      <c r="Y15059"/>
      <c r="Z15059"/>
      <c r="AA15059"/>
      <c r="AC15059"/>
      <c r="AR15059"/>
    </row>
    <row r="15060" spans="24:44">
      <c r="X15060"/>
      <c r="Y15060"/>
      <c r="Z15060"/>
      <c r="AA15060"/>
      <c r="AC15060"/>
      <c r="AR15060"/>
    </row>
    <row r="15061" spans="24:44">
      <c r="X15061"/>
      <c r="Y15061"/>
      <c r="Z15061"/>
      <c r="AA15061"/>
      <c r="AC15061"/>
      <c r="AR15061"/>
    </row>
    <row r="15062" spans="24:44">
      <c r="X15062"/>
      <c r="Y15062"/>
      <c r="Z15062"/>
      <c r="AA15062"/>
      <c r="AC15062"/>
      <c r="AR15062"/>
    </row>
    <row r="15063" spans="24:44">
      <c r="X15063"/>
      <c r="Y15063"/>
      <c r="Z15063"/>
      <c r="AA15063"/>
      <c r="AC15063"/>
      <c r="AR15063"/>
    </row>
    <row r="15064" spans="24:44">
      <c r="X15064"/>
      <c r="Y15064"/>
      <c r="Z15064"/>
      <c r="AA15064"/>
      <c r="AC15064"/>
      <c r="AR15064"/>
    </row>
    <row r="15065" spans="24:44">
      <c r="X15065"/>
      <c r="Y15065"/>
      <c r="Z15065"/>
      <c r="AA15065"/>
      <c r="AC15065"/>
      <c r="AR15065"/>
    </row>
    <row r="15066" spans="24:44">
      <c r="X15066"/>
      <c r="Y15066"/>
      <c r="Z15066"/>
      <c r="AA15066"/>
      <c r="AC15066"/>
      <c r="AR15066"/>
    </row>
    <row r="15067" spans="24:44">
      <c r="X15067"/>
      <c r="Y15067"/>
      <c r="Z15067"/>
      <c r="AA15067"/>
      <c r="AC15067"/>
      <c r="AR15067"/>
    </row>
    <row r="15068" spans="24:44">
      <c r="X15068"/>
      <c r="Y15068"/>
      <c r="Z15068"/>
      <c r="AA15068"/>
      <c r="AC15068"/>
      <c r="AR15068"/>
    </row>
    <row r="15069" spans="24:44">
      <c r="X15069"/>
      <c r="Y15069"/>
      <c r="Z15069"/>
      <c r="AA15069"/>
      <c r="AC15069"/>
      <c r="AR15069"/>
    </row>
    <row r="15070" spans="24:44">
      <c r="X15070"/>
      <c r="Y15070"/>
      <c r="Z15070"/>
      <c r="AA15070"/>
      <c r="AC15070"/>
      <c r="AR15070"/>
    </row>
    <row r="15071" spans="24:44">
      <c r="X15071"/>
      <c r="Y15071"/>
      <c r="Z15071"/>
      <c r="AA15071"/>
      <c r="AC15071"/>
      <c r="AR15071"/>
    </row>
    <row r="15072" spans="24:44">
      <c r="X15072"/>
      <c r="Y15072"/>
      <c r="Z15072"/>
      <c r="AA15072"/>
      <c r="AC15072"/>
      <c r="AR15072"/>
    </row>
    <row r="15073" spans="24:44">
      <c r="X15073"/>
      <c r="Y15073"/>
      <c r="Z15073"/>
      <c r="AA15073"/>
      <c r="AC15073"/>
      <c r="AR15073"/>
    </row>
    <row r="15074" spans="24:44">
      <c r="X15074"/>
      <c r="Y15074"/>
      <c r="Z15074"/>
      <c r="AA15074"/>
      <c r="AC15074"/>
      <c r="AR15074"/>
    </row>
    <row r="15075" spans="24:44">
      <c r="X15075"/>
      <c r="Y15075"/>
      <c r="Z15075"/>
      <c r="AA15075"/>
      <c r="AC15075"/>
      <c r="AR15075"/>
    </row>
    <row r="15076" spans="24:44">
      <c r="X15076"/>
      <c r="Y15076"/>
      <c r="Z15076"/>
      <c r="AA15076"/>
      <c r="AC15076"/>
      <c r="AR15076"/>
    </row>
    <row r="15077" spans="24:44">
      <c r="X15077"/>
      <c r="Y15077"/>
      <c r="Z15077"/>
      <c r="AA15077"/>
      <c r="AC15077"/>
      <c r="AR15077"/>
    </row>
    <row r="15078" spans="24:44">
      <c r="X15078"/>
      <c r="Y15078"/>
      <c r="Z15078"/>
      <c r="AA15078"/>
      <c r="AC15078"/>
      <c r="AR15078"/>
    </row>
    <row r="15079" spans="24:44">
      <c r="X15079"/>
      <c r="Y15079"/>
      <c r="Z15079"/>
      <c r="AA15079"/>
      <c r="AC15079"/>
      <c r="AR15079"/>
    </row>
    <row r="15080" spans="24:44">
      <c r="X15080"/>
      <c r="Y15080"/>
      <c r="Z15080"/>
      <c r="AA15080"/>
      <c r="AC15080"/>
      <c r="AR15080"/>
    </row>
    <row r="15081" spans="24:44">
      <c r="X15081"/>
      <c r="Y15081"/>
      <c r="Z15081"/>
      <c r="AA15081"/>
      <c r="AC15081"/>
      <c r="AR15081"/>
    </row>
    <row r="15082" spans="24:44">
      <c r="X15082"/>
      <c r="Y15082"/>
      <c r="Z15082"/>
      <c r="AA15082"/>
      <c r="AC15082"/>
      <c r="AR15082"/>
    </row>
    <row r="15083" spans="24:44">
      <c r="X15083"/>
      <c r="Y15083"/>
      <c r="Z15083"/>
      <c r="AA15083"/>
      <c r="AC15083"/>
      <c r="AR15083"/>
    </row>
    <row r="15084" spans="24:44">
      <c r="X15084"/>
      <c r="Y15084"/>
      <c r="Z15084"/>
      <c r="AA15084"/>
      <c r="AC15084"/>
      <c r="AR15084"/>
    </row>
    <row r="15085" spans="24:44">
      <c r="X15085"/>
      <c r="Y15085"/>
      <c r="Z15085"/>
      <c r="AA15085"/>
      <c r="AC15085"/>
      <c r="AR15085"/>
    </row>
    <row r="15086" spans="24:44">
      <c r="X15086"/>
      <c r="Y15086"/>
      <c r="Z15086"/>
      <c r="AA15086"/>
      <c r="AC15086"/>
      <c r="AR15086"/>
    </row>
    <row r="15087" spans="24:44">
      <c r="X15087"/>
      <c r="Y15087"/>
      <c r="Z15087"/>
      <c r="AA15087"/>
      <c r="AC15087"/>
      <c r="AR15087"/>
    </row>
    <row r="15088" spans="24:44">
      <c r="X15088"/>
      <c r="Y15088"/>
      <c r="Z15088"/>
      <c r="AA15088"/>
      <c r="AC15088"/>
      <c r="AR15088"/>
    </row>
    <row r="15089" spans="24:44">
      <c r="X15089"/>
      <c r="Y15089"/>
      <c r="Z15089"/>
      <c r="AA15089"/>
      <c r="AC15089"/>
      <c r="AR15089"/>
    </row>
    <row r="15090" spans="24:44">
      <c r="X15090"/>
      <c r="Y15090"/>
      <c r="Z15090"/>
      <c r="AA15090"/>
      <c r="AC15090"/>
      <c r="AR15090"/>
    </row>
    <row r="15091" spans="24:44">
      <c r="X15091"/>
      <c r="Y15091"/>
      <c r="Z15091"/>
      <c r="AA15091"/>
      <c r="AC15091"/>
      <c r="AR15091"/>
    </row>
    <row r="15092" spans="24:44">
      <c r="X15092"/>
      <c r="Y15092"/>
      <c r="Z15092"/>
      <c r="AA15092"/>
      <c r="AC15092"/>
      <c r="AR15092"/>
    </row>
    <row r="15093" spans="24:44">
      <c r="X15093"/>
      <c r="Y15093"/>
      <c r="Z15093"/>
      <c r="AA15093"/>
      <c r="AC15093"/>
      <c r="AR15093"/>
    </row>
    <row r="15094" spans="24:44">
      <c r="X15094"/>
      <c r="Y15094"/>
      <c r="Z15094"/>
      <c r="AA15094"/>
      <c r="AC15094"/>
      <c r="AR15094"/>
    </row>
    <row r="15095" spans="24:44">
      <c r="X15095"/>
      <c r="Y15095"/>
      <c r="Z15095"/>
      <c r="AA15095"/>
      <c r="AC15095"/>
      <c r="AR15095"/>
    </row>
    <row r="15096" spans="24:44">
      <c r="X15096"/>
      <c r="Y15096"/>
      <c r="Z15096"/>
      <c r="AA15096"/>
      <c r="AC15096"/>
      <c r="AR15096"/>
    </row>
    <row r="15097" spans="24:44">
      <c r="X15097"/>
      <c r="Y15097"/>
      <c r="Z15097"/>
      <c r="AA15097"/>
      <c r="AC15097"/>
      <c r="AR15097"/>
    </row>
    <row r="15098" spans="24:44">
      <c r="X15098"/>
      <c r="Y15098"/>
      <c r="Z15098"/>
      <c r="AA15098"/>
      <c r="AC15098"/>
      <c r="AR15098"/>
    </row>
    <row r="15099" spans="24:44">
      <c r="X15099"/>
      <c r="Y15099"/>
      <c r="Z15099"/>
      <c r="AA15099"/>
      <c r="AC15099"/>
      <c r="AR15099"/>
    </row>
    <row r="15100" spans="24:44">
      <c r="X15100"/>
      <c r="Y15100"/>
      <c r="Z15100"/>
      <c r="AA15100"/>
      <c r="AC15100"/>
      <c r="AR15100"/>
    </row>
    <row r="15101" spans="24:44">
      <c r="X15101"/>
      <c r="Y15101"/>
      <c r="Z15101"/>
      <c r="AA15101"/>
      <c r="AC15101"/>
      <c r="AR15101"/>
    </row>
    <row r="15102" spans="24:44">
      <c r="X15102"/>
      <c r="Y15102"/>
      <c r="Z15102"/>
      <c r="AA15102"/>
      <c r="AC15102"/>
      <c r="AR15102"/>
    </row>
    <row r="15103" spans="24:44">
      <c r="X15103"/>
      <c r="Y15103"/>
      <c r="Z15103"/>
      <c r="AA15103"/>
      <c r="AC15103"/>
      <c r="AR15103"/>
    </row>
    <row r="15104" spans="24:44">
      <c r="X15104"/>
      <c r="Y15104"/>
      <c r="Z15104"/>
      <c r="AA15104"/>
      <c r="AC15104"/>
      <c r="AR15104"/>
    </row>
    <row r="15105" spans="24:44">
      <c r="X15105"/>
      <c r="Y15105"/>
      <c r="Z15105"/>
      <c r="AA15105"/>
      <c r="AC15105"/>
      <c r="AR15105"/>
    </row>
    <row r="15106" spans="24:44">
      <c r="X15106"/>
      <c r="Y15106"/>
      <c r="Z15106"/>
      <c r="AA15106"/>
      <c r="AC15106"/>
      <c r="AR15106"/>
    </row>
    <row r="15107" spans="24:44">
      <c r="X15107"/>
      <c r="Y15107"/>
      <c r="Z15107"/>
      <c r="AA15107"/>
      <c r="AC15107"/>
      <c r="AR15107"/>
    </row>
    <row r="15108" spans="24:44">
      <c r="X15108"/>
      <c r="Y15108"/>
      <c r="Z15108"/>
      <c r="AA15108"/>
      <c r="AC15108"/>
      <c r="AR15108"/>
    </row>
    <row r="15109" spans="24:44">
      <c r="X15109"/>
      <c r="Y15109"/>
      <c r="Z15109"/>
      <c r="AA15109"/>
      <c r="AC15109"/>
      <c r="AR15109"/>
    </row>
    <row r="15110" spans="24:44">
      <c r="X15110"/>
      <c r="Y15110"/>
      <c r="Z15110"/>
      <c r="AA15110"/>
      <c r="AC15110"/>
      <c r="AR15110"/>
    </row>
    <row r="15111" spans="24:44">
      <c r="X15111"/>
      <c r="Y15111"/>
      <c r="Z15111"/>
      <c r="AA15111"/>
      <c r="AC15111"/>
      <c r="AR15111"/>
    </row>
    <row r="15112" spans="24:44">
      <c r="X15112"/>
      <c r="Y15112"/>
      <c r="Z15112"/>
      <c r="AA15112"/>
      <c r="AC15112"/>
      <c r="AR15112"/>
    </row>
    <row r="15113" spans="24:44">
      <c r="X15113"/>
      <c r="Y15113"/>
      <c r="Z15113"/>
      <c r="AA15113"/>
      <c r="AC15113"/>
      <c r="AR15113"/>
    </row>
    <row r="15114" spans="24:44">
      <c r="X15114"/>
      <c r="Y15114"/>
      <c r="Z15114"/>
      <c r="AA15114"/>
      <c r="AC15114"/>
      <c r="AR15114"/>
    </row>
    <row r="15115" spans="24:44">
      <c r="X15115"/>
      <c r="Y15115"/>
      <c r="Z15115"/>
      <c r="AA15115"/>
      <c r="AC15115"/>
      <c r="AR15115"/>
    </row>
    <row r="15116" spans="24:44">
      <c r="X15116"/>
      <c r="Y15116"/>
      <c r="Z15116"/>
      <c r="AA15116"/>
      <c r="AC15116"/>
      <c r="AR15116"/>
    </row>
    <row r="15117" spans="24:44">
      <c r="X15117"/>
      <c r="Y15117"/>
      <c r="Z15117"/>
      <c r="AA15117"/>
      <c r="AC15117"/>
      <c r="AR15117"/>
    </row>
    <row r="15118" spans="24:44">
      <c r="X15118"/>
      <c r="Y15118"/>
      <c r="Z15118"/>
      <c r="AA15118"/>
      <c r="AC15118"/>
      <c r="AR15118"/>
    </row>
    <row r="15119" spans="24:44">
      <c r="X15119"/>
      <c r="Y15119"/>
      <c r="Z15119"/>
      <c r="AA15119"/>
      <c r="AC15119"/>
      <c r="AR15119"/>
    </row>
    <row r="15120" spans="24:44">
      <c r="X15120"/>
      <c r="Y15120"/>
      <c r="Z15120"/>
      <c r="AA15120"/>
      <c r="AC15120"/>
      <c r="AR15120"/>
    </row>
    <row r="15121" spans="24:44">
      <c r="X15121"/>
      <c r="Y15121"/>
      <c r="Z15121"/>
      <c r="AA15121"/>
      <c r="AC15121"/>
      <c r="AR15121"/>
    </row>
    <row r="15122" spans="24:44">
      <c r="X15122"/>
      <c r="Y15122"/>
      <c r="Z15122"/>
      <c r="AA15122"/>
      <c r="AC15122"/>
      <c r="AR15122"/>
    </row>
    <row r="15123" spans="24:44">
      <c r="X15123"/>
      <c r="Y15123"/>
      <c r="Z15123"/>
      <c r="AA15123"/>
      <c r="AC15123"/>
      <c r="AR15123"/>
    </row>
    <row r="15124" spans="24:44">
      <c r="X15124"/>
      <c r="Y15124"/>
      <c r="Z15124"/>
      <c r="AA15124"/>
      <c r="AC15124"/>
      <c r="AR15124"/>
    </row>
    <row r="15125" spans="24:44">
      <c r="X15125"/>
      <c r="Y15125"/>
      <c r="Z15125"/>
      <c r="AA15125"/>
      <c r="AC15125"/>
      <c r="AR15125"/>
    </row>
    <row r="15126" spans="24:44">
      <c r="X15126"/>
      <c r="Y15126"/>
      <c r="Z15126"/>
      <c r="AA15126"/>
      <c r="AC15126"/>
      <c r="AR15126"/>
    </row>
    <row r="15127" spans="24:44">
      <c r="X15127"/>
      <c r="Y15127"/>
      <c r="Z15127"/>
      <c r="AA15127"/>
      <c r="AC15127"/>
      <c r="AR15127"/>
    </row>
    <row r="15128" spans="24:44">
      <c r="X15128"/>
      <c r="Y15128"/>
      <c r="Z15128"/>
      <c r="AA15128"/>
      <c r="AC15128"/>
      <c r="AR15128"/>
    </row>
    <row r="15129" spans="24:44">
      <c r="X15129"/>
      <c r="Y15129"/>
      <c r="Z15129"/>
      <c r="AA15129"/>
      <c r="AC15129"/>
      <c r="AR15129"/>
    </row>
    <row r="15130" spans="24:44">
      <c r="X15130"/>
      <c r="Y15130"/>
      <c r="Z15130"/>
      <c r="AA15130"/>
      <c r="AC15130"/>
      <c r="AR15130"/>
    </row>
    <row r="15131" spans="24:44">
      <c r="X15131"/>
      <c r="Y15131"/>
      <c r="Z15131"/>
      <c r="AA15131"/>
      <c r="AC15131"/>
      <c r="AR15131"/>
    </row>
    <row r="15132" spans="24:44">
      <c r="X15132"/>
      <c r="Y15132"/>
      <c r="Z15132"/>
      <c r="AA15132"/>
      <c r="AC15132"/>
      <c r="AR15132"/>
    </row>
    <row r="15133" spans="24:44">
      <c r="X15133"/>
      <c r="Y15133"/>
      <c r="Z15133"/>
      <c r="AA15133"/>
      <c r="AC15133"/>
      <c r="AR15133"/>
    </row>
    <row r="15134" spans="24:44">
      <c r="X15134"/>
      <c r="Y15134"/>
      <c r="Z15134"/>
      <c r="AA15134"/>
      <c r="AC15134"/>
      <c r="AR15134"/>
    </row>
    <row r="15135" spans="24:44">
      <c r="X15135"/>
      <c r="Y15135"/>
      <c r="Z15135"/>
      <c r="AA15135"/>
      <c r="AC15135"/>
      <c r="AR15135"/>
    </row>
    <row r="15136" spans="24:44">
      <c r="X15136"/>
      <c r="Y15136"/>
      <c r="Z15136"/>
      <c r="AA15136"/>
      <c r="AC15136"/>
      <c r="AR15136"/>
    </row>
    <row r="15137" spans="24:44">
      <c r="X15137"/>
      <c r="Y15137"/>
      <c r="Z15137"/>
      <c r="AA15137"/>
      <c r="AC15137"/>
      <c r="AR15137"/>
    </row>
    <row r="15138" spans="24:44">
      <c r="X15138"/>
      <c r="Y15138"/>
      <c r="Z15138"/>
      <c r="AA15138"/>
      <c r="AC15138"/>
      <c r="AR15138"/>
    </row>
    <row r="15139" spans="24:44">
      <c r="X15139"/>
      <c r="Y15139"/>
      <c r="Z15139"/>
      <c r="AA15139"/>
      <c r="AC15139"/>
      <c r="AR15139"/>
    </row>
    <row r="15140" spans="24:44">
      <c r="X15140"/>
      <c r="Y15140"/>
      <c r="Z15140"/>
      <c r="AA15140"/>
      <c r="AC15140"/>
      <c r="AR15140"/>
    </row>
    <row r="15141" spans="24:44">
      <c r="X15141"/>
      <c r="Y15141"/>
      <c r="Z15141"/>
      <c r="AA15141"/>
      <c r="AC15141"/>
      <c r="AR15141"/>
    </row>
    <row r="15142" spans="24:44">
      <c r="X15142"/>
      <c r="Y15142"/>
      <c r="Z15142"/>
      <c r="AA15142"/>
      <c r="AC15142"/>
      <c r="AR15142"/>
    </row>
    <row r="15143" spans="24:44">
      <c r="X15143"/>
      <c r="Y15143"/>
      <c r="Z15143"/>
      <c r="AA15143"/>
      <c r="AC15143"/>
      <c r="AR15143"/>
    </row>
    <row r="15144" spans="24:44">
      <c r="X15144"/>
      <c r="Y15144"/>
      <c r="Z15144"/>
      <c r="AA15144"/>
      <c r="AC15144"/>
      <c r="AR15144"/>
    </row>
    <row r="15145" spans="24:44">
      <c r="X15145"/>
      <c r="Y15145"/>
      <c r="Z15145"/>
      <c r="AA15145"/>
      <c r="AC15145"/>
      <c r="AR15145"/>
    </row>
    <row r="15146" spans="24:44">
      <c r="X15146"/>
      <c r="Y15146"/>
      <c r="Z15146"/>
      <c r="AA15146"/>
      <c r="AC15146"/>
      <c r="AR15146"/>
    </row>
    <row r="15147" spans="24:44">
      <c r="X15147"/>
      <c r="Y15147"/>
      <c r="Z15147"/>
      <c r="AA15147"/>
      <c r="AC15147"/>
      <c r="AR15147"/>
    </row>
    <row r="15148" spans="24:44">
      <c r="X15148"/>
      <c r="Y15148"/>
      <c r="Z15148"/>
      <c r="AA15148"/>
      <c r="AC15148"/>
      <c r="AR15148"/>
    </row>
    <row r="15149" spans="24:44">
      <c r="X15149"/>
      <c r="Y15149"/>
      <c r="Z15149"/>
      <c r="AA15149"/>
      <c r="AC15149"/>
      <c r="AR15149"/>
    </row>
    <row r="15150" spans="24:44">
      <c r="X15150"/>
      <c r="Y15150"/>
      <c r="Z15150"/>
      <c r="AA15150"/>
      <c r="AC15150"/>
      <c r="AR15150"/>
    </row>
    <row r="15151" spans="24:44">
      <c r="X15151"/>
      <c r="Y15151"/>
      <c r="Z15151"/>
      <c r="AA15151"/>
      <c r="AC15151"/>
      <c r="AR15151"/>
    </row>
    <row r="15152" spans="24:44">
      <c r="X15152"/>
      <c r="Y15152"/>
      <c r="Z15152"/>
      <c r="AA15152"/>
      <c r="AC15152"/>
      <c r="AR15152"/>
    </row>
    <row r="15153" spans="24:44">
      <c r="X15153"/>
      <c r="Y15153"/>
      <c r="Z15153"/>
      <c r="AA15153"/>
      <c r="AC15153"/>
      <c r="AR15153"/>
    </row>
    <row r="15154" spans="24:44">
      <c r="X15154"/>
      <c r="Y15154"/>
      <c r="Z15154"/>
      <c r="AA15154"/>
      <c r="AC15154"/>
      <c r="AR15154"/>
    </row>
    <row r="15155" spans="24:44">
      <c r="X15155"/>
      <c r="Y15155"/>
      <c r="Z15155"/>
      <c r="AA15155"/>
      <c r="AC15155"/>
      <c r="AR15155"/>
    </row>
    <row r="15156" spans="24:44">
      <c r="X15156"/>
      <c r="Y15156"/>
      <c r="Z15156"/>
      <c r="AA15156"/>
      <c r="AC15156"/>
      <c r="AR15156"/>
    </row>
    <row r="15157" spans="24:44">
      <c r="X15157"/>
      <c r="Y15157"/>
      <c r="Z15157"/>
      <c r="AA15157"/>
      <c r="AC15157"/>
      <c r="AR15157"/>
    </row>
    <row r="15158" spans="24:44">
      <c r="X15158"/>
      <c r="Y15158"/>
      <c r="Z15158"/>
      <c r="AA15158"/>
      <c r="AC15158"/>
      <c r="AR15158"/>
    </row>
    <row r="15159" spans="24:44">
      <c r="X15159"/>
      <c r="Y15159"/>
      <c r="Z15159"/>
      <c r="AA15159"/>
      <c r="AC15159"/>
      <c r="AR15159"/>
    </row>
    <row r="15160" spans="24:44">
      <c r="X15160"/>
      <c r="Y15160"/>
      <c r="Z15160"/>
      <c r="AA15160"/>
      <c r="AC15160"/>
      <c r="AR15160"/>
    </row>
    <row r="15161" spans="24:44">
      <c r="X15161"/>
      <c r="Y15161"/>
      <c r="Z15161"/>
      <c r="AA15161"/>
      <c r="AC15161"/>
      <c r="AR15161"/>
    </row>
    <row r="15162" spans="24:44">
      <c r="X15162"/>
      <c r="Y15162"/>
      <c r="Z15162"/>
      <c r="AA15162"/>
      <c r="AC15162"/>
      <c r="AR15162"/>
    </row>
    <row r="15163" spans="24:44">
      <c r="X15163"/>
      <c r="Y15163"/>
      <c r="Z15163"/>
      <c r="AA15163"/>
      <c r="AC15163"/>
      <c r="AR15163"/>
    </row>
    <row r="15164" spans="24:44">
      <c r="X15164"/>
      <c r="Y15164"/>
      <c r="Z15164"/>
      <c r="AA15164"/>
      <c r="AC15164"/>
      <c r="AR15164"/>
    </row>
    <row r="15165" spans="24:44">
      <c r="X15165"/>
      <c r="Y15165"/>
      <c r="Z15165"/>
      <c r="AA15165"/>
      <c r="AC15165"/>
      <c r="AR15165"/>
    </row>
    <row r="15166" spans="24:44">
      <c r="X15166"/>
      <c r="Y15166"/>
      <c r="Z15166"/>
      <c r="AA15166"/>
      <c r="AC15166"/>
      <c r="AR15166"/>
    </row>
    <row r="15167" spans="24:44">
      <c r="X15167"/>
      <c r="Y15167"/>
      <c r="Z15167"/>
      <c r="AA15167"/>
      <c r="AC15167"/>
      <c r="AR15167"/>
    </row>
    <row r="15168" spans="24:44">
      <c r="X15168"/>
      <c r="Y15168"/>
      <c r="Z15168"/>
      <c r="AA15168"/>
      <c r="AC15168"/>
      <c r="AR15168"/>
    </row>
    <row r="15169" spans="24:44">
      <c r="X15169"/>
      <c r="Y15169"/>
      <c r="Z15169"/>
      <c r="AA15169"/>
      <c r="AC15169"/>
      <c r="AR15169"/>
    </row>
    <row r="15170" spans="24:44">
      <c r="X15170"/>
      <c r="Y15170"/>
      <c r="Z15170"/>
      <c r="AA15170"/>
      <c r="AC15170"/>
      <c r="AR15170"/>
    </row>
    <row r="15171" spans="24:44">
      <c r="X15171"/>
      <c r="Y15171"/>
      <c r="Z15171"/>
      <c r="AA15171"/>
      <c r="AC15171"/>
      <c r="AR15171"/>
    </row>
    <row r="15172" spans="24:44">
      <c r="X15172"/>
      <c r="Y15172"/>
      <c r="Z15172"/>
      <c r="AA15172"/>
      <c r="AC15172"/>
      <c r="AR15172"/>
    </row>
    <row r="15173" spans="24:44">
      <c r="X15173"/>
      <c r="Y15173"/>
      <c r="Z15173"/>
      <c r="AA15173"/>
      <c r="AC15173"/>
      <c r="AR15173"/>
    </row>
    <row r="15174" spans="24:44">
      <c r="X15174"/>
      <c r="Y15174"/>
      <c r="Z15174"/>
      <c r="AA15174"/>
      <c r="AC15174"/>
      <c r="AR15174"/>
    </row>
    <row r="15175" spans="24:44">
      <c r="X15175"/>
      <c r="Y15175"/>
      <c r="Z15175"/>
      <c r="AA15175"/>
      <c r="AC15175"/>
      <c r="AR15175"/>
    </row>
    <row r="15176" spans="24:44">
      <c r="X15176"/>
      <c r="Y15176"/>
      <c r="Z15176"/>
      <c r="AA15176"/>
      <c r="AC15176"/>
      <c r="AR15176"/>
    </row>
    <row r="15177" spans="24:44">
      <c r="X15177"/>
      <c r="Y15177"/>
      <c r="Z15177"/>
      <c r="AA15177"/>
      <c r="AC15177"/>
      <c r="AR15177"/>
    </row>
    <row r="15178" spans="24:44">
      <c r="X15178"/>
      <c r="Y15178"/>
      <c r="Z15178"/>
      <c r="AA15178"/>
      <c r="AC15178"/>
      <c r="AR15178"/>
    </row>
    <row r="15179" spans="24:44">
      <c r="X15179"/>
      <c r="Y15179"/>
      <c r="Z15179"/>
      <c r="AA15179"/>
      <c r="AC15179"/>
      <c r="AR15179"/>
    </row>
    <row r="15180" spans="24:44">
      <c r="X15180"/>
      <c r="Y15180"/>
      <c r="Z15180"/>
      <c r="AA15180"/>
      <c r="AC15180"/>
      <c r="AR15180"/>
    </row>
    <row r="15181" spans="24:44">
      <c r="X15181"/>
      <c r="Y15181"/>
      <c r="Z15181"/>
      <c r="AA15181"/>
      <c r="AC15181"/>
      <c r="AR15181"/>
    </row>
    <row r="15182" spans="24:44">
      <c r="X15182"/>
      <c r="Y15182"/>
      <c r="Z15182"/>
      <c r="AA15182"/>
      <c r="AC15182"/>
      <c r="AR15182"/>
    </row>
    <row r="15183" spans="24:44">
      <c r="X15183"/>
      <c r="Y15183"/>
      <c r="Z15183"/>
      <c r="AA15183"/>
      <c r="AC15183"/>
      <c r="AR15183"/>
    </row>
    <row r="15184" spans="24:44">
      <c r="X15184"/>
      <c r="Y15184"/>
      <c r="Z15184"/>
      <c r="AA15184"/>
      <c r="AC15184"/>
      <c r="AR15184"/>
    </row>
    <row r="15185" spans="24:44">
      <c r="X15185"/>
      <c r="Y15185"/>
      <c r="Z15185"/>
      <c r="AA15185"/>
      <c r="AC15185"/>
      <c r="AR15185"/>
    </row>
    <row r="15186" spans="24:44">
      <c r="X15186"/>
      <c r="Y15186"/>
      <c r="Z15186"/>
      <c r="AA15186"/>
      <c r="AC15186"/>
      <c r="AR15186"/>
    </row>
    <row r="15187" spans="24:44">
      <c r="X15187"/>
      <c r="Y15187"/>
      <c r="Z15187"/>
      <c r="AA15187"/>
      <c r="AC15187"/>
      <c r="AR15187"/>
    </row>
    <row r="15188" spans="24:44">
      <c r="X15188"/>
      <c r="Y15188"/>
      <c r="Z15188"/>
      <c r="AA15188"/>
      <c r="AC15188"/>
      <c r="AR15188"/>
    </row>
    <row r="15189" spans="24:44">
      <c r="X15189"/>
      <c r="Y15189"/>
      <c r="Z15189"/>
      <c r="AA15189"/>
      <c r="AC15189"/>
      <c r="AR15189"/>
    </row>
    <row r="15190" spans="24:44">
      <c r="X15190"/>
      <c r="Y15190"/>
      <c r="Z15190"/>
      <c r="AA15190"/>
      <c r="AC15190"/>
      <c r="AR15190"/>
    </row>
    <row r="15191" spans="24:44">
      <c r="X15191"/>
      <c r="Y15191"/>
      <c r="Z15191"/>
      <c r="AA15191"/>
      <c r="AC15191"/>
      <c r="AR15191"/>
    </row>
    <row r="15192" spans="24:44">
      <c r="X15192"/>
      <c r="Y15192"/>
      <c r="Z15192"/>
      <c r="AA15192"/>
      <c r="AC15192"/>
      <c r="AR15192"/>
    </row>
    <row r="15193" spans="24:44">
      <c r="X15193"/>
      <c r="Y15193"/>
      <c r="Z15193"/>
      <c r="AA15193"/>
      <c r="AC15193"/>
      <c r="AR15193"/>
    </row>
    <row r="15194" spans="24:44">
      <c r="X15194"/>
      <c r="Y15194"/>
      <c r="Z15194"/>
      <c r="AA15194"/>
      <c r="AC15194"/>
      <c r="AR15194"/>
    </row>
    <row r="15195" spans="24:44">
      <c r="X15195"/>
      <c r="Y15195"/>
      <c r="Z15195"/>
      <c r="AA15195"/>
      <c r="AC15195"/>
      <c r="AR15195"/>
    </row>
    <row r="15196" spans="24:44">
      <c r="X15196"/>
      <c r="Y15196"/>
      <c r="Z15196"/>
      <c r="AA15196"/>
      <c r="AC15196"/>
      <c r="AR15196"/>
    </row>
    <row r="15197" spans="24:44">
      <c r="X15197"/>
      <c r="Y15197"/>
      <c r="Z15197"/>
      <c r="AA15197"/>
      <c r="AC15197"/>
      <c r="AR15197"/>
    </row>
    <row r="15198" spans="24:44">
      <c r="X15198"/>
      <c r="Y15198"/>
      <c r="Z15198"/>
      <c r="AA15198"/>
      <c r="AC15198"/>
      <c r="AR15198"/>
    </row>
    <row r="15199" spans="24:44">
      <c r="X15199"/>
      <c r="Y15199"/>
      <c r="Z15199"/>
      <c r="AA15199"/>
      <c r="AC15199"/>
      <c r="AR15199"/>
    </row>
    <row r="15200" spans="24:44">
      <c r="X15200"/>
      <c r="Y15200"/>
      <c r="Z15200"/>
      <c r="AA15200"/>
      <c r="AC15200"/>
      <c r="AR15200"/>
    </row>
    <row r="15201" spans="24:44">
      <c r="X15201"/>
      <c r="Y15201"/>
      <c r="Z15201"/>
      <c r="AA15201"/>
      <c r="AC15201"/>
      <c r="AR15201"/>
    </row>
    <row r="15202" spans="24:44">
      <c r="X15202"/>
      <c r="Y15202"/>
      <c r="Z15202"/>
      <c r="AA15202"/>
      <c r="AC15202"/>
      <c r="AR15202"/>
    </row>
    <row r="15203" spans="24:44">
      <c r="X15203"/>
      <c r="Y15203"/>
      <c r="Z15203"/>
      <c r="AA15203"/>
      <c r="AC15203"/>
      <c r="AR15203"/>
    </row>
    <row r="15204" spans="24:44">
      <c r="X15204"/>
      <c r="Y15204"/>
      <c r="Z15204"/>
      <c r="AA15204"/>
      <c r="AC15204"/>
      <c r="AR15204"/>
    </row>
    <row r="15205" spans="24:44">
      <c r="X15205"/>
      <c r="Y15205"/>
      <c r="Z15205"/>
      <c r="AA15205"/>
      <c r="AC15205"/>
      <c r="AR15205"/>
    </row>
    <row r="15206" spans="24:44">
      <c r="X15206"/>
      <c r="Y15206"/>
      <c r="Z15206"/>
      <c r="AA15206"/>
      <c r="AC15206"/>
      <c r="AR15206"/>
    </row>
    <row r="15207" spans="24:44">
      <c r="X15207"/>
      <c r="Y15207"/>
      <c r="Z15207"/>
      <c r="AA15207"/>
      <c r="AC15207"/>
      <c r="AR15207"/>
    </row>
    <row r="15208" spans="24:44">
      <c r="X15208"/>
      <c r="Y15208"/>
      <c r="Z15208"/>
      <c r="AA15208"/>
      <c r="AC15208"/>
      <c r="AR15208"/>
    </row>
    <row r="15209" spans="24:44">
      <c r="X15209"/>
      <c r="Y15209"/>
      <c r="Z15209"/>
      <c r="AA15209"/>
      <c r="AC15209"/>
      <c r="AR15209"/>
    </row>
    <row r="15210" spans="24:44">
      <c r="X15210"/>
      <c r="Y15210"/>
      <c r="Z15210"/>
      <c r="AA15210"/>
      <c r="AC15210"/>
      <c r="AR15210"/>
    </row>
    <row r="15211" spans="24:44">
      <c r="X15211"/>
      <c r="Y15211"/>
      <c r="Z15211"/>
      <c r="AA15211"/>
      <c r="AC15211"/>
      <c r="AR15211"/>
    </row>
    <row r="15212" spans="24:44">
      <c r="X15212"/>
      <c r="Y15212"/>
      <c r="Z15212"/>
      <c r="AA15212"/>
      <c r="AC15212"/>
      <c r="AR15212"/>
    </row>
    <row r="15213" spans="24:44">
      <c r="X15213"/>
      <c r="Y15213"/>
      <c r="Z15213"/>
      <c r="AA15213"/>
      <c r="AC15213"/>
      <c r="AR15213"/>
    </row>
    <row r="15214" spans="24:44">
      <c r="X15214"/>
      <c r="Y15214"/>
      <c r="Z15214"/>
      <c r="AA15214"/>
      <c r="AC15214"/>
      <c r="AR15214"/>
    </row>
    <row r="15215" spans="24:44">
      <c r="X15215"/>
      <c r="Y15215"/>
      <c r="Z15215"/>
      <c r="AA15215"/>
      <c r="AC15215"/>
      <c r="AR15215"/>
    </row>
    <row r="15216" spans="24:44">
      <c r="X15216"/>
      <c r="Y15216"/>
      <c r="Z15216"/>
      <c r="AA15216"/>
      <c r="AC15216"/>
      <c r="AR15216"/>
    </row>
    <row r="15217" spans="24:44">
      <c r="X15217"/>
      <c r="Y15217"/>
      <c r="Z15217"/>
      <c r="AA15217"/>
      <c r="AC15217"/>
      <c r="AR15217"/>
    </row>
    <row r="15218" spans="24:44">
      <c r="X15218"/>
      <c r="Y15218"/>
      <c r="Z15218"/>
      <c r="AA15218"/>
      <c r="AC15218"/>
      <c r="AR15218"/>
    </row>
    <row r="15219" spans="24:44">
      <c r="X15219"/>
      <c r="Y15219"/>
      <c r="Z15219"/>
      <c r="AA15219"/>
      <c r="AC15219"/>
      <c r="AR15219"/>
    </row>
    <row r="15220" spans="24:44">
      <c r="X15220"/>
      <c r="Y15220"/>
      <c r="Z15220"/>
      <c r="AA15220"/>
      <c r="AC15220"/>
      <c r="AR15220"/>
    </row>
    <row r="15221" spans="24:44">
      <c r="X15221"/>
      <c r="Y15221"/>
      <c r="Z15221"/>
      <c r="AA15221"/>
      <c r="AC15221"/>
      <c r="AR15221"/>
    </row>
    <row r="15222" spans="24:44">
      <c r="X15222"/>
      <c r="Y15222"/>
      <c r="Z15222"/>
      <c r="AA15222"/>
      <c r="AC15222"/>
      <c r="AR15222"/>
    </row>
    <row r="15223" spans="24:44">
      <c r="X15223"/>
      <c r="Y15223"/>
      <c r="Z15223"/>
      <c r="AA15223"/>
      <c r="AC15223"/>
      <c r="AR15223"/>
    </row>
    <row r="15224" spans="24:44">
      <c r="X15224"/>
      <c r="Y15224"/>
      <c r="Z15224"/>
      <c r="AA15224"/>
      <c r="AC15224"/>
      <c r="AR15224"/>
    </row>
    <row r="15225" spans="24:44">
      <c r="X15225"/>
      <c r="Y15225"/>
      <c r="Z15225"/>
      <c r="AA15225"/>
      <c r="AC15225"/>
      <c r="AR15225"/>
    </row>
    <row r="15226" spans="24:44">
      <c r="X15226"/>
      <c r="Y15226"/>
      <c r="Z15226"/>
      <c r="AA15226"/>
      <c r="AC15226"/>
      <c r="AR15226"/>
    </row>
    <row r="15227" spans="24:44">
      <c r="X15227"/>
      <c r="Y15227"/>
      <c r="Z15227"/>
      <c r="AA15227"/>
      <c r="AC15227"/>
      <c r="AR15227"/>
    </row>
    <row r="15228" spans="24:44">
      <c r="X15228"/>
      <c r="Y15228"/>
      <c r="Z15228"/>
      <c r="AA15228"/>
      <c r="AC15228"/>
      <c r="AR15228"/>
    </row>
    <row r="15229" spans="24:44">
      <c r="X15229"/>
      <c r="Y15229"/>
      <c r="Z15229"/>
      <c r="AA15229"/>
      <c r="AC15229"/>
      <c r="AR15229"/>
    </row>
    <row r="15230" spans="24:44">
      <c r="X15230"/>
      <c r="Y15230"/>
      <c r="Z15230"/>
      <c r="AA15230"/>
      <c r="AC15230"/>
      <c r="AR15230"/>
    </row>
    <row r="15231" spans="24:44">
      <c r="X15231"/>
      <c r="Y15231"/>
      <c r="Z15231"/>
      <c r="AA15231"/>
      <c r="AC15231"/>
      <c r="AR15231"/>
    </row>
    <row r="15232" spans="24:44">
      <c r="X15232"/>
      <c r="Y15232"/>
      <c r="Z15232"/>
      <c r="AA15232"/>
      <c r="AC15232"/>
      <c r="AR15232"/>
    </row>
    <row r="15233" spans="24:44">
      <c r="X15233"/>
      <c r="Y15233"/>
      <c r="Z15233"/>
      <c r="AA15233"/>
      <c r="AC15233"/>
      <c r="AR15233"/>
    </row>
    <row r="15234" spans="24:44">
      <c r="X15234"/>
      <c r="Y15234"/>
      <c r="Z15234"/>
      <c r="AA15234"/>
      <c r="AC15234"/>
      <c r="AR15234"/>
    </row>
    <row r="15235" spans="24:44">
      <c r="X15235"/>
      <c r="Y15235"/>
      <c r="Z15235"/>
      <c r="AA15235"/>
      <c r="AC15235"/>
      <c r="AR15235"/>
    </row>
    <row r="15236" spans="24:44">
      <c r="X15236"/>
      <c r="Y15236"/>
      <c r="Z15236"/>
      <c r="AA15236"/>
      <c r="AC15236"/>
      <c r="AR15236"/>
    </row>
    <row r="15237" spans="24:44">
      <c r="X15237"/>
      <c r="Y15237"/>
      <c r="Z15237"/>
      <c r="AA15237"/>
      <c r="AC15237"/>
      <c r="AR15237"/>
    </row>
    <row r="15238" spans="24:44">
      <c r="X15238"/>
      <c r="Y15238"/>
      <c r="Z15238"/>
      <c r="AA15238"/>
      <c r="AC15238"/>
      <c r="AR15238"/>
    </row>
    <row r="15239" spans="24:44">
      <c r="X15239"/>
      <c r="Y15239"/>
      <c r="Z15239"/>
      <c r="AA15239"/>
      <c r="AC15239"/>
      <c r="AR15239"/>
    </row>
    <row r="15240" spans="24:44">
      <c r="X15240"/>
      <c r="Y15240"/>
      <c r="Z15240"/>
      <c r="AA15240"/>
      <c r="AC15240"/>
      <c r="AR15240"/>
    </row>
    <row r="15241" spans="24:44">
      <c r="X15241"/>
      <c r="Y15241"/>
      <c r="Z15241"/>
      <c r="AA15241"/>
      <c r="AC15241"/>
      <c r="AR15241"/>
    </row>
    <row r="15242" spans="24:44">
      <c r="X15242"/>
      <c r="Y15242"/>
      <c r="Z15242"/>
      <c r="AA15242"/>
      <c r="AC15242"/>
      <c r="AR15242"/>
    </row>
    <row r="15243" spans="24:44">
      <c r="X15243"/>
      <c r="Y15243"/>
      <c r="Z15243"/>
      <c r="AA15243"/>
      <c r="AC15243"/>
      <c r="AR15243"/>
    </row>
    <row r="15244" spans="24:44">
      <c r="X15244"/>
      <c r="Y15244"/>
      <c r="Z15244"/>
      <c r="AA15244"/>
      <c r="AC15244"/>
      <c r="AR15244"/>
    </row>
    <row r="15245" spans="24:44">
      <c r="X15245"/>
      <c r="Y15245"/>
      <c r="Z15245"/>
      <c r="AA15245"/>
      <c r="AC15245"/>
      <c r="AR15245"/>
    </row>
    <row r="15246" spans="24:44">
      <c r="X15246"/>
      <c r="Y15246"/>
      <c r="Z15246"/>
      <c r="AA15246"/>
      <c r="AC15246"/>
      <c r="AR15246"/>
    </row>
    <row r="15247" spans="24:44">
      <c r="X15247"/>
      <c r="Y15247"/>
      <c r="Z15247"/>
      <c r="AA15247"/>
      <c r="AC15247"/>
      <c r="AR15247"/>
    </row>
    <row r="15248" spans="24:44">
      <c r="X15248"/>
      <c r="Y15248"/>
      <c r="Z15248"/>
      <c r="AA15248"/>
      <c r="AC15248"/>
      <c r="AR15248"/>
    </row>
    <row r="15249" spans="24:44">
      <c r="X15249"/>
      <c r="Y15249"/>
      <c r="Z15249"/>
      <c r="AA15249"/>
      <c r="AC15249"/>
      <c r="AR15249"/>
    </row>
    <row r="15250" spans="24:44">
      <c r="X15250"/>
      <c r="Y15250"/>
      <c r="Z15250"/>
      <c r="AA15250"/>
      <c r="AC15250"/>
      <c r="AR15250"/>
    </row>
    <row r="15251" spans="24:44">
      <c r="X15251"/>
      <c r="Y15251"/>
      <c r="Z15251"/>
      <c r="AA15251"/>
      <c r="AC15251"/>
      <c r="AR15251"/>
    </row>
    <row r="15252" spans="24:44">
      <c r="X15252"/>
      <c r="Y15252"/>
      <c r="Z15252"/>
      <c r="AA15252"/>
      <c r="AC15252"/>
      <c r="AR15252"/>
    </row>
    <row r="15253" spans="24:44">
      <c r="X15253"/>
      <c r="Y15253"/>
      <c r="Z15253"/>
      <c r="AA15253"/>
      <c r="AC15253"/>
      <c r="AR15253"/>
    </row>
    <row r="15254" spans="24:44">
      <c r="X15254"/>
      <c r="Y15254"/>
      <c r="Z15254"/>
      <c r="AA15254"/>
      <c r="AC15254"/>
      <c r="AR15254"/>
    </row>
    <row r="15255" spans="24:44">
      <c r="X15255"/>
      <c r="Y15255"/>
      <c r="Z15255"/>
      <c r="AA15255"/>
      <c r="AC15255"/>
      <c r="AR15255"/>
    </row>
    <row r="15256" spans="24:44">
      <c r="X15256"/>
      <c r="Y15256"/>
      <c r="Z15256"/>
      <c r="AA15256"/>
      <c r="AC15256"/>
      <c r="AR15256"/>
    </row>
    <row r="15257" spans="24:44">
      <c r="X15257"/>
      <c r="Y15257"/>
      <c r="Z15257"/>
      <c r="AA15257"/>
      <c r="AC15257"/>
      <c r="AR15257"/>
    </row>
    <row r="15258" spans="24:44">
      <c r="X15258"/>
      <c r="Y15258"/>
      <c r="Z15258"/>
      <c r="AA15258"/>
      <c r="AC15258"/>
      <c r="AR15258"/>
    </row>
    <row r="15259" spans="24:44">
      <c r="X15259"/>
      <c r="Y15259"/>
      <c r="Z15259"/>
      <c r="AA15259"/>
      <c r="AC15259"/>
      <c r="AR15259"/>
    </row>
    <row r="15260" spans="24:44">
      <c r="X15260"/>
      <c r="Y15260"/>
      <c r="Z15260"/>
      <c r="AA15260"/>
      <c r="AC15260"/>
      <c r="AR15260"/>
    </row>
    <row r="15261" spans="24:44">
      <c r="X15261"/>
      <c r="Y15261"/>
      <c r="Z15261"/>
      <c r="AA15261"/>
      <c r="AC15261"/>
      <c r="AR15261"/>
    </row>
    <row r="15262" spans="24:44">
      <c r="X15262"/>
      <c r="Y15262"/>
      <c r="Z15262"/>
      <c r="AA15262"/>
      <c r="AC15262"/>
      <c r="AR15262"/>
    </row>
    <row r="15263" spans="24:44">
      <c r="X15263"/>
      <c r="Y15263"/>
      <c r="Z15263"/>
      <c r="AA15263"/>
      <c r="AC15263"/>
      <c r="AR15263"/>
    </row>
    <row r="15264" spans="24:44">
      <c r="X15264"/>
      <c r="Y15264"/>
      <c r="Z15264"/>
      <c r="AA15264"/>
      <c r="AC15264"/>
      <c r="AR15264"/>
    </row>
    <row r="15265" spans="24:44">
      <c r="X15265"/>
      <c r="Y15265"/>
      <c r="Z15265"/>
      <c r="AA15265"/>
      <c r="AC15265"/>
      <c r="AR15265"/>
    </row>
    <row r="15266" spans="24:44">
      <c r="X15266"/>
      <c r="Y15266"/>
      <c r="Z15266"/>
      <c r="AA15266"/>
      <c r="AC15266"/>
      <c r="AR15266"/>
    </row>
    <row r="15267" spans="24:44">
      <c r="X15267"/>
      <c r="Y15267"/>
      <c r="Z15267"/>
      <c r="AA15267"/>
      <c r="AC15267"/>
      <c r="AR15267"/>
    </row>
    <row r="15268" spans="24:44">
      <c r="X15268"/>
      <c r="Y15268"/>
      <c r="Z15268"/>
      <c r="AA15268"/>
      <c r="AC15268"/>
      <c r="AR15268"/>
    </row>
    <row r="15269" spans="24:44">
      <c r="X15269"/>
      <c r="Y15269"/>
      <c r="Z15269"/>
      <c r="AA15269"/>
      <c r="AC15269"/>
      <c r="AR15269"/>
    </row>
    <row r="15270" spans="24:44">
      <c r="X15270"/>
      <c r="Y15270"/>
      <c r="Z15270"/>
      <c r="AA15270"/>
      <c r="AC15270"/>
      <c r="AR15270"/>
    </row>
    <row r="15271" spans="24:44">
      <c r="X15271"/>
      <c r="Y15271"/>
      <c r="Z15271"/>
      <c r="AA15271"/>
      <c r="AC15271"/>
      <c r="AR15271"/>
    </row>
    <row r="15272" spans="24:44">
      <c r="X15272"/>
      <c r="Y15272"/>
      <c r="Z15272"/>
      <c r="AA15272"/>
      <c r="AC15272"/>
      <c r="AR15272"/>
    </row>
    <row r="15273" spans="24:44">
      <c r="X15273"/>
      <c r="Y15273"/>
      <c r="Z15273"/>
      <c r="AA15273"/>
      <c r="AC15273"/>
      <c r="AR15273"/>
    </row>
    <row r="15274" spans="24:44">
      <c r="X15274"/>
      <c r="Y15274"/>
      <c r="Z15274"/>
      <c r="AA15274"/>
      <c r="AC15274"/>
      <c r="AR15274"/>
    </row>
    <row r="15275" spans="24:44">
      <c r="X15275"/>
      <c r="Y15275"/>
      <c r="Z15275"/>
      <c r="AA15275"/>
      <c r="AC15275"/>
      <c r="AR15275"/>
    </row>
    <row r="15276" spans="24:44">
      <c r="X15276"/>
      <c r="Y15276"/>
      <c r="Z15276"/>
      <c r="AA15276"/>
      <c r="AC15276"/>
      <c r="AR15276"/>
    </row>
    <row r="15277" spans="24:44">
      <c r="X15277"/>
      <c r="Y15277"/>
      <c r="Z15277"/>
      <c r="AA15277"/>
      <c r="AC15277"/>
      <c r="AR15277"/>
    </row>
    <row r="15278" spans="24:44">
      <c r="X15278"/>
      <c r="Y15278"/>
      <c r="Z15278"/>
      <c r="AA15278"/>
      <c r="AC15278"/>
      <c r="AR15278"/>
    </row>
    <row r="15279" spans="24:44">
      <c r="X15279"/>
      <c r="Y15279"/>
      <c r="Z15279"/>
      <c r="AA15279"/>
      <c r="AC15279"/>
      <c r="AR15279"/>
    </row>
    <row r="15280" spans="24:44">
      <c r="X15280"/>
      <c r="Y15280"/>
      <c r="Z15280"/>
      <c r="AA15280"/>
      <c r="AC15280"/>
      <c r="AR15280"/>
    </row>
    <row r="15281" spans="24:44">
      <c r="X15281"/>
      <c r="Y15281"/>
      <c r="Z15281"/>
      <c r="AA15281"/>
      <c r="AC15281"/>
      <c r="AR15281"/>
    </row>
    <row r="15282" spans="24:44">
      <c r="X15282"/>
      <c r="Y15282"/>
      <c r="Z15282"/>
      <c r="AA15282"/>
      <c r="AC15282"/>
      <c r="AR15282"/>
    </row>
    <row r="15283" spans="24:44">
      <c r="X15283"/>
      <c r="Y15283"/>
      <c r="Z15283"/>
      <c r="AA15283"/>
      <c r="AC15283"/>
      <c r="AR15283"/>
    </row>
    <row r="15284" spans="24:44">
      <c r="X15284"/>
      <c r="Y15284"/>
      <c r="Z15284"/>
      <c r="AA15284"/>
      <c r="AC15284"/>
      <c r="AR15284"/>
    </row>
    <row r="15285" spans="24:44">
      <c r="X15285"/>
      <c r="Y15285"/>
      <c r="Z15285"/>
      <c r="AA15285"/>
      <c r="AC15285"/>
      <c r="AR15285"/>
    </row>
    <row r="15286" spans="24:44">
      <c r="X15286"/>
      <c r="Y15286"/>
      <c r="Z15286"/>
      <c r="AA15286"/>
      <c r="AC15286"/>
      <c r="AR15286"/>
    </row>
    <row r="15287" spans="24:44">
      <c r="X15287"/>
      <c r="Y15287"/>
      <c r="Z15287"/>
      <c r="AA15287"/>
      <c r="AC15287"/>
      <c r="AR15287"/>
    </row>
    <row r="15288" spans="24:44">
      <c r="X15288"/>
      <c r="Y15288"/>
      <c r="Z15288"/>
      <c r="AA15288"/>
      <c r="AC15288"/>
      <c r="AR15288"/>
    </row>
    <row r="15289" spans="24:44">
      <c r="X15289"/>
      <c r="Y15289"/>
      <c r="Z15289"/>
      <c r="AA15289"/>
      <c r="AC15289"/>
      <c r="AR15289"/>
    </row>
    <row r="15290" spans="24:44">
      <c r="X15290"/>
      <c r="Y15290"/>
      <c r="Z15290"/>
      <c r="AA15290"/>
      <c r="AC15290"/>
      <c r="AR15290"/>
    </row>
    <row r="15291" spans="24:44">
      <c r="X15291"/>
      <c r="Y15291"/>
      <c r="Z15291"/>
      <c r="AA15291"/>
      <c r="AC15291"/>
      <c r="AR15291"/>
    </row>
    <row r="15292" spans="24:44">
      <c r="X15292"/>
      <c r="Y15292"/>
      <c r="Z15292"/>
      <c r="AA15292"/>
      <c r="AC15292"/>
      <c r="AR15292"/>
    </row>
    <row r="15293" spans="24:44">
      <c r="X15293"/>
      <c r="Y15293"/>
      <c r="Z15293"/>
      <c r="AA15293"/>
      <c r="AC15293"/>
      <c r="AR15293"/>
    </row>
    <row r="15294" spans="24:44">
      <c r="X15294"/>
      <c r="Y15294"/>
      <c r="Z15294"/>
      <c r="AA15294"/>
      <c r="AC15294"/>
      <c r="AR15294"/>
    </row>
    <row r="15295" spans="24:44">
      <c r="X15295"/>
      <c r="Y15295"/>
      <c r="Z15295"/>
      <c r="AA15295"/>
      <c r="AC15295"/>
      <c r="AR15295"/>
    </row>
    <row r="15296" spans="24:44">
      <c r="X15296"/>
      <c r="Y15296"/>
      <c r="Z15296"/>
      <c r="AA15296"/>
      <c r="AC15296"/>
      <c r="AR15296"/>
    </row>
    <row r="15297" spans="24:44">
      <c r="X15297"/>
      <c r="Y15297"/>
      <c r="Z15297"/>
      <c r="AA15297"/>
      <c r="AC15297"/>
      <c r="AR15297"/>
    </row>
    <row r="15298" spans="24:44">
      <c r="X15298"/>
      <c r="Y15298"/>
      <c r="Z15298"/>
      <c r="AA15298"/>
      <c r="AC15298"/>
      <c r="AR15298"/>
    </row>
    <row r="15299" spans="24:44">
      <c r="X15299"/>
      <c r="Y15299"/>
      <c r="Z15299"/>
      <c r="AA15299"/>
      <c r="AC15299"/>
      <c r="AR15299"/>
    </row>
    <row r="15300" spans="24:44">
      <c r="X15300"/>
      <c r="Y15300"/>
      <c r="Z15300"/>
      <c r="AA15300"/>
      <c r="AC15300"/>
      <c r="AR15300"/>
    </row>
    <row r="15301" spans="24:44">
      <c r="X15301"/>
      <c r="Y15301"/>
      <c r="Z15301"/>
      <c r="AA15301"/>
      <c r="AC15301"/>
      <c r="AR15301"/>
    </row>
    <row r="15302" spans="24:44">
      <c r="X15302"/>
      <c r="Y15302"/>
      <c r="Z15302"/>
      <c r="AA15302"/>
      <c r="AC15302"/>
      <c r="AR15302"/>
    </row>
    <row r="15303" spans="24:44">
      <c r="X15303"/>
      <c r="Y15303"/>
      <c r="Z15303"/>
      <c r="AA15303"/>
      <c r="AC15303"/>
      <c r="AR15303"/>
    </row>
    <row r="15304" spans="24:44">
      <c r="X15304"/>
      <c r="Y15304"/>
      <c r="Z15304"/>
      <c r="AA15304"/>
      <c r="AC15304"/>
      <c r="AR15304"/>
    </row>
    <row r="15305" spans="24:44">
      <c r="X15305"/>
      <c r="Y15305"/>
      <c r="Z15305"/>
      <c r="AA15305"/>
      <c r="AC15305"/>
      <c r="AR15305"/>
    </row>
    <row r="15306" spans="24:44">
      <c r="X15306"/>
      <c r="Y15306"/>
      <c r="Z15306"/>
      <c r="AA15306"/>
      <c r="AC15306"/>
      <c r="AR15306"/>
    </row>
    <row r="15307" spans="24:44">
      <c r="X15307"/>
      <c r="Y15307"/>
      <c r="Z15307"/>
      <c r="AA15307"/>
      <c r="AC15307"/>
      <c r="AR15307"/>
    </row>
    <row r="15308" spans="24:44">
      <c r="X15308"/>
      <c r="Y15308"/>
      <c r="Z15308"/>
      <c r="AA15308"/>
      <c r="AC15308"/>
      <c r="AR15308"/>
    </row>
    <row r="15309" spans="24:44">
      <c r="X15309"/>
      <c r="Y15309"/>
      <c r="Z15309"/>
      <c r="AA15309"/>
      <c r="AC15309"/>
      <c r="AR15309"/>
    </row>
    <row r="15310" spans="24:44">
      <c r="X15310"/>
      <c r="Y15310"/>
      <c r="Z15310"/>
      <c r="AA15310"/>
      <c r="AC15310"/>
      <c r="AR15310"/>
    </row>
    <row r="15311" spans="24:44">
      <c r="X15311"/>
      <c r="Y15311"/>
      <c r="Z15311"/>
      <c r="AA15311"/>
      <c r="AC15311"/>
      <c r="AR15311"/>
    </row>
    <row r="15312" spans="24:44">
      <c r="X15312"/>
      <c r="Y15312"/>
      <c r="Z15312"/>
      <c r="AA15312"/>
      <c r="AC15312"/>
      <c r="AR15312"/>
    </row>
    <row r="15313" spans="24:44">
      <c r="X15313"/>
      <c r="Y15313"/>
      <c r="Z15313"/>
      <c r="AA15313"/>
      <c r="AC15313"/>
      <c r="AR15313"/>
    </row>
    <row r="15314" spans="24:44">
      <c r="X15314"/>
      <c r="Y15314"/>
      <c r="Z15314"/>
      <c r="AA15314"/>
      <c r="AC15314"/>
      <c r="AR15314"/>
    </row>
    <row r="15315" spans="24:44">
      <c r="X15315"/>
      <c r="Y15315"/>
      <c r="Z15315"/>
      <c r="AA15315"/>
      <c r="AC15315"/>
      <c r="AR15315"/>
    </row>
    <row r="15316" spans="24:44">
      <c r="X15316"/>
      <c r="Y15316"/>
      <c r="Z15316"/>
      <c r="AA15316"/>
      <c r="AC15316"/>
      <c r="AR15316"/>
    </row>
    <row r="15317" spans="24:44">
      <c r="X15317"/>
      <c r="Y15317"/>
      <c r="Z15317"/>
      <c r="AA15317"/>
      <c r="AC15317"/>
      <c r="AR15317"/>
    </row>
    <row r="15318" spans="24:44">
      <c r="X15318"/>
      <c r="Y15318"/>
      <c r="Z15318"/>
      <c r="AA15318"/>
      <c r="AC15318"/>
      <c r="AR15318"/>
    </row>
    <row r="15319" spans="24:44">
      <c r="X15319"/>
      <c r="Y15319"/>
      <c r="Z15319"/>
      <c r="AA15319"/>
      <c r="AC15319"/>
      <c r="AR15319"/>
    </row>
    <row r="15320" spans="24:44">
      <c r="X15320"/>
      <c r="Y15320"/>
      <c r="Z15320"/>
      <c r="AA15320"/>
      <c r="AC15320"/>
      <c r="AR15320"/>
    </row>
    <row r="15321" spans="24:44">
      <c r="X15321"/>
      <c r="Y15321"/>
      <c r="Z15321"/>
      <c r="AA15321"/>
      <c r="AC15321"/>
      <c r="AR15321"/>
    </row>
    <row r="15322" spans="24:44">
      <c r="X15322"/>
      <c r="Y15322"/>
      <c r="Z15322"/>
      <c r="AA15322"/>
      <c r="AC15322"/>
      <c r="AR15322"/>
    </row>
    <row r="15323" spans="24:44">
      <c r="X15323"/>
      <c r="Y15323"/>
      <c r="Z15323"/>
      <c r="AA15323"/>
      <c r="AC15323"/>
      <c r="AR15323"/>
    </row>
    <row r="15324" spans="24:44">
      <c r="X15324"/>
      <c r="Y15324"/>
      <c r="Z15324"/>
      <c r="AA15324"/>
      <c r="AC15324"/>
      <c r="AR15324"/>
    </row>
    <row r="15325" spans="24:44">
      <c r="X15325"/>
      <c r="Y15325"/>
      <c r="Z15325"/>
      <c r="AA15325"/>
      <c r="AC15325"/>
      <c r="AR15325"/>
    </row>
    <row r="15326" spans="24:44">
      <c r="X15326"/>
      <c r="Y15326"/>
      <c r="Z15326"/>
      <c r="AA15326"/>
      <c r="AC15326"/>
      <c r="AR15326"/>
    </row>
    <row r="15327" spans="24:44">
      <c r="X15327"/>
      <c r="Y15327"/>
      <c r="Z15327"/>
      <c r="AA15327"/>
      <c r="AC15327"/>
      <c r="AR15327"/>
    </row>
    <row r="15328" spans="24:44">
      <c r="X15328"/>
      <c r="Y15328"/>
      <c r="Z15328"/>
      <c r="AA15328"/>
      <c r="AC15328"/>
      <c r="AR15328"/>
    </row>
    <row r="15329" spans="24:44">
      <c r="X15329"/>
      <c r="Y15329"/>
      <c r="Z15329"/>
      <c r="AA15329"/>
      <c r="AC15329"/>
      <c r="AR15329"/>
    </row>
    <row r="15330" spans="24:44">
      <c r="X15330"/>
      <c r="Y15330"/>
      <c r="Z15330"/>
      <c r="AA15330"/>
      <c r="AC15330"/>
      <c r="AR15330"/>
    </row>
    <row r="15331" spans="24:44">
      <c r="X15331"/>
      <c r="Y15331"/>
      <c r="Z15331"/>
      <c r="AA15331"/>
      <c r="AC15331"/>
      <c r="AR15331"/>
    </row>
    <row r="15332" spans="24:44">
      <c r="X15332"/>
      <c r="Y15332"/>
      <c r="Z15332"/>
      <c r="AA15332"/>
      <c r="AC15332"/>
      <c r="AR15332"/>
    </row>
    <row r="15333" spans="24:44">
      <c r="X15333"/>
      <c r="Y15333"/>
      <c r="Z15333"/>
      <c r="AA15333"/>
      <c r="AC15333"/>
      <c r="AR15333"/>
    </row>
    <row r="15334" spans="24:44">
      <c r="X15334"/>
      <c r="Y15334"/>
      <c r="Z15334"/>
      <c r="AA15334"/>
      <c r="AC15334"/>
      <c r="AR15334"/>
    </row>
    <row r="15335" spans="24:44">
      <c r="X15335"/>
      <c r="Y15335"/>
      <c r="Z15335"/>
      <c r="AA15335"/>
      <c r="AC15335"/>
      <c r="AR15335"/>
    </row>
    <row r="15336" spans="24:44">
      <c r="X15336"/>
      <c r="Y15336"/>
      <c r="Z15336"/>
      <c r="AA15336"/>
      <c r="AC15336"/>
      <c r="AR15336"/>
    </row>
    <row r="15337" spans="24:44">
      <c r="X15337"/>
      <c r="Y15337"/>
      <c r="Z15337"/>
      <c r="AA15337"/>
      <c r="AC15337"/>
      <c r="AR15337"/>
    </row>
    <row r="15338" spans="24:44">
      <c r="X15338"/>
      <c r="Y15338"/>
      <c r="Z15338"/>
      <c r="AA15338"/>
      <c r="AC15338"/>
      <c r="AR15338"/>
    </row>
    <row r="15339" spans="24:44">
      <c r="X15339"/>
      <c r="Y15339"/>
      <c r="Z15339"/>
      <c r="AA15339"/>
      <c r="AC15339"/>
      <c r="AR15339"/>
    </row>
    <row r="15340" spans="24:44">
      <c r="X15340"/>
      <c r="Y15340"/>
      <c r="Z15340"/>
      <c r="AA15340"/>
      <c r="AC15340"/>
      <c r="AR15340"/>
    </row>
    <row r="15341" spans="24:44">
      <c r="X15341"/>
      <c r="Y15341"/>
      <c r="Z15341"/>
      <c r="AA15341"/>
      <c r="AC15341"/>
      <c r="AR15341"/>
    </row>
    <row r="15342" spans="24:44">
      <c r="X15342"/>
      <c r="Y15342"/>
      <c r="Z15342"/>
      <c r="AA15342"/>
      <c r="AC15342"/>
      <c r="AR15342"/>
    </row>
    <row r="15343" spans="24:44">
      <c r="X15343"/>
      <c r="Y15343"/>
      <c r="Z15343"/>
      <c r="AA15343"/>
      <c r="AC15343"/>
      <c r="AR15343"/>
    </row>
    <row r="15344" spans="24:44">
      <c r="X15344"/>
      <c r="Y15344"/>
      <c r="Z15344"/>
      <c r="AA15344"/>
      <c r="AC15344"/>
      <c r="AR15344"/>
    </row>
    <row r="15345" spans="24:44">
      <c r="X15345"/>
      <c r="Y15345"/>
      <c r="Z15345"/>
      <c r="AA15345"/>
      <c r="AC15345"/>
      <c r="AR15345"/>
    </row>
    <row r="15346" spans="24:44">
      <c r="X15346"/>
      <c r="Y15346"/>
      <c r="Z15346"/>
      <c r="AA15346"/>
      <c r="AC15346"/>
      <c r="AR15346"/>
    </row>
    <row r="15347" spans="24:44">
      <c r="X15347"/>
      <c r="Y15347"/>
      <c r="Z15347"/>
      <c r="AA15347"/>
      <c r="AC15347"/>
      <c r="AR15347"/>
    </row>
    <row r="15348" spans="24:44">
      <c r="X15348"/>
      <c r="Y15348"/>
      <c r="Z15348"/>
      <c r="AA15348"/>
      <c r="AC15348"/>
      <c r="AR15348"/>
    </row>
    <row r="15349" spans="24:44">
      <c r="X15349"/>
      <c r="Y15349"/>
      <c r="Z15349"/>
      <c r="AA15349"/>
      <c r="AC15349"/>
      <c r="AR15349"/>
    </row>
    <row r="15350" spans="24:44">
      <c r="X15350"/>
      <c r="Y15350"/>
      <c r="Z15350"/>
      <c r="AA15350"/>
      <c r="AC15350"/>
      <c r="AR15350"/>
    </row>
    <row r="15351" spans="24:44">
      <c r="X15351"/>
      <c r="Y15351"/>
      <c r="Z15351"/>
      <c r="AA15351"/>
      <c r="AC15351"/>
      <c r="AR15351"/>
    </row>
    <row r="15352" spans="24:44">
      <c r="X15352"/>
      <c r="Y15352"/>
      <c r="Z15352"/>
      <c r="AA15352"/>
      <c r="AC15352"/>
      <c r="AR15352"/>
    </row>
    <row r="15353" spans="24:44">
      <c r="X15353"/>
      <c r="Y15353"/>
      <c r="Z15353"/>
      <c r="AA15353"/>
      <c r="AC15353"/>
      <c r="AR15353"/>
    </row>
    <row r="15354" spans="24:44">
      <c r="X15354"/>
      <c r="Y15354"/>
      <c r="Z15354"/>
      <c r="AA15354"/>
      <c r="AC15354"/>
      <c r="AR15354"/>
    </row>
    <row r="15355" spans="24:44">
      <c r="X15355"/>
      <c r="Y15355"/>
      <c r="Z15355"/>
      <c r="AA15355"/>
      <c r="AC15355"/>
      <c r="AR15355"/>
    </row>
    <row r="15356" spans="24:44">
      <c r="X15356"/>
      <c r="Y15356"/>
      <c r="Z15356"/>
      <c r="AA15356"/>
      <c r="AC15356"/>
      <c r="AR15356"/>
    </row>
    <row r="15357" spans="24:44">
      <c r="X15357"/>
      <c r="Y15357"/>
      <c r="Z15357"/>
      <c r="AA15357"/>
      <c r="AC15357"/>
      <c r="AR15357"/>
    </row>
    <row r="15358" spans="24:44">
      <c r="X15358"/>
      <c r="Y15358"/>
      <c r="Z15358"/>
      <c r="AA15358"/>
      <c r="AC15358"/>
      <c r="AR15358"/>
    </row>
    <row r="15359" spans="24:44">
      <c r="X15359"/>
      <c r="Y15359"/>
      <c r="Z15359"/>
      <c r="AA15359"/>
      <c r="AC15359"/>
      <c r="AR15359"/>
    </row>
    <row r="15360" spans="24:44">
      <c r="X15360"/>
      <c r="Y15360"/>
      <c r="Z15360"/>
      <c r="AA15360"/>
      <c r="AC15360"/>
      <c r="AR15360"/>
    </row>
    <row r="15361" spans="24:44">
      <c r="X15361"/>
      <c r="Y15361"/>
      <c r="Z15361"/>
      <c r="AA15361"/>
      <c r="AC15361"/>
      <c r="AR15361"/>
    </row>
    <row r="15362" spans="24:44">
      <c r="X15362"/>
      <c r="Y15362"/>
      <c r="Z15362"/>
      <c r="AA15362"/>
      <c r="AC15362"/>
      <c r="AR15362"/>
    </row>
    <row r="15363" spans="24:44">
      <c r="X15363"/>
      <c r="Y15363"/>
      <c r="Z15363"/>
      <c r="AA15363"/>
      <c r="AC15363"/>
      <c r="AR15363"/>
    </row>
    <row r="15364" spans="24:44">
      <c r="X15364"/>
      <c r="Y15364"/>
      <c r="Z15364"/>
      <c r="AA15364"/>
      <c r="AC15364"/>
      <c r="AR15364"/>
    </row>
    <row r="15365" spans="24:44">
      <c r="X15365"/>
      <c r="Y15365"/>
      <c r="Z15365"/>
      <c r="AA15365"/>
      <c r="AC15365"/>
      <c r="AR15365"/>
    </row>
    <row r="15366" spans="24:44">
      <c r="X15366"/>
      <c r="Y15366"/>
      <c r="Z15366"/>
      <c r="AA15366"/>
      <c r="AC15366"/>
      <c r="AR15366"/>
    </row>
    <row r="15367" spans="24:44">
      <c r="X15367"/>
      <c r="Y15367"/>
      <c r="Z15367"/>
      <c r="AA15367"/>
      <c r="AC15367"/>
      <c r="AR15367"/>
    </row>
    <row r="15368" spans="24:44">
      <c r="X15368"/>
      <c r="Y15368"/>
      <c r="Z15368"/>
      <c r="AA15368"/>
      <c r="AC15368"/>
      <c r="AR15368"/>
    </row>
    <row r="15369" spans="24:44">
      <c r="X15369"/>
      <c r="Y15369"/>
      <c r="Z15369"/>
      <c r="AA15369"/>
      <c r="AC15369"/>
      <c r="AR15369"/>
    </row>
    <row r="15370" spans="24:44">
      <c r="X15370"/>
      <c r="Y15370"/>
      <c r="Z15370"/>
      <c r="AA15370"/>
      <c r="AC15370"/>
      <c r="AR15370"/>
    </row>
    <row r="15371" spans="24:44">
      <c r="X15371"/>
      <c r="Y15371"/>
      <c r="Z15371"/>
      <c r="AA15371"/>
      <c r="AC15371"/>
      <c r="AR15371"/>
    </row>
    <row r="15372" spans="24:44">
      <c r="X15372"/>
      <c r="Y15372"/>
      <c r="Z15372"/>
      <c r="AA15372"/>
      <c r="AC15372"/>
      <c r="AR15372"/>
    </row>
    <row r="15373" spans="24:44">
      <c r="X15373"/>
      <c r="Y15373"/>
      <c r="Z15373"/>
      <c r="AA15373"/>
      <c r="AC15373"/>
      <c r="AR15373"/>
    </row>
    <row r="15374" spans="24:44">
      <c r="X15374"/>
      <c r="Y15374"/>
      <c r="Z15374"/>
      <c r="AA15374"/>
      <c r="AC15374"/>
      <c r="AR15374"/>
    </row>
    <row r="15375" spans="24:44">
      <c r="X15375"/>
      <c r="Y15375"/>
      <c r="Z15375"/>
      <c r="AA15375"/>
      <c r="AC15375"/>
      <c r="AR15375"/>
    </row>
    <row r="15376" spans="24:44">
      <c r="X15376"/>
      <c r="Y15376"/>
      <c r="Z15376"/>
      <c r="AA15376"/>
      <c r="AC15376"/>
      <c r="AR15376"/>
    </row>
    <row r="15377" spans="24:44">
      <c r="X15377"/>
      <c r="Y15377"/>
      <c r="Z15377"/>
      <c r="AA15377"/>
      <c r="AC15377"/>
      <c r="AR15377"/>
    </row>
    <row r="15378" spans="24:44">
      <c r="X15378"/>
      <c r="Y15378"/>
      <c r="Z15378"/>
      <c r="AA15378"/>
      <c r="AC15378"/>
      <c r="AR15378"/>
    </row>
    <row r="15379" spans="24:44">
      <c r="X15379"/>
      <c r="Y15379"/>
      <c r="Z15379"/>
      <c r="AA15379"/>
      <c r="AC15379"/>
      <c r="AR15379"/>
    </row>
    <row r="15380" spans="24:44">
      <c r="X15380"/>
      <c r="Y15380"/>
      <c r="Z15380"/>
      <c r="AA15380"/>
      <c r="AC15380"/>
      <c r="AR15380"/>
    </row>
    <row r="15381" spans="24:44">
      <c r="X15381"/>
      <c r="Y15381"/>
      <c r="Z15381"/>
      <c r="AA15381"/>
      <c r="AC15381"/>
      <c r="AR15381"/>
    </row>
    <row r="15382" spans="24:44">
      <c r="X15382"/>
      <c r="Y15382"/>
      <c r="Z15382"/>
      <c r="AA15382"/>
      <c r="AC15382"/>
      <c r="AR15382"/>
    </row>
    <row r="15383" spans="24:44">
      <c r="X15383"/>
      <c r="Y15383"/>
      <c r="Z15383"/>
      <c r="AA15383"/>
      <c r="AC15383"/>
      <c r="AR15383"/>
    </row>
    <row r="15384" spans="24:44">
      <c r="X15384"/>
      <c r="Y15384"/>
      <c r="Z15384"/>
      <c r="AA15384"/>
      <c r="AC15384"/>
      <c r="AR15384"/>
    </row>
    <row r="15385" spans="24:44">
      <c r="X15385"/>
      <c r="Y15385"/>
      <c r="Z15385"/>
      <c r="AA15385"/>
      <c r="AC15385"/>
      <c r="AR15385"/>
    </row>
    <row r="15386" spans="24:44">
      <c r="X15386"/>
      <c r="Y15386"/>
      <c r="Z15386"/>
      <c r="AA15386"/>
      <c r="AC15386"/>
      <c r="AR15386"/>
    </row>
    <row r="15387" spans="24:44">
      <c r="X15387"/>
      <c r="Y15387"/>
      <c r="Z15387"/>
      <c r="AA15387"/>
      <c r="AC15387"/>
      <c r="AR15387"/>
    </row>
    <row r="15388" spans="24:44">
      <c r="X15388"/>
      <c r="Y15388"/>
      <c r="Z15388"/>
      <c r="AA15388"/>
      <c r="AC15388"/>
      <c r="AR15388"/>
    </row>
    <row r="15389" spans="24:44">
      <c r="X15389"/>
      <c r="Y15389"/>
      <c r="Z15389"/>
      <c r="AA15389"/>
      <c r="AC15389"/>
      <c r="AR15389"/>
    </row>
    <row r="15390" spans="24:44">
      <c r="X15390"/>
      <c r="Y15390"/>
      <c r="Z15390"/>
      <c r="AA15390"/>
      <c r="AC15390"/>
      <c r="AR15390"/>
    </row>
    <row r="15391" spans="24:44">
      <c r="X15391"/>
      <c r="Y15391"/>
      <c r="Z15391"/>
      <c r="AA15391"/>
      <c r="AC15391"/>
      <c r="AR15391"/>
    </row>
    <row r="15392" spans="24:44">
      <c r="X15392"/>
      <c r="Y15392"/>
      <c r="Z15392"/>
      <c r="AA15392"/>
      <c r="AC15392"/>
      <c r="AR15392"/>
    </row>
    <row r="15393" spans="24:44">
      <c r="X15393"/>
      <c r="Y15393"/>
      <c r="Z15393"/>
      <c r="AA15393"/>
      <c r="AC15393"/>
      <c r="AR15393"/>
    </row>
    <row r="15394" spans="24:44">
      <c r="X15394"/>
      <c r="Y15394"/>
      <c r="Z15394"/>
      <c r="AA15394"/>
      <c r="AC15394"/>
      <c r="AR15394"/>
    </row>
    <row r="15395" spans="24:44">
      <c r="X15395"/>
      <c r="Y15395"/>
      <c r="Z15395"/>
      <c r="AA15395"/>
      <c r="AC15395"/>
      <c r="AR15395"/>
    </row>
    <row r="15396" spans="24:44">
      <c r="X15396"/>
      <c r="Y15396"/>
      <c r="Z15396"/>
      <c r="AA15396"/>
      <c r="AC15396"/>
      <c r="AR15396"/>
    </row>
    <row r="15397" spans="24:44">
      <c r="X15397"/>
      <c r="Y15397"/>
      <c r="Z15397"/>
      <c r="AA15397"/>
      <c r="AC15397"/>
      <c r="AR15397"/>
    </row>
    <row r="15398" spans="24:44">
      <c r="X15398"/>
      <c r="Y15398"/>
      <c r="Z15398"/>
      <c r="AA15398"/>
      <c r="AC15398"/>
      <c r="AR15398"/>
    </row>
    <row r="15399" spans="24:44">
      <c r="X15399"/>
      <c r="Y15399"/>
      <c r="Z15399"/>
      <c r="AA15399"/>
      <c r="AC15399"/>
      <c r="AR15399"/>
    </row>
    <row r="15400" spans="24:44">
      <c r="X15400"/>
      <c r="Y15400"/>
      <c r="Z15400"/>
      <c r="AA15400"/>
      <c r="AC15400"/>
      <c r="AR15400"/>
    </row>
    <row r="15401" spans="24:44">
      <c r="X15401"/>
      <c r="Y15401"/>
      <c r="Z15401"/>
      <c r="AA15401"/>
      <c r="AC15401"/>
      <c r="AR15401"/>
    </row>
    <row r="15402" spans="24:44">
      <c r="X15402"/>
      <c r="Y15402"/>
      <c r="Z15402"/>
      <c r="AA15402"/>
      <c r="AC15402"/>
      <c r="AR15402"/>
    </row>
    <row r="15403" spans="24:44">
      <c r="X15403"/>
      <c r="Y15403"/>
      <c r="Z15403"/>
      <c r="AA15403"/>
      <c r="AC15403"/>
      <c r="AR15403"/>
    </row>
    <row r="15404" spans="24:44">
      <c r="X15404"/>
      <c r="Y15404"/>
      <c r="Z15404"/>
      <c r="AA15404"/>
      <c r="AC15404"/>
      <c r="AR15404"/>
    </row>
    <row r="15405" spans="24:44">
      <c r="X15405"/>
      <c r="Y15405"/>
      <c r="Z15405"/>
      <c r="AA15405"/>
      <c r="AC15405"/>
      <c r="AR15405"/>
    </row>
    <row r="15406" spans="24:44">
      <c r="X15406"/>
      <c r="Y15406"/>
      <c r="Z15406"/>
      <c r="AA15406"/>
      <c r="AC15406"/>
      <c r="AR15406"/>
    </row>
    <row r="15407" spans="24:44">
      <c r="X15407"/>
      <c r="Y15407"/>
      <c r="Z15407"/>
      <c r="AA15407"/>
      <c r="AC15407"/>
      <c r="AR15407"/>
    </row>
    <row r="15408" spans="24:44">
      <c r="X15408"/>
      <c r="Y15408"/>
      <c r="Z15408"/>
      <c r="AA15408"/>
      <c r="AC15408"/>
      <c r="AR15408"/>
    </row>
    <row r="15409" spans="24:44">
      <c r="X15409"/>
      <c r="Y15409"/>
      <c r="Z15409"/>
      <c r="AA15409"/>
      <c r="AC15409"/>
      <c r="AR15409"/>
    </row>
    <row r="15410" spans="24:44">
      <c r="X15410"/>
      <c r="Y15410"/>
      <c r="Z15410"/>
      <c r="AA15410"/>
      <c r="AC15410"/>
      <c r="AR15410"/>
    </row>
    <row r="15411" spans="24:44">
      <c r="X15411"/>
      <c r="Y15411"/>
      <c r="Z15411"/>
      <c r="AA15411"/>
      <c r="AC15411"/>
      <c r="AR15411"/>
    </row>
    <row r="15412" spans="24:44">
      <c r="X15412"/>
      <c r="Y15412"/>
      <c r="Z15412"/>
      <c r="AA15412"/>
      <c r="AC15412"/>
      <c r="AR15412"/>
    </row>
    <row r="15413" spans="24:44">
      <c r="X15413"/>
      <c r="Y15413"/>
      <c r="Z15413"/>
      <c r="AA15413"/>
      <c r="AC15413"/>
      <c r="AR15413"/>
    </row>
    <row r="15414" spans="24:44">
      <c r="X15414"/>
      <c r="Y15414"/>
      <c r="Z15414"/>
      <c r="AA15414"/>
      <c r="AC15414"/>
      <c r="AR15414"/>
    </row>
    <row r="15415" spans="24:44">
      <c r="X15415"/>
      <c r="Y15415"/>
      <c r="Z15415"/>
      <c r="AA15415"/>
      <c r="AC15415"/>
      <c r="AR15415"/>
    </row>
    <row r="15416" spans="24:44">
      <c r="X15416"/>
      <c r="Y15416"/>
      <c r="Z15416"/>
      <c r="AA15416"/>
      <c r="AC15416"/>
      <c r="AR15416"/>
    </row>
    <row r="15417" spans="24:44">
      <c r="X15417"/>
      <c r="Y15417"/>
      <c r="Z15417"/>
      <c r="AA15417"/>
      <c r="AC15417"/>
      <c r="AR15417"/>
    </row>
    <row r="15418" spans="24:44">
      <c r="X15418"/>
      <c r="Y15418"/>
      <c r="Z15418"/>
      <c r="AA15418"/>
      <c r="AC15418"/>
      <c r="AR15418"/>
    </row>
    <row r="15419" spans="24:44">
      <c r="X15419"/>
      <c r="Y15419"/>
      <c r="Z15419"/>
      <c r="AA15419"/>
      <c r="AC15419"/>
      <c r="AR15419"/>
    </row>
    <row r="15420" spans="24:44">
      <c r="X15420"/>
      <c r="Y15420"/>
      <c r="Z15420"/>
      <c r="AA15420"/>
      <c r="AC15420"/>
      <c r="AR15420"/>
    </row>
    <row r="15421" spans="24:44">
      <c r="X15421"/>
      <c r="Y15421"/>
      <c r="Z15421"/>
      <c r="AA15421"/>
      <c r="AC15421"/>
      <c r="AR15421"/>
    </row>
    <row r="15422" spans="24:44">
      <c r="X15422"/>
      <c r="Y15422"/>
      <c r="Z15422"/>
      <c r="AA15422"/>
      <c r="AC15422"/>
      <c r="AR15422"/>
    </row>
    <row r="15423" spans="24:44">
      <c r="X15423"/>
      <c r="Y15423"/>
      <c r="Z15423"/>
      <c r="AA15423"/>
      <c r="AC15423"/>
      <c r="AR15423"/>
    </row>
    <row r="15424" spans="24:44">
      <c r="X15424"/>
      <c r="Y15424"/>
      <c r="Z15424"/>
      <c r="AA15424"/>
      <c r="AC15424"/>
      <c r="AR15424"/>
    </row>
    <row r="15425" spans="24:44">
      <c r="X15425"/>
      <c r="Y15425"/>
      <c r="Z15425"/>
      <c r="AA15425"/>
      <c r="AC15425"/>
      <c r="AR15425"/>
    </row>
    <row r="15426" spans="24:44">
      <c r="X15426"/>
      <c r="Y15426"/>
      <c r="Z15426"/>
      <c r="AA15426"/>
      <c r="AC15426"/>
      <c r="AR15426"/>
    </row>
    <row r="15427" spans="24:44">
      <c r="X15427"/>
      <c r="Y15427"/>
      <c r="Z15427"/>
      <c r="AA15427"/>
      <c r="AC15427"/>
      <c r="AR15427"/>
    </row>
    <row r="15428" spans="24:44">
      <c r="X15428"/>
      <c r="Y15428"/>
      <c r="Z15428"/>
      <c r="AA15428"/>
      <c r="AC15428"/>
      <c r="AR15428"/>
    </row>
    <row r="15429" spans="24:44">
      <c r="X15429"/>
      <c r="Y15429"/>
      <c r="Z15429"/>
      <c r="AA15429"/>
      <c r="AC15429"/>
      <c r="AR15429"/>
    </row>
    <row r="15430" spans="24:44">
      <c r="X15430"/>
      <c r="Y15430"/>
      <c r="Z15430"/>
      <c r="AA15430"/>
      <c r="AC15430"/>
      <c r="AR15430"/>
    </row>
    <row r="15431" spans="24:44">
      <c r="X15431"/>
      <c r="Y15431"/>
      <c r="Z15431"/>
      <c r="AA15431"/>
      <c r="AC15431"/>
      <c r="AR15431"/>
    </row>
    <row r="15432" spans="24:44">
      <c r="X15432"/>
      <c r="Y15432"/>
      <c r="Z15432"/>
      <c r="AA15432"/>
      <c r="AC15432"/>
      <c r="AR15432"/>
    </row>
    <row r="15433" spans="24:44">
      <c r="X15433"/>
      <c r="Y15433"/>
      <c r="Z15433"/>
      <c r="AA15433"/>
      <c r="AC15433"/>
      <c r="AR15433"/>
    </row>
    <row r="15434" spans="24:44">
      <c r="X15434"/>
      <c r="Y15434"/>
      <c r="Z15434"/>
      <c r="AA15434"/>
      <c r="AC15434"/>
      <c r="AR15434"/>
    </row>
    <row r="15435" spans="24:44">
      <c r="X15435"/>
      <c r="Y15435"/>
      <c r="Z15435"/>
      <c r="AA15435"/>
      <c r="AC15435"/>
      <c r="AR15435"/>
    </row>
    <row r="15436" spans="24:44">
      <c r="X15436"/>
      <c r="Y15436"/>
      <c r="Z15436"/>
      <c r="AA15436"/>
      <c r="AC15436"/>
      <c r="AR15436"/>
    </row>
    <row r="15437" spans="24:44">
      <c r="X15437"/>
      <c r="Y15437"/>
      <c r="Z15437"/>
      <c r="AA15437"/>
      <c r="AC15437"/>
      <c r="AR15437"/>
    </row>
    <row r="15438" spans="24:44">
      <c r="X15438"/>
      <c r="Y15438"/>
      <c r="Z15438"/>
      <c r="AA15438"/>
      <c r="AC15438"/>
      <c r="AR15438"/>
    </row>
    <row r="15439" spans="24:44">
      <c r="X15439"/>
      <c r="Y15439"/>
      <c r="Z15439"/>
      <c r="AA15439"/>
      <c r="AC15439"/>
      <c r="AR15439"/>
    </row>
    <row r="15440" spans="24:44">
      <c r="X15440"/>
      <c r="Y15440"/>
      <c r="Z15440"/>
      <c r="AA15440"/>
      <c r="AC15440"/>
      <c r="AR15440"/>
    </row>
    <row r="15441" spans="24:44">
      <c r="X15441"/>
      <c r="Y15441"/>
      <c r="Z15441"/>
      <c r="AA15441"/>
      <c r="AC15441"/>
      <c r="AR15441"/>
    </row>
    <row r="15442" spans="24:44">
      <c r="X15442"/>
      <c r="Y15442"/>
      <c r="Z15442"/>
      <c r="AA15442"/>
      <c r="AC15442"/>
      <c r="AR15442"/>
    </row>
    <row r="15443" spans="24:44">
      <c r="X15443"/>
      <c r="Y15443"/>
      <c r="Z15443"/>
      <c r="AA15443"/>
      <c r="AC15443"/>
      <c r="AR15443"/>
    </row>
    <row r="15444" spans="24:44">
      <c r="X15444"/>
      <c r="Y15444"/>
      <c r="Z15444"/>
      <c r="AA15444"/>
      <c r="AC15444"/>
      <c r="AR15444"/>
    </row>
    <row r="15445" spans="24:44">
      <c r="X15445"/>
      <c r="Y15445"/>
      <c r="Z15445"/>
      <c r="AA15445"/>
      <c r="AC15445"/>
      <c r="AR15445"/>
    </row>
    <row r="15446" spans="24:44">
      <c r="X15446"/>
      <c r="Y15446"/>
      <c r="Z15446"/>
      <c r="AA15446"/>
      <c r="AC15446"/>
      <c r="AR15446"/>
    </row>
    <row r="15447" spans="24:44">
      <c r="X15447"/>
      <c r="Y15447"/>
      <c r="Z15447"/>
      <c r="AA15447"/>
      <c r="AC15447"/>
      <c r="AR15447"/>
    </row>
    <row r="15448" spans="24:44">
      <c r="X15448"/>
      <c r="Y15448"/>
      <c r="Z15448"/>
      <c r="AA15448"/>
      <c r="AC15448"/>
      <c r="AR15448"/>
    </row>
    <row r="15449" spans="24:44">
      <c r="X15449"/>
      <c r="Y15449"/>
      <c r="Z15449"/>
      <c r="AA15449"/>
      <c r="AC15449"/>
      <c r="AR15449"/>
    </row>
    <row r="15450" spans="24:44">
      <c r="X15450"/>
      <c r="Y15450"/>
      <c r="Z15450"/>
      <c r="AA15450"/>
      <c r="AC15450"/>
      <c r="AR15450"/>
    </row>
    <row r="15451" spans="24:44">
      <c r="X15451"/>
      <c r="Y15451"/>
      <c r="Z15451"/>
      <c r="AA15451"/>
      <c r="AC15451"/>
      <c r="AR15451"/>
    </row>
    <row r="15452" spans="24:44">
      <c r="X15452"/>
      <c r="Y15452"/>
      <c r="Z15452"/>
      <c r="AA15452"/>
      <c r="AC15452"/>
      <c r="AR15452"/>
    </row>
    <row r="15453" spans="24:44">
      <c r="X15453"/>
      <c r="Y15453"/>
      <c r="Z15453"/>
      <c r="AA15453"/>
      <c r="AC15453"/>
      <c r="AR15453"/>
    </row>
    <row r="15454" spans="24:44">
      <c r="X15454"/>
      <c r="Y15454"/>
      <c r="Z15454"/>
      <c r="AA15454"/>
      <c r="AC15454"/>
      <c r="AR15454"/>
    </row>
    <row r="15455" spans="24:44">
      <c r="X15455"/>
      <c r="Y15455"/>
      <c r="Z15455"/>
      <c r="AA15455"/>
      <c r="AC15455"/>
      <c r="AR15455"/>
    </row>
    <row r="15456" spans="24:44">
      <c r="X15456"/>
      <c r="Y15456"/>
      <c r="Z15456"/>
      <c r="AA15456"/>
      <c r="AC15456"/>
      <c r="AR15456"/>
    </row>
    <row r="15457" spans="24:44">
      <c r="X15457"/>
      <c r="Y15457"/>
      <c r="Z15457"/>
      <c r="AA15457"/>
      <c r="AC15457"/>
      <c r="AR15457"/>
    </row>
    <row r="15458" spans="24:44">
      <c r="X15458"/>
      <c r="Y15458"/>
      <c r="Z15458"/>
      <c r="AA15458"/>
      <c r="AC15458"/>
      <c r="AR15458"/>
    </row>
    <row r="15459" spans="24:44">
      <c r="X15459"/>
      <c r="Y15459"/>
      <c r="Z15459"/>
      <c r="AA15459"/>
      <c r="AC15459"/>
      <c r="AR15459"/>
    </row>
    <row r="15460" spans="24:44">
      <c r="X15460"/>
      <c r="Y15460"/>
      <c r="Z15460"/>
      <c r="AA15460"/>
      <c r="AC15460"/>
      <c r="AR15460"/>
    </row>
    <row r="15461" spans="24:44">
      <c r="X15461"/>
      <c r="Y15461"/>
      <c r="Z15461"/>
      <c r="AA15461"/>
      <c r="AC15461"/>
      <c r="AR15461"/>
    </row>
    <row r="15462" spans="24:44">
      <c r="X15462"/>
      <c r="Y15462"/>
      <c r="Z15462"/>
      <c r="AA15462"/>
      <c r="AC15462"/>
      <c r="AR15462"/>
    </row>
    <row r="15463" spans="24:44">
      <c r="X15463"/>
      <c r="Y15463"/>
      <c r="Z15463"/>
      <c r="AA15463"/>
      <c r="AC15463"/>
      <c r="AR15463"/>
    </row>
    <row r="15464" spans="24:44">
      <c r="X15464"/>
      <c r="Y15464"/>
      <c r="Z15464"/>
      <c r="AA15464"/>
      <c r="AC15464"/>
      <c r="AR15464"/>
    </row>
    <row r="15465" spans="24:44">
      <c r="X15465"/>
      <c r="Y15465"/>
      <c r="Z15465"/>
      <c r="AA15465"/>
      <c r="AC15465"/>
      <c r="AR15465"/>
    </row>
    <row r="15466" spans="24:44">
      <c r="X15466"/>
      <c r="Y15466"/>
      <c r="Z15466"/>
      <c r="AA15466"/>
      <c r="AC15466"/>
      <c r="AR15466"/>
    </row>
    <row r="15467" spans="24:44">
      <c r="X15467"/>
      <c r="Y15467"/>
      <c r="Z15467"/>
      <c r="AA15467"/>
      <c r="AC15467"/>
      <c r="AR15467"/>
    </row>
    <row r="15468" spans="24:44">
      <c r="X15468"/>
      <c r="Y15468"/>
      <c r="Z15468"/>
      <c r="AA15468"/>
      <c r="AC15468"/>
      <c r="AR15468"/>
    </row>
    <row r="15469" spans="24:44">
      <c r="X15469"/>
      <c r="Y15469"/>
      <c r="Z15469"/>
      <c r="AA15469"/>
      <c r="AC15469"/>
      <c r="AR15469"/>
    </row>
    <row r="15470" spans="24:44">
      <c r="X15470"/>
      <c r="Y15470"/>
      <c r="Z15470"/>
      <c r="AA15470"/>
      <c r="AC15470"/>
      <c r="AR15470"/>
    </row>
    <row r="15471" spans="24:44">
      <c r="X15471"/>
      <c r="Y15471"/>
      <c r="Z15471"/>
      <c r="AA15471"/>
      <c r="AC15471"/>
      <c r="AR15471"/>
    </row>
    <row r="15472" spans="24:44">
      <c r="X15472"/>
      <c r="Y15472"/>
      <c r="Z15472"/>
      <c r="AA15472"/>
      <c r="AC15472"/>
      <c r="AR15472"/>
    </row>
    <row r="15473" spans="24:44">
      <c r="X15473"/>
      <c r="Y15473"/>
      <c r="Z15473"/>
      <c r="AA15473"/>
      <c r="AC15473"/>
      <c r="AR15473"/>
    </row>
    <row r="15474" spans="24:44">
      <c r="X15474"/>
      <c r="Y15474"/>
      <c r="Z15474"/>
      <c r="AA15474"/>
      <c r="AC15474"/>
      <c r="AR15474"/>
    </row>
    <row r="15475" spans="24:44">
      <c r="X15475"/>
      <c r="Y15475"/>
      <c r="Z15475"/>
      <c r="AA15475"/>
      <c r="AC15475"/>
      <c r="AR15475"/>
    </row>
    <row r="15476" spans="24:44">
      <c r="X15476"/>
      <c r="Y15476"/>
      <c r="Z15476"/>
      <c r="AA15476"/>
      <c r="AC15476"/>
      <c r="AR15476"/>
    </row>
    <row r="15477" spans="24:44">
      <c r="X15477"/>
      <c r="Y15477"/>
      <c r="Z15477"/>
      <c r="AA15477"/>
      <c r="AC15477"/>
      <c r="AR15477"/>
    </row>
    <row r="15478" spans="24:44">
      <c r="X15478"/>
      <c r="Y15478"/>
      <c r="Z15478"/>
      <c r="AA15478"/>
      <c r="AC15478"/>
      <c r="AR15478"/>
    </row>
    <row r="15479" spans="24:44">
      <c r="X15479"/>
      <c r="Y15479"/>
      <c r="Z15479"/>
      <c r="AA15479"/>
      <c r="AC15479"/>
      <c r="AR15479"/>
    </row>
    <row r="15480" spans="24:44">
      <c r="X15480"/>
      <c r="Y15480"/>
      <c r="Z15480"/>
      <c r="AA15480"/>
      <c r="AC15480"/>
      <c r="AR15480"/>
    </row>
    <row r="15481" spans="24:44">
      <c r="X15481"/>
      <c r="Y15481"/>
      <c r="Z15481"/>
      <c r="AA15481"/>
      <c r="AC15481"/>
      <c r="AR15481"/>
    </row>
    <row r="15482" spans="24:44">
      <c r="X15482"/>
      <c r="Y15482"/>
      <c r="Z15482"/>
      <c r="AA15482"/>
      <c r="AC15482"/>
      <c r="AR15482"/>
    </row>
    <row r="15483" spans="24:44">
      <c r="X15483"/>
      <c r="Y15483"/>
      <c r="Z15483"/>
      <c r="AA15483"/>
      <c r="AC15483"/>
      <c r="AR15483"/>
    </row>
    <row r="15484" spans="24:44">
      <c r="X15484"/>
      <c r="Y15484"/>
      <c r="Z15484"/>
      <c r="AA15484"/>
      <c r="AC15484"/>
      <c r="AR15484"/>
    </row>
    <row r="15485" spans="24:44">
      <c r="X15485"/>
      <c r="Y15485"/>
      <c r="Z15485"/>
      <c r="AA15485"/>
      <c r="AC15485"/>
      <c r="AR15485"/>
    </row>
    <row r="15486" spans="24:44">
      <c r="X15486"/>
      <c r="Y15486"/>
      <c r="Z15486"/>
      <c r="AA15486"/>
      <c r="AC15486"/>
      <c r="AR15486"/>
    </row>
    <row r="15487" spans="24:44">
      <c r="X15487"/>
      <c r="Y15487"/>
      <c r="Z15487"/>
      <c r="AA15487"/>
      <c r="AC15487"/>
      <c r="AR15487"/>
    </row>
    <row r="15488" spans="24:44">
      <c r="X15488"/>
      <c r="Y15488"/>
      <c r="Z15488"/>
      <c r="AA15488"/>
      <c r="AC15488"/>
      <c r="AR15488"/>
    </row>
    <row r="15489" spans="24:44">
      <c r="X15489"/>
      <c r="Y15489"/>
      <c r="Z15489"/>
      <c r="AA15489"/>
      <c r="AC15489"/>
      <c r="AR15489"/>
    </row>
    <row r="15490" spans="24:44">
      <c r="X15490"/>
      <c r="Y15490"/>
      <c r="Z15490"/>
      <c r="AA15490"/>
      <c r="AC15490"/>
      <c r="AR15490"/>
    </row>
    <row r="15491" spans="24:44">
      <c r="X15491"/>
      <c r="Y15491"/>
      <c r="Z15491"/>
      <c r="AA15491"/>
      <c r="AC15491"/>
      <c r="AR15491"/>
    </row>
    <row r="15492" spans="24:44">
      <c r="X15492"/>
      <c r="Y15492"/>
      <c r="Z15492"/>
      <c r="AA15492"/>
      <c r="AC15492"/>
      <c r="AR15492"/>
    </row>
    <row r="15493" spans="24:44">
      <c r="X15493"/>
      <c r="Y15493"/>
      <c r="Z15493"/>
      <c r="AA15493"/>
      <c r="AC15493"/>
      <c r="AR15493"/>
    </row>
    <row r="15494" spans="24:44">
      <c r="X15494"/>
      <c r="Y15494"/>
      <c r="Z15494"/>
      <c r="AA15494"/>
      <c r="AC15494"/>
      <c r="AR15494"/>
    </row>
    <row r="15495" spans="24:44">
      <c r="X15495"/>
      <c r="Y15495"/>
      <c r="Z15495"/>
      <c r="AA15495"/>
      <c r="AC15495"/>
      <c r="AR15495"/>
    </row>
    <row r="15496" spans="24:44">
      <c r="X15496"/>
      <c r="Y15496"/>
      <c r="Z15496"/>
      <c r="AA15496"/>
      <c r="AC15496"/>
      <c r="AR15496"/>
    </row>
    <row r="15497" spans="24:44">
      <c r="X15497"/>
      <c r="Y15497"/>
      <c r="Z15497"/>
      <c r="AA15497"/>
      <c r="AC15497"/>
      <c r="AR15497"/>
    </row>
    <row r="15498" spans="24:44">
      <c r="X15498"/>
      <c r="Y15498"/>
      <c r="Z15498"/>
      <c r="AA15498"/>
      <c r="AC15498"/>
      <c r="AR15498"/>
    </row>
    <row r="15499" spans="24:44">
      <c r="X15499"/>
      <c r="Y15499"/>
      <c r="Z15499"/>
      <c r="AA15499"/>
      <c r="AC15499"/>
      <c r="AR15499"/>
    </row>
    <row r="15500" spans="24:44">
      <c r="X15500"/>
      <c r="Y15500"/>
      <c r="Z15500"/>
      <c r="AA15500"/>
      <c r="AC15500"/>
      <c r="AR15500"/>
    </row>
    <row r="15501" spans="24:44">
      <c r="X15501"/>
      <c r="Y15501"/>
      <c r="Z15501"/>
      <c r="AA15501"/>
      <c r="AC15501"/>
      <c r="AR15501"/>
    </row>
    <row r="15502" spans="24:44">
      <c r="X15502"/>
      <c r="Y15502"/>
      <c r="Z15502"/>
      <c r="AA15502"/>
      <c r="AC15502"/>
      <c r="AR15502"/>
    </row>
    <row r="15503" spans="24:44">
      <c r="X15503"/>
      <c r="Y15503"/>
      <c r="Z15503"/>
      <c r="AA15503"/>
      <c r="AC15503"/>
      <c r="AR15503"/>
    </row>
    <row r="15504" spans="24:44">
      <c r="X15504"/>
      <c r="Y15504"/>
      <c r="Z15504"/>
      <c r="AA15504"/>
      <c r="AC15504"/>
      <c r="AR15504"/>
    </row>
    <row r="15505" spans="24:44">
      <c r="X15505"/>
      <c r="Y15505"/>
      <c r="Z15505"/>
      <c r="AA15505"/>
      <c r="AC15505"/>
      <c r="AR15505"/>
    </row>
    <row r="15506" spans="24:44">
      <c r="X15506"/>
      <c r="Y15506"/>
      <c r="Z15506"/>
      <c r="AA15506"/>
      <c r="AC15506"/>
      <c r="AR15506"/>
    </row>
    <row r="15507" spans="24:44">
      <c r="X15507"/>
      <c r="Y15507"/>
      <c r="Z15507"/>
      <c r="AA15507"/>
      <c r="AC15507"/>
      <c r="AR15507"/>
    </row>
    <row r="15508" spans="24:44">
      <c r="X15508"/>
      <c r="Y15508"/>
      <c r="Z15508"/>
      <c r="AA15508"/>
      <c r="AC15508"/>
      <c r="AR15508"/>
    </row>
    <row r="15509" spans="24:44">
      <c r="X15509"/>
      <c r="Y15509"/>
      <c r="Z15509"/>
      <c r="AA15509"/>
      <c r="AC15509"/>
      <c r="AR15509"/>
    </row>
    <row r="15510" spans="24:44">
      <c r="X15510"/>
      <c r="Y15510"/>
      <c r="Z15510"/>
      <c r="AA15510"/>
      <c r="AC15510"/>
      <c r="AR15510"/>
    </row>
    <row r="15511" spans="24:44">
      <c r="X15511"/>
      <c r="Y15511"/>
      <c r="Z15511"/>
      <c r="AA15511"/>
      <c r="AC15511"/>
      <c r="AR15511"/>
    </row>
    <row r="15512" spans="24:44">
      <c r="X15512"/>
      <c r="Y15512"/>
      <c r="Z15512"/>
      <c r="AA15512"/>
      <c r="AC15512"/>
      <c r="AR15512"/>
    </row>
    <row r="15513" spans="24:44">
      <c r="X15513"/>
      <c r="Y15513"/>
      <c r="Z15513"/>
      <c r="AA15513"/>
      <c r="AC15513"/>
      <c r="AR15513"/>
    </row>
    <row r="15514" spans="24:44">
      <c r="X15514"/>
      <c r="Y15514"/>
      <c r="Z15514"/>
      <c r="AA15514"/>
      <c r="AC15514"/>
      <c r="AR15514"/>
    </row>
    <row r="15515" spans="24:44">
      <c r="X15515"/>
      <c r="Y15515"/>
      <c r="Z15515"/>
      <c r="AA15515"/>
      <c r="AC15515"/>
      <c r="AR15515"/>
    </row>
    <row r="15516" spans="24:44">
      <c r="X15516"/>
      <c r="Y15516"/>
      <c r="Z15516"/>
      <c r="AA15516"/>
      <c r="AC15516"/>
      <c r="AR15516"/>
    </row>
    <row r="15517" spans="24:44">
      <c r="X15517"/>
      <c r="Y15517"/>
      <c r="Z15517"/>
      <c r="AA15517"/>
      <c r="AC15517"/>
      <c r="AR15517"/>
    </row>
    <row r="15518" spans="24:44">
      <c r="X15518"/>
      <c r="Y15518"/>
      <c r="Z15518"/>
      <c r="AA15518"/>
      <c r="AC15518"/>
      <c r="AR15518"/>
    </row>
    <row r="15519" spans="24:44">
      <c r="X15519"/>
      <c r="Y15519"/>
      <c r="Z15519"/>
      <c r="AA15519"/>
      <c r="AC15519"/>
      <c r="AR15519"/>
    </row>
    <row r="15520" spans="24:44">
      <c r="X15520"/>
      <c r="Y15520"/>
      <c r="Z15520"/>
      <c r="AA15520"/>
      <c r="AC15520"/>
      <c r="AR15520"/>
    </row>
    <row r="15521" spans="24:44">
      <c r="X15521"/>
      <c r="Y15521"/>
      <c r="Z15521"/>
      <c r="AA15521"/>
      <c r="AC15521"/>
      <c r="AR15521"/>
    </row>
    <row r="15522" spans="24:44">
      <c r="X15522"/>
      <c r="Y15522"/>
      <c r="Z15522"/>
      <c r="AA15522"/>
      <c r="AC15522"/>
      <c r="AR15522"/>
    </row>
    <row r="15523" spans="24:44">
      <c r="X15523"/>
      <c r="Y15523"/>
      <c r="Z15523"/>
      <c r="AA15523"/>
      <c r="AC15523"/>
      <c r="AR15523"/>
    </row>
    <row r="15524" spans="24:44">
      <c r="X15524"/>
      <c r="Y15524"/>
      <c r="Z15524"/>
      <c r="AA15524"/>
      <c r="AC15524"/>
      <c r="AR15524"/>
    </row>
    <row r="15525" spans="24:44">
      <c r="X15525"/>
      <c r="Y15525"/>
      <c r="Z15525"/>
      <c r="AA15525"/>
      <c r="AC15525"/>
      <c r="AR15525"/>
    </row>
    <row r="15526" spans="24:44">
      <c r="X15526"/>
      <c r="Y15526"/>
      <c r="Z15526"/>
      <c r="AA15526"/>
      <c r="AC15526"/>
      <c r="AR15526"/>
    </row>
    <row r="15527" spans="24:44">
      <c r="X15527"/>
      <c r="Y15527"/>
      <c r="Z15527"/>
      <c r="AA15527"/>
      <c r="AC15527"/>
      <c r="AR15527"/>
    </row>
    <row r="15528" spans="24:44">
      <c r="X15528"/>
      <c r="Y15528"/>
      <c r="Z15528"/>
      <c r="AA15528"/>
      <c r="AC15528"/>
      <c r="AR15528"/>
    </row>
    <row r="15529" spans="24:44">
      <c r="X15529"/>
      <c r="Y15529"/>
      <c r="Z15529"/>
      <c r="AA15529"/>
      <c r="AC15529"/>
      <c r="AR15529"/>
    </row>
    <row r="15530" spans="24:44">
      <c r="X15530"/>
      <c r="Y15530"/>
      <c r="Z15530"/>
      <c r="AA15530"/>
      <c r="AC15530"/>
      <c r="AR15530"/>
    </row>
    <row r="15531" spans="24:44">
      <c r="X15531"/>
      <c r="Y15531"/>
      <c r="Z15531"/>
      <c r="AA15531"/>
      <c r="AC15531"/>
      <c r="AR15531"/>
    </row>
    <row r="15532" spans="24:44">
      <c r="X15532"/>
      <c r="Y15532"/>
      <c r="Z15532"/>
      <c r="AA15532"/>
      <c r="AC15532"/>
      <c r="AR15532"/>
    </row>
    <row r="15533" spans="24:44">
      <c r="X15533"/>
      <c r="Y15533"/>
      <c r="Z15533"/>
      <c r="AA15533"/>
      <c r="AC15533"/>
      <c r="AR15533"/>
    </row>
    <row r="15534" spans="24:44">
      <c r="X15534"/>
      <c r="Y15534"/>
      <c r="Z15534"/>
      <c r="AA15534"/>
      <c r="AC15534"/>
      <c r="AR15534"/>
    </row>
    <row r="15535" spans="24:44">
      <c r="X15535"/>
      <c r="Y15535"/>
      <c r="Z15535"/>
      <c r="AA15535"/>
      <c r="AC15535"/>
      <c r="AR15535"/>
    </row>
    <row r="15536" spans="24:44">
      <c r="X15536"/>
      <c r="Y15536"/>
      <c r="Z15536"/>
      <c r="AA15536"/>
      <c r="AC15536"/>
      <c r="AR15536"/>
    </row>
    <row r="15537" spans="24:44">
      <c r="X15537"/>
      <c r="Y15537"/>
      <c r="Z15537"/>
      <c r="AA15537"/>
      <c r="AC15537"/>
      <c r="AR15537"/>
    </row>
    <row r="15538" spans="24:44">
      <c r="X15538"/>
      <c r="Y15538"/>
      <c r="Z15538"/>
      <c r="AA15538"/>
      <c r="AC15538"/>
      <c r="AR15538"/>
    </row>
    <row r="15539" spans="24:44">
      <c r="X15539"/>
      <c r="Y15539"/>
      <c r="Z15539"/>
      <c r="AA15539"/>
      <c r="AC15539"/>
      <c r="AR15539"/>
    </row>
    <row r="15540" spans="24:44">
      <c r="X15540"/>
      <c r="Y15540"/>
      <c r="Z15540"/>
      <c r="AA15540"/>
      <c r="AC15540"/>
      <c r="AR15540"/>
    </row>
    <row r="15541" spans="24:44">
      <c r="X15541"/>
      <c r="Y15541"/>
      <c r="Z15541"/>
      <c r="AA15541"/>
      <c r="AC15541"/>
      <c r="AR15541"/>
    </row>
    <row r="15542" spans="24:44">
      <c r="X15542"/>
      <c r="Y15542"/>
      <c r="Z15542"/>
      <c r="AA15542"/>
      <c r="AC15542"/>
      <c r="AR15542"/>
    </row>
    <row r="15543" spans="24:44">
      <c r="X15543"/>
      <c r="Y15543"/>
      <c r="Z15543"/>
      <c r="AA15543"/>
      <c r="AC15543"/>
      <c r="AR15543"/>
    </row>
    <row r="15544" spans="24:44">
      <c r="X15544"/>
      <c r="Y15544"/>
      <c r="Z15544"/>
      <c r="AA15544"/>
      <c r="AC15544"/>
      <c r="AR15544"/>
    </row>
    <row r="15545" spans="24:44">
      <c r="X15545"/>
      <c r="Y15545"/>
      <c r="Z15545"/>
      <c r="AA15545"/>
      <c r="AC15545"/>
      <c r="AR15545"/>
    </row>
    <row r="15546" spans="24:44">
      <c r="X15546"/>
      <c r="Y15546"/>
      <c r="Z15546"/>
      <c r="AA15546"/>
      <c r="AC15546"/>
      <c r="AR15546"/>
    </row>
    <row r="15547" spans="24:44">
      <c r="X15547"/>
      <c r="Y15547"/>
      <c r="Z15547"/>
      <c r="AA15547"/>
      <c r="AC15547"/>
      <c r="AR15547"/>
    </row>
    <row r="15548" spans="24:44">
      <c r="X15548"/>
      <c r="Y15548"/>
      <c r="Z15548"/>
      <c r="AA15548"/>
      <c r="AC15548"/>
      <c r="AR15548"/>
    </row>
    <row r="15549" spans="24:44">
      <c r="X15549"/>
      <c r="Y15549"/>
      <c r="Z15549"/>
      <c r="AA15549"/>
      <c r="AC15549"/>
      <c r="AR15549"/>
    </row>
    <row r="15550" spans="24:44">
      <c r="X15550"/>
      <c r="Y15550"/>
      <c r="Z15550"/>
      <c r="AA15550"/>
      <c r="AC15550"/>
      <c r="AR15550"/>
    </row>
    <row r="15551" spans="24:44">
      <c r="X15551"/>
      <c r="Y15551"/>
      <c r="Z15551"/>
      <c r="AA15551"/>
      <c r="AC15551"/>
      <c r="AR15551"/>
    </row>
    <row r="15552" spans="24:44">
      <c r="X15552"/>
      <c r="Y15552"/>
      <c r="Z15552"/>
      <c r="AA15552"/>
      <c r="AC15552"/>
      <c r="AR15552"/>
    </row>
    <row r="15553" spans="24:44">
      <c r="X15553"/>
      <c r="Y15553"/>
      <c r="Z15553"/>
      <c r="AA15553"/>
      <c r="AC15553"/>
      <c r="AR15553"/>
    </row>
    <row r="15554" spans="24:44">
      <c r="X15554"/>
      <c r="Y15554"/>
      <c r="Z15554"/>
      <c r="AA15554"/>
      <c r="AC15554"/>
      <c r="AR15554"/>
    </row>
    <row r="15555" spans="24:44">
      <c r="X15555"/>
      <c r="Y15555"/>
      <c r="Z15555"/>
      <c r="AA15555"/>
      <c r="AC15555"/>
      <c r="AR15555"/>
    </row>
    <row r="15556" spans="24:44">
      <c r="X15556"/>
      <c r="Y15556"/>
      <c r="Z15556"/>
      <c r="AA15556"/>
      <c r="AC15556"/>
      <c r="AR15556"/>
    </row>
    <row r="15557" spans="24:44">
      <c r="X15557"/>
      <c r="Y15557"/>
      <c r="Z15557"/>
      <c r="AA15557"/>
      <c r="AC15557"/>
      <c r="AR15557"/>
    </row>
    <row r="15558" spans="24:44">
      <c r="X15558"/>
      <c r="Y15558"/>
      <c r="Z15558"/>
      <c r="AA15558"/>
      <c r="AC15558"/>
      <c r="AR15558"/>
    </row>
    <row r="15559" spans="24:44">
      <c r="X15559"/>
      <c r="Y15559"/>
      <c r="Z15559"/>
      <c r="AA15559"/>
      <c r="AC15559"/>
      <c r="AR15559"/>
    </row>
    <row r="15560" spans="24:44">
      <c r="X15560"/>
      <c r="Y15560"/>
      <c r="Z15560"/>
      <c r="AA15560"/>
      <c r="AC15560"/>
      <c r="AR15560"/>
    </row>
    <row r="15561" spans="24:44">
      <c r="X15561"/>
      <c r="Y15561"/>
      <c r="Z15561"/>
      <c r="AA15561"/>
      <c r="AC15561"/>
      <c r="AR15561"/>
    </row>
    <row r="15562" spans="24:44">
      <c r="X15562"/>
      <c r="Y15562"/>
      <c r="Z15562"/>
      <c r="AA15562"/>
      <c r="AC15562"/>
      <c r="AR15562"/>
    </row>
    <row r="15563" spans="24:44">
      <c r="X15563"/>
      <c r="Y15563"/>
      <c r="Z15563"/>
      <c r="AA15563"/>
      <c r="AC15563"/>
      <c r="AR15563"/>
    </row>
    <row r="15564" spans="24:44">
      <c r="X15564"/>
      <c r="Y15564"/>
      <c r="Z15564"/>
      <c r="AA15564"/>
      <c r="AC15564"/>
      <c r="AR15564"/>
    </row>
    <row r="15565" spans="24:44">
      <c r="X15565"/>
      <c r="Y15565"/>
      <c r="Z15565"/>
      <c r="AA15565"/>
      <c r="AC15565"/>
      <c r="AR15565"/>
    </row>
    <row r="15566" spans="24:44">
      <c r="X15566"/>
      <c r="Y15566"/>
      <c r="Z15566"/>
      <c r="AA15566"/>
      <c r="AC15566"/>
      <c r="AR15566"/>
    </row>
    <row r="15567" spans="24:44">
      <c r="X15567"/>
      <c r="Y15567"/>
      <c r="Z15567"/>
      <c r="AA15567"/>
      <c r="AC15567"/>
      <c r="AR15567"/>
    </row>
    <row r="15568" spans="24:44">
      <c r="X15568"/>
      <c r="Y15568"/>
      <c r="Z15568"/>
      <c r="AA15568"/>
      <c r="AC15568"/>
      <c r="AR15568"/>
    </row>
    <row r="15569" spans="24:44">
      <c r="X15569"/>
      <c r="Y15569"/>
      <c r="Z15569"/>
      <c r="AA15569"/>
      <c r="AC15569"/>
      <c r="AR15569"/>
    </row>
    <row r="15570" spans="24:44">
      <c r="X15570"/>
      <c r="Y15570"/>
      <c r="Z15570"/>
      <c r="AA15570"/>
      <c r="AC15570"/>
      <c r="AR15570"/>
    </row>
    <row r="15571" spans="24:44">
      <c r="X15571"/>
      <c r="Y15571"/>
      <c r="Z15571"/>
      <c r="AA15571"/>
      <c r="AC15571"/>
      <c r="AR15571"/>
    </row>
    <row r="15572" spans="24:44">
      <c r="X15572"/>
      <c r="Y15572"/>
      <c r="Z15572"/>
      <c r="AA15572"/>
      <c r="AC15572"/>
      <c r="AR15572"/>
    </row>
    <row r="15573" spans="24:44">
      <c r="X15573"/>
      <c r="Y15573"/>
      <c r="Z15573"/>
      <c r="AA15573"/>
      <c r="AC15573"/>
      <c r="AR15573"/>
    </row>
    <row r="15574" spans="24:44">
      <c r="X15574"/>
      <c r="Y15574"/>
      <c r="Z15574"/>
      <c r="AA15574"/>
      <c r="AC15574"/>
      <c r="AR15574"/>
    </row>
    <row r="15575" spans="24:44">
      <c r="X15575"/>
      <c r="Y15575"/>
      <c r="Z15575"/>
      <c r="AA15575"/>
      <c r="AC15575"/>
      <c r="AR15575"/>
    </row>
    <row r="15576" spans="24:44">
      <c r="X15576"/>
      <c r="Y15576"/>
      <c r="Z15576"/>
      <c r="AA15576"/>
      <c r="AC15576"/>
      <c r="AR15576"/>
    </row>
    <row r="15577" spans="24:44">
      <c r="X15577"/>
      <c r="Y15577"/>
      <c r="Z15577"/>
      <c r="AA15577"/>
      <c r="AC15577"/>
      <c r="AR15577"/>
    </row>
    <row r="15578" spans="24:44">
      <c r="X15578"/>
      <c r="Y15578"/>
      <c r="Z15578"/>
      <c r="AA15578"/>
      <c r="AC15578"/>
      <c r="AR15578"/>
    </row>
    <row r="15579" spans="24:44">
      <c r="X15579"/>
      <c r="Y15579"/>
      <c r="Z15579"/>
      <c r="AA15579"/>
      <c r="AC15579"/>
      <c r="AR15579"/>
    </row>
    <row r="15580" spans="24:44">
      <c r="X15580"/>
      <c r="Y15580"/>
      <c r="Z15580"/>
      <c r="AA15580"/>
      <c r="AC15580"/>
      <c r="AR15580"/>
    </row>
    <row r="15581" spans="24:44">
      <c r="X15581"/>
      <c r="Y15581"/>
      <c r="Z15581"/>
      <c r="AA15581"/>
      <c r="AC15581"/>
      <c r="AR15581"/>
    </row>
    <row r="15582" spans="24:44">
      <c r="X15582"/>
      <c r="Y15582"/>
      <c r="Z15582"/>
      <c r="AA15582"/>
      <c r="AC15582"/>
      <c r="AR15582"/>
    </row>
    <row r="15583" spans="24:44">
      <c r="X15583"/>
      <c r="Y15583"/>
      <c r="Z15583"/>
      <c r="AA15583"/>
      <c r="AC15583"/>
      <c r="AR15583"/>
    </row>
    <row r="15584" spans="24:44">
      <c r="X15584"/>
      <c r="Y15584"/>
      <c r="Z15584"/>
      <c r="AA15584"/>
      <c r="AC15584"/>
      <c r="AR15584"/>
    </row>
    <row r="15585" spans="24:44">
      <c r="X15585"/>
      <c r="Y15585"/>
      <c r="Z15585"/>
      <c r="AA15585"/>
      <c r="AC15585"/>
      <c r="AR15585"/>
    </row>
    <row r="15586" spans="24:44">
      <c r="X15586"/>
      <c r="Y15586"/>
      <c r="Z15586"/>
      <c r="AA15586"/>
      <c r="AC15586"/>
      <c r="AR15586"/>
    </row>
    <row r="15587" spans="24:44">
      <c r="X15587"/>
      <c r="Y15587"/>
      <c r="Z15587"/>
      <c r="AA15587"/>
      <c r="AC15587"/>
      <c r="AR15587"/>
    </row>
    <row r="15588" spans="24:44">
      <c r="X15588"/>
      <c r="Y15588"/>
      <c r="Z15588"/>
      <c r="AA15588"/>
      <c r="AC15588"/>
      <c r="AR15588"/>
    </row>
    <row r="15589" spans="24:44">
      <c r="X15589"/>
      <c r="Y15589"/>
      <c r="Z15589"/>
      <c r="AA15589"/>
      <c r="AC15589"/>
      <c r="AR15589"/>
    </row>
    <row r="15590" spans="24:44">
      <c r="X15590"/>
      <c r="Y15590"/>
      <c r="Z15590"/>
      <c r="AA15590"/>
      <c r="AC15590"/>
      <c r="AR15590"/>
    </row>
    <row r="15591" spans="24:44">
      <c r="X15591"/>
      <c r="Y15591"/>
      <c r="Z15591"/>
      <c r="AA15591"/>
      <c r="AC15591"/>
      <c r="AR15591"/>
    </row>
    <row r="15592" spans="24:44">
      <c r="X15592"/>
      <c r="Y15592"/>
      <c r="Z15592"/>
      <c r="AA15592"/>
      <c r="AC15592"/>
      <c r="AR15592"/>
    </row>
    <row r="15593" spans="24:44">
      <c r="X15593"/>
      <c r="Y15593"/>
      <c r="Z15593"/>
      <c r="AA15593"/>
      <c r="AC15593"/>
      <c r="AR15593"/>
    </row>
    <row r="15594" spans="24:44">
      <c r="X15594"/>
      <c r="Y15594"/>
      <c r="Z15594"/>
      <c r="AA15594"/>
      <c r="AC15594"/>
      <c r="AR15594"/>
    </row>
    <row r="15595" spans="24:44">
      <c r="X15595"/>
      <c r="Y15595"/>
      <c r="Z15595"/>
      <c r="AA15595"/>
      <c r="AC15595"/>
      <c r="AR15595"/>
    </row>
    <row r="15596" spans="24:44">
      <c r="X15596"/>
      <c r="Y15596"/>
      <c r="Z15596"/>
      <c r="AA15596"/>
      <c r="AC15596"/>
      <c r="AR15596"/>
    </row>
    <row r="15597" spans="24:44">
      <c r="X15597"/>
      <c r="Y15597"/>
      <c r="Z15597"/>
      <c r="AA15597"/>
      <c r="AC15597"/>
      <c r="AR15597"/>
    </row>
    <row r="15598" spans="24:44">
      <c r="X15598"/>
      <c r="Y15598"/>
      <c r="Z15598"/>
      <c r="AA15598"/>
      <c r="AC15598"/>
      <c r="AR15598"/>
    </row>
    <row r="15599" spans="24:44">
      <c r="X15599"/>
      <c r="Y15599"/>
      <c r="Z15599"/>
      <c r="AA15599"/>
      <c r="AC15599"/>
      <c r="AR15599"/>
    </row>
    <row r="15600" spans="24:44">
      <c r="X15600"/>
      <c r="Y15600"/>
      <c r="Z15600"/>
      <c r="AA15600"/>
      <c r="AC15600"/>
      <c r="AR15600"/>
    </row>
    <row r="15601" spans="24:44">
      <c r="X15601"/>
      <c r="Y15601"/>
      <c r="Z15601"/>
      <c r="AA15601"/>
      <c r="AC15601"/>
      <c r="AR15601"/>
    </row>
    <row r="15602" spans="24:44">
      <c r="X15602"/>
      <c r="Y15602"/>
      <c r="Z15602"/>
      <c r="AA15602"/>
      <c r="AC15602"/>
      <c r="AR15602"/>
    </row>
    <row r="15603" spans="24:44">
      <c r="X15603"/>
      <c r="Y15603"/>
      <c r="Z15603"/>
      <c r="AA15603"/>
      <c r="AC15603"/>
      <c r="AR15603"/>
    </row>
    <row r="15604" spans="24:44">
      <c r="X15604"/>
      <c r="Y15604"/>
      <c r="Z15604"/>
      <c r="AA15604"/>
      <c r="AC15604"/>
      <c r="AR15604"/>
    </row>
    <row r="15605" spans="24:44">
      <c r="X15605"/>
      <c r="Y15605"/>
      <c r="Z15605"/>
      <c r="AA15605"/>
      <c r="AC15605"/>
      <c r="AR15605"/>
    </row>
    <row r="15606" spans="24:44">
      <c r="X15606"/>
      <c r="Y15606"/>
      <c r="Z15606"/>
      <c r="AA15606"/>
      <c r="AC15606"/>
      <c r="AR15606"/>
    </row>
    <row r="15607" spans="24:44">
      <c r="X15607"/>
      <c r="Y15607"/>
      <c r="Z15607"/>
      <c r="AA15607"/>
      <c r="AC15607"/>
      <c r="AR15607"/>
    </row>
    <row r="15608" spans="24:44">
      <c r="X15608"/>
      <c r="Y15608"/>
      <c r="Z15608"/>
      <c r="AA15608"/>
      <c r="AC15608"/>
      <c r="AR15608"/>
    </row>
    <row r="15609" spans="24:44">
      <c r="X15609"/>
      <c r="Y15609"/>
      <c r="Z15609"/>
      <c r="AA15609"/>
      <c r="AC15609"/>
      <c r="AR15609"/>
    </row>
    <row r="15610" spans="24:44">
      <c r="X15610"/>
      <c r="Y15610"/>
      <c r="Z15610"/>
      <c r="AA15610"/>
      <c r="AC15610"/>
      <c r="AR15610"/>
    </row>
    <row r="15611" spans="24:44">
      <c r="X15611"/>
      <c r="Y15611"/>
      <c r="Z15611"/>
      <c r="AA15611"/>
      <c r="AC15611"/>
      <c r="AR15611"/>
    </row>
    <row r="15612" spans="24:44">
      <c r="X15612"/>
      <c r="Y15612"/>
      <c r="Z15612"/>
      <c r="AA15612"/>
      <c r="AC15612"/>
      <c r="AR15612"/>
    </row>
    <row r="15613" spans="24:44">
      <c r="X15613"/>
      <c r="Y15613"/>
      <c r="Z15613"/>
      <c r="AA15613"/>
      <c r="AC15613"/>
      <c r="AR15613"/>
    </row>
    <row r="15614" spans="24:44">
      <c r="X15614"/>
      <c r="Y15614"/>
      <c r="Z15614"/>
      <c r="AA15614"/>
      <c r="AC15614"/>
      <c r="AR15614"/>
    </row>
    <row r="15615" spans="24:44">
      <c r="X15615"/>
      <c r="Y15615"/>
      <c r="Z15615"/>
      <c r="AA15615"/>
      <c r="AC15615"/>
      <c r="AR15615"/>
    </row>
    <row r="15616" spans="24:44">
      <c r="X15616"/>
      <c r="Y15616"/>
      <c r="Z15616"/>
      <c r="AA15616"/>
      <c r="AC15616"/>
      <c r="AR15616"/>
    </row>
    <row r="15617" spans="24:44">
      <c r="X15617"/>
      <c r="Y15617"/>
      <c r="Z15617"/>
      <c r="AA15617"/>
      <c r="AC15617"/>
      <c r="AR15617"/>
    </row>
    <row r="15618" spans="24:44">
      <c r="X15618"/>
      <c r="Y15618"/>
      <c r="Z15618"/>
      <c r="AA15618"/>
      <c r="AC15618"/>
      <c r="AR15618"/>
    </row>
    <row r="15619" spans="24:44">
      <c r="X15619"/>
      <c r="Y15619"/>
      <c r="Z15619"/>
      <c r="AA15619"/>
      <c r="AC15619"/>
      <c r="AR15619"/>
    </row>
    <row r="15620" spans="24:44">
      <c r="X15620"/>
      <c r="Y15620"/>
      <c r="Z15620"/>
      <c r="AA15620"/>
      <c r="AC15620"/>
      <c r="AR15620"/>
    </row>
    <row r="15621" spans="24:44">
      <c r="X15621"/>
      <c r="Y15621"/>
      <c r="Z15621"/>
      <c r="AA15621"/>
      <c r="AC15621"/>
      <c r="AR15621"/>
    </row>
    <row r="15622" spans="24:44">
      <c r="X15622"/>
      <c r="Y15622"/>
      <c r="Z15622"/>
      <c r="AA15622"/>
      <c r="AC15622"/>
      <c r="AR15622"/>
    </row>
    <row r="15623" spans="24:44">
      <c r="X15623"/>
      <c r="Y15623"/>
      <c r="Z15623"/>
      <c r="AA15623"/>
      <c r="AC15623"/>
      <c r="AR15623"/>
    </row>
    <row r="15624" spans="24:44">
      <c r="X15624"/>
      <c r="Y15624"/>
      <c r="Z15624"/>
      <c r="AA15624"/>
      <c r="AC15624"/>
      <c r="AR15624"/>
    </row>
    <row r="15625" spans="24:44">
      <c r="X15625"/>
      <c r="Y15625"/>
      <c r="Z15625"/>
      <c r="AA15625"/>
      <c r="AC15625"/>
      <c r="AR15625"/>
    </row>
    <row r="15626" spans="24:44">
      <c r="X15626"/>
      <c r="Y15626"/>
      <c r="Z15626"/>
      <c r="AA15626"/>
      <c r="AC15626"/>
      <c r="AR15626"/>
    </row>
    <row r="15627" spans="24:44">
      <c r="X15627"/>
      <c r="Y15627"/>
      <c r="Z15627"/>
      <c r="AA15627"/>
      <c r="AC15627"/>
      <c r="AR15627"/>
    </row>
    <row r="15628" spans="24:44">
      <c r="X15628"/>
      <c r="Y15628"/>
      <c r="Z15628"/>
      <c r="AA15628"/>
      <c r="AC15628"/>
      <c r="AR15628"/>
    </row>
    <row r="15629" spans="24:44">
      <c r="X15629"/>
      <c r="Y15629"/>
      <c r="Z15629"/>
      <c r="AA15629"/>
      <c r="AC15629"/>
      <c r="AR15629"/>
    </row>
    <row r="15630" spans="24:44">
      <c r="X15630"/>
      <c r="Y15630"/>
      <c r="Z15630"/>
      <c r="AA15630"/>
      <c r="AC15630"/>
      <c r="AR15630"/>
    </row>
    <row r="15631" spans="24:44">
      <c r="X15631"/>
      <c r="Y15631"/>
      <c r="Z15631"/>
      <c r="AA15631"/>
      <c r="AC15631"/>
      <c r="AR15631"/>
    </row>
    <row r="15632" spans="24:44">
      <c r="X15632"/>
      <c r="Y15632"/>
      <c r="Z15632"/>
      <c r="AA15632"/>
      <c r="AC15632"/>
      <c r="AR15632"/>
    </row>
    <row r="15633" spans="24:44">
      <c r="X15633"/>
      <c r="Y15633"/>
      <c r="Z15633"/>
      <c r="AA15633"/>
      <c r="AC15633"/>
      <c r="AR15633"/>
    </row>
    <row r="15634" spans="24:44">
      <c r="X15634"/>
      <c r="Y15634"/>
      <c r="Z15634"/>
      <c r="AA15634"/>
      <c r="AC15634"/>
      <c r="AR15634"/>
    </row>
    <row r="15635" spans="24:44">
      <c r="X15635"/>
      <c r="Y15635"/>
      <c r="Z15635"/>
      <c r="AA15635"/>
      <c r="AC15635"/>
      <c r="AR15635"/>
    </row>
    <row r="15636" spans="24:44">
      <c r="X15636"/>
      <c r="Y15636"/>
      <c r="Z15636"/>
      <c r="AA15636"/>
      <c r="AC15636"/>
      <c r="AR15636"/>
    </row>
    <row r="15637" spans="24:44">
      <c r="X15637"/>
      <c r="Y15637"/>
      <c r="Z15637"/>
      <c r="AA15637"/>
      <c r="AC15637"/>
      <c r="AR15637"/>
    </row>
    <row r="15638" spans="24:44">
      <c r="X15638"/>
      <c r="Y15638"/>
      <c r="Z15638"/>
      <c r="AA15638"/>
      <c r="AC15638"/>
      <c r="AR15638"/>
    </row>
    <row r="15639" spans="24:44">
      <c r="X15639"/>
      <c r="Y15639"/>
      <c r="Z15639"/>
      <c r="AA15639"/>
      <c r="AC15639"/>
      <c r="AR15639"/>
    </row>
    <row r="15640" spans="24:44">
      <c r="X15640"/>
      <c r="Y15640"/>
      <c r="Z15640"/>
      <c r="AA15640"/>
      <c r="AC15640"/>
      <c r="AR15640"/>
    </row>
    <row r="15641" spans="24:44">
      <c r="X15641"/>
      <c r="Y15641"/>
      <c r="Z15641"/>
      <c r="AA15641"/>
      <c r="AC15641"/>
      <c r="AR15641"/>
    </row>
    <row r="15642" spans="24:44">
      <c r="X15642"/>
      <c r="Y15642"/>
      <c r="Z15642"/>
      <c r="AA15642"/>
      <c r="AC15642"/>
      <c r="AR15642"/>
    </row>
    <row r="15643" spans="24:44">
      <c r="X15643"/>
      <c r="Y15643"/>
      <c r="Z15643"/>
      <c r="AA15643"/>
      <c r="AC15643"/>
      <c r="AR15643"/>
    </row>
    <row r="15644" spans="24:44">
      <c r="X15644"/>
      <c r="Y15644"/>
      <c r="Z15644"/>
      <c r="AA15644"/>
      <c r="AC15644"/>
      <c r="AR15644"/>
    </row>
    <row r="15645" spans="24:44">
      <c r="X15645"/>
      <c r="Y15645"/>
      <c r="Z15645"/>
      <c r="AA15645"/>
      <c r="AC15645"/>
      <c r="AR15645"/>
    </row>
    <row r="15646" spans="24:44">
      <c r="X15646"/>
      <c r="Y15646"/>
      <c r="Z15646"/>
      <c r="AA15646"/>
      <c r="AC15646"/>
      <c r="AR15646"/>
    </row>
    <row r="15647" spans="24:44">
      <c r="X15647"/>
      <c r="Y15647"/>
      <c r="Z15647"/>
      <c r="AA15647"/>
      <c r="AC15647"/>
      <c r="AR15647"/>
    </row>
    <row r="15648" spans="24:44">
      <c r="X15648"/>
      <c r="Y15648"/>
      <c r="Z15648"/>
      <c r="AA15648"/>
      <c r="AC15648"/>
      <c r="AR15648"/>
    </row>
    <row r="15649" spans="24:44">
      <c r="X15649"/>
      <c r="Y15649"/>
      <c r="Z15649"/>
      <c r="AA15649"/>
      <c r="AC15649"/>
      <c r="AR15649"/>
    </row>
    <row r="15650" spans="24:44">
      <c r="X15650"/>
      <c r="Y15650"/>
      <c r="Z15650"/>
      <c r="AA15650"/>
      <c r="AC15650"/>
      <c r="AR15650"/>
    </row>
    <row r="15651" spans="24:44">
      <c r="X15651"/>
      <c r="Y15651"/>
      <c r="Z15651"/>
      <c r="AA15651"/>
      <c r="AC15651"/>
      <c r="AR15651"/>
    </row>
    <row r="15652" spans="24:44">
      <c r="X15652"/>
      <c r="Y15652"/>
      <c r="Z15652"/>
      <c r="AA15652"/>
      <c r="AC15652"/>
      <c r="AR15652"/>
    </row>
    <row r="15653" spans="24:44">
      <c r="X15653"/>
      <c r="Y15653"/>
      <c r="Z15653"/>
      <c r="AA15653"/>
      <c r="AC15653"/>
      <c r="AR15653"/>
    </row>
    <row r="15654" spans="24:44">
      <c r="X15654"/>
      <c r="Y15654"/>
      <c r="Z15654"/>
      <c r="AA15654"/>
      <c r="AC15654"/>
      <c r="AR15654"/>
    </row>
    <row r="15655" spans="24:44">
      <c r="X15655"/>
      <c r="Y15655"/>
      <c r="Z15655"/>
      <c r="AA15655"/>
      <c r="AC15655"/>
      <c r="AR15655"/>
    </row>
    <row r="15656" spans="24:44">
      <c r="X15656"/>
      <c r="Y15656"/>
      <c r="Z15656"/>
      <c r="AA15656"/>
      <c r="AC15656"/>
      <c r="AR15656"/>
    </row>
    <row r="15657" spans="24:44">
      <c r="X15657"/>
      <c r="Y15657"/>
      <c r="Z15657"/>
      <c r="AA15657"/>
      <c r="AC15657"/>
      <c r="AR15657"/>
    </row>
    <row r="15658" spans="24:44">
      <c r="X15658"/>
      <c r="Y15658"/>
      <c r="Z15658"/>
      <c r="AA15658"/>
      <c r="AC15658"/>
      <c r="AR15658"/>
    </row>
    <row r="15659" spans="24:44">
      <c r="X15659"/>
      <c r="Y15659"/>
      <c r="Z15659"/>
      <c r="AA15659"/>
      <c r="AC15659"/>
      <c r="AR15659"/>
    </row>
    <row r="15660" spans="24:44">
      <c r="X15660"/>
      <c r="Y15660"/>
      <c r="Z15660"/>
      <c r="AA15660"/>
      <c r="AC15660"/>
      <c r="AR15660"/>
    </row>
    <row r="15661" spans="24:44">
      <c r="X15661"/>
      <c r="Y15661"/>
      <c r="Z15661"/>
      <c r="AA15661"/>
      <c r="AC15661"/>
      <c r="AR15661"/>
    </row>
    <row r="15662" spans="24:44">
      <c r="X15662"/>
      <c r="Y15662"/>
      <c r="Z15662"/>
      <c r="AA15662"/>
      <c r="AC15662"/>
      <c r="AR15662"/>
    </row>
    <row r="15663" spans="24:44">
      <c r="X15663"/>
      <c r="Y15663"/>
      <c r="Z15663"/>
      <c r="AA15663"/>
      <c r="AC15663"/>
      <c r="AR15663"/>
    </row>
    <row r="15664" spans="24:44">
      <c r="X15664"/>
      <c r="Y15664"/>
      <c r="Z15664"/>
      <c r="AA15664"/>
      <c r="AC15664"/>
      <c r="AR15664"/>
    </row>
    <row r="15665" spans="24:44">
      <c r="X15665"/>
      <c r="Y15665"/>
      <c r="Z15665"/>
      <c r="AA15665"/>
      <c r="AC15665"/>
      <c r="AR15665"/>
    </row>
    <row r="15666" spans="24:44">
      <c r="X15666"/>
      <c r="Y15666"/>
      <c r="Z15666"/>
      <c r="AA15666"/>
      <c r="AC15666"/>
      <c r="AR15666"/>
    </row>
    <row r="15667" spans="24:44">
      <c r="X15667"/>
      <c r="Y15667"/>
      <c r="Z15667"/>
      <c r="AA15667"/>
      <c r="AC15667"/>
      <c r="AR15667"/>
    </row>
    <row r="15668" spans="24:44">
      <c r="X15668"/>
      <c r="Y15668"/>
      <c r="Z15668"/>
      <c r="AA15668"/>
      <c r="AC15668"/>
      <c r="AR15668"/>
    </row>
    <row r="15669" spans="24:44">
      <c r="X15669"/>
      <c r="Y15669"/>
      <c r="Z15669"/>
      <c r="AA15669"/>
      <c r="AC15669"/>
      <c r="AR15669"/>
    </row>
    <row r="15670" spans="24:44">
      <c r="X15670"/>
      <c r="Y15670"/>
      <c r="Z15670"/>
      <c r="AA15670"/>
      <c r="AC15670"/>
      <c r="AR15670"/>
    </row>
    <row r="15671" spans="24:44">
      <c r="X15671"/>
      <c r="Y15671"/>
      <c r="Z15671"/>
      <c r="AA15671"/>
      <c r="AC15671"/>
      <c r="AR15671"/>
    </row>
    <row r="15672" spans="24:44">
      <c r="X15672"/>
      <c r="Y15672"/>
      <c r="Z15672"/>
      <c r="AA15672"/>
      <c r="AC15672"/>
      <c r="AR15672"/>
    </row>
    <row r="15673" spans="24:44">
      <c r="X15673"/>
      <c r="Y15673"/>
      <c r="Z15673"/>
      <c r="AA15673"/>
      <c r="AC15673"/>
      <c r="AR15673"/>
    </row>
    <row r="15674" spans="24:44">
      <c r="X15674"/>
      <c r="Y15674"/>
      <c r="Z15674"/>
      <c r="AA15674"/>
      <c r="AC15674"/>
      <c r="AR15674"/>
    </row>
    <row r="15675" spans="24:44">
      <c r="X15675"/>
      <c r="Y15675"/>
      <c r="Z15675"/>
      <c r="AA15675"/>
      <c r="AC15675"/>
      <c r="AR15675"/>
    </row>
    <row r="15676" spans="24:44">
      <c r="X15676"/>
      <c r="Y15676"/>
      <c r="Z15676"/>
      <c r="AA15676"/>
      <c r="AC15676"/>
      <c r="AR15676"/>
    </row>
    <row r="15677" spans="24:44">
      <c r="X15677"/>
      <c r="Y15677"/>
      <c r="Z15677"/>
      <c r="AA15677"/>
      <c r="AC15677"/>
      <c r="AR15677"/>
    </row>
    <row r="15678" spans="24:44">
      <c r="X15678"/>
      <c r="Y15678"/>
      <c r="Z15678"/>
      <c r="AA15678"/>
      <c r="AC15678"/>
      <c r="AR15678"/>
    </row>
    <row r="15679" spans="24:44">
      <c r="X15679"/>
      <c r="Y15679"/>
      <c r="Z15679"/>
      <c r="AA15679"/>
      <c r="AC15679"/>
      <c r="AR15679"/>
    </row>
    <row r="15680" spans="24:44">
      <c r="X15680"/>
      <c r="Y15680"/>
      <c r="Z15680"/>
      <c r="AA15680"/>
      <c r="AC15680"/>
      <c r="AR15680"/>
    </row>
    <row r="15681" spans="24:44">
      <c r="X15681"/>
      <c r="Y15681"/>
      <c r="Z15681"/>
      <c r="AA15681"/>
      <c r="AC15681"/>
      <c r="AR15681"/>
    </row>
    <row r="15682" spans="24:44">
      <c r="X15682"/>
      <c r="Y15682"/>
      <c r="Z15682"/>
      <c r="AA15682"/>
      <c r="AC15682"/>
      <c r="AR15682"/>
    </row>
    <row r="15683" spans="24:44">
      <c r="X15683"/>
      <c r="Y15683"/>
      <c r="Z15683"/>
      <c r="AA15683"/>
      <c r="AC15683"/>
      <c r="AR15683"/>
    </row>
    <row r="15684" spans="24:44">
      <c r="X15684"/>
      <c r="Y15684"/>
      <c r="Z15684"/>
      <c r="AA15684"/>
      <c r="AC15684"/>
      <c r="AR15684"/>
    </row>
    <row r="15685" spans="24:44">
      <c r="X15685"/>
      <c r="Y15685"/>
      <c r="Z15685"/>
      <c r="AA15685"/>
      <c r="AC15685"/>
      <c r="AR15685"/>
    </row>
    <row r="15686" spans="24:44">
      <c r="X15686"/>
      <c r="Y15686"/>
      <c r="Z15686"/>
      <c r="AA15686"/>
      <c r="AC15686"/>
      <c r="AR15686"/>
    </row>
    <row r="15687" spans="24:44">
      <c r="X15687"/>
      <c r="Y15687"/>
      <c r="Z15687"/>
      <c r="AA15687"/>
      <c r="AC15687"/>
      <c r="AR15687"/>
    </row>
    <row r="15688" spans="24:44">
      <c r="X15688"/>
      <c r="Y15688"/>
      <c r="Z15688"/>
      <c r="AA15688"/>
      <c r="AC15688"/>
      <c r="AR15688"/>
    </row>
    <row r="15689" spans="24:44">
      <c r="X15689"/>
      <c r="Y15689"/>
      <c r="Z15689"/>
      <c r="AA15689"/>
      <c r="AC15689"/>
      <c r="AR15689"/>
    </row>
    <row r="15690" spans="24:44">
      <c r="X15690"/>
      <c r="Y15690"/>
      <c r="Z15690"/>
      <c r="AA15690"/>
      <c r="AC15690"/>
      <c r="AR15690"/>
    </row>
    <row r="15691" spans="24:44">
      <c r="X15691"/>
      <c r="Y15691"/>
      <c r="Z15691"/>
      <c r="AA15691"/>
      <c r="AC15691"/>
      <c r="AR15691"/>
    </row>
    <row r="15692" spans="24:44">
      <c r="X15692"/>
      <c r="Y15692"/>
      <c r="Z15692"/>
      <c r="AA15692"/>
      <c r="AC15692"/>
      <c r="AR15692"/>
    </row>
    <row r="15693" spans="24:44">
      <c r="X15693"/>
      <c r="Y15693"/>
      <c r="Z15693"/>
      <c r="AA15693"/>
      <c r="AC15693"/>
      <c r="AR15693"/>
    </row>
    <row r="15694" spans="24:44">
      <c r="X15694"/>
      <c r="Y15694"/>
      <c r="Z15694"/>
      <c r="AA15694"/>
      <c r="AC15694"/>
      <c r="AR15694"/>
    </row>
    <row r="15695" spans="24:44">
      <c r="X15695"/>
      <c r="Y15695"/>
      <c r="Z15695"/>
      <c r="AA15695"/>
      <c r="AC15695"/>
      <c r="AR15695"/>
    </row>
    <row r="15696" spans="24:44">
      <c r="X15696"/>
      <c r="Y15696"/>
      <c r="Z15696"/>
      <c r="AA15696"/>
      <c r="AC15696"/>
      <c r="AR15696"/>
    </row>
    <row r="15697" spans="24:44">
      <c r="X15697"/>
      <c r="Y15697"/>
      <c r="Z15697"/>
      <c r="AA15697"/>
      <c r="AC15697"/>
      <c r="AR15697"/>
    </row>
    <row r="15698" spans="24:44">
      <c r="X15698"/>
      <c r="Y15698"/>
      <c r="Z15698"/>
      <c r="AA15698"/>
      <c r="AC15698"/>
      <c r="AR15698"/>
    </row>
    <row r="15699" spans="24:44">
      <c r="X15699"/>
      <c r="Y15699"/>
      <c r="Z15699"/>
      <c r="AA15699"/>
      <c r="AC15699"/>
      <c r="AR15699"/>
    </row>
    <row r="15700" spans="24:44">
      <c r="X15700"/>
      <c r="Y15700"/>
      <c r="Z15700"/>
      <c r="AA15700"/>
      <c r="AC15700"/>
      <c r="AR15700"/>
    </row>
    <row r="15701" spans="24:44">
      <c r="X15701"/>
      <c r="Y15701"/>
      <c r="Z15701"/>
      <c r="AA15701"/>
      <c r="AC15701"/>
      <c r="AR15701"/>
    </row>
    <row r="15702" spans="24:44">
      <c r="X15702"/>
      <c r="Y15702"/>
      <c r="Z15702"/>
      <c r="AA15702"/>
      <c r="AC15702"/>
      <c r="AR15702"/>
    </row>
    <row r="15703" spans="24:44">
      <c r="X15703"/>
      <c r="Y15703"/>
      <c r="Z15703"/>
      <c r="AA15703"/>
      <c r="AC15703"/>
      <c r="AR15703"/>
    </row>
    <row r="15704" spans="24:44">
      <c r="X15704"/>
      <c r="Y15704"/>
      <c r="Z15704"/>
      <c r="AA15704"/>
      <c r="AC15704"/>
      <c r="AR15704"/>
    </row>
    <row r="15705" spans="24:44">
      <c r="X15705"/>
      <c r="Y15705"/>
      <c r="Z15705"/>
      <c r="AA15705"/>
      <c r="AC15705"/>
      <c r="AR15705"/>
    </row>
    <row r="15706" spans="24:44">
      <c r="X15706"/>
      <c r="Y15706"/>
      <c r="Z15706"/>
      <c r="AA15706"/>
      <c r="AC15706"/>
      <c r="AR15706"/>
    </row>
    <row r="15707" spans="24:44">
      <c r="X15707"/>
      <c r="Y15707"/>
      <c r="Z15707"/>
      <c r="AA15707"/>
      <c r="AC15707"/>
      <c r="AR15707"/>
    </row>
    <row r="15708" spans="24:44">
      <c r="X15708"/>
      <c r="Y15708"/>
      <c r="Z15708"/>
      <c r="AA15708"/>
      <c r="AC15708"/>
      <c r="AR15708"/>
    </row>
    <row r="15709" spans="24:44">
      <c r="X15709"/>
      <c r="Y15709"/>
      <c r="Z15709"/>
      <c r="AA15709"/>
      <c r="AC15709"/>
      <c r="AR15709"/>
    </row>
    <row r="15710" spans="24:44">
      <c r="X15710"/>
      <c r="Y15710"/>
      <c r="Z15710"/>
      <c r="AA15710"/>
      <c r="AC15710"/>
      <c r="AR15710"/>
    </row>
    <row r="15711" spans="24:44">
      <c r="X15711"/>
      <c r="Y15711"/>
      <c r="Z15711"/>
      <c r="AA15711"/>
      <c r="AC15711"/>
      <c r="AR15711"/>
    </row>
    <row r="15712" spans="24:44">
      <c r="X15712"/>
      <c r="Y15712"/>
      <c r="Z15712"/>
      <c r="AA15712"/>
      <c r="AC15712"/>
      <c r="AR15712"/>
    </row>
    <row r="15713" spans="24:44">
      <c r="X15713"/>
      <c r="Y15713"/>
      <c r="Z15713"/>
      <c r="AA15713"/>
      <c r="AC15713"/>
      <c r="AR15713"/>
    </row>
    <row r="15714" spans="24:44">
      <c r="X15714"/>
      <c r="Y15714"/>
      <c r="Z15714"/>
      <c r="AA15714"/>
      <c r="AC15714"/>
      <c r="AR15714"/>
    </row>
    <row r="15715" spans="24:44">
      <c r="X15715"/>
      <c r="Y15715"/>
      <c r="Z15715"/>
      <c r="AA15715"/>
      <c r="AC15715"/>
      <c r="AR15715"/>
    </row>
    <row r="15716" spans="24:44">
      <c r="X15716"/>
      <c r="Y15716"/>
      <c r="Z15716"/>
      <c r="AA15716"/>
      <c r="AC15716"/>
      <c r="AR15716"/>
    </row>
    <row r="15717" spans="24:44">
      <c r="X15717"/>
      <c r="Y15717"/>
      <c r="Z15717"/>
      <c r="AA15717"/>
      <c r="AC15717"/>
      <c r="AR15717"/>
    </row>
    <row r="15718" spans="24:44">
      <c r="X15718"/>
      <c r="Y15718"/>
      <c r="Z15718"/>
      <c r="AA15718"/>
      <c r="AC15718"/>
      <c r="AR15718"/>
    </row>
    <row r="15719" spans="24:44">
      <c r="X15719"/>
      <c r="Y15719"/>
      <c r="Z15719"/>
      <c r="AA15719"/>
      <c r="AC15719"/>
      <c r="AR15719"/>
    </row>
    <row r="15720" spans="24:44">
      <c r="X15720"/>
      <c r="Y15720"/>
      <c r="Z15720"/>
      <c r="AA15720"/>
      <c r="AC15720"/>
      <c r="AR15720"/>
    </row>
    <row r="15721" spans="24:44">
      <c r="X15721"/>
      <c r="Y15721"/>
      <c r="Z15721"/>
      <c r="AA15721"/>
      <c r="AC15721"/>
      <c r="AR15721"/>
    </row>
    <row r="15722" spans="24:44">
      <c r="X15722"/>
      <c r="Y15722"/>
      <c r="Z15722"/>
      <c r="AA15722"/>
      <c r="AC15722"/>
      <c r="AR15722"/>
    </row>
    <row r="15723" spans="24:44">
      <c r="X15723"/>
      <c r="Y15723"/>
      <c r="Z15723"/>
      <c r="AA15723"/>
      <c r="AC15723"/>
      <c r="AR15723"/>
    </row>
    <row r="15724" spans="24:44">
      <c r="X15724"/>
      <c r="Y15724"/>
      <c r="Z15724"/>
      <c r="AA15724"/>
      <c r="AC15724"/>
      <c r="AR15724"/>
    </row>
    <row r="15725" spans="24:44">
      <c r="X15725"/>
      <c r="Y15725"/>
      <c r="Z15725"/>
      <c r="AA15725"/>
      <c r="AC15725"/>
      <c r="AR15725"/>
    </row>
    <row r="15726" spans="24:44">
      <c r="X15726"/>
      <c r="Y15726"/>
      <c r="Z15726"/>
      <c r="AA15726"/>
      <c r="AC15726"/>
      <c r="AR15726"/>
    </row>
    <row r="15727" spans="24:44">
      <c r="X15727"/>
      <c r="Y15727"/>
      <c r="Z15727"/>
      <c r="AA15727"/>
      <c r="AC15727"/>
      <c r="AR15727"/>
    </row>
    <row r="15728" spans="24:44">
      <c r="X15728"/>
      <c r="Y15728"/>
      <c r="Z15728"/>
      <c r="AA15728"/>
      <c r="AC15728"/>
      <c r="AR15728"/>
    </row>
    <row r="15729" spans="24:44">
      <c r="X15729"/>
      <c r="Y15729"/>
      <c r="Z15729"/>
      <c r="AA15729"/>
      <c r="AC15729"/>
      <c r="AR15729"/>
    </row>
    <row r="15730" spans="24:44">
      <c r="X15730"/>
      <c r="Y15730"/>
      <c r="Z15730"/>
      <c r="AA15730"/>
      <c r="AC15730"/>
      <c r="AR15730"/>
    </row>
    <row r="15731" spans="24:44">
      <c r="X15731"/>
      <c r="Y15731"/>
      <c r="Z15731"/>
      <c r="AA15731"/>
      <c r="AC15731"/>
      <c r="AR15731"/>
    </row>
    <row r="15732" spans="24:44">
      <c r="X15732"/>
      <c r="Y15732"/>
      <c r="Z15732"/>
      <c r="AA15732"/>
      <c r="AC15732"/>
      <c r="AR15732"/>
    </row>
    <row r="15733" spans="24:44">
      <c r="X15733"/>
      <c r="Y15733"/>
      <c r="Z15733"/>
      <c r="AA15733"/>
      <c r="AC15733"/>
      <c r="AR15733"/>
    </row>
    <row r="15734" spans="24:44">
      <c r="X15734"/>
      <c r="Y15734"/>
      <c r="Z15734"/>
      <c r="AA15734"/>
      <c r="AC15734"/>
      <c r="AR15734"/>
    </row>
    <row r="15735" spans="24:44">
      <c r="X15735"/>
      <c r="Y15735"/>
      <c r="Z15735"/>
      <c r="AA15735"/>
      <c r="AC15735"/>
      <c r="AR15735"/>
    </row>
    <row r="15736" spans="24:44">
      <c r="X15736"/>
      <c r="Y15736"/>
      <c r="Z15736"/>
      <c r="AA15736"/>
      <c r="AC15736"/>
      <c r="AR15736"/>
    </row>
    <row r="15737" spans="24:44">
      <c r="X15737"/>
      <c r="Y15737"/>
      <c r="Z15737"/>
      <c r="AA15737"/>
      <c r="AC15737"/>
      <c r="AR15737"/>
    </row>
    <row r="15738" spans="24:44">
      <c r="X15738"/>
      <c r="Y15738"/>
      <c r="Z15738"/>
      <c r="AA15738"/>
      <c r="AC15738"/>
      <c r="AR15738"/>
    </row>
    <row r="15739" spans="24:44">
      <c r="X15739"/>
      <c r="Y15739"/>
      <c r="Z15739"/>
      <c r="AA15739"/>
      <c r="AC15739"/>
      <c r="AR15739"/>
    </row>
    <row r="15740" spans="24:44">
      <c r="X15740"/>
      <c r="Y15740"/>
      <c r="Z15740"/>
      <c r="AA15740"/>
      <c r="AC15740"/>
      <c r="AR15740"/>
    </row>
    <row r="15741" spans="24:44">
      <c r="X15741"/>
      <c r="Y15741"/>
      <c r="Z15741"/>
      <c r="AA15741"/>
      <c r="AC15741"/>
      <c r="AR15741"/>
    </row>
    <row r="15742" spans="24:44">
      <c r="X15742"/>
      <c r="Y15742"/>
      <c r="Z15742"/>
      <c r="AA15742"/>
      <c r="AC15742"/>
      <c r="AR15742"/>
    </row>
    <row r="15743" spans="24:44">
      <c r="X15743"/>
      <c r="Y15743"/>
      <c r="Z15743"/>
      <c r="AA15743"/>
      <c r="AC15743"/>
      <c r="AR15743"/>
    </row>
    <row r="15744" spans="24:44">
      <c r="X15744"/>
      <c r="Y15744"/>
      <c r="Z15744"/>
      <c r="AA15744"/>
      <c r="AC15744"/>
      <c r="AR15744"/>
    </row>
    <row r="15745" spans="24:44">
      <c r="X15745"/>
      <c r="Y15745"/>
      <c r="Z15745"/>
      <c r="AA15745"/>
      <c r="AC15745"/>
      <c r="AR15745"/>
    </row>
    <row r="15746" spans="24:44">
      <c r="X15746"/>
      <c r="Y15746"/>
      <c r="Z15746"/>
      <c r="AA15746"/>
      <c r="AC15746"/>
      <c r="AR15746"/>
    </row>
    <row r="15747" spans="24:44">
      <c r="X15747"/>
      <c r="Y15747"/>
      <c r="Z15747"/>
      <c r="AA15747"/>
      <c r="AC15747"/>
      <c r="AR15747"/>
    </row>
    <row r="15748" spans="24:44">
      <c r="X15748"/>
      <c r="Y15748"/>
      <c r="Z15748"/>
      <c r="AA15748"/>
      <c r="AC15748"/>
      <c r="AR15748"/>
    </row>
    <row r="15749" spans="24:44">
      <c r="X15749"/>
      <c r="Y15749"/>
      <c r="Z15749"/>
      <c r="AA15749"/>
      <c r="AC15749"/>
      <c r="AR15749"/>
    </row>
    <row r="15750" spans="24:44">
      <c r="X15750"/>
      <c r="Y15750"/>
      <c r="Z15750"/>
      <c r="AA15750"/>
      <c r="AC15750"/>
      <c r="AR15750"/>
    </row>
    <row r="15751" spans="24:44">
      <c r="X15751"/>
      <c r="Y15751"/>
      <c r="Z15751"/>
      <c r="AA15751"/>
      <c r="AC15751"/>
      <c r="AR15751"/>
    </row>
    <row r="15752" spans="24:44">
      <c r="X15752"/>
      <c r="Y15752"/>
      <c r="Z15752"/>
      <c r="AA15752"/>
      <c r="AC15752"/>
      <c r="AR15752"/>
    </row>
    <row r="15753" spans="24:44">
      <c r="X15753"/>
      <c r="Y15753"/>
      <c r="Z15753"/>
      <c r="AA15753"/>
      <c r="AC15753"/>
      <c r="AR15753"/>
    </row>
    <row r="15754" spans="24:44">
      <c r="X15754"/>
      <c r="Y15754"/>
      <c r="Z15754"/>
      <c r="AA15754"/>
      <c r="AC15754"/>
      <c r="AR15754"/>
    </row>
    <row r="15755" spans="24:44">
      <c r="X15755"/>
      <c r="Y15755"/>
      <c r="Z15755"/>
      <c r="AA15755"/>
      <c r="AC15755"/>
      <c r="AR15755"/>
    </row>
    <row r="15756" spans="24:44">
      <c r="X15756"/>
      <c r="Y15756"/>
      <c r="Z15756"/>
      <c r="AA15756"/>
      <c r="AC15756"/>
      <c r="AR15756"/>
    </row>
    <row r="15757" spans="24:44">
      <c r="X15757"/>
      <c r="Y15757"/>
      <c r="Z15757"/>
      <c r="AA15757"/>
      <c r="AC15757"/>
      <c r="AR15757"/>
    </row>
    <row r="15758" spans="24:44">
      <c r="X15758"/>
      <c r="Y15758"/>
      <c r="Z15758"/>
      <c r="AA15758"/>
      <c r="AC15758"/>
      <c r="AR15758"/>
    </row>
    <row r="15759" spans="24:44">
      <c r="X15759"/>
      <c r="Y15759"/>
      <c r="Z15759"/>
      <c r="AA15759"/>
      <c r="AC15759"/>
      <c r="AR15759"/>
    </row>
    <row r="15760" spans="24:44">
      <c r="X15760"/>
      <c r="Y15760"/>
      <c r="Z15760"/>
      <c r="AA15760"/>
      <c r="AC15760"/>
      <c r="AR15760"/>
    </row>
    <row r="15761" spans="24:44">
      <c r="X15761"/>
      <c r="Y15761"/>
      <c r="Z15761"/>
      <c r="AA15761"/>
      <c r="AC15761"/>
      <c r="AR15761"/>
    </row>
    <row r="15762" spans="24:44">
      <c r="X15762"/>
      <c r="Y15762"/>
      <c r="Z15762"/>
      <c r="AA15762"/>
      <c r="AC15762"/>
      <c r="AR15762"/>
    </row>
    <row r="15763" spans="24:44">
      <c r="X15763"/>
      <c r="Y15763"/>
      <c r="Z15763"/>
      <c r="AA15763"/>
      <c r="AC15763"/>
      <c r="AR15763"/>
    </row>
    <row r="15764" spans="24:44">
      <c r="X15764"/>
      <c r="Y15764"/>
      <c r="Z15764"/>
      <c r="AA15764"/>
      <c r="AC15764"/>
      <c r="AR15764"/>
    </row>
    <row r="15765" spans="24:44">
      <c r="X15765"/>
      <c r="Y15765"/>
      <c r="Z15765"/>
      <c r="AA15765"/>
      <c r="AC15765"/>
      <c r="AR15765"/>
    </row>
    <row r="15766" spans="24:44">
      <c r="X15766"/>
      <c r="Y15766"/>
      <c r="Z15766"/>
      <c r="AA15766"/>
      <c r="AC15766"/>
      <c r="AR15766"/>
    </row>
    <row r="15767" spans="24:44">
      <c r="X15767"/>
      <c r="Y15767"/>
      <c r="Z15767"/>
      <c r="AA15767"/>
      <c r="AC15767"/>
      <c r="AR15767"/>
    </row>
    <row r="15768" spans="24:44">
      <c r="X15768"/>
      <c r="Y15768"/>
      <c r="Z15768"/>
      <c r="AA15768"/>
      <c r="AC15768"/>
      <c r="AR15768"/>
    </row>
    <row r="15769" spans="24:44">
      <c r="X15769"/>
      <c r="Y15769"/>
      <c r="Z15769"/>
      <c r="AA15769"/>
      <c r="AC15769"/>
      <c r="AR15769"/>
    </row>
    <row r="15770" spans="24:44">
      <c r="X15770"/>
      <c r="Y15770"/>
      <c r="Z15770"/>
      <c r="AA15770"/>
      <c r="AC15770"/>
      <c r="AR15770"/>
    </row>
    <row r="15771" spans="24:44">
      <c r="X15771"/>
      <c r="Y15771"/>
      <c r="Z15771"/>
      <c r="AA15771"/>
      <c r="AC15771"/>
      <c r="AR15771"/>
    </row>
    <row r="15772" spans="24:44">
      <c r="X15772"/>
      <c r="Y15772"/>
      <c r="Z15772"/>
      <c r="AA15772"/>
      <c r="AC15772"/>
      <c r="AR15772"/>
    </row>
    <row r="15773" spans="24:44">
      <c r="X15773"/>
      <c r="Y15773"/>
      <c r="Z15773"/>
      <c r="AA15773"/>
      <c r="AC15773"/>
      <c r="AR15773"/>
    </row>
    <row r="15774" spans="24:44">
      <c r="X15774"/>
      <c r="Y15774"/>
      <c r="Z15774"/>
      <c r="AA15774"/>
      <c r="AC15774"/>
      <c r="AR15774"/>
    </row>
    <row r="15775" spans="24:44">
      <c r="X15775"/>
      <c r="Y15775"/>
      <c r="Z15775"/>
      <c r="AA15775"/>
      <c r="AC15775"/>
      <c r="AR15775"/>
    </row>
    <row r="15776" spans="24:44">
      <c r="X15776"/>
      <c r="Y15776"/>
      <c r="Z15776"/>
      <c r="AA15776"/>
      <c r="AC15776"/>
      <c r="AR15776"/>
    </row>
    <row r="15777" spans="24:44">
      <c r="X15777"/>
      <c r="Y15777"/>
      <c r="Z15777"/>
      <c r="AA15777"/>
      <c r="AC15777"/>
      <c r="AR15777"/>
    </row>
    <row r="15778" spans="24:44">
      <c r="X15778"/>
      <c r="Y15778"/>
      <c r="Z15778"/>
      <c r="AA15778"/>
      <c r="AC15778"/>
      <c r="AR15778"/>
    </row>
    <row r="15779" spans="24:44">
      <c r="X15779"/>
      <c r="Y15779"/>
      <c r="Z15779"/>
      <c r="AA15779"/>
      <c r="AC15779"/>
      <c r="AR15779"/>
    </row>
    <row r="15780" spans="24:44">
      <c r="X15780"/>
      <c r="Y15780"/>
      <c r="Z15780"/>
      <c r="AA15780"/>
      <c r="AC15780"/>
      <c r="AR15780"/>
    </row>
    <row r="15781" spans="24:44">
      <c r="X15781"/>
      <c r="Y15781"/>
      <c r="Z15781"/>
      <c r="AA15781"/>
      <c r="AC15781"/>
      <c r="AR15781"/>
    </row>
    <row r="15782" spans="24:44">
      <c r="X15782"/>
      <c r="Y15782"/>
      <c r="Z15782"/>
      <c r="AA15782"/>
      <c r="AC15782"/>
      <c r="AR15782"/>
    </row>
    <row r="15783" spans="24:44">
      <c r="X15783"/>
      <c r="Y15783"/>
      <c r="Z15783"/>
      <c r="AA15783"/>
      <c r="AC15783"/>
      <c r="AR15783"/>
    </row>
    <row r="15784" spans="24:44">
      <c r="X15784"/>
      <c r="Y15784"/>
      <c r="Z15784"/>
      <c r="AA15784"/>
      <c r="AC15784"/>
      <c r="AR15784"/>
    </row>
    <row r="15785" spans="24:44">
      <c r="X15785"/>
      <c r="Y15785"/>
      <c r="Z15785"/>
      <c r="AA15785"/>
      <c r="AC15785"/>
      <c r="AR15785"/>
    </row>
    <row r="15786" spans="24:44">
      <c r="X15786"/>
      <c r="Y15786"/>
      <c r="Z15786"/>
      <c r="AA15786"/>
      <c r="AC15786"/>
      <c r="AR15786"/>
    </row>
    <row r="15787" spans="24:44">
      <c r="X15787"/>
      <c r="Y15787"/>
      <c r="Z15787"/>
      <c r="AA15787"/>
      <c r="AC15787"/>
      <c r="AR15787"/>
    </row>
    <row r="15788" spans="24:44">
      <c r="X15788"/>
      <c r="Y15788"/>
      <c r="Z15788"/>
      <c r="AA15788"/>
      <c r="AC15788"/>
      <c r="AR15788"/>
    </row>
    <row r="15789" spans="24:44">
      <c r="X15789"/>
      <c r="Y15789"/>
      <c r="Z15789"/>
      <c r="AA15789"/>
      <c r="AC15789"/>
      <c r="AR15789"/>
    </row>
    <row r="15790" spans="24:44">
      <c r="X15790"/>
      <c r="Y15790"/>
      <c r="Z15790"/>
      <c r="AA15790"/>
      <c r="AC15790"/>
      <c r="AR15790"/>
    </row>
    <row r="15791" spans="24:44">
      <c r="X15791"/>
      <c r="Y15791"/>
      <c r="Z15791"/>
      <c r="AA15791"/>
      <c r="AC15791"/>
      <c r="AR15791"/>
    </row>
    <row r="15792" spans="24:44">
      <c r="X15792"/>
      <c r="Y15792"/>
      <c r="Z15792"/>
      <c r="AA15792"/>
      <c r="AC15792"/>
      <c r="AR15792"/>
    </row>
    <row r="15793" spans="24:44">
      <c r="X15793"/>
      <c r="Y15793"/>
      <c r="Z15793"/>
      <c r="AA15793"/>
      <c r="AC15793"/>
      <c r="AR15793"/>
    </row>
    <row r="15794" spans="24:44">
      <c r="X15794"/>
      <c r="Y15794"/>
      <c r="Z15794"/>
      <c r="AA15794"/>
      <c r="AC15794"/>
      <c r="AR15794"/>
    </row>
    <row r="15795" spans="24:44">
      <c r="X15795"/>
      <c r="Y15795"/>
      <c r="Z15795"/>
      <c r="AA15795"/>
      <c r="AC15795"/>
      <c r="AR15795"/>
    </row>
    <row r="15796" spans="24:44">
      <c r="X15796"/>
      <c r="Y15796"/>
      <c r="Z15796"/>
      <c r="AA15796"/>
      <c r="AC15796"/>
      <c r="AR15796"/>
    </row>
    <row r="15797" spans="24:44">
      <c r="X15797"/>
      <c r="Y15797"/>
      <c r="Z15797"/>
      <c r="AA15797"/>
      <c r="AC15797"/>
      <c r="AR15797"/>
    </row>
    <row r="15798" spans="24:44">
      <c r="X15798"/>
      <c r="Y15798"/>
      <c r="Z15798"/>
      <c r="AA15798"/>
      <c r="AC15798"/>
      <c r="AR15798"/>
    </row>
    <row r="15799" spans="24:44">
      <c r="X15799"/>
      <c r="Y15799"/>
      <c r="Z15799"/>
      <c r="AA15799"/>
      <c r="AC15799"/>
      <c r="AR15799"/>
    </row>
    <row r="15800" spans="24:44">
      <c r="X15800"/>
      <c r="Y15800"/>
      <c r="Z15800"/>
      <c r="AA15800"/>
      <c r="AC15800"/>
      <c r="AR15800"/>
    </row>
    <row r="15801" spans="24:44">
      <c r="X15801"/>
      <c r="Y15801"/>
      <c r="Z15801"/>
      <c r="AA15801"/>
      <c r="AC15801"/>
      <c r="AR15801"/>
    </row>
    <row r="15802" spans="24:44">
      <c r="X15802"/>
      <c r="Y15802"/>
      <c r="Z15802"/>
      <c r="AA15802"/>
      <c r="AC15802"/>
      <c r="AR15802"/>
    </row>
    <row r="15803" spans="24:44">
      <c r="X15803"/>
      <c r="Y15803"/>
      <c r="Z15803"/>
      <c r="AA15803"/>
      <c r="AC15803"/>
      <c r="AR15803"/>
    </row>
    <row r="15804" spans="24:44">
      <c r="X15804"/>
      <c r="Y15804"/>
      <c r="Z15804"/>
      <c r="AA15804"/>
      <c r="AC15804"/>
      <c r="AR15804"/>
    </row>
    <row r="15805" spans="24:44">
      <c r="X15805"/>
      <c r="Y15805"/>
      <c r="Z15805"/>
      <c r="AA15805"/>
      <c r="AC15805"/>
      <c r="AR15805"/>
    </row>
    <row r="15806" spans="24:44">
      <c r="X15806"/>
      <c r="Y15806"/>
      <c r="Z15806"/>
      <c r="AA15806"/>
      <c r="AC15806"/>
      <c r="AR15806"/>
    </row>
    <row r="15807" spans="24:44">
      <c r="X15807"/>
      <c r="Y15807"/>
      <c r="Z15807"/>
      <c r="AA15807"/>
      <c r="AC15807"/>
      <c r="AR15807"/>
    </row>
    <row r="15808" spans="24:44">
      <c r="X15808"/>
      <c r="Y15808"/>
      <c r="Z15808"/>
      <c r="AA15808"/>
      <c r="AC15808"/>
      <c r="AR15808"/>
    </row>
    <row r="15809" spans="24:44">
      <c r="X15809"/>
      <c r="Y15809"/>
      <c r="Z15809"/>
      <c r="AA15809"/>
      <c r="AC15809"/>
      <c r="AR15809"/>
    </row>
    <row r="15810" spans="24:44">
      <c r="X15810"/>
      <c r="Y15810"/>
      <c r="Z15810"/>
      <c r="AA15810"/>
      <c r="AC15810"/>
      <c r="AR15810"/>
    </row>
    <row r="15811" spans="24:44">
      <c r="X15811"/>
      <c r="Y15811"/>
      <c r="Z15811"/>
      <c r="AA15811"/>
      <c r="AC15811"/>
      <c r="AR15811"/>
    </row>
    <row r="15812" spans="24:44">
      <c r="X15812"/>
      <c r="Y15812"/>
      <c r="Z15812"/>
      <c r="AA15812"/>
      <c r="AC15812"/>
      <c r="AR15812"/>
    </row>
    <row r="15813" spans="24:44">
      <c r="X15813"/>
      <c r="Y15813"/>
      <c r="Z15813"/>
      <c r="AA15813"/>
      <c r="AC15813"/>
      <c r="AR15813"/>
    </row>
    <row r="15814" spans="24:44">
      <c r="X15814"/>
      <c r="Y15814"/>
      <c r="Z15814"/>
      <c r="AA15814"/>
      <c r="AC15814"/>
      <c r="AR15814"/>
    </row>
    <row r="15815" spans="24:44">
      <c r="X15815"/>
      <c r="Y15815"/>
      <c r="Z15815"/>
      <c r="AA15815"/>
      <c r="AC15815"/>
      <c r="AR15815"/>
    </row>
    <row r="15816" spans="24:44">
      <c r="X15816"/>
      <c r="Y15816"/>
      <c r="Z15816"/>
      <c r="AA15816"/>
      <c r="AC15816"/>
      <c r="AR15816"/>
    </row>
    <row r="15817" spans="24:44">
      <c r="X15817"/>
      <c r="Y15817"/>
      <c r="Z15817"/>
      <c r="AA15817"/>
      <c r="AC15817"/>
      <c r="AR15817"/>
    </row>
    <row r="15818" spans="24:44">
      <c r="X15818"/>
      <c r="Y15818"/>
      <c r="Z15818"/>
      <c r="AA15818"/>
      <c r="AC15818"/>
      <c r="AR15818"/>
    </row>
    <row r="15819" spans="24:44">
      <c r="X15819"/>
      <c r="Y15819"/>
      <c r="Z15819"/>
      <c r="AA15819"/>
      <c r="AC15819"/>
      <c r="AR15819"/>
    </row>
    <row r="15820" spans="24:44">
      <c r="X15820"/>
      <c r="Y15820"/>
      <c r="Z15820"/>
      <c r="AA15820"/>
      <c r="AC15820"/>
      <c r="AR15820"/>
    </row>
    <row r="15821" spans="24:44">
      <c r="X15821"/>
      <c r="Y15821"/>
      <c r="Z15821"/>
      <c r="AA15821"/>
      <c r="AC15821"/>
      <c r="AR15821"/>
    </row>
    <row r="15822" spans="24:44">
      <c r="X15822"/>
      <c r="Y15822"/>
      <c r="Z15822"/>
      <c r="AA15822"/>
      <c r="AC15822"/>
      <c r="AR15822"/>
    </row>
    <row r="15823" spans="24:44">
      <c r="X15823"/>
      <c r="Y15823"/>
      <c r="Z15823"/>
      <c r="AA15823"/>
      <c r="AC15823"/>
      <c r="AR15823"/>
    </row>
    <row r="15824" spans="24:44">
      <c r="X15824"/>
      <c r="Y15824"/>
      <c r="Z15824"/>
      <c r="AA15824"/>
      <c r="AC15824"/>
      <c r="AR15824"/>
    </row>
    <row r="15825" spans="24:44">
      <c r="X15825"/>
      <c r="Y15825"/>
      <c r="Z15825"/>
      <c r="AA15825"/>
      <c r="AC15825"/>
      <c r="AR15825"/>
    </row>
    <row r="15826" spans="24:44">
      <c r="X15826"/>
      <c r="Y15826"/>
      <c r="Z15826"/>
      <c r="AA15826"/>
      <c r="AC15826"/>
      <c r="AR15826"/>
    </row>
    <row r="15827" spans="24:44">
      <c r="X15827"/>
      <c r="Y15827"/>
      <c r="Z15827"/>
      <c r="AA15827"/>
      <c r="AC15827"/>
      <c r="AR15827"/>
    </row>
    <row r="15828" spans="24:44">
      <c r="X15828"/>
      <c r="Y15828"/>
      <c r="Z15828"/>
      <c r="AA15828"/>
      <c r="AC15828"/>
      <c r="AR15828"/>
    </row>
    <row r="15829" spans="24:44">
      <c r="X15829"/>
      <c r="Y15829"/>
      <c r="Z15829"/>
      <c r="AA15829"/>
      <c r="AC15829"/>
      <c r="AR15829"/>
    </row>
    <row r="15830" spans="24:44">
      <c r="X15830"/>
      <c r="Y15830"/>
      <c r="Z15830"/>
      <c r="AA15830"/>
      <c r="AC15830"/>
      <c r="AR15830"/>
    </row>
    <row r="15831" spans="24:44">
      <c r="X15831"/>
      <c r="Y15831"/>
      <c r="Z15831"/>
      <c r="AA15831"/>
      <c r="AC15831"/>
      <c r="AR15831"/>
    </row>
    <row r="15832" spans="24:44">
      <c r="X15832"/>
      <c r="Y15832"/>
      <c r="Z15832"/>
      <c r="AA15832"/>
      <c r="AC15832"/>
      <c r="AR15832"/>
    </row>
    <row r="15833" spans="24:44">
      <c r="X15833"/>
      <c r="Y15833"/>
      <c r="Z15833"/>
      <c r="AA15833"/>
      <c r="AC15833"/>
      <c r="AR15833"/>
    </row>
    <row r="15834" spans="24:44">
      <c r="X15834"/>
      <c r="Y15834"/>
      <c r="Z15834"/>
      <c r="AA15834"/>
      <c r="AC15834"/>
      <c r="AR15834"/>
    </row>
    <row r="15835" spans="24:44">
      <c r="X15835"/>
      <c r="Y15835"/>
      <c r="Z15835"/>
      <c r="AA15835"/>
      <c r="AC15835"/>
      <c r="AR15835"/>
    </row>
    <row r="15836" spans="24:44">
      <c r="X15836"/>
      <c r="Y15836"/>
      <c r="Z15836"/>
      <c r="AA15836"/>
      <c r="AC15836"/>
      <c r="AR15836"/>
    </row>
    <row r="15837" spans="24:44">
      <c r="X15837"/>
      <c r="Y15837"/>
      <c r="Z15837"/>
      <c r="AA15837"/>
      <c r="AC15837"/>
      <c r="AR15837"/>
    </row>
    <row r="15838" spans="24:44">
      <c r="X15838"/>
      <c r="Y15838"/>
      <c r="Z15838"/>
      <c r="AA15838"/>
      <c r="AC15838"/>
      <c r="AR15838"/>
    </row>
    <row r="15839" spans="24:44">
      <c r="X15839"/>
      <c r="Y15839"/>
      <c r="Z15839"/>
      <c r="AA15839"/>
      <c r="AC15839"/>
      <c r="AR15839"/>
    </row>
    <row r="15840" spans="24:44">
      <c r="X15840"/>
      <c r="Y15840"/>
      <c r="Z15840"/>
      <c r="AA15840"/>
      <c r="AC15840"/>
      <c r="AR15840"/>
    </row>
    <row r="15841" spans="24:44">
      <c r="X15841"/>
      <c r="Y15841"/>
      <c r="Z15841"/>
      <c r="AA15841"/>
      <c r="AC15841"/>
      <c r="AR15841"/>
    </row>
    <row r="15842" spans="24:44">
      <c r="X15842"/>
      <c r="Y15842"/>
      <c r="Z15842"/>
      <c r="AA15842"/>
      <c r="AC15842"/>
      <c r="AR15842"/>
    </row>
    <row r="15843" spans="24:44">
      <c r="X15843"/>
      <c r="Y15843"/>
      <c r="Z15843"/>
      <c r="AA15843"/>
      <c r="AC15843"/>
      <c r="AR15843"/>
    </row>
    <row r="15844" spans="24:44">
      <c r="X15844"/>
      <c r="Y15844"/>
      <c r="Z15844"/>
      <c r="AA15844"/>
      <c r="AC15844"/>
      <c r="AR15844"/>
    </row>
    <row r="15845" spans="24:44">
      <c r="X15845"/>
      <c r="Y15845"/>
      <c r="Z15845"/>
      <c r="AA15845"/>
      <c r="AC15845"/>
      <c r="AR15845"/>
    </row>
    <row r="15846" spans="24:44">
      <c r="X15846"/>
      <c r="Y15846"/>
      <c r="Z15846"/>
      <c r="AA15846"/>
      <c r="AC15846"/>
      <c r="AR15846"/>
    </row>
    <row r="15847" spans="24:44">
      <c r="X15847"/>
      <c r="Y15847"/>
      <c r="Z15847"/>
      <c r="AA15847"/>
      <c r="AC15847"/>
      <c r="AR15847"/>
    </row>
    <row r="15848" spans="24:44">
      <c r="X15848"/>
      <c r="Y15848"/>
      <c r="Z15848"/>
      <c r="AA15848"/>
      <c r="AC15848"/>
      <c r="AR15848"/>
    </row>
    <row r="15849" spans="24:44">
      <c r="X15849"/>
      <c r="Y15849"/>
      <c r="Z15849"/>
      <c r="AA15849"/>
      <c r="AC15849"/>
      <c r="AR15849"/>
    </row>
    <row r="15850" spans="24:44">
      <c r="X15850"/>
      <c r="Y15850"/>
      <c r="Z15850"/>
      <c r="AA15850"/>
      <c r="AC15850"/>
      <c r="AR15850"/>
    </row>
    <row r="15851" spans="24:44">
      <c r="X15851"/>
      <c r="Y15851"/>
      <c r="Z15851"/>
      <c r="AA15851"/>
      <c r="AC15851"/>
      <c r="AR15851"/>
    </row>
    <row r="15852" spans="24:44">
      <c r="X15852"/>
      <c r="Y15852"/>
      <c r="Z15852"/>
      <c r="AA15852"/>
      <c r="AC15852"/>
      <c r="AR15852"/>
    </row>
    <row r="15853" spans="24:44">
      <c r="X15853"/>
      <c r="Y15853"/>
      <c r="Z15853"/>
      <c r="AA15853"/>
      <c r="AC15853"/>
      <c r="AR15853"/>
    </row>
    <row r="15854" spans="24:44">
      <c r="X15854"/>
      <c r="Y15854"/>
      <c r="Z15854"/>
      <c r="AA15854"/>
      <c r="AC15854"/>
      <c r="AR15854"/>
    </row>
    <row r="15855" spans="24:44">
      <c r="X15855"/>
      <c r="Y15855"/>
      <c r="Z15855"/>
      <c r="AA15855"/>
      <c r="AC15855"/>
      <c r="AR15855"/>
    </row>
    <row r="15856" spans="24:44">
      <c r="X15856"/>
      <c r="Y15856"/>
      <c r="Z15856"/>
      <c r="AA15856"/>
      <c r="AC15856"/>
      <c r="AR15856"/>
    </row>
    <row r="15857" spans="24:44">
      <c r="X15857"/>
      <c r="Y15857"/>
      <c r="Z15857"/>
      <c r="AA15857"/>
      <c r="AC15857"/>
      <c r="AR15857"/>
    </row>
    <row r="15858" spans="24:44">
      <c r="X15858"/>
      <c r="Y15858"/>
      <c r="Z15858"/>
      <c r="AA15858"/>
      <c r="AC15858"/>
      <c r="AR15858"/>
    </row>
    <row r="15859" spans="24:44">
      <c r="X15859"/>
      <c r="Y15859"/>
      <c r="Z15859"/>
      <c r="AA15859"/>
      <c r="AC15859"/>
      <c r="AR15859"/>
    </row>
    <row r="15860" spans="24:44">
      <c r="X15860"/>
      <c r="Y15860"/>
      <c r="Z15860"/>
      <c r="AA15860"/>
      <c r="AC15860"/>
      <c r="AR15860"/>
    </row>
    <row r="15861" spans="24:44">
      <c r="X15861"/>
      <c r="Y15861"/>
      <c r="Z15861"/>
      <c r="AA15861"/>
      <c r="AC15861"/>
      <c r="AR15861"/>
    </row>
    <row r="15862" spans="24:44">
      <c r="X15862"/>
      <c r="Y15862"/>
      <c r="Z15862"/>
      <c r="AA15862"/>
      <c r="AC15862"/>
      <c r="AR15862"/>
    </row>
    <row r="15863" spans="24:44">
      <c r="X15863"/>
      <c r="Y15863"/>
      <c r="Z15863"/>
      <c r="AA15863"/>
      <c r="AC15863"/>
      <c r="AR15863"/>
    </row>
    <row r="15864" spans="24:44">
      <c r="X15864"/>
      <c r="Y15864"/>
      <c r="Z15864"/>
      <c r="AA15864"/>
      <c r="AC15864"/>
      <c r="AR15864"/>
    </row>
    <row r="15865" spans="24:44">
      <c r="X15865"/>
      <c r="Y15865"/>
      <c r="Z15865"/>
      <c r="AA15865"/>
      <c r="AC15865"/>
      <c r="AR15865"/>
    </row>
    <row r="15866" spans="24:44">
      <c r="X15866"/>
      <c r="Y15866"/>
      <c r="Z15866"/>
      <c r="AA15866"/>
      <c r="AC15866"/>
      <c r="AR15866"/>
    </row>
    <row r="15867" spans="24:44">
      <c r="X15867"/>
      <c r="Y15867"/>
      <c r="Z15867"/>
      <c r="AA15867"/>
      <c r="AC15867"/>
      <c r="AR15867"/>
    </row>
    <row r="15868" spans="24:44">
      <c r="X15868"/>
      <c r="Y15868"/>
      <c r="Z15868"/>
      <c r="AA15868"/>
      <c r="AC15868"/>
      <c r="AR15868"/>
    </row>
    <row r="15869" spans="24:44">
      <c r="X15869"/>
      <c r="Y15869"/>
      <c r="Z15869"/>
      <c r="AA15869"/>
      <c r="AC15869"/>
      <c r="AR15869"/>
    </row>
    <row r="15870" spans="24:44">
      <c r="X15870"/>
      <c r="Y15870"/>
      <c r="Z15870"/>
      <c r="AA15870"/>
      <c r="AC15870"/>
      <c r="AR15870"/>
    </row>
    <row r="15871" spans="24:44">
      <c r="X15871"/>
      <c r="Y15871"/>
      <c r="Z15871"/>
      <c r="AA15871"/>
      <c r="AC15871"/>
      <c r="AR15871"/>
    </row>
    <row r="15872" spans="24:44">
      <c r="X15872"/>
      <c r="Y15872"/>
      <c r="Z15872"/>
      <c r="AA15872"/>
      <c r="AC15872"/>
      <c r="AR15872"/>
    </row>
    <row r="15873" spans="24:44">
      <c r="X15873"/>
      <c r="Y15873"/>
      <c r="Z15873"/>
      <c r="AA15873"/>
      <c r="AC15873"/>
      <c r="AR15873"/>
    </row>
    <row r="15874" spans="24:44">
      <c r="X15874"/>
      <c r="Y15874"/>
      <c r="Z15874"/>
      <c r="AA15874"/>
      <c r="AC15874"/>
      <c r="AR15874"/>
    </row>
    <row r="15875" spans="24:44">
      <c r="X15875"/>
      <c r="Y15875"/>
      <c r="Z15875"/>
      <c r="AA15875"/>
      <c r="AC15875"/>
      <c r="AR15875"/>
    </row>
    <row r="15876" spans="24:44">
      <c r="X15876"/>
      <c r="Y15876"/>
      <c r="Z15876"/>
      <c r="AA15876"/>
      <c r="AC15876"/>
      <c r="AR15876"/>
    </row>
    <row r="15877" spans="24:44">
      <c r="X15877"/>
      <c r="Y15877"/>
      <c r="Z15877"/>
      <c r="AA15877"/>
      <c r="AC15877"/>
      <c r="AR15877"/>
    </row>
    <row r="15878" spans="24:44">
      <c r="X15878"/>
      <c r="Y15878"/>
      <c r="Z15878"/>
      <c r="AA15878"/>
      <c r="AC15878"/>
      <c r="AR15878"/>
    </row>
    <row r="15879" spans="24:44">
      <c r="X15879"/>
      <c r="Y15879"/>
      <c r="Z15879"/>
      <c r="AA15879"/>
      <c r="AC15879"/>
      <c r="AR15879"/>
    </row>
    <row r="15880" spans="24:44">
      <c r="X15880"/>
      <c r="Y15880"/>
      <c r="Z15880"/>
      <c r="AA15880"/>
      <c r="AC15880"/>
      <c r="AR15880"/>
    </row>
    <row r="15881" spans="24:44">
      <c r="X15881"/>
      <c r="Y15881"/>
      <c r="Z15881"/>
      <c r="AA15881"/>
      <c r="AC15881"/>
      <c r="AR15881"/>
    </row>
    <row r="15882" spans="24:44">
      <c r="X15882"/>
      <c r="Y15882"/>
      <c r="Z15882"/>
      <c r="AA15882"/>
      <c r="AC15882"/>
      <c r="AR15882"/>
    </row>
    <row r="15883" spans="24:44">
      <c r="X15883"/>
      <c r="Y15883"/>
      <c r="Z15883"/>
      <c r="AA15883"/>
      <c r="AC15883"/>
      <c r="AR15883"/>
    </row>
    <row r="15884" spans="24:44">
      <c r="X15884"/>
      <c r="Y15884"/>
      <c r="Z15884"/>
      <c r="AA15884"/>
      <c r="AC15884"/>
      <c r="AR15884"/>
    </row>
    <row r="15885" spans="24:44">
      <c r="X15885"/>
      <c r="Y15885"/>
      <c r="Z15885"/>
      <c r="AA15885"/>
      <c r="AC15885"/>
      <c r="AR15885"/>
    </row>
    <row r="15886" spans="24:44">
      <c r="X15886"/>
      <c r="Y15886"/>
      <c r="Z15886"/>
      <c r="AA15886"/>
      <c r="AC15886"/>
      <c r="AR15886"/>
    </row>
    <row r="15887" spans="24:44">
      <c r="X15887"/>
      <c r="Y15887"/>
      <c r="Z15887"/>
      <c r="AA15887"/>
      <c r="AC15887"/>
      <c r="AR15887"/>
    </row>
    <row r="15888" spans="24:44">
      <c r="X15888"/>
      <c r="Y15888"/>
      <c r="Z15888"/>
      <c r="AA15888"/>
      <c r="AC15888"/>
      <c r="AR15888"/>
    </row>
    <row r="15889" spans="24:44">
      <c r="X15889"/>
      <c r="Y15889"/>
      <c r="Z15889"/>
      <c r="AA15889"/>
      <c r="AC15889"/>
      <c r="AR15889"/>
    </row>
    <row r="15890" spans="24:44">
      <c r="X15890"/>
      <c r="Y15890"/>
      <c r="Z15890"/>
      <c r="AA15890"/>
      <c r="AC15890"/>
      <c r="AR15890"/>
    </row>
    <row r="15891" spans="24:44">
      <c r="X15891"/>
      <c r="Y15891"/>
      <c r="Z15891"/>
      <c r="AA15891"/>
      <c r="AC15891"/>
      <c r="AR15891"/>
    </row>
    <row r="15892" spans="24:44">
      <c r="X15892"/>
      <c r="Y15892"/>
      <c r="Z15892"/>
      <c r="AA15892"/>
      <c r="AC15892"/>
      <c r="AR15892"/>
    </row>
    <row r="15893" spans="24:44">
      <c r="X15893"/>
      <c r="Y15893"/>
      <c r="Z15893"/>
      <c r="AA15893"/>
      <c r="AC15893"/>
      <c r="AR15893"/>
    </row>
    <row r="15894" spans="24:44">
      <c r="X15894"/>
      <c r="Y15894"/>
      <c r="Z15894"/>
      <c r="AA15894"/>
      <c r="AC15894"/>
      <c r="AR15894"/>
    </row>
    <row r="15895" spans="24:44">
      <c r="X15895"/>
      <c r="Y15895"/>
      <c r="Z15895"/>
      <c r="AA15895"/>
      <c r="AC15895"/>
      <c r="AR15895"/>
    </row>
    <row r="15896" spans="24:44">
      <c r="X15896"/>
      <c r="Y15896"/>
      <c r="Z15896"/>
      <c r="AA15896"/>
      <c r="AC15896"/>
      <c r="AR15896"/>
    </row>
    <row r="15897" spans="24:44">
      <c r="X15897"/>
      <c r="Y15897"/>
      <c r="Z15897"/>
      <c r="AA15897"/>
      <c r="AC15897"/>
      <c r="AR15897"/>
    </row>
    <row r="15898" spans="24:44">
      <c r="X15898"/>
      <c r="Y15898"/>
      <c r="Z15898"/>
      <c r="AA15898"/>
      <c r="AC15898"/>
      <c r="AR15898"/>
    </row>
    <row r="15899" spans="24:44">
      <c r="X15899"/>
      <c r="Y15899"/>
      <c r="Z15899"/>
      <c r="AA15899"/>
      <c r="AC15899"/>
      <c r="AR15899"/>
    </row>
    <row r="15900" spans="24:44">
      <c r="X15900"/>
      <c r="Y15900"/>
      <c r="Z15900"/>
      <c r="AA15900"/>
      <c r="AC15900"/>
      <c r="AR15900"/>
    </row>
    <row r="15901" spans="24:44">
      <c r="X15901"/>
      <c r="Y15901"/>
      <c r="Z15901"/>
      <c r="AA15901"/>
      <c r="AC15901"/>
      <c r="AR15901"/>
    </row>
    <row r="15902" spans="24:44">
      <c r="X15902"/>
      <c r="Y15902"/>
      <c r="Z15902"/>
      <c r="AA15902"/>
      <c r="AC15902"/>
      <c r="AR15902"/>
    </row>
    <row r="15903" spans="24:44">
      <c r="X15903"/>
      <c r="Y15903"/>
      <c r="Z15903"/>
      <c r="AA15903"/>
      <c r="AC15903"/>
      <c r="AR15903"/>
    </row>
    <row r="15904" spans="24:44">
      <c r="X15904"/>
      <c r="Y15904"/>
      <c r="Z15904"/>
      <c r="AA15904"/>
      <c r="AC15904"/>
      <c r="AR15904"/>
    </row>
    <row r="15905" spans="24:44">
      <c r="X15905"/>
      <c r="Y15905"/>
      <c r="Z15905"/>
      <c r="AA15905"/>
      <c r="AC15905"/>
      <c r="AR15905"/>
    </row>
    <row r="15906" spans="24:44">
      <c r="X15906"/>
      <c r="Y15906"/>
      <c r="Z15906"/>
      <c r="AA15906"/>
      <c r="AC15906"/>
      <c r="AR15906"/>
    </row>
    <row r="15907" spans="24:44">
      <c r="X15907"/>
      <c r="Y15907"/>
      <c r="Z15907"/>
      <c r="AA15907"/>
      <c r="AC15907"/>
      <c r="AR15907"/>
    </row>
    <row r="15908" spans="24:44">
      <c r="X15908"/>
      <c r="Y15908"/>
      <c r="Z15908"/>
      <c r="AA15908"/>
      <c r="AC15908"/>
      <c r="AR15908"/>
    </row>
    <row r="15909" spans="24:44">
      <c r="X15909"/>
      <c r="Y15909"/>
      <c r="Z15909"/>
      <c r="AA15909"/>
      <c r="AC15909"/>
      <c r="AR15909"/>
    </row>
    <row r="15910" spans="24:44">
      <c r="X15910"/>
      <c r="Y15910"/>
      <c r="Z15910"/>
      <c r="AA15910"/>
      <c r="AC15910"/>
      <c r="AR15910"/>
    </row>
    <row r="15911" spans="24:44">
      <c r="X15911"/>
      <c r="Y15911"/>
      <c r="Z15911"/>
      <c r="AA15911"/>
      <c r="AC15911"/>
      <c r="AR15911"/>
    </row>
    <row r="15912" spans="24:44">
      <c r="X15912"/>
      <c r="Y15912"/>
      <c r="Z15912"/>
      <c r="AA15912"/>
      <c r="AC15912"/>
      <c r="AR15912"/>
    </row>
    <row r="15913" spans="24:44">
      <c r="X15913"/>
      <c r="Y15913"/>
      <c r="Z15913"/>
      <c r="AA15913"/>
      <c r="AC15913"/>
      <c r="AR15913"/>
    </row>
    <row r="15914" spans="24:44">
      <c r="X15914"/>
      <c r="Y15914"/>
      <c r="Z15914"/>
      <c r="AA15914"/>
      <c r="AC15914"/>
      <c r="AR15914"/>
    </row>
    <row r="15915" spans="24:44">
      <c r="X15915"/>
      <c r="Y15915"/>
      <c r="Z15915"/>
      <c r="AA15915"/>
      <c r="AC15915"/>
      <c r="AR15915"/>
    </row>
    <row r="15916" spans="24:44">
      <c r="X15916"/>
      <c r="Y15916"/>
      <c r="Z15916"/>
      <c r="AA15916"/>
      <c r="AC15916"/>
      <c r="AR15916"/>
    </row>
    <row r="15917" spans="24:44">
      <c r="X15917"/>
      <c r="Y15917"/>
      <c r="Z15917"/>
      <c r="AA15917"/>
      <c r="AC15917"/>
      <c r="AR15917"/>
    </row>
    <row r="15918" spans="24:44">
      <c r="X15918"/>
      <c r="Y15918"/>
      <c r="Z15918"/>
      <c r="AA15918"/>
      <c r="AC15918"/>
      <c r="AR15918"/>
    </row>
    <row r="15919" spans="24:44">
      <c r="X15919"/>
      <c r="Y15919"/>
      <c r="Z15919"/>
      <c r="AA15919"/>
      <c r="AC15919"/>
      <c r="AR15919"/>
    </row>
    <row r="15920" spans="24:44">
      <c r="X15920"/>
      <c r="Y15920"/>
      <c r="Z15920"/>
      <c r="AA15920"/>
      <c r="AC15920"/>
      <c r="AR15920"/>
    </row>
    <row r="15921" spans="24:44">
      <c r="X15921"/>
      <c r="Y15921"/>
      <c r="Z15921"/>
      <c r="AA15921"/>
      <c r="AC15921"/>
      <c r="AR15921"/>
    </row>
    <row r="15922" spans="24:44">
      <c r="X15922"/>
      <c r="Y15922"/>
      <c r="Z15922"/>
      <c r="AA15922"/>
      <c r="AC15922"/>
      <c r="AR15922"/>
    </row>
    <row r="15923" spans="24:44">
      <c r="X15923"/>
      <c r="Y15923"/>
      <c r="Z15923"/>
      <c r="AA15923"/>
      <c r="AC15923"/>
      <c r="AR15923"/>
    </row>
    <row r="15924" spans="24:44">
      <c r="X15924"/>
      <c r="Y15924"/>
      <c r="Z15924"/>
      <c r="AA15924"/>
      <c r="AC15924"/>
      <c r="AR15924"/>
    </row>
    <row r="15925" spans="24:44">
      <c r="X15925"/>
      <c r="Y15925"/>
      <c r="Z15925"/>
      <c r="AA15925"/>
      <c r="AC15925"/>
      <c r="AR15925"/>
    </row>
    <row r="15926" spans="24:44">
      <c r="X15926"/>
      <c r="Y15926"/>
      <c r="Z15926"/>
      <c r="AA15926"/>
      <c r="AC15926"/>
      <c r="AR15926"/>
    </row>
    <row r="15927" spans="24:44">
      <c r="X15927"/>
      <c r="Y15927"/>
      <c r="Z15927"/>
      <c r="AA15927"/>
      <c r="AC15927"/>
      <c r="AR15927"/>
    </row>
    <row r="15928" spans="24:44">
      <c r="X15928"/>
      <c r="Y15928"/>
      <c r="Z15928"/>
      <c r="AA15928"/>
      <c r="AC15928"/>
      <c r="AR15928"/>
    </row>
    <row r="15929" spans="24:44">
      <c r="X15929"/>
      <c r="Y15929"/>
      <c r="Z15929"/>
      <c r="AA15929"/>
      <c r="AC15929"/>
      <c r="AR15929"/>
    </row>
    <row r="15930" spans="24:44">
      <c r="X15930"/>
      <c r="Y15930"/>
      <c r="Z15930"/>
      <c r="AA15930"/>
      <c r="AC15930"/>
      <c r="AR15930"/>
    </row>
    <row r="15931" spans="24:44">
      <c r="X15931"/>
      <c r="Y15931"/>
      <c r="Z15931"/>
      <c r="AA15931"/>
      <c r="AC15931"/>
      <c r="AR15931"/>
    </row>
    <row r="15932" spans="24:44">
      <c r="X15932"/>
      <c r="Y15932"/>
      <c r="Z15932"/>
      <c r="AA15932"/>
      <c r="AC15932"/>
      <c r="AR15932"/>
    </row>
    <row r="15933" spans="24:44">
      <c r="X15933"/>
      <c r="Y15933"/>
      <c r="Z15933"/>
      <c r="AA15933"/>
      <c r="AC15933"/>
      <c r="AR15933"/>
    </row>
    <row r="15934" spans="24:44">
      <c r="X15934"/>
      <c r="Y15934"/>
      <c r="Z15934"/>
      <c r="AA15934"/>
      <c r="AC15934"/>
      <c r="AR15934"/>
    </row>
    <row r="15935" spans="24:44">
      <c r="X15935"/>
      <c r="Y15935"/>
      <c r="Z15935"/>
      <c r="AA15935"/>
      <c r="AC15935"/>
      <c r="AR15935"/>
    </row>
    <row r="15936" spans="24:44">
      <c r="X15936"/>
      <c r="Y15936"/>
      <c r="Z15936"/>
      <c r="AA15936"/>
      <c r="AC15936"/>
      <c r="AR15936"/>
    </row>
    <row r="15937" spans="24:44">
      <c r="X15937"/>
      <c r="Y15937"/>
      <c r="Z15937"/>
      <c r="AA15937"/>
      <c r="AC15937"/>
      <c r="AR15937"/>
    </row>
    <row r="15938" spans="24:44">
      <c r="X15938"/>
      <c r="Y15938"/>
      <c r="Z15938"/>
      <c r="AA15938"/>
      <c r="AC15938"/>
      <c r="AR15938"/>
    </row>
    <row r="15939" spans="24:44">
      <c r="X15939"/>
      <c r="Y15939"/>
      <c r="Z15939"/>
      <c r="AA15939"/>
      <c r="AC15939"/>
      <c r="AR15939"/>
    </row>
    <row r="15940" spans="24:44">
      <c r="X15940"/>
      <c r="Y15940"/>
      <c r="Z15940"/>
      <c r="AA15940"/>
      <c r="AC15940"/>
      <c r="AR15940"/>
    </row>
    <row r="15941" spans="24:44">
      <c r="X15941"/>
      <c r="Y15941"/>
      <c r="Z15941"/>
      <c r="AA15941"/>
      <c r="AC15941"/>
      <c r="AR15941"/>
    </row>
    <row r="15942" spans="24:44">
      <c r="X15942"/>
      <c r="Y15942"/>
      <c r="Z15942"/>
      <c r="AA15942"/>
      <c r="AC15942"/>
      <c r="AR15942"/>
    </row>
    <row r="15943" spans="24:44">
      <c r="X15943"/>
      <c r="Y15943"/>
      <c r="Z15943"/>
      <c r="AA15943"/>
      <c r="AC15943"/>
      <c r="AR15943"/>
    </row>
    <row r="15944" spans="24:44">
      <c r="X15944"/>
      <c r="Y15944"/>
      <c r="Z15944"/>
      <c r="AA15944"/>
      <c r="AC15944"/>
      <c r="AR15944"/>
    </row>
    <row r="15945" spans="24:44">
      <c r="X15945"/>
      <c r="Y15945"/>
      <c r="Z15945"/>
      <c r="AA15945"/>
      <c r="AC15945"/>
      <c r="AR15945"/>
    </row>
    <row r="15946" spans="24:44">
      <c r="X15946"/>
      <c r="Y15946"/>
      <c r="Z15946"/>
      <c r="AA15946"/>
      <c r="AC15946"/>
      <c r="AR15946"/>
    </row>
    <row r="15947" spans="24:44">
      <c r="X15947"/>
      <c r="Y15947"/>
      <c r="Z15947"/>
      <c r="AA15947"/>
      <c r="AC15947"/>
      <c r="AR15947"/>
    </row>
    <row r="15948" spans="24:44">
      <c r="X15948"/>
      <c r="Y15948"/>
      <c r="Z15948"/>
      <c r="AA15948"/>
      <c r="AC15948"/>
      <c r="AR15948"/>
    </row>
    <row r="15949" spans="24:44">
      <c r="X15949"/>
      <c r="Y15949"/>
      <c r="Z15949"/>
      <c r="AA15949"/>
      <c r="AC15949"/>
      <c r="AR15949"/>
    </row>
    <row r="15950" spans="24:44">
      <c r="X15950"/>
      <c r="Y15950"/>
      <c r="Z15950"/>
      <c r="AA15950"/>
      <c r="AC15950"/>
      <c r="AR15950"/>
    </row>
    <row r="15951" spans="24:44">
      <c r="X15951"/>
      <c r="Y15951"/>
      <c r="Z15951"/>
      <c r="AA15951"/>
      <c r="AC15951"/>
      <c r="AR15951"/>
    </row>
    <row r="15952" spans="24:44">
      <c r="X15952"/>
      <c r="Y15952"/>
      <c r="Z15952"/>
      <c r="AA15952"/>
      <c r="AC15952"/>
      <c r="AR15952"/>
    </row>
    <row r="15953" spans="24:44">
      <c r="X15953"/>
      <c r="Y15953"/>
      <c r="Z15953"/>
      <c r="AA15953"/>
      <c r="AC15953"/>
      <c r="AR15953"/>
    </row>
    <row r="15954" spans="24:44">
      <c r="X15954"/>
      <c r="Y15954"/>
      <c r="Z15954"/>
      <c r="AA15954"/>
      <c r="AC15954"/>
      <c r="AR15954"/>
    </row>
    <row r="15955" spans="24:44">
      <c r="X15955"/>
      <c r="Y15955"/>
      <c r="Z15955"/>
      <c r="AA15955"/>
      <c r="AC15955"/>
      <c r="AR15955"/>
    </row>
    <row r="15956" spans="24:44">
      <c r="X15956"/>
      <c r="Y15956"/>
      <c r="Z15956"/>
      <c r="AA15956"/>
      <c r="AC15956"/>
      <c r="AR15956"/>
    </row>
    <row r="15957" spans="24:44">
      <c r="X15957"/>
      <c r="Y15957"/>
      <c r="Z15957"/>
      <c r="AA15957"/>
      <c r="AC15957"/>
      <c r="AR15957"/>
    </row>
    <row r="15958" spans="24:44">
      <c r="X15958"/>
      <c r="Y15958"/>
      <c r="Z15958"/>
      <c r="AA15958"/>
      <c r="AC15958"/>
      <c r="AR15958"/>
    </row>
    <row r="15959" spans="24:44">
      <c r="X15959"/>
      <c r="Y15959"/>
      <c r="Z15959"/>
      <c r="AA15959"/>
      <c r="AC15959"/>
      <c r="AR15959"/>
    </row>
    <row r="15960" spans="24:44">
      <c r="X15960"/>
      <c r="Y15960"/>
      <c r="Z15960"/>
      <c r="AA15960"/>
      <c r="AC15960"/>
      <c r="AR15960"/>
    </row>
    <row r="15961" spans="24:44">
      <c r="X15961"/>
      <c r="Y15961"/>
      <c r="Z15961"/>
      <c r="AA15961"/>
      <c r="AC15961"/>
      <c r="AR15961"/>
    </row>
    <row r="15962" spans="24:44">
      <c r="X15962"/>
      <c r="Y15962"/>
      <c r="Z15962"/>
      <c r="AA15962"/>
      <c r="AC15962"/>
      <c r="AR15962"/>
    </row>
    <row r="15963" spans="24:44">
      <c r="X15963"/>
      <c r="Y15963"/>
      <c r="Z15963"/>
      <c r="AA15963"/>
      <c r="AC15963"/>
      <c r="AR15963"/>
    </row>
    <row r="15964" spans="24:44">
      <c r="X15964"/>
      <c r="Y15964"/>
      <c r="Z15964"/>
      <c r="AA15964"/>
      <c r="AC15964"/>
      <c r="AR15964"/>
    </row>
    <row r="15965" spans="24:44">
      <c r="X15965"/>
      <c r="Y15965"/>
      <c r="Z15965"/>
      <c r="AA15965"/>
      <c r="AC15965"/>
      <c r="AR15965"/>
    </row>
    <row r="15966" spans="24:44">
      <c r="X15966"/>
      <c r="Y15966"/>
      <c r="Z15966"/>
      <c r="AA15966"/>
      <c r="AC15966"/>
      <c r="AR15966"/>
    </row>
    <row r="15967" spans="24:44">
      <c r="X15967"/>
      <c r="Y15967"/>
      <c r="Z15967"/>
      <c r="AA15967"/>
      <c r="AC15967"/>
      <c r="AR15967"/>
    </row>
    <row r="15968" spans="24:44">
      <c r="X15968"/>
      <c r="Y15968"/>
      <c r="Z15968"/>
      <c r="AA15968"/>
      <c r="AC15968"/>
      <c r="AR15968"/>
    </row>
    <row r="15969" spans="24:44">
      <c r="X15969"/>
      <c r="Y15969"/>
      <c r="Z15969"/>
      <c r="AA15969"/>
      <c r="AC15969"/>
      <c r="AR15969"/>
    </row>
    <row r="15970" spans="24:44">
      <c r="X15970"/>
      <c r="Y15970"/>
      <c r="Z15970"/>
      <c r="AA15970"/>
      <c r="AC15970"/>
      <c r="AR15970"/>
    </row>
    <row r="15971" spans="24:44">
      <c r="X15971"/>
      <c r="Y15971"/>
      <c r="Z15971"/>
      <c r="AA15971"/>
      <c r="AC15971"/>
      <c r="AR15971"/>
    </row>
    <row r="15972" spans="24:44">
      <c r="X15972"/>
      <c r="Y15972"/>
      <c r="Z15972"/>
      <c r="AA15972"/>
      <c r="AC15972"/>
      <c r="AR15972"/>
    </row>
    <row r="15973" spans="24:44">
      <c r="X15973"/>
      <c r="Y15973"/>
      <c r="Z15973"/>
      <c r="AA15973"/>
      <c r="AC15973"/>
      <c r="AR15973"/>
    </row>
    <row r="15974" spans="24:44">
      <c r="X15974"/>
      <c r="Y15974"/>
      <c r="Z15974"/>
      <c r="AA15974"/>
      <c r="AC15974"/>
      <c r="AR15974"/>
    </row>
    <row r="15975" spans="24:44">
      <c r="X15975"/>
      <c r="Y15975"/>
      <c r="Z15975"/>
      <c r="AA15975"/>
      <c r="AC15975"/>
      <c r="AR15975"/>
    </row>
    <row r="15976" spans="24:44">
      <c r="X15976"/>
      <c r="Y15976"/>
      <c r="Z15976"/>
      <c r="AA15976"/>
      <c r="AC15976"/>
      <c r="AR15976"/>
    </row>
    <row r="15977" spans="24:44">
      <c r="X15977"/>
      <c r="Y15977"/>
      <c r="Z15977"/>
      <c r="AA15977"/>
      <c r="AC15977"/>
      <c r="AR15977"/>
    </row>
    <row r="15978" spans="24:44">
      <c r="X15978"/>
      <c r="Y15978"/>
      <c r="Z15978"/>
      <c r="AA15978"/>
      <c r="AC15978"/>
      <c r="AR15978"/>
    </row>
    <row r="15979" spans="24:44">
      <c r="X15979"/>
      <c r="Y15979"/>
      <c r="Z15979"/>
      <c r="AA15979"/>
      <c r="AC15979"/>
      <c r="AR15979"/>
    </row>
    <row r="15980" spans="24:44">
      <c r="X15980"/>
      <c r="Y15980"/>
      <c r="Z15980"/>
      <c r="AA15980"/>
      <c r="AC15980"/>
      <c r="AR15980"/>
    </row>
    <row r="15981" spans="24:44">
      <c r="X15981"/>
      <c r="Y15981"/>
      <c r="Z15981"/>
      <c r="AA15981"/>
      <c r="AC15981"/>
      <c r="AR15981"/>
    </row>
    <row r="15982" spans="24:44">
      <c r="X15982"/>
      <c r="Y15982"/>
      <c r="Z15982"/>
      <c r="AA15982"/>
      <c r="AC15982"/>
      <c r="AR15982"/>
    </row>
    <row r="15983" spans="24:44">
      <c r="X15983"/>
      <c r="Y15983"/>
      <c r="Z15983"/>
      <c r="AA15983"/>
      <c r="AC15983"/>
      <c r="AR15983"/>
    </row>
    <row r="15984" spans="24:44">
      <c r="X15984"/>
      <c r="Y15984"/>
      <c r="Z15984"/>
      <c r="AA15984"/>
      <c r="AC15984"/>
      <c r="AR15984"/>
    </row>
    <row r="15985" spans="24:44">
      <c r="X15985"/>
      <c r="Y15985"/>
      <c r="Z15985"/>
      <c r="AA15985"/>
      <c r="AC15985"/>
      <c r="AR15985"/>
    </row>
    <row r="15986" spans="24:44">
      <c r="X15986"/>
      <c r="Y15986"/>
      <c r="Z15986"/>
      <c r="AA15986"/>
      <c r="AC15986"/>
      <c r="AR15986"/>
    </row>
    <row r="15987" spans="24:44">
      <c r="X15987"/>
      <c r="Y15987"/>
      <c r="Z15987"/>
      <c r="AA15987"/>
      <c r="AC15987"/>
      <c r="AR15987"/>
    </row>
    <row r="15988" spans="24:44">
      <c r="X15988"/>
      <c r="Y15988"/>
      <c r="Z15988"/>
      <c r="AA15988"/>
      <c r="AC15988"/>
      <c r="AR15988"/>
    </row>
    <row r="15989" spans="24:44">
      <c r="X15989"/>
      <c r="Y15989"/>
      <c r="Z15989"/>
      <c r="AA15989"/>
      <c r="AC15989"/>
      <c r="AR15989"/>
    </row>
    <row r="15990" spans="24:44">
      <c r="X15990"/>
      <c r="Y15990"/>
      <c r="Z15990"/>
      <c r="AA15990"/>
      <c r="AC15990"/>
      <c r="AR15990"/>
    </row>
    <row r="15991" spans="24:44">
      <c r="X15991"/>
      <c r="Y15991"/>
      <c r="Z15991"/>
      <c r="AA15991"/>
      <c r="AC15991"/>
      <c r="AR15991"/>
    </row>
    <row r="15992" spans="24:44">
      <c r="X15992"/>
      <c r="Y15992"/>
      <c r="Z15992"/>
      <c r="AA15992"/>
      <c r="AC15992"/>
      <c r="AR15992"/>
    </row>
    <row r="15993" spans="24:44">
      <c r="X15993"/>
      <c r="Y15993"/>
      <c r="Z15993"/>
      <c r="AA15993"/>
      <c r="AC15993"/>
      <c r="AR15993"/>
    </row>
    <row r="15994" spans="24:44">
      <c r="X15994"/>
      <c r="Y15994"/>
      <c r="Z15994"/>
      <c r="AA15994"/>
      <c r="AC15994"/>
      <c r="AR15994"/>
    </row>
    <row r="15995" spans="24:44">
      <c r="X15995"/>
      <c r="Y15995"/>
      <c r="Z15995"/>
      <c r="AA15995"/>
      <c r="AC15995"/>
      <c r="AR15995"/>
    </row>
    <row r="15996" spans="24:44">
      <c r="X15996"/>
      <c r="Y15996"/>
      <c r="Z15996"/>
      <c r="AA15996"/>
      <c r="AC15996"/>
      <c r="AR15996"/>
    </row>
    <row r="15997" spans="24:44">
      <c r="X15997"/>
      <c r="Y15997"/>
      <c r="Z15997"/>
      <c r="AA15997"/>
      <c r="AC15997"/>
      <c r="AR15997"/>
    </row>
    <row r="15998" spans="24:44">
      <c r="X15998"/>
      <c r="Y15998"/>
      <c r="Z15998"/>
      <c r="AA15998"/>
      <c r="AC15998"/>
      <c r="AR15998"/>
    </row>
    <row r="15999" spans="24:44">
      <c r="X15999"/>
      <c r="Y15999"/>
      <c r="Z15999"/>
      <c r="AA15999"/>
      <c r="AC15999"/>
      <c r="AR15999"/>
    </row>
    <row r="16000" spans="24:44">
      <c r="X16000"/>
      <c r="Y16000"/>
      <c r="Z16000"/>
      <c r="AA16000"/>
      <c r="AC16000"/>
      <c r="AR16000"/>
    </row>
    <row r="16001" spans="24:44">
      <c r="X16001"/>
      <c r="Y16001"/>
      <c r="Z16001"/>
      <c r="AA16001"/>
      <c r="AC16001"/>
      <c r="AR16001"/>
    </row>
    <row r="16002" spans="24:44">
      <c r="X16002"/>
      <c r="Y16002"/>
      <c r="Z16002"/>
      <c r="AA16002"/>
      <c r="AC16002"/>
      <c r="AR16002"/>
    </row>
    <row r="16003" spans="24:44">
      <c r="X16003"/>
      <c r="Y16003"/>
      <c r="Z16003"/>
      <c r="AA16003"/>
      <c r="AC16003"/>
      <c r="AR16003"/>
    </row>
    <row r="16004" spans="24:44">
      <c r="X16004"/>
      <c r="Y16004"/>
      <c r="Z16004"/>
      <c r="AA16004"/>
      <c r="AC16004"/>
      <c r="AR16004"/>
    </row>
    <row r="16005" spans="24:44">
      <c r="X16005"/>
      <c r="Y16005"/>
      <c r="Z16005"/>
      <c r="AA16005"/>
      <c r="AC16005"/>
      <c r="AR16005"/>
    </row>
    <row r="16006" spans="24:44">
      <c r="X16006"/>
      <c r="Y16006"/>
      <c r="Z16006"/>
      <c r="AA16006"/>
      <c r="AC16006"/>
      <c r="AR16006"/>
    </row>
    <row r="16007" spans="24:44">
      <c r="X16007"/>
      <c r="Y16007"/>
      <c r="Z16007"/>
      <c r="AA16007"/>
      <c r="AC16007"/>
      <c r="AR16007"/>
    </row>
    <row r="16008" spans="24:44">
      <c r="X16008"/>
      <c r="Y16008"/>
      <c r="Z16008"/>
      <c r="AA16008"/>
      <c r="AC16008"/>
      <c r="AR16008"/>
    </row>
    <row r="16009" spans="24:44">
      <c r="X16009"/>
      <c r="Y16009"/>
      <c r="Z16009"/>
      <c r="AA16009"/>
      <c r="AC16009"/>
      <c r="AR16009"/>
    </row>
    <row r="16010" spans="24:44">
      <c r="X16010"/>
      <c r="Y16010"/>
      <c r="Z16010"/>
      <c r="AA16010"/>
      <c r="AC16010"/>
      <c r="AR16010"/>
    </row>
    <row r="16011" spans="24:44">
      <c r="X16011"/>
      <c r="Y16011"/>
      <c r="Z16011"/>
      <c r="AA16011"/>
      <c r="AC16011"/>
      <c r="AR16011"/>
    </row>
    <row r="16012" spans="24:44">
      <c r="X16012"/>
      <c r="Y16012"/>
      <c r="Z16012"/>
      <c r="AA16012"/>
      <c r="AC16012"/>
      <c r="AR16012"/>
    </row>
    <row r="16013" spans="24:44">
      <c r="X16013"/>
      <c r="Y16013"/>
      <c r="Z16013"/>
      <c r="AA16013"/>
      <c r="AC16013"/>
      <c r="AR16013"/>
    </row>
    <row r="16014" spans="24:44">
      <c r="X16014"/>
      <c r="Y16014"/>
      <c r="Z16014"/>
      <c r="AA16014"/>
      <c r="AC16014"/>
      <c r="AR16014"/>
    </row>
    <row r="16015" spans="24:44">
      <c r="X16015"/>
      <c r="Y16015"/>
      <c r="Z16015"/>
      <c r="AA16015"/>
      <c r="AC16015"/>
      <c r="AR16015"/>
    </row>
    <row r="16016" spans="24:44">
      <c r="X16016"/>
      <c r="Y16016"/>
      <c r="Z16016"/>
      <c r="AA16016"/>
      <c r="AC16016"/>
      <c r="AR16016"/>
    </row>
    <row r="16017" spans="24:44">
      <c r="X16017"/>
      <c r="Y16017"/>
      <c r="Z16017"/>
      <c r="AA16017"/>
      <c r="AC16017"/>
      <c r="AR16017"/>
    </row>
    <row r="16018" spans="24:44">
      <c r="X16018"/>
      <c r="Y16018"/>
      <c r="Z16018"/>
      <c r="AA16018"/>
      <c r="AC16018"/>
      <c r="AR16018"/>
    </row>
    <row r="16019" spans="24:44">
      <c r="X16019"/>
      <c r="Y16019"/>
      <c r="Z16019"/>
      <c r="AA16019"/>
      <c r="AC16019"/>
      <c r="AR16019"/>
    </row>
    <row r="16020" spans="24:44">
      <c r="X16020"/>
      <c r="Y16020"/>
      <c r="Z16020"/>
      <c r="AA16020"/>
      <c r="AC16020"/>
      <c r="AR16020"/>
    </row>
    <row r="16021" spans="24:44">
      <c r="X16021"/>
      <c r="Y16021"/>
      <c r="Z16021"/>
      <c r="AA16021"/>
      <c r="AC16021"/>
      <c r="AR16021"/>
    </row>
    <row r="16022" spans="24:44">
      <c r="X16022"/>
      <c r="Y16022"/>
      <c r="Z16022"/>
      <c r="AA16022"/>
      <c r="AC16022"/>
      <c r="AR16022"/>
    </row>
    <row r="16023" spans="24:44">
      <c r="X16023"/>
      <c r="Y16023"/>
      <c r="Z16023"/>
      <c r="AA16023"/>
      <c r="AC16023"/>
      <c r="AR16023"/>
    </row>
    <row r="16024" spans="24:44">
      <c r="X16024"/>
      <c r="Y16024"/>
      <c r="Z16024"/>
      <c r="AA16024"/>
      <c r="AC16024"/>
      <c r="AR16024"/>
    </row>
    <row r="16025" spans="24:44">
      <c r="X16025"/>
      <c r="Y16025"/>
      <c r="Z16025"/>
      <c r="AA16025"/>
      <c r="AC16025"/>
      <c r="AR16025"/>
    </row>
    <row r="16026" spans="24:44">
      <c r="X16026"/>
      <c r="Y16026"/>
      <c r="Z16026"/>
      <c r="AA16026"/>
      <c r="AC16026"/>
      <c r="AR16026"/>
    </row>
    <row r="16027" spans="24:44">
      <c r="X16027"/>
      <c r="Y16027"/>
      <c r="Z16027"/>
      <c r="AA16027"/>
      <c r="AC16027"/>
      <c r="AR16027"/>
    </row>
    <row r="16028" spans="24:44">
      <c r="X16028"/>
      <c r="Y16028"/>
      <c r="Z16028"/>
      <c r="AA16028"/>
      <c r="AC16028"/>
      <c r="AR16028"/>
    </row>
    <row r="16029" spans="24:44">
      <c r="X16029"/>
      <c r="Y16029"/>
      <c r="Z16029"/>
      <c r="AA16029"/>
      <c r="AC16029"/>
      <c r="AR16029"/>
    </row>
    <row r="16030" spans="24:44">
      <c r="X16030"/>
      <c r="Y16030"/>
      <c r="Z16030"/>
      <c r="AA16030"/>
      <c r="AC16030"/>
      <c r="AR16030"/>
    </row>
    <row r="16031" spans="24:44">
      <c r="X16031"/>
      <c r="Y16031"/>
      <c r="Z16031"/>
      <c r="AA16031"/>
      <c r="AC16031"/>
      <c r="AR16031"/>
    </row>
    <row r="16032" spans="24:44">
      <c r="X16032"/>
      <c r="Y16032"/>
      <c r="Z16032"/>
      <c r="AA16032"/>
      <c r="AC16032"/>
      <c r="AR16032"/>
    </row>
    <row r="16033" spans="24:44">
      <c r="X16033"/>
      <c r="Y16033"/>
      <c r="Z16033"/>
      <c r="AA16033"/>
      <c r="AC16033"/>
      <c r="AR16033"/>
    </row>
    <row r="16034" spans="24:44">
      <c r="X16034"/>
      <c r="Y16034"/>
      <c r="Z16034"/>
      <c r="AA16034"/>
      <c r="AC16034"/>
      <c r="AR16034"/>
    </row>
    <row r="16035" spans="24:44">
      <c r="X16035"/>
      <c r="Y16035"/>
      <c r="Z16035"/>
      <c r="AA16035"/>
      <c r="AC16035"/>
      <c r="AR16035"/>
    </row>
    <row r="16036" spans="24:44">
      <c r="X16036"/>
      <c r="Y16036"/>
      <c r="Z16036"/>
      <c r="AA16036"/>
      <c r="AC16036"/>
      <c r="AR16036"/>
    </row>
    <row r="16037" spans="24:44">
      <c r="X16037"/>
      <c r="Y16037"/>
      <c r="Z16037"/>
      <c r="AA16037"/>
      <c r="AC16037"/>
      <c r="AR16037"/>
    </row>
    <row r="16038" spans="24:44">
      <c r="X16038"/>
      <c r="Y16038"/>
      <c r="Z16038"/>
      <c r="AA16038"/>
      <c r="AC16038"/>
      <c r="AR16038"/>
    </row>
    <row r="16039" spans="24:44">
      <c r="X16039"/>
      <c r="Y16039"/>
      <c r="Z16039"/>
      <c r="AA16039"/>
      <c r="AC16039"/>
      <c r="AR16039"/>
    </row>
    <row r="16040" spans="24:44">
      <c r="X16040"/>
      <c r="Y16040"/>
      <c r="Z16040"/>
      <c r="AA16040"/>
      <c r="AC16040"/>
      <c r="AR16040"/>
    </row>
    <row r="16041" spans="24:44">
      <c r="X16041"/>
      <c r="Y16041"/>
      <c r="Z16041"/>
      <c r="AA16041"/>
      <c r="AC16041"/>
      <c r="AR16041"/>
    </row>
    <row r="16042" spans="24:44">
      <c r="X16042"/>
      <c r="Y16042"/>
      <c r="Z16042"/>
      <c r="AA16042"/>
      <c r="AC16042"/>
      <c r="AR16042"/>
    </row>
    <row r="16043" spans="24:44">
      <c r="X16043"/>
      <c r="Y16043"/>
      <c r="Z16043"/>
      <c r="AA16043"/>
      <c r="AC16043"/>
      <c r="AR16043"/>
    </row>
    <row r="16044" spans="24:44">
      <c r="X16044"/>
      <c r="Y16044"/>
      <c r="Z16044"/>
      <c r="AA16044"/>
      <c r="AC16044"/>
      <c r="AR16044"/>
    </row>
    <row r="16045" spans="24:44">
      <c r="X16045"/>
      <c r="Y16045"/>
      <c r="Z16045"/>
      <c r="AA16045"/>
      <c r="AC16045"/>
      <c r="AR16045"/>
    </row>
    <row r="16046" spans="24:44">
      <c r="X16046"/>
      <c r="Y16046"/>
      <c r="Z16046"/>
      <c r="AA16046"/>
      <c r="AC16046"/>
      <c r="AR16046"/>
    </row>
    <row r="16047" spans="24:44">
      <c r="X16047"/>
      <c r="Y16047"/>
      <c r="Z16047"/>
      <c r="AA16047"/>
      <c r="AC16047"/>
      <c r="AR16047"/>
    </row>
    <row r="16048" spans="24:44">
      <c r="X16048"/>
      <c r="Y16048"/>
      <c r="Z16048"/>
      <c r="AA16048"/>
      <c r="AC16048"/>
      <c r="AR16048"/>
    </row>
    <row r="16049" spans="24:44">
      <c r="X16049"/>
      <c r="Y16049"/>
      <c r="Z16049"/>
      <c r="AA16049"/>
      <c r="AC16049"/>
      <c r="AR16049"/>
    </row>
    <row r="16050" spans="24:44">
      <c r="X16050"/>
      <c r="Y16050"/>
      <c r="Z16050"/>
      <c r="AA16050"/>
      <c r="AC16050"/>
      <c r="AR16050"/>
    </row>
    <row r="16051" spans="24:44">
      <c r="X16051"/>
      <c r="Y16051"/>
      <c r="Z16051"/>
      <c r="AA16051"/>
      <c r="AC16051"/>
      <c r="AR16051"/>
    </row>
    <row r="16052" spans="24:44">
      <c r="X16052"/>
      <c r="Y16052"/>
      <c r="Z16052"/>
      <c r="AA16052"/>
      <c r="AC16052"/>
      <c r="AR16052"/>
    </row>
    <row r="16053" spans="24:44">
      <c r="X16053"/>
      <c r="Y16053"/>
      <c r="Z16053"/>
      <c r="AA16053"/>
      <c r="AC16053"/>
      <c r="AR16053"/>
    </row>
    <row r="16054" spans="24:44">
      <c r="X16054"/>
      <c r="Y16054"/>
      <c r="Z16054"/>
      <c r="AA16054"/>
      <c r="AC16054"/>
      <c r="AR16054"/>
    </row>
    <row r="16055" spans="24:44">
      <c r="X16055"/>
      <c r="Y16055"/>
      <c r="Z16055"/>
      <c r="AA16055"/>
      <c r="AC16055"/>
      <c r="AR16055"/>
    </row>
    <row r="16056" spans="24:44">
      <c r="X16056"/>
      <c r="Y16056"/>
      <c r="Z16056"/>
      <c r="AA16056"/>
      <c r="AC16056"/>
      <c r="AR16056"/>
    </row>
    <row r="16057" spans="24:44">
      <c r="X16057"/>
      <c r="Y16057"/>
      <c r="Z16057"/>
      <c r="AA16057"/>
      <c r="AC16057"/>
      <c r="AR16057"/>
    </row>
    <row r="16058" spans="24:44">
      <c r="X16058"/>
      <c r="Y16058"/>
      <c r="Z16058"/>
      <c r="AA16058"/>
      <c r="AC16058"/>
      <c r="AR16058"/>
    </row>
    <row r="16059" spans="24:44">
      <c r="X16059"/>
      <c r="Y16059"/>
      <c r="Z16059"/>
      <c r="AA16059"/>
      <c r="AC16059"/>
      <c r="AR16059"/>
    </row>
    <row r="16060" spans="24:44">
      <c r="X16060"/>
      <c r="Y16060"/>
      <c r="Z16060"/>
      <c r="AA16060"/>
      <c r="AC16060"/>
      <c r="AR16060"/>
    </row>
    <row r="16061" spans="24:44">
      <c r="X16061"/>
      <c r="Y16061"/>
      <c r="Z16061"/>
      <c r="AA16061"/>
      <c r="AC16061"/>
      <c r="AR16061"/>
    </row>
    <row r="16062" spans="24:44">
      <c r="X16062"/>
      <c r="Y16062"/>
      <c r="Z16062"/>
      <c r="AA16062"/>
      <c r="AC16062"/>
      <c r="AR16062"/>
    </row>
    <row r="16063" spans="24:44">
      <c r="X16063"/>
      <c r="Y16063"/>
      <c r="Z16063"/>
      <c r="AA16063"/>
      <c r="AC16063"/>
      <c r="AR16063"/>
    </row>
    <row r="16064" spans="24:44">
      <c r="X16064"/>
      <c r="Y16064"/>
      <c r="Z16064"/>
      <c r="AA16064"/>
      <c r="AC16064"/>
      <c r="AR16064"/>
    </row>
    <row r="16065" spans="24:44">
      <c r="X16065"/>
      <c r="Y16065"/>
      <c r="Z16065"/>
      <c r="AA16065"/>
      <c r="AC16065"/>
      <c r="AR16065"/>
    </row>
    <row r="16066" spans="24:44">
      <c r="X16066"/>
      <c r="Y16066"/>
      <c r="Z16066"/>
      <c r="AA16066"/>
      <c r="AC16066"/>
      <c r="AR16066"/>
    </row>
    <row r="16067" spans="24:44">
      <c r="X16067"/>
      <c r="Y16067"/>
      <c r="Z16067"/>
      <c r="AA16067"/>
      <c r="AC16067"/>
      <c r="AR16067"/>
    </row>
    <row r="16068" spans="24:44">
      <c r="X16068"/>
      <c r="Y16068"/>
      <c r="Z16068"/>
      <c r="AA16068"/>
      <c r="AC16068"/>
      <c r="AR16068"/>
    </row>
    <row r="16069" spans="24:44">
      <c r="X16069"/>
      <c r="Y16069"/>
      <c r="Z16069"/>
      <c r="AA16069"/>
      <c r="AC16069"/>
      <c r="AR16069"/>
    </row>
    <row r="16070" spans="24:44">
      <c r="X16070"/>
      <c r="Y16070"/>
      <c r="Z16070"/>
      <c r="AA16070"/>
      <c r="AC16070"/>
      <c r="AR16070"/>
    </row>
    <row r="16071" spans="24:44">
      <c r="X16071"/>
      <c r="Y16071"/>
      <c r="Z16071"/>
      <c r="AA16071"/>
      <c r="AC16071"/>
      <c r="AR16071"/>
    </row>
    <row r="16072" spans="24:44">
      <c r="X16072"/>
      <c r="Y16072"/>
      <c r="Z16072"/>
      <c r="AA16072"/>
      <c r="AC16072"/>
      <c r="AR16072"/>
    </row>
    <row r="16073" spans="24:44">
      <c r="X16073"/>
      <c r="Y16073"/>
      <c r="Z16073"/>
      <c r="AA16073"/>
      <c r="AC16073"/>
      <c r="AR16073"/>
    </row>
    <row r="16074" spans="24:44">
      <c r="X16074"/>
      <c r="Y16074"/>
      <c r="Z16074"/>
      <c r="AA16074"/>
      <c r="AC16074"/>
      <c r="AR16074"/>
    </row>
    <row r="16075" spans="24:44">
      <c r="X16075"/>
      <c r="Y16075"/>
      <c r="Z16075"/>
      <c r="AA16075"/>
      <c r="AC16075"/>
      <c r="AR16075"/>
    </row>
    <row r="16076" spans="24:44">
      <c r="X16076"/>
      <c r="Y16076"/>
      <c r="Z16076"/>
      <c r="AA16076"/>
      <c r="AC16076"/>
      <c r="AR16076"/>
    </row>
    <row r="16077" spans="24:44">
      <c r="X16077"/>
      <c r="Y16077"/>
      <c r="Z16077"/>
      <c r="AA16077"/>
      <c r="AC16077"/>
      <c r="AR16077"/>
    </row>
    <row r="16078" spans="24:44">
      <c r="X16078"/>
      <c r="Y16078"/>
      <c r="Z16078"/>
      <c r="AA16078"/>
      <c r="AC16078"/>
      <c r="AR16078"/>
    </row>
    <row r="16079" spans="24:44">
      <c r="X16079"/>
      <c r="Y16079"/>
      <c r="Z16079"/>
      <c r="AA16079"/>
      <c r="AC16079"/>
      <c r="AR16079"/>
    </row>
    <row r="16080" spans="24:44">
      <c r="X16080"/>
      <c r="Y16080"/>
      <c r="Z16080"/>
      <c r="AA16080"/>
      <c r="AC16080"/>
      <c r="AR16080"/>
    </row>
    <row r="16081" spans="24:44">
      <c r="X16081"/>
      <c r="Y16081"/>
      <c r="Z16081"/>
      <c r="AA16081"/>
      <c r="AC16081"/>
      <c r="AR16081"/>
    </row>
    <row r="16082" spans="24:44">
      <c r="X16082"/>
      <c r="Y16082"/>
      <c r="Z16082"/>
      <c r="AA16082"/>
      <c r="AC16082"/>
      <c r="AR16082"/>
    </row>
    <row r="16083" spans="24:44">
      <c r="X16083"/>
      <c r="Y16083"/>
      <c r="Z16083"/>
      <c r="AA16083"/>
      <c r="AC16083"/>
      <c r="AR16083"/>
    </row>
    <row r="16084" spans="24:44">
      <c r="X16084"/>
      <c r="Y16084"/>
      <c r="Z16084"/>
      <c r="AA16084"/>
      <c r="AC16084"/>
      <c r="AR16084"/>
    </row>
    <row r="16085" spans="24:44">
      <c r="X16085"/>
      <c r="Y16085"/>
      <c r="Z16085"/>
      <c r="AA16085"/>
      <c r="AC16085"/>
      <c r="AR16085"/>
    </row>
    <row r="16086" spans="24:44">
      <c r="X16086"/>
      <c r="Y16086"/>
      <c r="Z16086"/>
      <c r="AA16086"/>
      <c r="AC16086"/>
      <c r="AR16086"/>
    </row>
    <row r="16087" spans="24:44">
      <c r="X16087"/>
      <c r="Y16087"/>
      <c r="Z16087"/>
      <c r="AA16087"/>
      <c r="AC16087"/>
      <c r="AR16087"/>
    </row>
    <row r="16088" spans="24:44">
      <c r="X16088"/>
      <c r="Y16088"/>
      <c r="Z16088"/>
      <c r="AA16088"/>
      <c r="AC16088"/>
      <c r="AR16088"/>
    </row>
    <row r="16089" spans="24:44">
      <c r="X16089"/>
      <c r="Y16089"/>
      <c r="Z16089"/>
      <c r="AA16089"/>
      <c r="AC16089"/>
      <c r="AR16089"/>
    </row>
    <row r="16090" spans="24:44">
      <c r="X16090"/>
      <c r="Y16090"/>
      <c r="Z16090"/>
      <c r="AA16090"/>
      <c r="AC16090"/>
      <c r="AR16090"/>
    </row>
    <row r="16091" spans="24:44">
      <c r="X16091"/>
      <c r="Y16091"/>
      <c r="Z16091"/>
      <c r="AA16091"/>
      <c r="AC16091"/>
      <c r="AR16091"/>
    </row>
    <row r="16092" spans="24:44">
      <c r="X16092"/>
      <c r="Y16092"/>
      <c r="Z16092"/>
      <c r="AA16092"/>
      <c r="AC16092"/>
      <c r="AR16092"/>
    </row>
    <row r="16093" spans="24:44">
      <c r="X16093"/>
      <c r="Y16093"/>
      <c r="Z16093"/>
      <c r="AA16093"/>
      <c r="AC16093"/>
      <c r="AR16093"/>
    </row>
    <row r="16094" spans="24:44">
      <c r="X16094"/>
      <c r="Y16094"/>
      <c r="Z16094"/>
      <c r="AA16094"/>
      <c r="AC16094"/>
      <c r="AR16094"/>
    </row>
    <row r="16095" spans="24:44">
      <c r="X16095"/>
      <c r="Y16095"/>
      <c r="Z16095"/>
      <c r="AA16095"/>
      <c r="AC16095"/>
      <c r="AR16095"/>
    </row>
    <row r="16096" spans="24:44">
      <c r="X16096"/>
      <c r="Y16096"/>
      <c r="Z16096"/>
      <c r="AA16096"/>
      <c r="AC16096"/>
      <c r="AR16096"/>
    </row>
    <row r="16097" spans="24:44">
      <c r="X16097"/>
      <c r="Y16097"/>
      <c r="Z16097"/>
      <c r="AA16097"/>
      <c r="AC16097"/>
      <c r="AR16097"/>
    </row>
    <row r="16098" spans="24:44">
      <c r="X16098"/>
      <c r="Y16098"/>
      <c r="Z16098"/>
      <c r="AA16098"/>
      <c r="AC16098"/>
      <c r="AR16098"/>
    </row>
    <row r="16099" spans="24:44">
      <c r="X16099"/>
      <c r="Y16099"/>
      <c r="Z16099"/>
      <c r="AA16099"/>
      <c r="AC16099"/>
      <c r="AR16099"/>
    </row>
    <row r="16100" spans="24:44">
      <c r="X16100"/>
      <c r="Y16100"/>
      <c r="Z16100"/>
      <c r="AA16100"/>
      <c r="AC16100"/>
      <c r="AR16100"/>
    </row>
    <row r="16101" spans="24:44">
      <c r="X16101"/>
      <c r="Y16101"/>
      <c r="Z16101"/>
      <c r="AA16101"/>
      <c r="AC16101"/>
      <c r="AR16101"/>
    </row>
    <row r="16102" spans="24:44">
      <c r="X16102"/>
      <c r="Y16102"/>
      <c r="Z16102"/>
      <c r="AA16102"/>
      <c r="AC16102"/>
      <c r="AR16102"/>
    </row>
    <row r="16103" spans="24:44">
      <c r="X16103"/>
      <c r="Y16103"/>
      <c r="Z16103"/>
      <c r="AA16103"/>
      <c r="AC16103"/>
      <c r="AR16103"/>
    </row>
    <row r="16104" spans="24:44">
      <c r="X16104"/>
      <c r="Y16104"/>
      <c r="Z16104"/>
      <c r="AA16104"/>
      <c r="AC16104"/>
      <c r="AR16104"/>
    </row>
    <row r="16105" spans="24:44">
      <c r="X16105"/>
      <c r="Y16105"/>
      <c r="Z16105"/>
      <c r="AA16105"/>
      <c r="AC16105"/>
      <c r="AR16105"/>
    </row>
    <row r="16106" spans="24:44">
      <c r="X16106"/>
      <c r="Y16106"/>
      <c r="Z16106"/>
      <c r="AA16106"/>
      <c r="AC16106"/>
      <c r="AR16106"/>
    </row>
    <row r="16107" spans="24:44">
      <c r="X16107"/>
      <c r="Y16107"/>
      <c r="Z16107"/>
      <c r="AA16107"/>
      <c r="AC16107"/>
      <c r="AR16107"/>
    </row>
    <row r="16108" spans="24:44">
      <c r="X16108"/>
      <c r="Y16108"/>
      <c r="Z16108"/>
      <c r="AA16108"/>
      <c r="AC16108"/>
      <c r="AR16108"/>
    </row>
    <row r="16109" spans="24:44">
      <c r="X16109"/>
      <c r="Y16109"/>
      <c r="Z16109"/>
      <c r="AA16109"/>
      <c r="AC16109"/>
      <c r="AR16109"/>
    </row>
    <row r="16110" spans="24:44">
      <c r="X16110"/>
      <c r="Y16110"/>
      <c r="Z16110"/>
      <c r="AA16110"/>
      <c r="AC16110"/>
      <c r="AR16110"/>
    </row>
    <row r="16111" spans="24:44">
      <c r="X16111"/>
      <c r="Y16111"/>
      <c r="Z16111"/>
      <c r="AA16111"/>
      <c r="AC16111"/>
      <c r="AR16111"/>
    </row>
    <row r="16112" spans="24:44">
      <c r="X16112"/>
      <c r="Y16112"/>
      <c r="Z16112"/>
      <c r="AA16112"/>
      <c r="AC16112"/>
      <c r="AR16112"/>
    </row>
    <row r="16113" spans="24:44">
      <c r="X16113"/>
      <c r="Y16113"/>
      <c r="Z16113"/>
      <c r="AA16113"/>
      <c r="AC16113"/>
      <c r="AR16113"/>
    </row>
    <row r="16114" spans="24:44">
      <c r="X16114"/>
      <c r="Y16114"/>
      <c r="Z16114"/>
      <c r="AA16114"/>
      <c r="AC16114"/>
      <c r="AR16114"/>
    </row>
    <row r="16115" spans="24:44">
      <c r="X16115"/>
      <c r="Y16115"/>
      <c r="Z16115"/>
      <c r="AA16115"/>
      <c r="AC16115"/>
      <c r="AR16115"/>
    </row>
    <row r="16116" spans="24:44">
      <c r="X16116"/>
      <c r="Y16116"/>
      <c r="Z16116"/>
      <c r="AA16116"/>
      <c r="AC16116"/>
      <c r="AR16116"/>
    </row>
    <row r="16117" spans="24:44">
      <c r="X16117"/>
      <c r="Y16117"/>
      <c r="Z16117"/>
      <c r="AA16117"/>
      <c r="AC16117"/>
      <c r="AR16117"/>
    </row>
    <row r="16118" spans="24:44">
      <c r="X16118"/>
      <c r="Y16118"/>
      <c r="Z16118"/>
      <c r="AA16118"/>
      <c r="AC16118"/>
      <c r="AR16118"/>
    </row>
    <row r="16119" spans="24:44">
      <c r="X16119"/>
      <c r="Y16119"/>
      <c r="Z16119"/>
      <c r="AA16119"/>
      <c r="AC16119"/>
      <c r="AR16119"/>
    </row>
    <row r="16120" spans="24:44">
      <c r="X16120"/>
      <c r="Y16120"/>
      <c r="Z16120"/>
      <c r="AA16120"/>
      <c r="AC16120"/>
      <c r="AR16120"/>
    </row>
    <row r="16121" spans="24:44">
      <c r="X16121"/>
      <c r="Y16121"/>
      <c r="Z16121"/>
      <c r="AA16121"/>
      <c r="AC16121"/>
      <c r="AR16121"/>
    </row>
    <row r="16122" spans="24:44">
      <c r="X16122"/>
      <c r="Y16122"/>
      <c r="Z16122"/>
      <c r="AA16122"/>
      <c r="AC16122"/>
      <c r="AR16122"/>
    </row>
    <row r="16123" spans="24:44">
      <c r="X16123"/>
      <c r="Y16123"/>
      <c r="Z16123"/>
      <c r="AA16123"/>
      <c r="AC16123"/>
      <c r="AR16123"/>
    </row>
    <row r="16124" spans="24:44">
      <c r="X16124"/>
      <c r="Y16124"/>
      <c r="Z16124"/>
      <c r="AA16124"/>
      <c r="AC16124"/>
      <c r="AR16124"/>
    </row>
    <row r="16125" spans="24:44">
      <c r="X16125"/>
      <c r="Y16125"/>
      <c r="Z16125"/>
      <c r="AA16125"/>
      <c r="AC16125"/>
      <c r="AR16125"/>
    </row>
    <row r="16126" spans="24:44">
      <c r="X16126"/>
      <c r="Y16126"/>
      <c r="Z16126"/>
      <c r="AA16126"/>
      <c r="AC16126"/>
      <c r="AR16126"/>
    </row>
    <row r="16127" spans="24:44">
      <c r="X16127"/>
      <c r="Y16127"/>
      <c r="Z16127"/>
      <c r="AA16127"/>
      <c r="AC16127"/>
      <c r="AR16127"/>
    </row>
    <row r="16128" spans="24:44">
      <c r="X16128"/>
      <c r="Y16128"/>
      <c r="Z16128"/>
      <c r="AA16128"/>
      <c r="AC16128"/>
      <c r="AR16128"/>
    </row>
    <row r="16129" spans="24:44">
      <c r="X16129"/>
      <c r="Y16129"/>
      <c r="Z16129"/>
      <c r="AA16129"/>
      <c r="AC16129"/>
      <c r="AR16129"/>
    </row>
    <row r="16130" spans="24:44">
      <c r="X16130"/>
      <c r="Y16130"/>
      <c r="Z16130"/>
      <c r="AA16130"/>
      <c r="AC16130"/>
      <c r="AR16130"/>
    </row>
    <row r="16131" spans="24:44">
      <c r="X16131"/>
      <c r="Y16131"/>
      <c r="Z16131"/>
      <c r="AA16131"/>
      <c r="AC16131"/>
      <c r="AR16131"/>
    </row>
    <row r="16132" spans="24:44">
      <c r="X16132"/>
      <c r="Y16132"/>
      <c r="Z16132"/>
      <c r="AA16132"/>
      <c r="AC16132"/>
      <c r="AR16132"/>
    </row>
    <row r="16133" spans="24:44">
      <c r="X16133"/>
      <c r="Y16133"/>
      <c r="Z16133"/>
      <c r="AA16133"/>
      <c r="AC16133"/>
      <c r="AR16133"/>
    </row>
    <row r="16134" spans="24:44">
      <c r="X16134"/>
      <c r="Y16134"/>
      <c r="Z16134"/>
      <c r="AA16134"/>
      <c r="AC16134"/>
      <c r="AR16134"/>
    </row>
    <row r="16135" spans="24:44">
      <c r="X16135"/>
      <c r="Y16135"/>
      <c r="Z16135"/>
      <c r="AA16135"/>
      <c r="AC16135"/>
      <c r="AR16135"/>
    </row>
    <row r="16136" spans="24:44">
      <c r="X16136"/>
      <c r="Y16136"/>
      <c r="Z16136"/>
      <c r="AA16136"/>
      <c r="AC16136"/>
      <c r="AR16136"/>
    </row>
    <row r="16137" spans="24:44">
      <c r="X16137"/>
      <c r="Y16137"/>
      <c r="Z16137"/>
      <c r="AA16137"/>
      <c r="AC16137"/>
      <c r="AR16137"/>
    </row>
    <row r="16138" spans="24:44">
      <c r="X16138"/>
      <c r="Y16138"/>
      <c r="Z16138"/>
      <c r="AA16138"/>
      <c r="AC16138"/>
      <c r="AR16138"/>
    </row>
    <row r="16139" spans="24:44">
      <c r="X16139"/>
      <c r="Y16139"/>
      <c r="Z16139"/>
      <c r="AA16139"/>
      <c r="AC16139"/>
      <c r="AR16139"/>
    </row>
    <row r="16140" spans="24:44">
      <c r="X16140"/>
      <c r="Y16140"/>
      <c r="Z16140"/>
      <c r="AA16140"/>
      <c r="AC16140"/>
      <c r="AR16140"/>
    </row>
    <row r="16141" spans="24:44">
      <c r="X16141"/>
      <c r="Y16141"/>
      <c r="Z16141"/>
      <c r="AA16141"/>
      <c r="AC16141"/>
      <c r="AR16141"/>
    </row>
    <row r="16142" spans="24:44">
      <c r="X16142"/>
      <c r="Y16142"/>
      <c r="Z16142"/>
      <c r="AA16142"/>
      <c r="AC16142"/>
      <c r="AR16142"/>
    </row>
    <row r="16143" spans="24:44">
      <c r="X16143"/>
      <c r="Y16143"/>
      <c r="Z16143"/>
      <c r="AA16143"/>
      <c r="AC16143"/>
      <c r="AR16143"/>
    </row>
    <row r="16144" spans="24:44">
      <c r="X16144"/>
      <c r="Y16144"/>
      <c r="Z16144"/>
      <c r="AA16144"/>
      <c r="AC16144"/>
      <c r="AR16144"/>
    </row>
    <row r="16145" spans="24:44">
      <c r="X16145"/>
      <c r="Y16145"/>
      <c r="Z16145"/>
      <c r="AA16145"/>
      <c r="AC16145"/>
      <c r="AR16145"/>
    </row>
    <row r="16146" spans="24:44">
      <c r="X16146"/>
      <c r="Y16146"/>
      <c r="Z16146"/>
      <c r="AA16146"/>
      <c r="AC16146"/>
      <c r="AR16146"/>
    </row>
    <row r="16147" spans="24:44">
      <c r="X16147"/>
      <c r="Y16147"/>
      <c r="Z16147"/>
      <c r="AA16147"/>
      <c r="AC16147"/>
      <c r="AR16147"/>
    </row>
    <row r="16148" spans="24:44">
      <c r="X16148"/>
      <c r="Y16148"/>
      <c r="Z16148"/>
      <c r="AA16148"/>
      <c r="AC16148"/>
      <c r="AR16148"/>
    </row>
    <row r="16149" spans="24:44">
      <c r="X16149"/>
      <c r="Y16149"/>
      <c r="Z16149"/>
      <c r="AA16149"/>
      <c r="AC16149"/>
      <c r="AR16149"/>
    </row>
    <row r="16150" spans="24:44">
      <c r="X16150"/>
      <c r="Y16150"/>
      <c r="Z16150"/>
      <c r="AA16150"/>
      <c r="AC16150"/>
      <c r="AR16150"/>
    </row>
    <row r="16151" spans="24:44">
      <c r="X16151"/>
      <c r="Y16151"/>
      <c r="Z16151"/>
      <c r="AA16151"/>
      <c r="AC16151"/>
      <c r="AR16151"/>
    </row>
    <row r="16152" spans="24:44">
      <c r="X16152"/>
      <c r="Y16152"/>
      <c r="Z16152"/>
      <c r="AA16152"/>
      <c r="AC16152"/>
      <c r="AR16152"/>
    </row>
    <row r="16153" spans="24:44">
      <c r="X16153"/>
      <c r="Y16153"/>
      <c r="Z16153"/>
      <c r="AA16153"/>
      <c r="AC16153"/>
      <c r="AR16153"/>
    </row>
    <row r="16154" spans="24:44">
      <c r="X16154"/>
      <c r="Y16154"/>
      <c r="Z16154"/>
      <c r="AA16154"/>
      <c r="AC16154"/>
      <c r="AR16154"/>
    </row>
    <row r="16155" spans="24:44">
      <c r="X16155"/>
      <c r="Y16155"/>
      <c r="Z16155"/>
      <c r="AA16155"/>
      <c r="AC16155"/>
      <c r="AR16155"/>
    </row>
    <row r="16156" spans="24:44">
      <c r="X16156"/>
      <c r="Y16156"/>
      <c r="Z16156"/>
      <c r="AA16156"/>
      <c r="AC16156"/>
      <c r="AR16156"/>
    </row>
    <row r="16157" spans="24:44">
      <c r="X16157"/>
      <c r="Y16157"/>
      <c r="Z16157"/>
      <c r="AA16157"/>
      <c r="AC16157"/>
      <c r="AR16157"/>
    </row>
    <row r="16158" spans="24:44">
      <c r="X16158"/>
      <c r="Y16158"/>
      <c r="Z16158"/>
      <c r="AA16158"/>
      <c r="AC16158"/>
      <c r="AR16158"/>
    </row>
    <row r="16159" spans="24:44">
      <c r="X16159"/>
      <c r="Y16159"/>
      <c r="Z16159"/>
      <c r="AA16159"/>
      <c r="AC16159"/>
      <c r="AR16159"/>
    </row>
    <row r="16160" spans="24:44">
      <c r="X16160"/>
      <c r="Y16160"/>
      <c r="Z16160"/>
      <c r="AA16160"/>
      <c r="AC16160"/>
      <c r="AR16160"/>
    </row>
    <row r="16161" spans="24:44">
      <c r="X16161"/>
      <c r="Y16161"/>
      <c r="Z16161"/>
      <c r="AA16161"/>
      <c r="AC16161"/>
      <c r="AR16161"/>
    </row>
    <row r="16162" spans="24:44">
      <c r="X16162"/>
      <c r="Y16162"/>
      <c r="Z16162"/>
      <c r="AA16162"/>
      <c r="AC16162"/>
      <c r="AR16162"/>
    </row>
    <row r="16163" spans="24:44">
      <c r="X16163"/>
      <c r="Y16163"/>
      <c r="Z16163"/>
      <c r="AA16163"/>
      <c r="AC16163"/>
      <c r="AR16163"/>
    </row>
    <row r="16164" spans="24:44">
      <c r="X16164"/>
      <c r="Y16164"/>
      <c r="Z16164"/>
      <c r="AA16164"/>
      <c r="AC16164"/>
      <c r="AR16164"/>
    </row>
    <row r="16165" spans="24:44">
      <c r="X16165"/>
      <c r="Y16165"/>
      <c r="Z16165"/>
      <c r="AA16165"/>
      <c r="AC16165"/>
      <c r="AR16165"/>
    </row>
    <row r="16166" spans="24:44">
      <c r="X16166"/>
      <c r="Y16166"/>
      <c r="Z16166"/>
      <c r="AA16166"/>
      <c r="AC16166"/>
      <c r="AR16166"/>
    </row>
    <row r="16167" spans="24:44">
      <c r="X16167"/>
      <c r="Y16167"/>
      <c r="Z16167"/>
      <c r="AA16167"/>
      <c r="AC16167"/>
      <c r="AR16167"/>
    </row>
    <row r="16168" spans="24:44">
      <c r="X16168"/>
      <c r="Y16168"/>
      <c r="Z16168"/>
      <c r="AA16168"/>
      <c r="AC16168"/>
      <c r="AR16168"/>
    </row>
    <row r="16169" spans="24:44">
      <c r="X16169"/>
      <c r="Y16169"/>
      <c r="Z16169"/>
      <c r="AA16169"/>
      <c r="AC16169"/>
      <c r="AR16169"/>
    </row>
    <row r="16170" spans="24:44">
      <c r="X16170"/>
      <c r="Y16170"/>
      <c r="Z16170"/>
      <c r="AA16170"/>
      <c r="AC16170"/>
      <c r="AR16170"/>
    </row>
    <row r="16171" spans="24:44">
      <c r="X16171"/>
      <c r="Y16171"/>
      <c r="Z16171"/>
      <c r="AA16171"/>
      <c r="AC16171"/>
      <c r="AR16171"/>
    </row>
    <row r="16172" spans="24:44">
      <c r="X16172"/>
      <c r="Y16172"/>
      <c r="Z16172"/>
      <c r="AA16172"/>
      <c r="AC16172"/>
      <c r="AR16172"/>
    </row>
    <row r="16173" spans="24:44">
      <c r="X16173"/>
      <c r="Y16173"/>
      <c r="Z16173"/>
      <c r="AA16173"/>
      <c r="AC16173"/>
      <c r="AR16173"/>
    </row>
    <row r="16174" spans="24:44">
      <c r="X16174"/>
      <c r="Y16174"/>
      <c r="Z16174"/>
      <c r="AA16174"/>
      <c r="AC16174"/>
      <c r="AR16174"/>
    </row>
    <row r="16175" spans="24:44">
      <c r="X16175"/>
      <c r="Y16175"/>
      <c r="Z16175"/>
      <c r="AA16175"/>
      <c r="AC16175"/>
      <c r="AR16175"/>
    </row>
    <row r="16176" spans="24:44">
      <c r="X16176"/>
      <c r="Y16176"/>
      <c r="Z16176"/>
      <c r="AA16176"/>
      <c r="AC16176"/>
      <c r="AR16176"/>
    </row>
    <row r="16177" spans="24:44">
      <c r="X16177"/>
      <c r="Y16177"/>
      <c r="Z16177"/>
      <c r="AA16177"/>
      <c r="AC16177"/>
      <c r="AR16177"/>
    </row>
    <row r="16178" spans="24:44">
      <c r="X16178"/>
      <c r="Y16178"/>
      <c r="Z16178"/>
      <c r="AA16178"/>
      <c r="AC16178"/>
      <c r="AR16178"/>
    </row>
    <row r="16179" spans="24:44">
      <c r="X16179"/>
      <c r="Y16179"/>
      <c r="Z16179"/>
      <c r="AA16179"/>
      <c r="AC16179"/>
      <c r="AR16179"/>
    </row>
    <row r="16180" spans="24:44">
      <c r="X16180"/>
      <c r="Y16180"/>
      <c r="Z16180"/>
      <c r="AA16180"/>
      <c r="AC16180"/>
      <c r="AR16180"/>
    </row>
    <row r="16181" spans="24:44">
      <c r="X16181"/>
      <c r="Y16181"/>
      <c r="Z16181"/>
      <c r="AA16181"/>
      <c r="AC16181"/>
      <c r="AR16181"/>
    </row>
    <row r="16182" spans="24:44">
      <c r="X16182"/>
      <c r="Y16182"/>
      <c r="Z16182"/>
      <c r="AA16182"/>
      <c r="AC16182"/>
      <c r="AR16182"/>
    </row>
    <row r="16183" spans="24:44">
      <c r="X16183"/>
      <c r="Y16183"/>
      <c r="Z16183"/>
      <c r="AA16183"/>
      <c r="AC16183"/>
      <c r="AR16183"/>
    </row>
    <row r="16184" spans="24:44">
      <c r="X16184"/>
      <c r="Y16184"/>
      <c r="Z16184"/>
      <c r="AA16184"/>
      <c r="AC16184"/>
      <c r="AR16184"/>
    </row>
    <row r="16185" spans="24:44">
      <c r="X16185"/>
      <c r="Y16185"/>
      <c r="Z16185"/>
      <c r="AA16185"/>
      <c r="AC16185"/>
      <c r="AR16185"/>
    </row>
    <row r="16186" spans="24:44">
      <c r="X16186"/>
      <c r="Y16186"/>
      <c r="Z16186"/>
      <c r="AA16186"/>
      <c r="AC16186"/>
      <c r="AR16186"/>
    </row>
    <row r="16187" spans="24:44">
      <c r="X16187"/>
      <c r="Y16187"/>
      <c r="Z16187"/>
      <c r="AA16187"/>
      <c r="AC16187"/>
      <c r="AR16187"/>
    </row>
    <row r="16188" spans="24:44">
      <c r="X16188"/>
      <c r="Y16188"/>
      <c r="Z16188"/>
      <c r="AA16188"/>
      <c r="AC16188"/>
      <c r="AR16188"/>
    </row>
    <row r="16189" spans="24:44">
      <c r="X16189"/>
      <c r="Y16189"/>
      <c r="Z16189"/>
      <c r="AA16189"/>
      <c r="AC16189"/>
      <c r="AR16189"/>
    </row>
    <row r="16190" spans="24:44">
      <c r="X16190"/>
      <c r="Y16190"/>
      <c r="Z16190"/>
      <c r="AA16190"/>
      <c r="AC16190"/>
      <c r="AR16190"/>
    </row>
    <row r="16191" spans="24:44">
      <c r="X16191"/>
      <c r="Y16191"/>
      <c r="Z16191"/>
      <c r="AA16191"/>
      <c r="AC16191"/>
      <c r="AR16191"/>
    </row>
    <row r="16192" spans="24:44">
      <c r="X16192"/>
      <c r="Y16192"/>
      <c r="Z16192"/>
      <c r="AA16192"/>
      <c r="AC16192"/>
      <c r="AR16192"/>
    </row>
    <row r="16193" spans="24:44">
      <c r="X16193"/>
      <c r="Y16193"/>
      <c r="Z16193"/>
      <c r="AA16193"/>
      <c r="AC16193"/>
      <c r="AR16193"/>
    </row>
    <row r="16194" spans="24:44">
      <c r="X16194"/>
      <c r="Y16194"/>
      <c r="Z16194"/>
      <c r="AA16194"/>
      <c r="AC16194"/>
      <c r="AR16194"/>
    </row>
    <row r="16195" spans="24:44">
      <c r="X16195"/>
      <c r="Y16195"/>
      <c r="Z16195"/>
      <c r="AA16195"/>
      <c r="AC16195"/>
      <c r="AR16195"/>
    </row>
    <row r="16196" spans="24:44">
      <c r="X16196"/>
      <c r="Y16196"/>
      <c r="Z16196"/>
      <c r="AA16196"/>
      <c r="AC16196"/>
      <c r="AR16196"/>
    </row>
    <row r="16197" spans="24:44">
      <c r="X16197"/>
      <c r="Y16197"/>
      <c r="Z16197"/>
      <c r="AA16197"/>
      <c r="AC16197"/>
      <c r="AR16197"/>
    </row>
    <row r="16198" spans="24:44">
      <c r="X16198"/>
      <c r="Y16198"/>
      <c r="Z16198"/>
      <c r="AA16198"/>
      <c r="AC16198"/>
      <c r="AR16198"/>
    </row>
    <row r="16199" spans="24:44">
      <c r="X16199"/>
      <c r="Y16199"/>
      <c r="Z16199"/>
      <c r="AA16199"/>
      <c r="AC16199"/>
      <c r="AR16199"/>
    </row>
    <row r="16200" spans="24:44">
      <c r="X16200"/>
      <c r="Y16200"/>
      <c r="Z16200"/>
      <c r="AA16200"/>
      <c r="AC16200"/>
      <c r="AR16200"/>
    </row>
    <row r="16201" spans="24:44">
      <c r="X16201"/>
      <c r="Y16201"/>
      <c r="Z16201"/>
      <c r="AA16201"/>
      <c r="AC16201"/>
      <c r="AR16201"/>
    </row>
    <row r="16202" spans="24:44">
      <c r="X16202"/>
      <c r="Y16202"/>
      <c r="Z16202"/>
      <c r="AA16202"/>
      <c r="AC16202"/>
      <c r="AR16202"/>
    </row>
    <row r="16203" spans="24:44">
      <c r="X16203"/>
      <c r="Y16203"/>
      <c r="Z16203"/>
      <c r="AA16203"/>
      <c r="AC16203"/>
      <c r="AR16203"/>
    </row>
    <row r="16204" spans="24:44">
      <c r="X16204"/>
      <c r="Y16204"/>
      <c r="Z16204"/>
      <c r="AA16204"/>
      <c r="AC16204"/>
      <c r="AR16204"/>
    </row>
    <row r="16205" spans="24:44">
      <c r="X16205"/>
      <c r="Y16205"/>
      <c r="Z16205"/>
      <c r="AA16205"/>
      <c r="AC16205"/>
      <c r="AR16205"/>
    </row>
    <row r="16206" spans="24:44">
      <c r="X16206"/>
      <c r="Y16206"/>
      <c r="Z16206"/>
      <c r="AA16206"/>
      <c r="AC16206"/>
      <c r="AR16206"/>
    </row>
    <row r="16207" spans="24:44">
      <c r="X16207"/>
      <c r="Y16207"/>
      <c r="Z16207"/>
      <c r="AA16207"/>
      <c r="AC16207"/>
      <c r="AR16207"/>
    </row>
    <row r="16208" spans="24:44">
      <c r="X16208"/>
      <c r="Y16208"/>
      <c r="Z16208"/>
      <c r="AA16208"/>
      <c r="AC16208"/>
      <c r="AR16208"/>
    </row>
    <row r="16209" spans="24:44">
      <c r="X16209"/>
      <c r="Y16209"/>
      <c r="Z16209"/>
      <c r="AA16209"/>
      <c r="AC16209"/>
      <c r="AR16209"/>
    </row>
    <row r="16210" spans="24:44">
      <c r="X16210"/>
      <c r="Y16210"/>
      <c r="Z16210"/>
      <c r="AA16210"/>
      <c r="AC16210"/>
      <c r="AR16210"/>
    </row>
    <row r="16211" spans="24:44">
      <c r="X16211"/>
      <c r="Y16211"/>
      <c r="Z16211"/>
      <c r="AA16211"/>
      <c r="AC16211"/>
      <c r="AR16211"/>
    </row>
    <row r="16212" spans="24:44">
      <c r="X16212"/>
      <c r="Y16212"/>
      <c r="Z16212"/>
      <c r="AA16212"/>
      <c r="AC16212"/>
      <c r="AR16212"/>
    </row>
    <row r="16213" spans="24:44">
      <c r="X16213"/>
      <c r="Y16213"/>
      <c r="Z16213"/>
      <c r="AA16213"/>
      <c r="AC16213"/>
      <c r="AR16213"/>
    </row>
    <row r="16214" spans="24:44">
      <c r="X16214"/>
      <c r="Y16214"/>
      <c r="Z16214"/>
      <c r="AA16214"/>
      <c r="AC16214"/>
      <c r="AR16214"/>
    </row>
    <row r="16215" spans="24:44">
      <c r="X16215"/>
      <c r="Y16215"/>
      <c r="Z16215"/>
      <c r="AA16215"/>
      <c r="AC16215"/>
      <c r="AR16215"/>
    </row>
    <row r="16216" spans="24:44">
      <c r="X16216"/>
      <c r="Y16216"/>
      <c r="Z16216"/>
      <c r="AA16216"/>
      <c r="AC16216"/>
      <c r="AR16216"/>
    </row>
    <row r="16217" spans="24:44">
      <c r="X16217"/>
      <c r="Y16217"/>
      <c r="Z16217"/>
      <c r="AA16217"/>
      <c r="AC16217"/>
      <c r="AR16217"/>
    </row>
    <row r="16218" spans="24:44">
      <c r="X16218"/>
      <c r="Y16218"/>
      <c r="Z16218"/>
      <c r="AA16218"/>
      <c r="AC16218"/>
      <c r="AR16218"/>
    </row>
    <row r="16219" spans="24:44">
      <c r="X16219"/>
      <c r="Y16219"/>
      <c r="Z16219"/>
      <c r="AA16219"/>
      <c r="AC16219"/>
      <c r="AR16219"/>
    </row>
    <row r="16220" spans="24:44">
      <c r="X16220"/>
      <c r="Y16220"/>
      <c r="Z16220"/>
      <c r="AA16220"/>
      <c r="AC16220"/>
      <c r="AR16220"/>
    </row>
    <row r="16221" spans="24:44">
      <c r="X16221"/>
      <c r="Y16221"/>
      <c r="Z16221"/>
      <c r="AA16221"/>
      <c r="AC16221"/>
      <c r="AR16221"/>
    </row>
    <row r="16222" spans="24:44">
      <c r="X16222"/>
      <c r="Y16222"/>
      <c r="Z16222"/>
      <c r="AA16222"/>
      <c r="AC16222"/>
      <c r="AR16222"/>
    </row>
    <row r="16223" spans="24:44">
      <c r="X16223"/>
      <c r="Y16223"/>
      <c r="Z16223"/>
      <c r="AA16223"/>
      <c r="AC16223"/>
      <c r="AR16223"/>
    </row>
    <row r="16224" spans="24:44">
      <c r="X16224"/>
      <c r="Y16224"/>
      <c r="Z16224"/>
      <c r="AA16224"/>
      <c r="AC16224"/>
      <c r="AR16224"/>
    </row>
    <row r="16225" spans="24:44">
      <c r="X16225"/>
      <c r="Y16225"/>
      <c r="Z16225"/>
      <c r="AA16225"/>
      <c r="AC16225"/>
      <c r="AR16225"/>
    </row>
  </sheetData>
  <autoFilter ref="A1:AB2611"/>
  <sortState ref="A2:K9200">
    <sortCondition ref="A1"/>
  </sortState>
  <mergeCells count="2161">
    <mergeCell ref="AM1429:AS1429"/>
    <mergeCell ref="AM1430:AO1430"/>
    <mergeCell ref="AQ1430:AS1430"/>
    <mergeCell ref="AM1431:AO1431"/>
    <mergeCell ref="AQ1431:AS1431"/>
    <mergeCell ref="AW1429:BC1429"/>
    <mergeCell ref="AW1430:AY1430"/>
    <mergeCell ref="BA1430:BC1430"/>
    <mergeCell ref="AW1431:AY1431"/>
    <mergeCell ref="BA1431:BC1431"/>
    <mergeCell ref="AN857:AP857"/>
    <mergeCell ref="AD1344:AF1344"/>
    <mergeCell ref="AI1344:AK1344"/>
    <mergeCell ref="AN1344:AP1344"/>
    <mergeCell ref="AD1345:AF1345"/>
    <mergeCell ref="AI1345:AK1345"/>
    <mergeCell ref="AN1345:AP1345"/>
    <mergeCell ref="AD1347:AF1347"/>
    <mergeCell ref="AI1347:AK1347"/>
    <mergeCell ref="AN1347:AP1347"/>
    <mergeCell ref="AD1360:AF1360"/>
    <mergeCell ref="AI1360:AK1360"/>
    <mergeCell ref="AN1360:AP1360"/>
    <mergeCell ref="AD1361:AF1361"/>
    <mergeCell ref="AI1361:AK1361"/>
    <mergeCell ref="AN1361:AP1361"/>
    <mergeCell ref="AT870:AV870"/>
    <mergeCell ref="AT869:AV869"/>
    <mergeCell ref="AT868:AV868"/>
    <mergeCell ref="AT866:AV866"/>
    <mergeCell ref="AT863:AV863"/>
    <mergeCell ref="AT862:AV862"/>
    <mergeCell ref="AT857:AV857"/>
    <mergeCell ref="AT856:AV856"/>
    <mergeCell ref="AT859:AV859"/>
    <mergeCell ref="AT865:AV865"/>
    <mergeCell ref="AT864:AV864"/>
    <mergeCell ref="AT867:AV867"/>
    <mergeCell ref="AN867:AP867"/>
    <mergeCell ref="AD864:AF864"/>
    <mergeCell ref="AI864:AK864"/>
    <mergeCell ref="AN864:AP864"/>
    <mergeCell ref="AD865:AF865"/>
    <mergeCell ref="AI865:AK865"/>
    <mergeCell ref="AN865:AP865"/>
    <mergeCell ref="AD1363:AF1363"/>
    <mergeCell ref="AI1363:AK1363"/>
    <mergeCell ref="AN1363:AP1363"/>
    <mergeCell ref="AD1354:AF1354"/>
    <mergeCell ref="AI1354:AK1354"/>
    <mergeCell ref="AN1354:AP1354"/>
    <mergeCell ref="AD1355:AF1355"/>
    <mergeCell ref="AI1355:AK1355"/>
    <mergeCell ref="AN1355:AP1355"/>
    <mergeCell ref="AD1356:AF1356"/>
    <mergeCell ref="AI1356:AK1356"/>
    <mergeCell ref="AN1356:AP1356"/>
    <mergeCell ref="AD1357:AF1357"/>
    <mergeCell ref="AI1357:AK1357"/>
    <mergeCell ref="AN1357:AP1357"/>
    <mergeCell ref="AD1358:AF1358"/>
    <mergeCell ref="AI1328:AK1328"/>
    <mergeCell ref="AN1328:AP1328"/>
    <mergeCell ref="AD1329:AF1329"/>
    <mergeCell ref="AI1329:AK1329"/>
    <mergeCell ref="AN1329:AP1329"/>
    <mergeCell ref="AD1322:AF1322"/>
    <mergeCell ref="AI1322:AK1322"/>
    <mergeCell ref="AN1322:AP1322"/>
    <mergeCell ref="AD1323:AF1323"/>
    <mergeCell ref="AI1323:AK1323"/>
    <mergeCell ref="AN1323:AP1323"/>
    <mergeCell ref="AD1324:AF1324"/>
    <mergeCell ref="AI1324:AK1324"/>
    <mergeCell ref="AN1324:AP1324"/>
    <mergeCell ref="AT861:AV861"/>
    <mergeCell ref="AT860:AV860"/>
    <mergeCell ref="AT858:AV858"/>
    <mergeCell ref="AD1164:AF1164"/>
    <mergeCell ref="AI1164:AK1164"/>
    <mergeCell ref="AN1164:AP1164"/>
    <mergeCell ref="AD1165:AF1165"/>
    <mergeCell ref="AI1165:AK1165"/>
    <mergeCell ref="AN1165:AP1165"/>
    <mergeCell ref="AD1163:AF1163"/>
    <mergeCell ref="AI1163:AK1163"/>
    <mergeCell ref="AN1163:AP1163"/>
    <mergeCell ref="AD1157:AF1157"/>
    <mergeCell ref="AI1157:AK1157"/>
    <mergeCell ref="AN1157:AP1157"/>
    <mergeCell ref="AD1158:AF1158"/>
    <mergeCell ref="AI1158:AK1158"/>
    <mergeCell ref="AD1108:AF1108"/>
    <mergeCell ref="AI1108:AK1108"/>
    <mergeCell ref="AN1108:AP1108"/>
    <mergeCell ref="AD1109:AF1109"/>
    <mergeCell ref="AI1358:AK1358"/>
    <mergeCell ref="AN1358:AP1358"/>
    <mergeCell ref="AD1359:AF1359"/>
    <mergeCell ref="AI1359:AK1359"/>
    <mergeCell ref="AN1359:AP1359"/>
    <mergeCell ref="AD1299:AF1299"/>
    <mergeCell ref="AI1299:AK1299"/>
    <mergeCell ref="AN1299:AP1299"/>
    <mergeCell ref="AD1312:AF1312"/>
    <mergeCell ref="AI1312:AK1312"/>
    <mergeCell ref="AN1312:AP1312"/>
    <mergeCell ref="AD1313:AF1313"/>
    <mergeCell ref="AI1313:AK1313"/>
    <mergeCell ref="AN1313:AP1313"/>
    <mergeCell ref="AD1315:AF1315"/>
    <mergeCell ref="AI1315:AK1315"/>
    <mergeCell ref="AN1315:AP1315"/>
    <mergeCell ref="AD1328:AF1328"/>
    <mergeCell ref="AD1346:AF1346"/>
    <mergeCell ref="AI1346:AK1346"/>
    <mergeCell ref="AN1346:AP1346"/>
    <mergeCell ref="AD1348:AF1348"/>
    <mergeCell ref="AI1348:AK1348"/>
    <mergeCell ref="AN1348:AP1348"/>
    <mergeCell ref="AD1349:AF1349"/>
    <mergeCell ref="AI1349:AK1349"/>
    <mergeCell ref="AN1349:AP1349"/>
    <mergeCell ref="AD1350:AF1350"/>
    <mergeCell ref="AI1350:AK1350"/>
    <mergeCell ref="AN1350:AP1350"/>
    <mergeCell ref="AD1352:AF1352"/>
    <mergeCell ref="AI1352:AK1352"/>
    <mergeCell ref="AI1109:AK1109"/>
    <mergeCell ref="AN1109:AP1109"/>
    <mergeCell ref="AD1111:AF1111"/>
    <mergeCell ref="AI1111:AK1111"/>
    <mergeCell ref="AN1111:AP1111"/>
    <mergeCell ref="AD1132:AF1132"/>
    <mergeCell ref="AI1132:AK1132"/>
    <mergeCell ref="AN1132:AP1132"/>
    <mergeCell ref="AD1060:AF1060"/>
    <mergeCell ref="AI1060:AK1060"/>
    <mergeCell ref="AN1060:AP1060"/>
    <mergeCell ref="AD1059:AF1059"/>
    <mergeCell ref="AI1059:AK1059"/>
    <mergeCell ref="AN1059:AP1059"/>
    <mergeCell ref="AD1128:AF1128"/>
    <mergeCell ref="AI1128:AK1128"/>
    <mergeCell ref="AN1128:AP1128"/>
    <mergeCell ref="AD1107:AF1107"/>
    <mergeCell ref="AI1107:AK1107"/>
    <mergeCell ref="AN1107:AP1107"/>
    <mergeCell ref="AD1110:AF1110"/>
    <mergeCell ref="AI1110:AK1110"/>
    <mergeCell ref="AN1110:AP1110"/>
    <mergeCell ref="AD1112:AF1112"/>
    <mergeCell ref="AI1112:AK1112"/>
    <mergeCell ref="AN1112:AP1112"/>
    <mergeCell ref="AD1113:AF1113"/>
    <mergeCell ref="AI1113:AK1113"/>
    <mergeCell ref="AN1113:AP1113"/>
    <mergeCell ref="AD1114:AF1114"/>
    <mergeCell ref="AI1114:AK1114"/>
    <mergeCell ref="AN1114:AP1114"/>
    <mergeCell ref="AT1128:AV1128"/>
    <mergeCell ref="AD1129:AF1129"/>
    <mergeCell ref="AI1129:AK1129"/>
    <mergeCell ref="AN1129:AP1129"/>
    <mergeCell ref="AT1129:AV1129"/>
    <mergeCell ref="AD1130:AF1130"/>
    <mergeCell ref="AI1130:AK1130"/>
    <mergeCell ref="AN1130:AP1130"/>
    <mergeCell ref="AT1130:AV1130"/>
    <mergeCell ref="AT1131:AV1131"/>
    <mergeCell ref="AN1158:AP1158"/>
    <mergeCell ref="AD1159:AF1159"/>
    <mergeCell ref="AI1159:AK1159"/>
    <mergeCell ref="AN1159:AP1159"/>
    <mergeCell ref="AD1135:AF1135"/>
    <mergeCell ref="AI1135:AK1135"/>
    <mergeCell ref="AN1135:AP1135"/>
    <mergeCell ref="AT1135:AV1135"/>
    <mergeCell ref="AD1148:AF1148"/>
    <mergeCell ref="AI1148:AK1148"/>
    <mergeCell ref="AN1148:AP1148"/>
    <mergeCell ref="AD1149:AF1149"/>
    <mergeCell ref="AI1149:AK1149"/>
    <mergeCell ref="AN1149:AP1149"/>
    <mergeCell ref="AD1151:AF1151"/>
    <mergeCell ref="AI1151:AK1151"/>
    <mergeCell ref="AN1151:AP1151"/>
    <mergeCell ref="AD1142:AF1142"/>
    <mergeCell ref="AI1142:AK1142"/>
    <mergeCell ref="AN1142:AP1142"/>
    <mergeCell ref="AD1143:AF1143"/>
    <mergeCell ref="AI1143:AK1143"/>
    <mergeCell ref="AD980:AF980"/>
    <mergeCell ref="AD1056:AF1056"/>
    <mergeCell ref="AI1056:AK1056"/>
    <mergeCell ref="AN1056:AP1056"/>
    <mergeCell ref="AD1057:AF1057"/>
    <mergeCell ref="AI1057:AK1057"/>
    <mergeCell ref="AN1057:AP1057"/>
    <mergeCell ref="AD1058:AF1058"/>
    <mergeCell ref="AI1058:AK1058"/>
    <mergeCell ref="AN1058:AP1058"/>
    <mergeCell ref="AI1054:AK1054"/>
    <mergeCell ref="AD1015:AF1015"/>
    <mergeCell ref="AI1015:AK1015"/>
    <mergeCell ref="AN1015:AP1015"/>
    <mergeCell ref="AD1028:AF1028"/>
    <mergeCell ref="AI1028:AK1028"/>
    <mergeCell ref="AN1028:AP1028"/>
    <mergeCell ref="AD1030:AF1030"/>
    <mergeCell ref="AI1030:AK1030"/>
    <mergeCell ref="AN1030:AP1030"/>
    <mergeCell ref="AN1050:AP1050"/>
    <mergeCell ref="AD1019:AF1019"/>
    <mergeCell ref="AI1019:AK1019"/>
    <mergeCell ref="AN1019:AP1019"/>
    <mergeCell ref="AN1043:AP1043"/>
    <mergeCell ref="AD1046:AF1046"/>
    <mergeCell ref="AI1046:AK1046"/>
    <mergeCell ref="AN1046:AP1046"/>
    <mergeCell ref="AD1025:AF1025"/>
    <mergeCell ref="AD1038:AF1038"/>
    <mergeCell ref="AI1038:AK1038"/>
    <mergeCell ref="AD1052:AF1052"/>
    <mergeCell ref="AD1012:AF1012"/>
    <mergeCell ref="AI1012:AK1012"/>
    <mergeCell ref="AN1012:AP1012"/>
    <mergeCell ref="AD1013:AF1013"/>
    <mergeCell ref="AI1013:AK1013"/>
    <mergeCell ref="AI1055:AK1055"/>
    <mergeCell ref="AN1055:AP1055"/>
    <mergeCell ref="AN1052:AP1052"/>
    <mergeCell ref="AD1053:AF1053"/>
    <mergeCell ref="AI1053:AK1053"/>
    <mergeCell ref="AN1053:AP1053"/>
    <mergeCell ref="AD1054:AF1054"/>
    <mergeCell ref="AN1054:AP1054"/>
    <mergeCell ref="AD1055:AF1055"/>
    <mergeCell ref="AD982:AF982"/>
    <mergeCell ref="AI982:AK982"/>
    <mergeCell ref="AN982:AP982"/>
    <mergeCell ref="AD983:AF983"/>
    <mergeCell ref="AI983:AK983"/>
    <mergeCell ref="AN983:AP983"/>
    <mergeCell ref="AI1052:AK1052"/>
    <mergeCell ref="AN1033:AP1033"/>
    <mergeCell ref="AD1034:AF1034"/>
    <mergeCell ref="AI1034:AK1034"/>
    <mergeCell ref="AN1034:AP1034"/>
    <mergeCell ref="AD1035:AF1035"/>
    <mergeCell ref="AI1035:AK1035"/>
    <mergeCell ref="AD1032:AF1032"/>
    <mergeCell ref="AI1032:AK1032"/>
    <mergeCell ref="AN1032:AP1032"/>
    <mergeCell ref="AN1035:AP1035"/>
    <mergeCell ref="AN1002:AP1002"/>
    <mergeCell ref="AI980:AK980"/>
    <mergeCell ref="AN980:AP980"/>
    <mergeCell ref="AD981:AF981"/>
    <mergeCell ref="AI981:AK981"/>
    <mergeCell ref="AN981:AP981"/>
    <mergeCell ref="AD966:AF966"/>
    <mergeCell ref="AI965:AK965"/>
    <mergeCell ref="AD950:AF950"/>
    <mergeCell ref="AI950:AK950"/>
    <mergeCell ref="AN950:AP950"/>
    <mergeCell ref="AD952:AF952"/>
    <mergeCell ref="AI952:AK952"/>
    <mergeCell ref="AN952:AP952"/>
    <mergeCell ref="AD953:AF953"/>
    <mergeCell ref="AI953:AK953"/>
    <mergeCell ref="AN953:AP953"/>
    <mergeCell ref="AD954:AF954"/>
    <mergeCell ref="AI954:AK954"/>
    <mergeCell ref="AN954:AP954"/>
    <mergeCell ref="AD955:AF955"/>
    <mergeCell ref="AN955:AP955"/>
    <mergeCell ref="AD956:AF956"/>
    <mergeCell ref="AI956:AK956"/>
    <mergeCell ref="AN956:AP956"/>
    <mergeCell ref="AD957:AF957"/>
    <mergeCell ref="AD975:AF975"/>
    <mergeCell ref="AI975:AK975"/>
    <mergeCell ref="AN975:AP975"/>
    <mergeCell ref="AD978:AF978"/>
    <mergeCell ref="AI978:AK978"/>
    <mergeCell ref="AI966:AK966"/>
    <mergeCell ref="AN966:AP966"/>
    <mergeCell ref="AD928:AF928"/>
    <mergeCell ref="AI928:AK928"/>
    <mergeCell ref="AN928:AP928"/>
    <mergeCell ref="AD929:AF929"/>
    <mergeCell ref="AI929:AK929"/>
    <mergeCell ref="AN929:AP929"/>
    <mergeCell ref="AD923:AF923"/>
    <mergeCell ref="AI923:AK923"/>
    <mergeCell ref="AN923:AP923"/>
    <mergeCell ref="AI902:AK902"/>
    <mergeCell ref="AN902:AP902"/>
    <mergeCell ref="AD903:AF903"/>
    <mergeCell ref="AI903:AK903"/>
    <mergeCell ref="AN903:AP903"/>
    <mergeCell ref="AD902:AF902"/>
    <mergeCell ref="AD917:AF917"/>
    <mergeCell ref="AI917:AK917"/>
    <mergeCell ref="AN917:AP917"/>
    <mergeCell ref="AD918:AF918"/>
    <mergeCell ref="AD907:AF907"/>
    <mergeCell ref="AI907:AK907"/>
    <mergeCell ref="AI904:AK904"/>
    <mergeCell ref="AN904:AP904"/>
    <mergeCell ref="AD905:AF905"/>
    <mergeCell ref="AI905:AK905"/>
    <mergeCell ref="AN905:AP905"/>
    <mergeCell ref="AN908:AP908"/>
    <mergeCell ref="AD909:AF909"/>
    <mergeCell ref="AI909:AK909"/>
    <mergeCell ref="AN909:AP909"/>
    <mergeCell ref="AD910:AF910"/>
    <mergeCell ref="AI910:AK910"/>
    <mergeCell ref="AI899:AK899"/>
    <mergeCell ref="AN896:AP896"/>
    <mergeCell ref="AN897:AP897"/>
    <mergeCell ref="AN899:AP899"/>
    <mergeCell ref="AD891:AF891"/>
    <mergeCell ref="AI891:AK891"/>
    <mergeCell ref="AN891:AP891"/>
    <mergeCell ref="AD886:AF886"/>
    <mergeCell ref="AI886:AK886"/>
    <mergeCell ref="AN886:AP886"/>
    <mergeCell ref="AD894:AF894"/>
    <mergeCell ref="AI894:AK894"/>
    <mergeCell ref="AN894:AP894"/>
    <mergeCell ref="AD897:AF897"/>
    <mergeCell ref="AD899:AF899"/>
    <mergeCell ref="AI896:AK896"/>
    <mergeCell ref="AI897:AK897"/>
    <mergeCell ref="AN889:AP889"/>
    <mergeCell ref="AD889:AF889"/>
    <mergeCell ref="AI889:AK889"/>
    <mergeCell ref="AD888:AF888"/>
    <mergeCell ref="AI888:AK888"/>
    <mergeCell ref="AN888:AP888"/>
    <mergeCell ref="AI893:AK893"/>
    <mergeCell ref="AN893:AP893"/>
    <mergeCell ref="AD884:AF884"/>
    <mergeCell ref="AI884:AK884"/>
    <mergeCell ref="AN884:AP884"/>
    <mergeCell ref="AN869:AP869"/>
    <mergeCell ref="AD869:AF869"/>
    <mergeCell ref="AN870:AP870"/>
    <mergeCell ref="AI870:AK870"/>
    <mergeCell ref="AT229:AU229"/>
    <mergeCell ref="AD230:AG230"/>
    <mergeCell ref="AS230:AV230"/>
    <mergeCell ref="AE237:AF237"/>
    <mergeCell ref="AT237:AU237"/>
    <mergeCell ref="AD238:AH238"/>
    <mergeCell ref="AS238:AV238"/>
    <mergeCell ref="AN860:AP860"/>
    <mergeCell ref="AN861:AP861"/>
    <mergeCell ref="AD876:AF876"/>
    <mergeCell ref="AD877:AF877"/>
    <mergeCell ref="AI876:AK876"/>
    <mergeCell ref="AI877:AK877"/>
    <mergeCell ref="AN876:AP876"/>
    <mergeCell ref="AN877:AP877"/>
    <mergeCell ref="AN873:AP873"/>
    <mergeCell ref="AS396:AV396"/>
    <mergeCell ref="AD379:AG379"/>
    <mergeCell ref="AS379:AV379"/>
    <mergeCell ref="AD880:AF880"/>
    <mergeCell ref="AI880:AK880"/>
    <mergeCell ref="AN880:AP880"/>
    <mergeCell ref="AN882:AP882"/>
    <mergeCell ref="AT384:AU384"/>
    <mergeCell ref="AD385:AG385"/>
    <mergeCell ref="AD1378:AF1378"/>
    <mergeCell ref="AI1378:AK1378"/>
    <mergeCell ref="AN1378:AP1378"/>
    <mergeCell ref="AD1380:AF1380"/>
    <mergeCell ref="AI1380:AK1380"/>
    <mergeCell ref="AN1380:AP1380"/>
    <mergeCell ref="AD1381:AF1381"/>
    <mergeCell ref="AI1381:AK1381"/>
    <mergeCell ref="AN1381:AP1381"/>
    <mergeCell ref="AD1382:AF1382"/>
    <mergeCell ref="AI1382:AK1382"/>
    <mergeCell ref="AN1382:AP1382"/>
    <mergeCell ref="AD1373:AF1373"/>
    <mergeCell ref="AI1373:AK1373"/>
    <mergeCell ref="AN1373:AP1373"/>
    <mergeCell ref="AD1374:AF1374"/>
    <mergeCell ref="AI1374:AK1374"/>
    <mergeCell ref="AN1374:AP1374"/>
    <mergeCell ref="AD1375:AF1375"/>
    <mergeCell ref="AI1375:AK1375"/>
    <mergeCell ref="AN1375:AP1375"/>
    <mergeCell ref="AD1376:AF1376"/>
    <mergeCell ref="AI1376:AK1376"/>
    <mergeCell ref="AN1376:AP1376"/>
    <mergeCell ref="AD1377:AF1377"/>
    <mergeCell ref="AI1377:AK1377"/>
    <mergeCell ref="AN1377:AP1377"/>
    <mergeCell ref="AD1379:AF1379"/>
    <mergeCell ref="AI1379:AK1379"/>
    <mergeCell ref="AN1379:AP1379"/>
    <mergeCell ref="AN1368:AP1368"/>
    <mergeCell ref="AD1369:AF1369"/>
    <mergeCell ref="AI1369:AK1369"/>
    <mergeCell ref="AN1369:AP1369"/>
    <mergeCell ref="AE229:AF229"/>
    <mergeCell ref="AD1370:AF1370"/>
    <mergeCell ref="AI1370:AK1370"/>
    <mergeCell ref="AN1370:AP1370"/>
    <mergeCell ref="AD1371:AF1371"/>
    <mergeCell ref="AI1371:AK1371"/>
    <mergeCell ref="AN1371:AP1371"/>
    <mergeCell ref="AD1372:AF1372"/>
    <mergeCell ref="AI1372:AK1372"/>
    <mergeCell ref="AN1372:AP1372"/>
    <mergeCell ref="AD1362:AF1362"/>
    <mergeCell ref="AI1362:AK1362"/>
    <mergeCell ref="AN1362:AP1362"/>
    <mergeCell ref="AD1364:AF1364"/>
    <mergeCell ref="AI1364:AK1364"/>
    <mergeCell ref="AN1364:AP1364"/>
    <mergeCell ref="AD1365:AF1365"/>
    <mergeCell ref="AI1365:AK1365"/>
    <mergeCell ref="AN1365:AP1365"/>
    <mergeCell ref="AD1366:AF1366"/>
    <mergeCell ref="AI1366:AK1366"/>
    <mergeCell ref="AN1366:AP1366"/>
    <mergeCell ref="AD1368:AF1368"/>
    <mergeCell ref="AI1368:AK1368"/>
    <mergeCell ref="AD883:AF883"/>
    <mergeCell ref="AI883:AK883"/>
    <mergeCell ref="AN883:AP883"/>
    <mergeCell ref="AD896:AF896"/>
    <mergeCell ref="AN1352:AP1352"/>
    <mergeCell ref="AD1353:AF1353"/>
    <mergeCell ref="AI1353:AK1353"/>
    <mergeCell ref="AN1353:AP1353"/>
    <mergeCell ref="AD1338:AF1338"/>
    <mergeCell ref="AI1338:AK1338"/>
    <mergeCell ref="AN1338:AP1338"/>
    <mergeCell ref="AD1339:AF1339"/>
    <mergeCell ref="AI1339:AK1339"/>
    <mergeCell ref="AN1339:AP1339"/>
    <mergeCell ref="AD1340:AF1340"/>
    <mergeCell ref="AI1340:AK1340"/>
    <mergeCell ref="AN1340:AP1340"/>
    <mergeCell ref="AD1341:AF1341"/>
    <mergeCell ref="AI1341:AK1341"/>
    <mergeCell ref="AN1341:AP1341"/>
    <mergeCell ref="AD1342:AF1342"/>
    <mergeCell ref="AI1342:AK1342"/>
    <mergeCell ref="AN1342:AP1342"/>
    <mergeCell ref="AD1343:AF1343"/>
    <mergeCell ref="AI1343:AK1343"/>
    <mergeCell ref="AN1343:AP1343"/>
    <mergeCell ref="AD1330:AF1330"/>
    <mergeCell ref="AI1330:AK1330"/>
    <mergeCell ref="AN1330:AP1330"/>
    <mergeCell ref="AD1332:AF1332"/>
    <mergeCell ref="AI1332:AK1332"/>
    <mergeCell ref="AN1332:AP1332"/>
    <mergeCell ref="AD1333:AF1333"/>
    <mergeCell ref="AI1333:AK1333"/>
    <mergeCell ref="AN1333:AP1333"/>
    <mergeCell ref="AD1334:AF1334"/>
    <mergeCell ref="AI1334:AK1334"/>
    <mergeCell ref="AN1334:AP1334"/>
    <mergeCell ref="AD1336:AF1336"/>
    <mergeCell ref="AI1336:AK1336"/>
    <mergeCell ref="AN1336:AP1336"/>
    <mergeCell ref="AD1337:AF1337"/>
    <mergeCell ref="AI1337:AK1337"/>
    <mergeCell ref="AN1337:AP1337"/>
    <mergeCell ref="AD1331:AF1331"/>
    <mergeCell ref="AI1331:AK1331"/>
    <mergeCell ref="AN1331:AP1331"/>
    <mergeCell ref="AN1326:AP1326"/>
    <mergeCell ref="AD1327:AF1327"/>
    <mergeCell ref="AI1327:AK1327"/>
    <mergeCell ref="AN1327:AP1327"/>
    <mergeCell ref="AD1314:AF1314"/>
    <mergeCell ref="AI1314:AK1314"/>
    <mergeCell ref="AN1314:AP1314"/>
    <mergeCell ref="AD1316:AF1316"/>
    <mergeCell ref="AI1316:AK1316"/>
    <mergeCell ref="AN1316:AP1316"/>
    <mergeCell ref="AD1317:AF1317"/>
    <mergeCell ref="AI1317:AK1317"/>
    <mergeCell ref="AN1317:AP1317"/>
    <mergeCell ref="AD1318:AF1318"/>
    <mergeCell ref="AI1318:AK1318"/>
    <mergeCell ref="AN1318:AP1318"/>
    <mergeCell ref="AD1320:AF1320"/>
    <mergeCell ref="AI1320:AK1320"/>
    <mergeCell ref="AN1320:AP1320"/>
    <mergeCell ref="AD1321:AF1321"/>
    <mergeCell ref="AI1321:AK1321"/>
    <mergeCell ref="AN1321:AP1321"/>
    <mergeCell ref="AD1325:AF1325"/>
    <mergeCell ref="AI1325:AK1325"/>
    <mergeCell ref="AN1325:AP1325"/>
    <mergeCell ref="AD1326:AF1326"/>
    <mergeCell ref="AI1326:AK1326"/>
    <mergeCell ref="AD1306:AF1306"/>
    <mergeCell ref="AI1306:AK1306"/>
    <mergeCell ref="AN1306:AP1306"/>
    <mergeCell ref="AD1307:AF1307"/>
    <mergeCell ref="AI1307:AK1307"/>
    <mergeCell ref="AN1307:AP1307"/>
    <mergeCell ref="AD1308:AF1308"/>
    <mergeCell ref="AI1308:AK1308"/>
    <mergeCell ref="AN1308:AP1308"/>
    <mergeCell ref="AD1309:AF1309"/>
    <mergeCell ref="AI1309:AK1309"/>
    <mergeCell ref="AN1309:AP1309"/>
    <mergeCell ref="AD1310:AF1310"/>
    <mergeCell ref="AI1310:AK1310"/>
    <mergeCell ref="AN1310:AP1310"/>
    <mergeCell ref="AD1311:AF1311"/>
    <mergeCell ref="AI1311:AK1311"/>
    <mergeCell ref="AN1311:AP1311"/>
    <mergeCell ref="AD1300:AF1300"/>
    <mergeCell ref="AI1300:AK1300"/>
    <mergeCell ref="AN1300:AP1300"/>
    <mergeCell ref="AD1301:AF1301"/>
    <mergeCell ref="AI1301:AK1301"/>
    <mergeCell ref="AN1301:AP1301"/>
    <mergeCell ref="AD1302:AF1302"/>
    <mergeCell ref="AI1302:AK1302"/>
    <mergeCell ref="AN1302:AP1302"/>
    <mergeCell ref="AD1303:AF1303"/>
    <mergeCell ref="AI1303:AK1303"/>
    <mergeCell ref="AN1303:AP1303"/>
    <mergeCell ref="AD1304:AF1304"/>
    <mergeCell ref="AI1304:AK1304"/>
    <mergeCell ref="AN1304:AP1304"/>
    <mergeCell ref="AD1305:AF1305"/>
    <mergeCell ref="AI1305:AK1305"/>
    <mergeCell ref="AN1305:AP1305"/>
    <mergeCell ref="AD1291:AF1291"/>
    <mergeCell ref="AI1291:AK1291"/>
    <mergeCell ref="AN1291:AP1291"/>
    <mergeCell ref="AD1292:AF1292"/>
    <mergeCell ref="AI1292:AK1292"/>
    <mergeCell ref="AN1292:AP1292"/>
    <mergeCell ref="AD1293:AF1293"/>
    <mergeCell ref="AI1293:AK1293"/>
    <mergeCell ref="AN1293:AP1293"/>
    <mergeCell ref="AD1294:AF1294"/>
    <mergeCell ref="AI1294:AK1294"/>
    <mergeCell ref="AN1294:AP1294"/>
    <mergeCell ref="AD1295:AF1295"/>
    <mergeCell ref="AI1295:AK1295"/>
    <mergeCell ref="AN1295:AP1295"/>
    <mergeCell ref="AD1298:AF1298"/>
    <mergeCell ref="AI1298:AK1298"/>
    <mergeCell ref="AN1298:AP1298"/>
    <mergeCell ref="AD1296:AF1296"/>
    <mergeCell ref="AI1296:AK1296"/>
    <mergeCell ref="AN1296:AP1296"/>
    <mergeCell ref="AD1297:AF1297"/>
    <mergeCell ref="AI1297:AK1297"/>
    <mergeCell ref="AN1297:AP1297"/>
    <mergeCell ref="AD1285:AF1285"/>
    <mergeCell ref="AI1285:AK1285"/>
    <mergeCell ref="AN1285:AP1285"/>
    <mergeCell ref="AD1286:AF1286"/>
    <mergeCell ref="AI1286:AK1286"/>
    <mergeCell ref="AN1286:AP1286"/>
    <mergeCell ref="AD1287:AF1287"/>
    <mergeCell ref="AI1287:AK1287"/>
    <mergeCell ref="AN1287:AP1287"/>
    <mergeCell ref="AD1288:AF1288"/>
    <mergeCell ref="AI1288:AK1288"/>
    <mergeCell ref="AN1288:AP1288"/>
    <mergeCell ref="AD1289:AF1289"/>
    <mergeCell ref="AI1289:AK1289"/>
    <mergeCell ref="AN1289:AP1289"/>
    <mergeCell ref="AD1290:AF1290"/>
    <mergeCell ref="AI1290:AK1290"/>
    <mergeCell ref="AN1290:AP1290"/>
    <mergeCell ref="AD1276:AF1276"/>
    <mergeCell ref="AI1276:AK1276"/>
    <mergeCell ref="AN1276:AP1276"/>
    <mergeCell ref="AD1277:AF1277"/>
    <mergeCell ref="AI1277:AK1277"/>
    <mergeCell ref="AN1277:AP1277"/>
    <mergeCell ref="AD1278:AF1278"/>
    <mergeCell ref="AI1278:AK1278"/>
    <mergeCell ref="AN1278:AP1278"/>
    <mergeCell ref="AD1279:AF1279"/>
    <mergeCell ref="AI1279:AK1279"/>
    <mergeCell ref="AN1279:AP1279"/>
    <mergeCell ref="AD1282:AF1282"/>
    <mergeCell ref="AI1282:AK1282"/>
    <mergeCell ref="AN1282:AP1282"/>
    <mergeCell ref="AD1284:AF1284"/>
    <mergeCell ref="AI1284:AK1284"/>
    <mergeCell ref="AN1284:AP1284"/>
    <mergeCell ref="AD1280:AF1280"/>
    <mergeCell ref="AI1280:AK1280"/>
    <mergeCell ref="AN1280:AP1280"/>
    <mergeCell ref="AD1281:AF1281"/>
    <mergeCell ref="AI1281:AK1281"/>
    <mergeCell ref="AN1281:AP1281"/>
    <mergeCell ref="AD1283:AF1283"/>
    <mergeCell ref="AI1283:AK1283"/>
    <mergeCell ref="AN1283:AP1283"/>
    <mergeCell ref="AD1269:AF1269"/>
    <mergeCell ref="AN1269:AP1269"/>
    <mergeCell ref="AT1269:AV1269"/>
    <mergeCell ref="AD1270:AF1270"/>
    <mergeCell ref="AN1270:AP1270"/>
    <mergeCell ref="AT1270:AV1270"/>
    <mergeCell ref="AD1272:AF1272"/>
    <mergeCell ref="AI1272:AK1272"/>
    <mergeCell ref="AN1272:AP1272"/>
    <mergeCell ref="AD1273:AF1273"/>
    <mergeCell ref="AI1273:AK1273"/>
    <mergeCell ref="AN1273:AP1273"/>
    <mergeCell ref="AD1274:AF1274"/>
    <mergeCell ref="AI1274:AK1274"/>
    <mergeCell ref="AN1274:AP1274"/>
    <mergeCell ref="AD1275:AF1275"/>
    <mergeCell ref="AI1275:AK1275"/>
    <mergeCell ref="AN1275:AP1275"/>
    <mergeCell ref="AD1260:AF1260"/>
    <mergeCell ref="AN1260:AP1260"/>
    <mergeCell ref="AT1260:AV1260"/>
    <mergeCell ref="AD1261:AF1261"/>
    <mergeCell ref="AN1261:AP1261"/>
    <mergeCell ref="AT1261:AV1261"/>
    <mergeCell ref="AD1262:AF1262"/>
    <mergeCell ref="AN1262:AP1262"/>
    <mergeCell ref="AT1262:AV1262"/>
    <mergeCell ref="AD1263:AF1263"/>
    <mergeCell ref="AN1263:AP1263"/>
    <mergeCell ref="AT1263:AV1263"/>
    <mergeCell ref="AD1266:AF1266"/>
    <mergeCell ref="AN1266:AP1266"/>
    <mergeCell ref="AT1266:AV1266"/>
    <mergeCell ref="AD1268:AF1268"/>
    <mergeCell ref="AN1268:AP1268"/>
    <mergeCell ref="AT1268:AV1268"/>
    <mergeCell ref="AD1264:AF1264"/>
    <mergeCell ref="AN1264:AP1264"/>
    <mergeCell ref="AT1264:AV1264"/>
    <mergeCell ref="AD1265:AF1265"/>
    <mergeCell ref="AN1265:AP1265"/>
    <mergeCell ref="AT1265:AV1265"/>
    <mergeCell ref="AD1267:AF1267"/>
    <mergeCell ref="AN1267:AP1267"/>
    <mergeCell ref="AT1267:AV1267"/>
    <mergeCell ref="AD1251:AF1251"/>
    <mergeCell ref="AI1251:AK1251"/>
    <mergeCell ref="AN1251:AP1251"/>
    <mergeCell ref="AG1253:AI1253"/>
    <mergeCell ref="AD1254:AF1254"/>
    <mergeCell ref="AI1254:AK1254"/>
    <mergeCell ref="AD1256:AF1256"/>
    <mergeCell ref="AN1256:AP1256"/>
    <mergeCell ref="AT1256:AV1256"/>
    <mergeCell ref="AD1257:AF1257"/>
    <mergeCell ref="AN1257:AP1257"/>
    <mergeCell ref="AT1257:AV1257"/>
    <mergeCell ref="AD1258:AF1258"/>
    <mergeCell ref="AN1258:AP1258"/>
    <mergeCell ref="AT1258:AV1258"/>
    <mergeCell ref="AD1259:AF1259"/>
    <mergeCell ref="AN1259:AP1259"/>
    <mergeCell ref="AT1259:AV1259"/>
    <mergeCell ref="AD1242:AF1242"/>
    <mergeCell ref="AI1242:AK1242"/>
    <mergeCell ref="AN1242:AP1242"/>
    <mergeCell ref="AD1243:AF1243"/>
    <mergeCell ref="AI1243:AK1243"/>
    <mergeCell ref="AN1243:AP1243"/>
    <mergeCell ref="AD1246:AF1246"/>
    <mergeCell ref="AI1246:AK1246"/>
    <mergeCell ref="AN1246:AP1246"/>
    <mergeCell ref="AD1248:AF1248"/>
    <mergeCell ref="AI1248:AK1248"/>
    <mergeCell ref="AN1248:AP1248"/>
    <mergeCell ref="AD1249:AF1249"/>
    <mergeCell ref="AI1249:AK1249"/>
    <mergeCell ref="AN1249:AP1249"/>
    <mergeCell ref="AD1250:AF1250"/>
    <mergeCell ref="AI1250:AK1250"/>
    <mergeCell ref="AN1250:AP1250"/>
    <mergeCell ref="AD1244:AF1244"/>
    <mergeCell ref="AI1244:AK1244"/>
    <mergeCell ref="AN1244:AP1244"/>
    <mergeCell ref="AD1245:AF1245"/>
    <mergeCell ref="AI1245:AK1245"/>
    <mergeCell ref="AN1245:AP1245"/>
    <mergeCell ref="AD1247:AF1247"/>
    <mergeCell ref="AI1247:AK1247"/>
    <mergeCell ref="AN1247:AP1247"/>
    <mergeCell ref="AD1236:AF1236"/>
    <mergeCell ref="AI1236:AK1236"/>
    <mergeCell ref="AN1236:AP1236"/>
    <mergeCell ref="AD1237:AF1237"/>
    <mergeCell ref="AI1237:AK1237"/>
    <mergeCell ref="AN1237:AP1237"/>
    <mergeCell ref="AD1238:AF1238"/>
    <mergeCell ref="AI1238:AK1238"/>
    <mergeCell ref="AN1238:AP1238"/>
    <mergeCell ref="AD1239:AF1239"/>
    <mergeCell ref="AI1239:AK1239"/>
    <mergeCell ref="AN1239:AP1239"/>
    <mergeCell ref="AD1240:AF1240"/>
    <mergeCell ref="AI1240:AK1240"/>
    <mergeCell ref="AN1240:AP1240"/>
    <mergeCell ref="AD1241:AF1241"/>
    <mergeCell ref="AI1241:AK1241"/>
    <mergeCell ref="AN1241:AP1241"/>
    <mergeCell ref="AD1226:AF1226"/>
    <mergeCell ref="AI1226:AK1226"/>
    <mergeCell ref="AN1226:AP1226"/>
    <mergeCell ref="AD1227:AF1227"/>
    <mergeCell ref="AI1227:AK1227"/>
    <mergeCell ref="AN1227:AP1227"/>
    <mergeCell ref="AD1230:AF1230"/>
    <mergeCell ref="AI1230:AK1230"/>
    <mergeCell ref="AN1230:AP1230"/>
    <mergeCell ref="AD1232:AF1232"/>
    <mergeCell ref="AI1232:AK1232"/>
    <mergeCell ref="AN1232:AP1232"/>
    <mergeCell ref="AD1233:AF1233"/>
    <mergeCell ref="AI1233:AK1233"/>
    <mergeCell ref="AN1233:AP1233"/>
    <mergeCell ref="AD1234:AF1234"/>
    <mergeCell ref="AI1234:AK1234"/>
    <mergeCell ref="AN1234:AP1234"/>
    <mergeCell ref="AD1228:AF1228"/>
    <mergeCell ref="AI1228:AK1228"/>
    <mergeCell ref="AN1228:AP1228"/>
    <mergeCell ref="AD1229:AF1229"/>
    <mergeCell ref="AI1229:AK1229"/>
    <mergeCell ref="AN1229:AP1229"/>
    <mergeCell ref="AD1231:AF1231"/>
    <mergeCell ref="AI1231:AK1231"/>
    <mergeCell ref="AN1231:AP1231"/>
    <mergeCell ref="AD1220:AF1220"/>
    <mergeCell ref="AI1220:AK1220"/>
    <mergeCell ref="AN1220:AP1220"/>
    <mergeCell ref="AD1221:AF1221"/>
    <mergeCell ref="AI1221:AK1221"/>
    <mergeCell ref="AN1221:AP1221"/>
    <mergeCell ref="AD1222:AF1222"/>
    <mergeCell ref="AI1222:AK1222"/>
    <mergeCell ref="AN1222:AP1222"/>
    <mergeCell ref="AD1223:AF1223"/>
    <mergeCell ref="AI1223:AK1223"/>
    <mergeCell ref="AN1223:AP1223"/>
    <mergeCell ref="AD1224:AF1224"/>
    <mergeCell ref="AI1224:AK1224"/>
    <mergeCell ref="AN1224:AP1224"/>
    <mergeCell ref="AD1225:AF1225"/>
    <mergeCell ref="AI1225:AK1225"/>
    <mergeCell ref="AN1225:AP1225"/>
    <mergeCell ref="AD1210:AF1210"/>
    <mergeCell ref="AI1210:AK1210"/>
    <mergeCell ref="AN1210:AP1210"/>
    <mergeCell ref="AD1211:AF1211"/>
    <mergeCell ref="AI1211:AK1211"/>
    <mergeCell ref="AN1211:AP1211"/>
    <mergeCell ref="AD1214:AF1214"/>
    <mergeCell ref="AI1214:AK1214"/>
    <mergeCell ref="AN1214:AP1214"/>
    <mergeCell ref="AD1216:AF1216"/>
    <mergeCell ref="AI1216:AK1216"/>
    <mergeCell ref="AN1216:AP1216"/>
    <mergeCell ref="AD1217:AF1217"/>
    <mergeCell ref="AI1217:AK1217"/>
    <mergeCell ref="AN1217:AP1217"/>
    <mergeCell ref="AD1218:AF1218"/>
    <mergeCell ref="AI1218:AK1218"/>
    <mergeCell ref="AN1218:AP1218"/>
    <mergeCell ref="AD1212:AF1212"/>
    <mergeCell ref="AI1212:AK1212"/>
    <mergeCell ref="AN1212:AP1212"/>
    <mergeCell ref="AD1213:AF1213"/>
    <mergeCell ref="AI1213:AK1213"/>
    <mergeCell ref="AN1213:AP1213"/>
    <mergeCell ref="AD1215:AF1215"/>
    <mergeCell ref="AI1215:AK1215"/>
    <mergeCell ref="AN1215:AP1215"/>
    <mergeCell ref="AD1204:AF1204"/>
    <mergeCell ref="AI1204:AK1204"/>
    <mergeCell ref="AN1204:AP1204"/>
    <mergeCell ref="AD1205:AF1205"/>
    <mergeCell ref="AI1205:AK1205"/>
    <mergeCell ref="AN1205:AP1205"/>
    <mergeCell ref="AD1206:AF1206"/>
    <mergeCell ref="AI1206:AK1206"/>
    <mergeCell ref="AN1206:AP1206"/>
    <mergeCell ref="AD1207:AF1207"/>
    <mergeCell ref="AI1207:AK1207"/>
    <mergeCell ref="AN1207:AP1207"/>
    <mergeCell ref="AD1208:AF1208"/>
    <mergeCell ref="AI1208:AK1208"/>
    <mergeCell ref="AN1208:AP1208"/>
    <mergeCell ref="AD1209:AF1209"/>
    <mergeCell ref="AI1209:AK1209"/>
    <mergeCell ref="AN1209:AP1209"/>
    <mergeCell ref="AD1194:AF1194"/>
    <mergeCell ref="AI1194:AK1194"/>
    <mergeCell ref="AN1194:AP1194"/>
    <mergeCell ref="AD1195:AF1195"/>
    <mergeCell ref="AI1195:AK1195"/>
    <mergeCell ref="AN1195:AP1195"/>
    <mergeCell ref="AD1198:AF1198"/>
    <mergeCell ref="AI1198:AK1198"/>
    <mergeCell ref="AN1198:AP1198"/>
    <mergeCell ref="AD1200:AF1200"/>
    <mergeCell ref="AI1200:AK1200"/>
    <mergeCell ref="AN1200:AP1200"/>
    <mergeCell ref="AD1201:AF1201"/>
    <mergeCell ref="AI1201:AK1201"/>
    <mergeCell ref="AN1201:AP1201"/>
    <mergeCell ref="AD1202:AF1202"/>
    <mergeCell ref="AI1202:AK1202"/>
    <mergeCell ref="AN1202:AP1202"/>
    <mergeCell ref="AD1196:AF1196"/>
    <mergeCell ref="AI1196:AK1196"/>
    <mergeCell ref="AN1196:AP1196"/>
    <mergeCell ref="AD1197:AF1197"/>
    <mergeCell ref="AI1197:AK1197"/>
    <mergeCell ref="AN1197:AP1197"/>
    <mergeCell ref="AD1199:AF1199"/>
    <mergeCell ref="AI1199:AK1199"/>
    <mergeCell ref="AN1199:AP1199"/>
    <mergeCell ref="AD1188:AF1188"/>
    <mergeCell ref="AI1188:AK1188"/>
    <mergeCell ref="AN1188:AP1188"/>
    <mergeCell ref="AD1189:AF1189"/>
    <mergeCell ref="AI1189:AK1189"/>
    <mergeCell ref="AN1189:AP1189"/>
    <mergeCell ref="AD1190:AF1190"/>
    <mergeCell ref="AI1190:AK1190"/>
    <mergeCell ref="AN1190:AP1190"/>
    <mergeCell ref="AD1191:AF1191"/>
    <mergeCell ref="AI1191:AK1191"/>
    <mergeCell ref="AN1191:AP1191"/>
    <mergeCell ref="AD1192:AF1192"/>
    <mergeCell ref="AI1192:AK1192"/>
    <mergeCell ref="AN1192:AP1192"/>
    <mergeCell ref="AD1193:AF1193"/>
    <mergeCell ref="AI1193:AK1193"/>
    <mergeCell ref="AN1193:AP1193"/>
    <mergeCell ref="AD1178:AF1178"/>
    <mergeCell ref="AI1178:AK1178"/>
    <mergeCell ref="AN1178:AP1178"/>
    <mergeCell ref="AD1179:AF1179"/>
    <mergeCell ref="AI1179:AK1179"/>
    <mergeCell ref="AN1179:AP1179"/>
    <mergeCell ref="AD1182:AF1182"/>
    <mergeCell ref="AI1182:AK1182"/>
    <mergeCell ref="AN1182:AP1182"/>
    <mergeCell ref="AD1184:AF1184"/>
    <mergeCell ref="AI1184:AK1184"/>
    <mergeCell ref="AN1184:AP1184"/>
    <mergeCell ref="AD1185:AF1185"/>
    <mergeCell ref="AI1185:AK1185"/>
    <mergeCell ref="AN1185:AP1185"/>
    <mergeCell ref="AD1186:AF1186"/>
    <mergeCell ref="AI1186:AK1186"/>
    <mergeCell ref="AN1186:AP1186"/>
    <mergeCell ref="AD1180:AF1180"/>
    <mergeCell ref="AI1180:AK1180"/>
    <mergeCell ref="AN1180:AP1180"/>
    <mergeCell ref="AD1181:AF1181"/>
    <mergeCell ref="AI1181:AK1181"/>
    <mergeCell ref="AN1181:AP1181"/>
    <mergeCell ref="AD1183:AF1183"/>
    <mergeCell ref="AI1183:AK1183"/>
    <mergeCell ref="AN1183:AP1183"/>
    <mergeCell ref="AD1172:AF1172"/>
    <mergeCell ref="AI1172:AK1172"/>
    <mergeCell ref="AN1172:AP1172"/>
    <mergeCell ref="AD1173:AF1173"/>
    <mergeCell ref="AI1173:AK1173"/>
    <mergeCell ref="AN1173:AP1173"/>
    <mergeCell ref="AD1174:AF1174"/>
    <mergeCell ref="AI1174:AK1174"/>
    <mergeCell ref="AN1174:AP1174"/>
    <mergeCell ref="AD1175:AF1175"/>
    <mergeCell ref="AI1175:AK1175"/>
    <mergeCell ref="AN1175:AP1175"/>
    <mergeCell ref="AD1176:AF1176"/>
    <mergeCell ref="AI1176:AK1176"/>
    <mergeCell ref="AN1176:AP1176"/>
    <mergeCell ref="AD1177:AF1177"/>
    <mergeCell ref="AI1177:AK1177"/>
    <mergeCell ref="AN1177:AP1177"/>
    <mergeCell ref="AD1166:AF1166"/>
    <mergeCell ref="AI1166:AK1166"/>
    <mergeCell ref="AN1166:AP1166"/>
    <mergeCell ref="AD1168:AF1168"/>
    <mergeCell ref="AI1168:AK1168"/>
    <mergeCell ref="AN1168:AP1168"/>
    <mergeCell ref="AD1169:AF1169"/>
    <mergeCell ref="AI1169:AK1169"/>
    <mergeCell ref="AN1169:AP1169"/>
    <mergeCell ref="AD1170:AF1170"/>
    <mergeCell ref="AI1170:AK1170"/>
    <mergeCell ref="AN1170:AP1170"/>
    <mergeCell ref="AD1171:AF1171"/>
    <mergeCell ref="AI1171:AK1171"/>
    <mergeCell ref="AN1171:AP1171"/>
    <mergeCell ref="AD1167:AF1167"/>
    <mergeCell ref="AI1167:AK1167"/>
    <mergeCell ref="AN1167:AP1167"/>
    <mergeCell ref="AI1160:AK1160"/>
    <mergeCell ref="AN1160:AP1160"/>
    <mergeCell ref="AD1161:AF1161"/>
    <mergeCell ref="AI1161:AK1161"/>
    <mergeCell ref="AN1161:AP1161"/>
    <mergeCell ref="AD1162:AF1162"/>
    <mergeCell ref="AI1162:AK1162"/>
    <mergeCell ref="AN1162:AP1162"/>
    <mergeCell ref="AD1150:AF1150"/>
    <mergeCell ref="AI1150:AK1150"/>
    <mergeCell ref="AN1150:AP1150"/>
    <mergeCell ref="AD1152:AF1152"/>
    <mergeCell ref="AI1152:AK1152"/>
    <mergeCell ref="AN1152:AP1152"/>
    <mergeCell ref="AD1153:AF1153"/>
    <mergeCell ref="AI1153:AK1153"/>
    <mergeCell ref="AN1153:AP1153"/>
    <mergeCell ref="AD1154:AF1154"/>
    <mergeCell ref="AI1154:AK1154"/>
    <mergeCell ref="AN1154:AP1154"/>
    <mergeCell ref="AD1155:AF1155"/>
    <mergeCell ref="AI1155:AK1155"/>
    <mergeCell ref="AN1155:AP1155"/>
    <mergeCell ref="AD1156:AF1156"/>
    <mergeCell ref="AI1156:AK1156"/>
    <mergeCell ref="AN1156:AP1156"/>
    <mergeCell ref="AD1160:AF1160"/>
    <mergeCell ref="AN1143:AP1143"/>
    <mergeCell ref="AD1144:AF1144"/>
    <mergeCell ref="AI1144:AK1144"/>
    <mergeCell ref="AN1144:AP1144"/>
    <mergeCell ref="AD1145:AF1145"/>
    <mergeCell ref="AI1145:AK1145"/>
    <mergeCell ref="AN1145:AP1145"/>
    <mergeCell ref="AD1146:AF1146"/>
    <mergeCell ref="AI1146:AK1146"/>
    <mergeCell ref="AN1146:AP1146"/>
    <mergeCell ref="AD1147:AF1147"/>
    <mergeCell ref="AI1147:AK1147"/>
    <mergeCell ref="AN1147:AP1147"/>
    <mergeCell ref="AD1136:AF1136"/>
    <mergeCell ref="AI1136:AK1136"/>
    <mergeCell ref="AN1136:AP1136"/>
    <mergeCell ref="AT1136:AV1136"/>
    <mergeCell ref="AD1137:AF1137"/>
    <mergeCell ref="AI1137:AK1137"/>
    <mergeCell ref="AN1137:AP1137"/>
    <mergeCell ref="AT1137:AV1137"/>
    <mergeCell ref="AD1138:AF1138"/>
    <mergeCell ref="AI1138:AK1138"/>
    <mergeCell ref="AN1138:AP1138"/>
    <mergeCell ref="AT1138:AV1138"/>
    <mergeCell ref="AD1140:AF1140"/>
    <mergeCell ref="AI1140:AK1140"/>
    <mergeCell ref="AN1140:AP1140"/>
    <mergeCell ref="AD1141:AF1141"/>
    <mergeCell ref="AI1141:AK1141"/>
    <mergeCell ref="AN1141:AP1141"/>
    <mergeCell ref="AD1134:AF1134"/>
    <mergeCell ref="AI1134:AK1134"/>
    <mergeCell ref="AN1134:AP1134"/>
    <mergeCell ref="AT1134:AV1134"/>
    <mergeCell ref="AG1119:AM1120"/>
    <mergeCell ref="AG1121:AI1121"/>
    <mergeCell ref="AD1122:AF1122"/>
    <mergeCell ref="AI1122:AK1122"/>
    <mergeCell ref="AD1124:AF1124"/>
    <mergeCell ref="AI1124:AK1124"/>
    <mergeCell ref="AN1124:AP1124"/>
    <mergeCell ref="AT1124:AV1124"/>
    <mergeCell ref="AD1125:AF1125"/>
    <mergeCell ref="AI1125:AK1125"/>
    <mergeCell ref="AN1125:AP1125"/>
    <mergeCell ref="AT1125:AV1125"/>
    <mergeCell ref="AD1126:AF1126"/>
    <mergeCell ref="AI1126:AK1126"/>
    <mergeCell ref="AN1126:AP1126"/>
    <mergeCell ref="AT1126:AV1126"/>
    <mergeCell ref="AD1127:AF1127"/>
    <mergeCell ref="AI1127:AK1127"/>
    <mergeCell ref="AN1127:AP1127"/>
    <mergeCell ref="AT1127:AV1127"/>
    <mergeCell ref="AD1131:AF1131"/>
    <mergeCell ref="AI1131:AK1131"/>
    <mergeCell ref="AN1131:AP1131"/>
    <mergeCell ref="AT1132:AV1132"/>
    <mergeCell ref="AD1133:AF1133"/>
    <mergeCell ref="AI1133:AK1133"/>
    <mergeCell ref="AN1133:AP1133"/>
    <mergeCell ref="AT1133:AV1133"/>
    <mergeCell ref="AD1101:AF1101"/>
    <mergeCell ref="AI1101:AK1101"/>
    <mergeCell ref="AN1101:AP1101"/>
    <mergeCell ref="AD1102:AF1102"/>
    <mergeCell ref="AI1102:AK1102"/>
    <mergeCell ref="AN1102:AP1102"/>
    <mergeCell ref="AD1103:AF1103"/>
    <mergeCell ref="AI1103:AK1103"/>
    <mergeCell ref="AN1103:AP1103"/>
    <mergeCell ref="AD1104:AF1104"/>
    <mergeCell ref="AI1104:AK1104"/>
    <mergeCell ref="AN1104:AP1104"/>
    <mergeCell ref="AD1105:AF1105"/>
    <mergeCell ref="AI1105:AK1105"/>
    <mergeCell ref="AN1105:AP1105"/>
    <mergeCell ref="AD1106:AF1106"/>
    <mergeCell ref="AI1106:AK1106"/>
    <mergeCell ref="AN1106:AP1106"/>
    <mergeCell ref="AD1091:AF1091"/>
    <mergeCell ref="AI1091:AK1091"/>
    <mergeCell ref="AN1091:AP1091"/>
    <mergeCell ref="AD1094:AF1094"/>
    <mergeCell ref="AI1094:AK1094"/>
    <mergeCell ref="AN1094:AP1094"/>
    <mergeCell ref="AD1096:AF1096"/>
    <mergeCell ref="AI1096:AK1096"/>
    <mergeCell ref="AN1096:AP1096"/>
    <mergeCell ref="AD1097:AF1097"/>
    <mergeCell ref="AI1097:AK1097"/>
    <mergeCell ref="AN1097:AP1097"/>
    <mergeCell ref="AD1098:AF1098"/>
    <mergeCell ref="AI1098:AK1098"/>
    <mergeCell ref="AN1098:AP1098"/>
    <mergeCell ref="AD1100:AF1100"/>
    <mergeCell ref="AI1100:AK1100"/>
    <mergeCell ref="AN1100:AP1100"/>
    <mergeCell ref="AD1092:AF1092"/>
    <mergeCell ref="AI1092:AK1092"/>
    <mergeCell ref="AN1092:AP1092"/>
    <mergeCell ref="AD1093:AF1093"/>
    <mergeCell ref="AI1093:AK1093"/>
    <mergeCell ref="AN1093:AP1093"/>
    <mergeCell ref="AD1095:AF1095"/>
    <mergeCell ref="AI1095:AK1095"/>
    <mergeCell ref="AN1095:AP1095"/>
    <mergeCell ref="AD1085:AF1085"/>
    <mergeCell ref="AI1085:AK1085"/>
    <mergeCell ref="AN1085:AP1085"/>
    <mergeCell ref="AD1086:AF1086"/>
    <mergeCell ref="AI1086:AK1086"/>
    <mergeCell ref="AN1086:AP1086"/>
    <mergeCell ref="AD1087:AF1087"/>
    <mergeCell ref="AI1087:AK1087"/>
    <mergeCell ref="AN1087:AP1087"/>
    <mergeCell ref="AD1088:AF1088"/>
    <mergeCell ref="AI1088:AK1088"/>
    <mergeCell ref="AN1088:AP1088"/>
    <mergeCell ref="AD1089:AF1089"/>
    <mergeCell ref="AI1089:AK1089"/>
    <mergeCell ref="AN1089:AP1089"/>
    <mergeCell ref="AD1090:AF1090"/>
    <mergeCell ref="AI1090:AK1090"/>
    <mergeCell ref="AN1090:AP1090"/>
    <mergeCell ref="AD1075:AF1075"/>
    <mergeCell ref="AI1075:AK1075"/>
    <mergeCell ref="AN1075:AP1075"/>
    <mergeCell ref="AD1078:AF1078"/>
    <mergeCell ref="AI1078:AK1078"/>
    <mergeCell ref="AN1078:AP1078"/>
    <mergeCell ref="AD1080:AF1080"/>
    <mergeCell ref="AI1080:AK1080"/>
    <mergeCell ref="AN1080:AP1080"/>
    <mergeCell ref="AD1081:AF1081"/>
    <mergeCell ref="AI1081:AK1081"/>
    <mergeCell ref="AN1081:AP1081"/>
    <mergeCell ref="AD1082:AF1082"/>
    <mergeCell ref="AI1082:AK1082"/>
    <mergeCell ref="AN1082:AP1082"/>
    <mergeCell ref="AD1084:AF1084"/>
    <mergeCell ref="AI1084:AK1084"/>
    <mergeCell ref="AN1084:AP1084"/>
    <mergeCell ref="AD1076:AF1076"/>
    <mergeCell ref="AI1076:AK1076"/>
    <mergeCell ref="AN1076:AP1076"/>
    <mergeCell ref="AD1077:AF1077"/>
    <mergeCell ref="AI1077:AK1077"/>
    <mergeCell ref="AN1077:AP1077"/>
    <mergeCell ref="AD1079:AF1079"/>
    <mergeCell ref="AI1079:AK1079"/>
    <mergeCell ref="AN1079:AP1079"/>
    <mergeCell ref="AD1069:AF1069"/>
    <mergeCell ref="AI1069:AK1069"/>
    <mergeCell ref="AN1069:AP1069"/>
    <mergeCell ref="AD1070:AF1070"/>
    <mergeCell ref="AI1070:AK1070"/>
    <mergeCell ref="AN1070:AP1070"/>
    <mergeCell ref="AD1071:AF1071"/>
    <mergeCell ref="AI1071:AK1071"/>
    <mergeCell ref="AN1071:AP1071"/>
    <mergeCell ref="AD1072:AF1072"/>
    <mergeCell ref="AI1072:AK1072"/>
    <mergeCell ref="AN1072:AP1072"/>
    <mergeCell ref="AD1073:AF1073"/>
    <mergeCell ref="AI1073:AK1073"/>
    <mergeCell ref="AN1073:AP1073"/>
    <mergeCell ref="AD1074:AF1074"/>
    <mergeCell ref="AI1074:AK1074"/>
    <mergeCell ref="AN1074:AP1074"/>
    <mergeCell ref="AD1062:AF1062"/>
    <mergeCell ref="AI1062:AK1062"/>
    <mergeCell ref="AN1062:AP1062"/>
    <mergeCell ref="AD1064:AF1064"/>
    <mergeCell ref="AI1064:AK1064"/>
    <mergeCell ref="AN1064:AP1064"/>
    <mergeCell ref="AD1065:AF1065"/>
    <mergeCell ref="AI1065:AK1065"/>
    <mergeCell ref="AN1065:AP1065"/>
    <mergeCell ref="AD1066:AF1066"/>
    <mergeCell ref="AI1066:AK1066"/>
    <mergeCell ref="AN1066:AP1066"/>
    <mergeCell ref="AD1068:AF1068"/>
    <mergeCell ref="AI1068:AK1068"/>
    <mergeCell ref="AN1068:AP1068"/>
    <mergeCell ref="AD1061:AF1061"/>
    <mergeCell ref="AI1061:AK1061"/>
    <mergeCell ref="AN1061:AP1061"/>
    <mergeCell ref="AD1063:AF1063"/>
    <mergeCell ref="AI1063:AK1063"/>
    <mergeCell ref="AN1063:AP1063"/>
    <mergeCell ref="AT988:AV988"/>
    <mergeCell ref="AT989:AV989"/>
    <mergeCell ref="AT990:AV990"/>
    <mergeCell ref="AT991:AV991"/>
    <mergeCell ref="AT992:AV992"/>
    <mergeCell ref="AT993:AV993"/>
    <mergeCell ref="AT994:AV994"/>
    <mergeCell ref="AT995:AV995"/>
    <mergeCell ref="AT998:AV998"/>
    <mergeCell ref="AT1000:AV1000"/>
    <mergeCell ref="AT1001:AV1001"/>
    <mergeCell ref="AT1002:AV1002"/>
    <mergeCell ref="AD1008:AF1008"/>
    <mergeCell ref="AI1008:AK1008"/>
    <mergeCell ref="AN1008:AP1008"/>
    <mergeCell ref="AT996:AV996"/>
    <mergeCell ref="AD997:AF997"/>
    <mergeCell ref="AN997:AP997"/>
    <mergeCell ref="AT997:AV997"/>
    <mergeCell ref="AD999:AF999"/>
    <mergeCell ref="AN999:AP999"/>
    <mergeCell ref="AT999:AV999"/>
    <mergeCell ref="AD1002:AF1002"/>
    <mergeCell ref="AI1004:AK1004"/>
    <mergeCell ref="AN1004:AP1004"/>
    <mergeCell ref="AD1000:AF1000"/>
    <mergeCell ref="AN1000:AP1000"/>
    <mergeCell ref="AD1001:AF1001"/>
    <mergeCell ref="AN1001:AP1001"/>
    <mergeCell ref="AN1006:AP1006"/>
    <mergeCell ref="AD1007:AF1007"/>
    <mergeCell ref="AI1007:AK1007"/>
    <mergeCell ref="AD974:AF974"/>
    <mergeCell ref="AI974:AK974"/>
    <mergeCell ref="AD979:AF979"/>
    <mergeCell ref="AI979:AK979"/>
    <mergeCell ref="AN979:AP979"/>
    <mergeCell ref="AN931:AP931"/>
    <mergeCell ref="AD944:AF944"/>
    <mergeCell ref="AI944:AK944"/>
    <mergeCell ref="AN944:AP944"/>
    <mergeCell ref="AD945:AF945"/>
    <mergeCell ref="AI945:AK945"/>
    <mergeCell ref="AN945:AP945"/>
    <mergeCell ref="AD976:AF976"/>
    <mergeCell ref="AI976:AK976"/>
    <mergeCell ref="AN976:AP976"/>
    <mergeCell ref="AD977:AF977"/>
    <mergeCell ref="AI977:AK977"/>
    <mergeCell ref="AN977:AP977"/>
    <mergeCell ref="AD941:AF941"/>
    <mergeCell ref="AI941:AK941"/>
    <mergeCell ref="AN941:AP941"/>
    <mergeCell ref="AI957:AK957"/>
    <mergeCell ref="AN957:AP957"/>
    <mergeCell ref="AD958:AF958"/>
    <mergeCell ref="AI958:AK958"/>
    <mergeCell ref="AN958:AP958"/>
    <mergeCell ref="AD959:AF959"/>
    <mergeCell ref="AI959:AK959"/>
    <mergeCell ref="AN959:AP959"/>
    <mergeCell ref="AD962:AF962"/>
    <mergeCell ref="AI962:AK962"/>
    <mergeCell ref="AN962:AP962"/>
    <mergeCell ref="AD973:AF973"/>
    <mergeCell ref="AI973:AK973"/>
    <mergeCell ref="AD964:AF964"/>
    <mergeCell ref="AI964:AK964"/>
    <mergeCell ref="AN964:AP964"/>
    <mergeCell ref="AD965:AF965"/>
    <mergeCell ref="AI971:AK971"/>
    <mergeCell ref="AN971:AP971"/>
    <mergeCell ref="AD972:AF972"/>
    <mergeCell ref="AI972:AK972"/>
    <mergeCell ref="AN972:AP972"/>
    <mergeCell ref="AD968:AF968"/>
    <mergeCell ref="AI968:AK968"/>
    <mergeCell ref="AN968:AP968"/>
    <mergeCell ref="AD969:AF969"/>
    <mergeCell ref="AI969:AK969"/>
    <mergeCell ref="AN969:AP969"/>
    <mergeCell ref="AD970:AF970"/>
    <mergeCell ref="AI970:AK970"/>
    <mergeCell ref="AN970:AP970"/>
    <mergeCell ref="AD971:AF971"/>
    <mergeCell ref="AN973:AP973"/>
    <mergeCell ref="AN963:AP963"/>
    <mergeCell ref="AN965:AP965"/>
    <mergeCell ref="AN948:AP948"/>
    <mergeCell ref="AD949:AF949"/>
    <mergeCell ref="AI949:AK949"/>
    <mergeCell ref="AN949:AP949"/>
    <mergeCell ref="AI947:AK947"/>
    <mergeCell ref="AN947:AP947"/>
    <mergeCell ref="AD947:AF947"/>
    <mergeCell ref="AD942:AF942"/>
    <mergeCell ref="AI942:AK942"/>
    <mergeCell ref="AN942:AP942"/>
    <mergeCell ref="AD943:AF943"/>
    <mergeCell ref="AI943:AK943"/>
    <mergeCell ref="AN943:AP943"/>
    <mergeCell ref="AD946:AF946"/>
    <mergeCell ref="AI946:AK946"/>
    <mergeCell ref="AN946:AP946"/>
    <mergeCell ref="AD948:AF948"/>
    <mergeCell ref="AI948:AK948"/>
    <mergeCell ref="AD861:AF861"/>
    <mergeCell ref="AI860:AK860"/>
    <mergeCell ref="AI861:AK861"/>
    <mergeCell ref="AD936:AF936"/>
    <mergeCell ref="AI936:AK936"/>
    <mergeCell ref="AN936:AP936"/>
    <mergeCell ref="AD937:AF937"/>
    <mergeCell ref="AI937:AK937"/>
    <mergeCell ref="AN937:AP937"/>
    <mergeCell ref="AD938:AF938"/>
    <mergeCell ref="AI938:AK938"/>
    <mergeCell ref="AN938:AP938"/>
    <mergeCell ref="AD924:AF924"/>
    <mergeCell ref="AI924:AK924"/>
    <mergeCell ref="AN924:AP924"/>
    <mergeCell ref="AD925:AF925"/>
    <mergeCell ref="AI925:AK925"/>
    <mergeCell ref="AN925:AP925"/>
    <mergeCell ref="AD926:AF926"/>
    <mergeCell ref="AI926:AK926"/>
    <mergeCell ref="AN926:AP926"/>
    <mergeCell ref="AD901:AF901"/>
    <mergeCell ref="AI901:AK901"/>
    <mergeCell ref="AN901:AP901"/>
    <mergeCell ref="AN934:AP934"/>
    <mergeCell ref="AD895:AF895"/>
    <mergeCell ref="AI895:AK895"/>
    <mergeCell ref="AN895:AP895"/>
    <mergeCell ref="AD898:AF898"/>
    <mergeCell ref="AI898:AK898"/>
    <mergeCell ref="AN898:AP898"/>
    <mergeCell ref="AN933:AP933"/>
    <mergeCell ref="AN1049:AP1049"/>
    <mergeCell ref="AD1042:AF1042"/>
    <mergeCell ref="AI1042:AK1042"/>
    <mergeCell ref="AN1042:AP1042"/>
    <mergeCell ref="AD1043:AF1043"/>
    <mergeCell ref="AD1009:AF1009"/>
    <mergeCell ref="AI1009:AK1009"/>
    <mergeCell ref="AN1009:AP1009"/>
    <mergeCell ref="AD1010:AF1010"/>
    <mergeCell ref="AI1010:AK1010"/>
    <mergeCell ref="AN1010:AP1010"/>
    <mergeCell ref="AD1011:AF1011"/>
    <mergeCell ref="AI1011:AK1011"/>
    <mergeCell ref="AN1011:AP1011"/>
    <mergeCell ref="AN1014:AP1014"/>
    <mergeCell ref="AD1016:AF1016"/>
    <mergeCell ref="AI1016:AK1016"/>
    <mergeCell ref="AD1017:AF1017"/>
    <mergeCell ref="AI1017:AK1017"/>
    <mergeCell ref="AD1024:AF1024"/>
    <mergeCell ref="AI1024:AK1024"/>
    <mergeCell ref="AN1024:AP1024"/>
    <mergeCell ref="AD1021:AF1021"/>
    <mergeCell ref="AI1021:AK1021"/>
    <mergeCell ref="AN1021:AP1021"/>
    <mergeCell ref="AD1022:AF1022"/>
    <mergeCell ref="AI1022:AK1022"/>
    <mergeCell ref="AN1022:AP1022"/>
    <mergeCell ref="AD1023:AF1023"/>
    <mergeCell ref="AI1023:AK1023"/>
    <mergeCell ref="AN1023:AP1023"/>
    <mergeCell ref="AD1020:AF1020"/>
    <mergeCell ref="AI1029:AK1029"/>
    <mergeCell ref="AN1029:AP1029"/>
    <mergeCell ref="AD1031:AF1031"/>
    <mergeCell ref="AI1031:AK1031"/>
    <mergeCell ref="AN1031:AP1031"/>
    <mergeCell ref="AD1036:AF1036"/>
    <mergeCell ref="AI1036:AK1036"/>
    <mergeCell ref="AN1036:AP1036"/>
    <mergeCell ref="AN978:AP978"/>
    <mergeCell ref="AI931:AK931"/>
    <mergeCell ref="AI955:AK955"/>
    <mergeCell ref="AI1006:AK1006"/>
    <mergeCell ref="AD927:AF927"/>
    <mergeCell ref="AI927:AK927"/>
    <mergeCell ref="AN927:AP927"/>
    <mergeCell ref="AD930:AF930"/>
    <mergeCell ref="AI930:AK930"/>
    <mergeCell ref="AN1007:AP1007"/>
    <mergeCell ref="AD1004:AF1004"/>
    <mergeCell ref="AD1014:AF1014"/>
    <mergeCell ref="AI1014:AK1014"/>
    <mergeCell ref="AI1020:AK1020"/>
    <mergeCell ref="AN1020:AP1020"/>
    <mergeCell ref="AD1005:AF1005"/>
    <mergeCell ref="AI1005:AK1005"/>
    <mergeCell ref="AN1005:AP1005"/>
    <mergeCell ref="AD1006:AF1006"/>
    <mergeCell ref="AN1017:AP1017"/>
    <mergeCell ref="AD1018:AF1018"/>
    <mergeCell ref="AI1018:AK1018"/>
    <mergeCell ref="AN1013:AP1013"/>
    <mergeCell ref="AD934:AF934"/>
    <mergeCell ref="AI1039:AK1039"/>
    <mergeCell ref="AN1039:AP1039"/>
    <mergeCell ref="AD1040:AF1040"/>
    <mergeCell ref="AI1040:AK1040"/>
    <mergeCell ref="AN1040:AP1040"/>
    <mergeCell ref="AD1048:AF1048"/>
    <mergeCell ref="AI1048:AK1048"/>
    <mergeCell ref="AN1048:AP1048"/>
    <mergeCell ref="AD1027:AF1027"/>
    <mergeCell ref="AI1027:AK1027"/>
    <mergeCell ref="AN1027:AP1027"/>
    <mergeCell ref="AI1025:AK1025"/>
    <mergeCell ref="AN1025:AP1025"/>
    <mergeCell ref="AD1026:AF1026"/>
    <mergeCell ref="AI1026:AK1026"/>
    <mergeCell ref="AN1026:AP1026"/>
    <mergeCell ref="AD1050:AF1050"/>
    <mergeCell ref="AI1050:AK1050"/>
    <mergeCell ref="AN1045:AP1045"/>
    <mergeCell ref="AD1047:AF1047"/>
    <mergeCell ref="AI1047:AK1047"/>
    <mergeCell ref="AN1047:AP1047"/>
    <mergeCell ref="AI1043:AK1043"/>
    <mergeCell ref="AD1029:AF1029"/>
    <mergeCell ref="AD1041:AF1041"/>
    <mergeCell ref="AI1041:AK1041"/>
    <mergeCell ref="AN1041:AP1041"/>
    <mergeCell ref="AD1044:AF1044"/>
    <mergeCell ref="AI1044:AK1044"/>
    <mergeCell ref="AN1044:AP1044"/>
    <mergeCell ref="AD1045:AF1045"/>
    <mergeCell ref="AI1045:AK1045"/>
    <mergeCell ref="AD1049:AF1049"/>
    <mergeCell ref="AI1049:AK1049"/>
    <mergeCell ref="AG985:AI985"/>
    <mergeCell ref="AD986:AF986"/>
    <mergeCell ref="AD988:AF988"/>
    <mergeCell ref="AN988:AP988"/>
    <mergeCell ref="AD989:AF989"/>
    <mergeCell ref="AN989:AP989"/>
    <mergeCell ref="AD990:AF990"/>
    <mergeCell ref="AN990:AP990"/>
    <mergeCell ref="AD992:AF992"/>
    <mergeCell ref="AN992:AP992"/>
    <mergeCell ref="AD993:AF993"/>
    <mergeCell ref="AN993:AP993"/>
    <mergeCell ref="AD998:AF998"/>
    <mergeCell ref="AN998:AP998"/>
    <mergeCell ref="AD991:AF991"/>
    <mergeCell ref="AN991:AP991"/>
    <mergeCell ref="AI986:AK986"/>
    <mergeCell ref="AD996:AF996"/>
    <mergeCell ref="AN996:AP996"/>
    <mergeCell ref="AD1037:AF1037"/>
    <mergeCell ref="AI1037:AK1037"/>
    <mergeCell ref="AN1037:AP1037"/>
    <mergeCell ref="AD1033:AF1033"/>
    <mergeCell ref="AI1033:AK1033"/>
    <mergeCell ref="AD995:AF995"/>
    <mergeCell ref="AN995:AP995"/>
    <mergeCell ref="AN1018:AP1018"/>
    <mergeCell ref="AN1016:AP1016"/>
    <mergeCell ref="AN1038:AP1038"/>
    <mergeCell ref="AD1039:AF1039"/>
    <mergeCell ref="AN907:AP907"/>
    <mergeCell ref="AN930:AP930"/>
    <mergeCell ref="AD932:AF932"/>
    <mergeCell ref="AI932:AK932"/>
    <mergeCell ref="AD994:AF994"/>
    <mergeCell ref="AN994:AP994"/>
    <mergeCell ref="AD920:AF920"/>
    <mergeCell ref="AI920:AK920"/>
    <mergeCell ref="AN920:AP920"/>
    <mergeCell ref="AD921:AF921"/>
    <mergeCell ref="AI921:AK921"/>
    <mergeCell ref="AN921:AP921"/>
    <mergeCell ref="AD939:AF939"/>
    <mergeCell ref="AI939:AK939"/>
    <mergeCell ref="AN939:AP939"/>
    <mergeCell ref="AD940:AF940"/>
    <mergeCell ref="AI940:AK940"/>
    <mergeCell ref="AN940:AP940"/>
    <mergeCell ref="AN932:AP932"/>
    <mergeCell ref="AD931:AF931"/>
    <mergeCell ref="AD908:AF908"/>
    <mergeCell ref="AI908:AK908"/>
    <mergeCell ref="AI934:AK934"/>
    <mergeCell ref="AN974:AP974"/>
    <mergeCell ref="AD960:AF960"/>
    <mergeCell ref="AI960:AK960"/>
    <mergeCell ref="AN960:AP960"/>
    <mergeCell ref="AD961:AF961"/>
    <mergeCell ref="AI961:AK961"/>
    <mergeCell ref="AN961:AP961"/>
    <mergeCell ref="AD963:AF963"/>
    <mergeCell ref="AI963:AK963"/>
    <mergeCell ref="AD904:AF904"/>
    <mergeCell ref="AI933:AK933"/>
    <mergeCell ref="AD906:AF906"/>
    <mergeCell ref="AI906:AK906"/>
    <mergeCell ref="AN906:AP906"/>
    <mergeCell ref="AD922:AF922"/>
    <mergeCell ref="AI922:AK922"/>
    <mergeCell ref="AN922:AP922"/>
    <mergeCell ref="AD887:AF887"/>
    <mergeCell ref="AI887:AK887"/>
    <mergeCell ref="AN887:AP887"/>
    <mergeCell ref="AD890:AF890"/>
    <mergeCell ref="AI890:AK890"/>
    <mergeCell ref="AN890:AP890"/>
    <mergeCell ref="AD892:AF892"/>
    <mergeCell ref="AI892:AK892"/>
    <mergeCell ref="AN892:AP892"/>
    <mergeCell ref="AD893:AF893"/>
    <mergeCell ref="AD900:AF900"/>
    <mergeCell ref="AI900:AK900"/>
    <mergeCell ref="AN900:AP900"/>
    <mergeCell ref="AI918:AK918"/>
    <mergeCell ref="AN918:AP918"/>
    <mergeCell ref="AD911:AF911"/>
    <mergeCell ref="AI911:AK911"/>
    <mergeCell ref="AN911:AP911"/>
    <mergeCell ref="AD914:AF914"/>
    <mergeCell ref="AI914:AK914"/>
    <mergeCell ref="AN914:AP914"/>
    <mergeCell ref="AD916:AF916"/>
    <mergeCell ref="AI916:AK916"/>
    <mergeCell ref="AN916:AP916"/>
    <mergeCell ref="AD885:AF885"/>
    <mergeCell ref="AI885:AK885"/>
    <mergeCell ref="AN885:AP885"/>
    <mergeCell ref="AT292:AU292"/>
    <mergeCell ref="AD293:AG293"/>
    <mergeCell ref="AS293:AV293"/>
    <mergeCell ref="AG851:AM852"/>
    <mergeCell ref="AG853:AI853"/>
    <mergeCell ref="AD854:AF854"/>
    <mergeCell ref="AD856:AF856"/>
    <mergeCell ref="AI856:AK856"/>
    <mergeCell ref="AD857:AF857"/>
    <mergeCell ref="AI857:AK857"/>
    <mergeCell ref="AI854:AK854"/>
    <mergeCell ref="AD872:AF872"/>
    <mergeCell ref="AI872:AK872"/>
    <mergeCell ref="AN872:AP872"/>
    <mergeCell ref="AD873:AF873"/>
    <mergeCell ref="AI873:AK873"/>
    <mergeCell ref="AD875:AF875"/>
    <mergeCell ref="AI875:AK875"/>
    <mergeCell ref="AN875:AP875"/>
    <mergeCell ref="AD881:AF881"/>
    <mergeCell ref="AI881:AK881"/>
    <mergeCell ref="AN881:AP881"/>
    <mergeCell ref="AD862:AF862"/>
    <mergeCell ref="AD858:AF858"/>
    <mergeCell ref="AN862:AP862"/>
    <mergeCell ref="AI862:AK862"/>
    <mergeCell ref="AN858:AP858"/>
    <mergeCell ref="AI858:AK858"/>
    <mergeCell ref="AE384:AF384"/>
    <mergeCell ref="AS391:AV391"/>
    <mergeCell ref="AD859:AF859"/>
    <mergeCell ref="AI859:AK859"/>
    <mergeCell ref="AU559:AX559"/>
    <mergeCell ref="AV558:AW558"/>
    <mergeCell ref="AS265:AV265"/>
    <mergeCell ref="AT270:AU270"/>
    <mergeCell ref="AS271:AV271"/>
    <mergeCell ref="AT276:AU276"/>
    <mergeCell ref="AE282:AF282"/>
    <mergeCell ref="AT282:AU282"/>
    <mergeCell ref="AE287:AF287"/>
    <mergeCell ref="AT287:AU287"/>
    <mergeCell ref="AE292:AF292"/>
    <mergeCell ref="AH425:AI425"/>
    <mergeCell ref="AE362:AF362"/>
    <mergeCell ref="AT362:AU362"/>
    <mergeCell ref="AE367:AF367"/>
    <mergeCell ref="AT367:AU367"/>
    <mergeCell ref="AE372:AF372"/>
    <mergeCell ref="AT372:AU372"/>
    <mergeCell ref="AD373:AG373"/>
    <mergeCell ref="AS373:AV373"/>
    <mergeCell ref="AE378:AF378"/>
    <mergeCell ref="AT378:AU378"/>
    <mergeCell ref="AE395:AF395"/>
    <mergeCell ref="AT395:AU395"/>
    <mergeCell ref="AD396:AH396"/>
    <mergeCell ref="AN856:AP856"/>
    <mergeCell ref="AD305:AG305"/>
    <mergeCell ref="AS305:AV305"/>
    <mergeCell ref="AE310:AF310"/>
    <mergeCell ref="AT310:AU310"/>
    <mergeCell ref="AD311:AG311"/>
    <mergeCell ref="AS311:AV311"/>
    <mergeCell ref="AE315:AF315"/>
    <mergeCell ref="AD316:AH316"/>
    <mergeCell ref="AT315:AU315"/>
    <mergeCell ref="AE223:AF223"/>
    <mergeCell ref="AT223:AU223"/>
    <mergeCell ref="AD224:AG224"/>
    <mergeCell ref="AS224:AV224"/>
    <mergeCell ref="AT179:AU179"/>
    <mergeCell ref="AS180:AV180"/>
    <mergeCell ref="AT187:AU187"/>
    <mergeCell ref="AS188:AV188"/>
    <mergeCell ref="AE298:AF298"/>
    <mergeCell ref="AT298:AU298"/>
    <mergeCell ref="AD299:AG299"/>
    <mergeCell ref="AS299:AV299"/>
    <mergeCell ref="AE304:AF304"/>
    <mergeCell ref="AT304:AU304"/>
    <mergeCell ref="AK173:AL173"/>
    <mergeCell ref="AJ174:AN174"/>
    <mergeCell ref="AE179:AF179"/>
    <mergeCell ref="AD180:AG180"/>
    <mergeCell ref="AE187:AF187"/>
    <mergeCell ref="AD188:AH188"/>
    <mergeCell ref="AD277:AG277"/>
    <mergeCell ref="AD271:AG271"/>
    <mergeCell ref="AE276:AF276"/>
    <mergeCell ref="AS277:AV277"/>
    <mergeCell ref="AE248:AF248"/>
    <mergeCell ref="AE253:AF253"/>
    <mergeCell ref="AE258:AF258"/>
    <mergeCell ref="AD259:AG259"/>
    <mergeCell ref="AE264:AF264"/>
    <mergeCell ref="AD265:AG265"/>
    <mergeCell ref="AE270:AF270"/>
    <mergeCell ref="AT248:AU248"/>
    <mergeCell ref="AT253:AU253"/>
    <mergeCell ref="AT258:AU258"/>
    <mergeCell ref="AS259:AV259"/>
    <mergeCell ref="AT264:AU264"/>
    <mergeCell ref="AE161:AF161"/>
    <mergeCell ref="AD162:AG162"/>
    <mergeCell ref="AT161:AU161"/>
    <mergeCell ref="AS162:AV162"/>
    <mergeCell ref="AH2:AJ3"/>
    <mergeCell ref="AW2:AY3"/>
    <mergeCell ref="AE149:AF149"/>
    <mergeCell ref="AT149:AU149"/>
    <mergeCell ref="AE154:AF154"/>
    <mergeCell ref="AT154:AU154"/>
    <mergeCell ref="AS174:AV174"/>
    <mergeCell ref="AE167:AF167"/>
    <mergeCell ref="AD168:AG168"/>
    <mergeCell ref="AE173:AF173"/>
    <mergeCell ref="AD174:AG174"/>
    <mergeCell ref="AD218:AG218"/>
    <mergeCell ref="AS218:AV218"/>
    <mergeCell ref="AE217:AF217"/>
    <mergeCell ref="AT217:AU217"/>
    <mergeCell ref="AE198:AF198"/>
    <mergeCell ref="AE203:AF203"/>
    <mergeCell ref="AE211:AF211"/>
    <mergeCell ref="AD212:AG212"/>
    <mergeCell ref="AT198:AU198"/>
    <mergeCell ref="AT203:AU203"/>
    <mergeCell ref="AT211:AU211"/>
    <mergeCell ref="AS212:AV212"/>
    <mergeCell ref="AT167:AU167"/>
    <mergeCell ref="AS168:AV168"/>
    <mergeCell ref="AT173:AU173"/>
    <mergeCell ref="AK168:AL168"/>
    <mergeCell ref="AJ169:AM169"/>
    <mergeCell ref="AV554:AW554"/>
    <mergeCell ref="AE567:AF567"/>
    <mergeCell ref="AV568:AW568"/>
    <mergeCell ref="AE572:AF572"/>
    <mergeCell ref="AV572:AW572"/>
    <mergeCell ref="AD573:AG573"/>
    <mergeCell ref="AU573:AX573"/>
    <mergeCell ref="AE553:AF553"/>
    <mergeCell ref="AE558:AF558"/>
    <mergeCell ref="AD559:AG559"/>
    <mergeCell ref="AD552:AH552"/>
    <mergeCell ref="AE599:AF599"/>
    <mergeCell ref="AV599:AW599"/>
    <mergeCell ref="AD600:AG600"/>
    <mergeCell ref="AU600:AX600"/>
    <mergeCell ref="AE608:AF608"/>
    <mergeCell ref="AV609:AW609"/>
    <mergeCell ref="AE613:AF613"/>
    <mergeCell ref="AV613:AW613"/>
    <mergeCell ref="AD614:AG614"/>
    <mergeCell ref="AU614:AX614"/>
    <mergeCell ref="AE580:AF580"/>
    <mergeCell ref="AT580:AU580"/>
    <mergeCell ref="AD581:AG581"/>
    <mergeCell ref="AS581:AV581"/>
    <mergeCell ref="AE586:AF586"/>
    <mergeCell ref="AV587:AW587"/>
    <mergeCell ref="AD593:AH593"/>
    <mergeCell ref="AE594:AF594"/>
    <mergeCell ref="AV595:AW595"/>
    <mergeCell ref="AD628:AF628"/>
    <mergeCell ref="AI628:AK628"/>
    <mergeCell ref="AN628:AP628"/>
    <mergeCell ref="AG620:AM621"/>
    <mergeCell ref="AD632:AF632"/>
    <mergeCell ref="AI632:AK632"/>
    <mergeCell ref="AN632:AP632"/>
    <mergeCell ref="AD633:AF633"/>
    <mergeCell ref="AI633:AK633"/>
    <mergeCell ref="AN633:AP633"/>
    <mergeCell ref="AD634:AF634"/>
    <mergeCell ref="AI634:AK634"/>
    <mergeCell ref="AN634:AP634"/>
    <mergeCell ref="AD629:AF629"/>
    <mergeCell ref="AI629:AK629"/>
    <mergeCell ref="AN629:AP629"/>
    <mergeCell ref="AD630:AF630"/>
    <mergeCell ref="AI630:AK630"/>
    <mergeCell ref="AN630:AP630"/>
    <mergeCell ref="AG622:AI622"/>
    <mergeCell ref="AD623:AF623"/>
    <mergeCell ref="AD625:AF625"/>
    <mergeCell ref="AI625:AK625"/>
    <mergeCell ref="AN625:AP625"/>
    <mergeCell ref="AD626:AF626"/>
    <mergeCell ref="AI626:AK626"/>
    <mergeCell ref="AN626:AP626"/>
    <mergeCell ref="AD627:AF627"/>
    <mergeCell ref="AI627:AK627"/>
    <mergeCell ref="AN627:AP627"/>
    <mergeCell ref="AD640:AF640"/>
    <mergeCell ref="AD642:AF642"/>
    <mergeCell ref="AI642:AK642"/>
    <mergeCell ref="AN642:AP642"/>
    <mergeCell ref="AD643:AF643"/>
    <mergeCell ref="AI643:AK643"/>
    <mergeCell ref="AN643:AP643"/>
    <mergeCell ref="AD644:AF644"/>
    <mergeCell ref="AI644:AK644"/>
    <mergeCell ref="AN644:AP644"/>
    <mergeCell ref="AD635:AF635"/>
    <mergeCell ref="AI635:AK635"/>
    <mergeCell ref="AN635:AP635"/>
    <mergeCell ref="AD636:AF636"/>
    <mergeCell ref="AI636:AK636"/>
    <mergeCell ref="AN636:AP636"/>
    <mergeCell ref="AD637:AF637"/>
    <mergeCell ref="AI637:AK637"/>
    <mergeCell ref="AN637:AP637"/>
    <mergeCell ref="AD649:AF649"/>
    <mergeCell ref="AI649:AK649"/>
    <mergeCell ref="AN649:AP649"/>
    <mergeCell ref="AD650:AF650"/>
    <mergeCell ref="AI650:AK650"/>
    <mergeCell ref="AN650:AP650"/>
    <mergeCell ref="AD651:AF651"/>
    <mergeCell ref="AI651:AK651"/>
    <mergeCell ref="AN651:AP651"/>
    <mergeCell ref="AD645:AF645"/>
    <mergeCell ref="AI645:AK645"/>
    <mergeCell ref="AN645:AP645"/>
    <mergeCell ref="AD646:AF646"/>
    <mergeCell ref="AI646:AK646"/>
    <mergeCell ref="AN646:AP646"/>
    <mergeCell ref="AD647:AF647"/>
    <mergeCell ref="AI647:AK647"/>
    <mergeCell ref="AN647:AP647"/>
    <mergeCell ref="AG726:AI726"/>
    <mergeCell ref="AD728:AF728"/>
    <mergeCell ref="AD730:AF730"/>
    <mergeCell ref="AI730:AK730"/>
    <mergeCell ref="AN730:AP730"/>
    <mergeCell ref="AD731:AF731"/>
    <mergeCell ref="AI731:AK731"/>
    <mergeCell ref="AN731:AP731"/>
    <mergeCell ref="AD732:AF732"/>
    <mergeCell ref="AI732:AK732"/>
    <mergeCell ref="AN732:AP732"/>
    <mergeCell ref="AD652:AF652"/>
    <mergeCell ref="AI652:AK652"/>
    <mergeCell ref="AN652:AP652"/>
    <mergeCell ref="AD653:AF653"/>
    <mergeCell ref="AI653:AK653"/>
    <mergeCell ref="AN653:AP653"/>
    <mergeCell ref="AD654:AF654"/>
    <mergeCell ref="AI654:AK654"/>
    <mergeCell ref="AN654:AP654"/>
    <mergeCell ref="AG656:AI656"/>
    <mergeCell ref="AD657:AF657"/>
    <mergeCell ref="AD659:AF659"/>
    <mergeCell ref="AI659:AK659"/>
    <mergeCell ref="AN659:AP659"/>
    <mergeCell ref="AD660:AF660"/>
    <mergeCell ref="AI660:AK660"/>
    <mergeCell ref="AN660:AP660"/>
    <mergeCell ref="AD661:AF661"/>
    <mergeCell ref="AI661:AK661"/>
    <mergeCell ref="AN661:AP661"/>
    <mergeCell ref="AD666:AF666"/>
    <mergeCell ref="AD742:AF742"/>
    <mergeCell ref="AI742:AK742"/>
    <mergeCell ref="AN742:AP742"/>
    <mergeCell ref="AD737:AF737"/>
    <mergeCell ref="AI737:AK737"/>
    <mergeCell ref="AN737:AP737"/>
    <mergeCell ref="AD738:AF738"/>
    <mergeCell ref="AI738:AK738"/>
    <mergeCell ref="AN738:AP738"/>
    <mergeCell ref="AD739:AF739"/>
    <mergeCell ref="AI739:AK739"/>
    <mergeCell ref="AN739:AP739"/>
    <mergeCell ref="AD733:AF733"/>
    <mergeCell ref="AI733:AK733"/>
    <mergeCell ref="AN733:AP733"/>
    <mergeCell ref="AD734:AF734"/>
    <mergeCell ref="AI734:AK734"/>
    <mergeCell ref="AN734:AP734"/>
    <mergeCell ref="AD735:AF735"/>
    <mergeCell ref="AI735:AK735"/>
    <mergeCell ref="AN735:AP735"/>
    <mergeCell ref="AD757:AF757"/>
    <mergeCell ref="AI757:AK757"/>
    <mergeCell ref="AN757:AP757"/>
    <mergeCell ref="AD758:AF758"/>
    <mergeCell ref="AI758:AK758"/>
    <mergeCell ref="AN758:AP758"/>
    <mergeCell ref="AD754:AF754"/>
    <mergeCell ref="AI754:AK754"/>
    <mergeCell ref="AN754:AP754"/>
    <mergeCell ref="AD755:AF755"/>
    <mergeCell ref="AI755:AK755"/>
    <mergeCell ref="AN755:AP755"/>
    <mergeCell ref="AD756:AF756"/>
    <mergeCell ref="AI756:AK756"/>
    <mergeCell ref="AN756:AP756"/>
    <mergeCell ref="AD750:AF750"/>
    <mergeCell ref="AI750:AK750"/>
    <mergeCell ref="AN750:AP750"/>
    <mergeCell ref="AD751:AF751"/>
    <mergeCell ref="AI751:AK751"/>
    <mergeCell ref="AI666:AK666"/>
    <mergeCell ref="AN666:AP666"/>
    <mergeCell ref="AD667:AF667"/>
    <mergeCell ref="AI667:AK667"/>
    <mergeCell ref="AN667:AP667"/>
    <mergeCell ref="AD668:AF668"/>
    <mergeCell ref="AI668:AK668"/>
    <mergeCell ref="AN668:AP668"/>
    <mergeCell ref="AD662:AF662"/>
    <mergeCell ref="AI662:AK662"/>
    <mergeCell ref="AN662:AP662"/>
    <mergeCell ref="AD663:AF663"/>
    <mergeCell ref="AI663:AK663"/>
    <mergeCell ref="AN663:AP663"/>
    <mergeCell ref="AD664:AF664"/>
    <mergeCell ref="AI664:AK664"/>
    <mergeCell ref="AN664:AP664"/>
    <mergeCell ref="AD674:AF674"/>
    <mergeCell ref="AD676:AF676"/>
    <mergeCell ref="AI676:AK676"/>
    <mergeCell ref="AN676:AP676"/>
    <mergeCell ref="AD677:AF677"/>
    <mergeCell ref="AI677:AK677"/>
    <mergeCell ref="AN677:AP677"/>
    <mergeCell ref="AD678:AF678"/>
    <mergeCell ref="AI678:AK678"/>
    <mergeCell ref="AN678:AP678"/>
    <mergeCell ref="AD669:AF669"/>
    <mergeCell ref="AI669:AK669"/>
    <mergeCell ref="AN669:AP669"/>
    <mergeCell ref="AD670:AF670"/>
    <mergeCell ref="AI670:AK670"/>
    <mergeCell ref="AN670:AP670"/>
    <mergeCell ref="AD671:AF671"/>
    <mergeCell ref="AI671:AK671"/>
    <mergeCell ref="AN671:AP671"/>
    <mergeCell ref="AD683:AF683"/>
    <mergeCell ref="AI683:AK683"/>
    <mergeCell ref="AN683:AP683"/>
    <mergeCell ref="AD684:AF684"/>
    <mergeCell ref="AI684:AK684"/>
    <mergeCell ref="AN684:AP684"/>
    <mergeCell ref="AD685:AF685"/>
    <mergeCell ref="AI685:AK685"/>
    <mergeCell ref="AN685:AP685"/>
    <mergeCell ref="AD679:AF679"/>
    <mergeCell ref="AI679:AK679"/>
    <mergeCell ref="AN679:AP679"/>
    <mergeCell ref="AD680:AF680"/>
    <mergeCell ref="AI680:AK680"/>
    <mergeCell ref="AN680:AP680"/>
    <mergeCell ref="AD681:AF681"/>
    <mergeCell ref="AI681:AK681"/>
    <mergeCell ref="AN681:AP681"/>
    <mergeCell ref="AG691:AI691"/>
    <mergeCell ref="AD692:AF692"/>
    <mergeCell ref="AD694:AF694"/>
    <mergeCell ref="AI694:AK694"/>
    <mergeCell ref="AN694:AP694"/>
    <mergeCell ref="AD695:AF695"/>
    <mergeCell ref="AI695:AK695"/>
    <mergeCell ref="AN695:AP695"/>
    <mergeCell ref="AD696:AF696"/>
    <mergeCell ref="AI696:AK696"/>
    <mergeCell ref="AN696:AP696"/>
    <mergeCell ref="AD686:AF686"/>
    <mergeCell ref="AI686:AK686"/>
    <mergeCell ref="AN686:AP686"/>
    <mergeCell ref="AD687:AF687"/>
    <mergeCell ref="AI687:AK687"/>
    <mergeCell ref="AN687:AP687"/>
    <mergeCell ref="AD688:AF688"/>
    <mergeCell ref="AI688:AK688"/>
    <mergeCell ref="AN688:AP688"/>
    <mergeCell ref="AD701:AF701"/>
    <mergeCell ref="AI701:AK701"/>
    <mergeCell ref="AN701:AP701"/>
    <mergeCell ref="AD702:AF702"/>
    <mergeCell ref="AI702:AK702"/>
    <mergeCell ref="AN702:AP702"/>
    <mergeCell ref="AD703:AF703"/>
    <mergeCell ref="AI703:AK703"/>
    <mergeCell ref="AN703:AP703"/>
    <mergeCell ref="AD697:AF697"/>
    <mergeCell ref="AI697:AK697"/>
    <mergeCell ref="AN697:AP697"/>
    <mergeCell ref="AD698:AF698"/>
    <mergeCell ref="AI698:AK698"/>
    <mergeCell ref="AN698:AP698"/>
    <mergeCell ref="AD699:AF699"/>
    <mergeCell ref="AI699:AK699"/>
    <mergeCell ref="AN699:AP699"/>
    <mergeCell ref="AD709:AF709"/>
    <mergeCell ref="AD711:AF711"/>
    <mergeCell ref="AI711:AK711"/>
    <mergeCell ref="AN711:AP711"/>
    <mergeCell ref="AD712:AF712"/>
    <mergeCell ref="AI712:AK712"/>
    <mergeCell ref="AN712:AP712"/>
    <mergeCell ref="AD713:AF713"/>
    <mergeCell ref="AI713:AK713"/>
    <mergeCell ref="AN713:AP713"/>
    <mergeCell ref="AD704:AF704"/>
    <mergeCell ref="AI704:AK704"/>
    <mergeCell ref="AN704:AP704"/>
    <mergeCell ref="AD705:AF705"/>
    <mergeCell ref="AI705:AK705"/>
    <mergeCell ref="AN705:AP705"/>
    <mergeCell ref="AD706:AF706"/>
    <mergeCell ref="AI706:AK706"/>
    <mergeCell ref="AN706:AP706"/>
    <mergeCell ref="AD718:AF718"/>
    <mergeCell ref="AI718:AK718"/>
    <mergeCell ref="AN718:AP718"/>
    <mergeCell ref="AD719:AF719"/>
    <mergeCell ref="AI719:AK719"/>
    <mergeCell ref="AN719:AP719"/>
    <mergeCell ref="AD720:AF720"/>
    <mergeCell ref="AI720:AK720"/>
    <mergeCell ref="AN720:AP720"/>
    <mergeCell ref="AD714:AF714"/>
    <mergeCell ref="AI714:AK714"/>
    <mergeCell ref="AN714:AP714"/>
    <mergeCell ref="AD715:AF715"/>
    <mergeCell ref="AI715:AK715"/>
    <mergeCell ref="AN715:AP715"/>
    <mergeCell ref="AD716:AF716"/>
    <mergeCell ref="AI716:AK716"/>
    <mergeCell ref="AN716:AP716"/>
    <mergeCell ref="AD721:AF721"/>
    <mergeCell ref="AI721:AK721"/>
    <mergeCell ref="AN721:AP721"/>
    <mergeCell ref="AD722:AF722"/>
    <mergeCell ref="AI722:AK722"/>
    <mergeCell ref="AN722:AP722"/>
    <mergeCell ref="AD723:AF723"/>
    <mergeCell ref="AI723:AK723"/>
    <mergeCell ref="AN723:AP723"/>
    <mergeCell ref="AD759:AF759"/>
    <mergeCell ref="AI759:AK759"/>
    <mergeCell ref="AN759:AP759"/>
    <mergeCell ref="AN751:AP751"/>
    <mergeCell ref="AD752:AF752"/>
    <mergeCell ref="AI752:AK752"/>
    <mergeCell ref="AN752:AP752"/>
    <mergeCell ref="AD745:AF745"/>
    <mergeCell ref="AD747:AF747"/>
    <mergeCell ref="AI747:AK747"/>
    <mergeCell ref="AN747:AP747"/>
    <mergeCell ref="AD748:AF748"/>
    <mergeCell ref="AI748:AK748"/>
    <mergeCell ref="AN748:AP748"/>
    <mergeCell ref="AD749:AF749"/>
    <mergeCell ref="AI749:AK749"/>
    <mergeCell ref="AN749:AP749"/>
    <mergeCell ref="AD740:AF740"/>
    <mergeCell ref="AI740:AK740"/>
    <mergeCell ref="AN740:AP740"/>
    <mergeCell ref="AD741:AF741"/>
    <mergeCell ref="AI741:AK741"/>
    <mergeCell ref="AN741:AP741"/>
    <mergeCell ref="AD769:AF769"/>
    <mergeCell ref="AI769:AK769"/>
    <mergeCell ref="AN769:AP769"/>
    <mergeCell ref="AD770:AF770"/>
    <mergeCell ref="AI770:AK770"/>
    <mergeCell ref="AN770:AP770"/>
    <mergeCell ref="AD771:AF771"/>
    <mergeCell ref="AI771:AK771"/>
    <mergeCell ref="AN771:AP771"/>
    <mergeCell ref="AG762:AI762"/>
    <mergeCell ref="AD764:AF764"/>
    <mergeCell ref="AD766:AF766"/>
    <mergeCell ref="AI766:AK766"/>
    <mergeCell ref="AN766:AP766"/>
    <mergeCell ref="AD767:AF767"/>
    <mergeCell ref="AI767:AK767"/>
    <mergeCell ref="AN767:AP767"/>
    <mergeCell ref="AD768:AF768"/>
    <mergeCell ref="AI768:AK768"/>
    <mergeCell ref="AN768:AP768"/>
    <mergeCell ref="AD776:AF776"/>
    <mergeCell ref="AI776:AK776"/>
    <mergeCell ref="AN776:AP776"/>
    <mergeCell ref="AD777:AF777"/>
    <mergeCell ref="AI777:AK777"/>
    <mergeCell ref="AN777:AP777"/>
    <mergeCell ref="AD778:AF778"/>
    <mergeCell ref="AI778:AK778"/>
    <mergeCell ref="AN778:AP778"/>
    <mergeCell ref="AD773:AF773"/>
    <mergeCell ref="AI773:AK773"/>
    <mergeCell ref="AN773:AP773"/>
    <mergeCell ref="AD774:AF774"/>
    <mergeCell ref="AI774:AK774"/>
    <mergeCell ref="AN774:AP774"/>
    <mergeCell ref="AD775:AF775"/>
    <mergeCell ref="AI775:AK775"/>
    <mergeCell ref="AN775:AP775"/>
    <mergeCell ref="AD786:AF786"/>
    <mergeCell ref="AI786:AK786"/>
    <mergeCell ref="AN786:AP786"/>
    <mergeCell ref="AD787:AF787"/>
    <mergeCell ref="AI787:AK787"/>
    <mergeCell ref="AN787:AP787"/>
    <mergeCell ref="AD788:AF788"/>
    <mergeCell ref="AI788:AK788"/>
    <mergeCell ref="AN788:AP788"/>
    <mergeCell ref="AD781:AF781"/>
    <mergeCell ref="AD783:AF783"/>
    <mergeCell ref="AI783:AK783"/>
    <mergeCell ref="AN783:AP783"/>
    <mergeCell ref="AD784:AF784"/>
    <mergeCell ref="AI784:AK784"/>
    <mergeCell ref="AN784:AP784"/>
    <mergeCell ref="AD785:AF785"/>
    <mergeCell ref="AI785:AK785"/>
    <mergeCell ref="AN785:AP785"/>
    <mergeCell ref="AD793:AF793"/>
    <mergeCell ref="AI793:AK793"/>
    <mergeCell ref="AN793:AP793"/>
    <mergeCell ref="AD794:AF794"/>
    <mergeCell ref="AI794:AK794"/>
    <mergeCell ref="AN794:AP794"/>
    <mergeCell ref="AD795:AF795"/>
    <mergeCell ref="AI795:AK795"/>
    <mergeCell ref="AN795:AP795"/>
    <mergeCell ref="AD790:AF790"/>
    <mergeCell ref="AI790:AK790"/>
    <mergeCell ref="AN790:AP790"/>
    <mergeCell ref="AD791:AF791"/>
    <mergeCell ref="AI791:AK791"/>
    <mergeCell ref="AN791:AP791"/>
    <mergeCell ref="AD792:AF792"/>
    <mergeCell ref="AI792:AK792"/>
    <mergeCell ref="AN792:AP792"/>
    <mergeCell ref="AD805:AF805"/>
    <mergeCell ref="AI805:AK805"/>
    <mergeCell ref="AN805:AP805"/>
    <mergeCell ref="AD806:AF806"/>
    <mergeCell ref="AI806:AK806"/>
    <mergeCell ref="AN806:AP806"/>
    <mergeCell ref="AD807:AF807"/>
    <mergeCell ref="AI807:AK807"/>
    <mergeCell ref="AN807:AP807"/>
    <mergeCell ref="AG798:AI798"/>
    <mergeCell ref="AD800:AF800"/>
    <mergeCell ref="AD802:AF802"/>
    <mergeCell ref="AI802:AK802"/>
    <mergeCell ref="AN802:AP802"/>
    <mergeCell ref="AD803:AF803"/>
    <mergeCell ref="AI803:AK803"/>
    <mergeCell ref="AN803:AP803"/>
    <mergeCell ref="AD804:AF804"/>
    <mergeCell ref="AI804:AK804"/>
    <mergeCell ref="AN804:AP804"/>
    <mergeCell ref="AE350:AF350"/>
    <mergeCell ref="AT350:AU350"/>
    <mergeCell ref="AD351:AG351"/>
    <mergeCell ref="AS351:AV351"/>
    <mergeCell ref="AE322:AF322"/>
    <mergeCell ref="AT322:AU322"/>
    <mergeCell ref="AE327:AF327"/>
    <mergeCell ref="AT327:AU327"/>
    <mergeCell ref="AE332:AF332"/>
    <mergeCell ref="AT332:AU332"/>
    <mergeCell ref="AD333:AG333"/>
    <mergeCell ref="AS333:AV333"/>
    <mergeCell ref="AE338:AF338"/>
    <mergeCell ref="AT338:AU338"/>
    <mergeCell ref="AS316:AV316"/>
    <mergeCell ref="AH421:AJ422"/>
    <mergeCell ref="AH402:AJ403"/>
    <mergeCell ref="AH401:AJ401"/>
    <mergeCell ref="AE355:AF355"/>
    <mergeCell ref="AT355:AU355"/>
    <mergeCell ref="AD356:AH356"/>
    <mergeCell ref="AS356:AV356"/>
    <mergeCell ref="AD339:AG339"/>
    <mergeCell ref="AS339:AV339"/>
    <mergeCell ref="AE344:AF344"/>
    <mergeCell ref="AT344:AU344"/>
    <mergeCell ref="AD345:AG345"/>
    <mergeCell ref="AS345:AV345"/>
    <mergeCell ref="AS385:AV385"/>
    <mergeCell ref="AE390:AF390"/>
    <mergeCell ref="AT390:AU390"/>
    <mergeCell ref="AD391:AG391"/>
    <mergeCell ref="AK485:AM485"/>
    <mergeCell ref="AD863:AF863"/>
    <mergeCell ref="AD866:AF866"/>
    <mergeCell ref="AD868:AF868"/>
    <mergeCell ref="AI863:AK863"/>
    <mergeCell ref="AI866:AK866"/>
    <mergeCell ref="AN863:AP863"/>
    <mergeCell ref="AN866:AP866"/>
    <mergeCell ref="AN868:AP868"/>
    <mergeCell ref="AI819:AK819"/>
    <mergeCell ref="AN819:AP819"/>
    <mergeCell ref="AD820:AF820"/>
    <mergeCell ref="AI820:AK820"/>
    <mergeCell ref="AN820:AP820"/>
    <mergeCell ref="AD821:AF821"/>
    <mergeCell ref="AI821:AK821"/>
    <mergeCell ref="AN821:AP821"/>
    <mergeCell ref="AI812:AK812"/>
    <mergeCell ref="AN812:AP812"/>
    <mergeCell ref="AD813:AF813"/>
    <mergeCell ref="AI813:AK813"/>
    <mergeCell ref="AN813:AP813"/>
    <mergeCell ref="AD829:AF829"/>
    <mergeCell ref="AI829:AK829"/>
    <mergeCell ref="AN829:AP829"/>
    <mergeCell ref="AD830:AF830"/>
    <mergeCell ref="AI830:AK830"/>
    <mergeCell ref="AN830:AP830"/>
    <mergeCell ref="AD831:AF831"/>
    <mergeCell ref="AI831:AK831"/>
    <mergeCell ref="AN831:AP831"/>
    <mergeCell ref="AD826:AF826"/>
    <mergeCell ref="AC1429:AI1429"/>
    <mergeCell ref="AC1430:AE1430"/>
    <mergeCell ref="AG1430:AI1430"/>
    <mergeCell ref="AC1431:AE1431"/>
    <mergeCell ref="AG1431:AI1431"/>
    <mergeCell ref="AD819:AF819"/>
    <mergeCell ref="AN910:AP910"/>
    <mergeCell ref="AD912:AF912"/>
    <mergeCell ref="AI912:AK912"/>
    <mergeCell ref="AN912:AP912"/>
    <mergeCell ref="AD913:AF913"/>
    <mergeCell ref="AI913:AK913"/>
    <mergeCell ref="AN913:AP913"/>
    <mergeCell ref="AD915:AF915"/>
    <mergeCell ref="AI915:AK915"/>
    <mergeCell ref="AN915:AP915"/>
    <mergeCell ref="AD870:AF870"/>
    <mergeCell ref="AN859:AP859"/>
    <mergeCell ref="AD867:AF867"/>
    <mergeCell ref="AI867:AK867"/>
    <mergeCell ref="AD933:AF933"/>
    <mergeCell ref="AD874:AF874"/>
    <mergeCell ref="AD822:AF822"/>
    <mergeCell ref="AI822:AK822"/>
    <mergeCell ref="AN822:AP822"/>
    <mergeCell ref="AD823:AF823"/>
    <mergeCell ref="AI823:AK823"/>
    <mergeCell ref="AN823:AP823"/>
    <mergeCell ref="AD824:AF824"/>
    <mergeCell ref="AI824:AK824"/>
    <mergeCell ref="AN824:AP824"/>
    <mergeCell ref="AI826:AK826"/>
    <mergeCell ref="AI874:AK874"/>
    <mergeCell ref="AN874:AP874"/>
    <mergeCell ref="AD878:AF878"/>
    <mergeCell ref="AI878:AK878"/>
    <mergeCell ref="AN878:AP878"/>
    <mergeCell ref="AD879:AF879"/>
    <mergeCell ref="AI879:AK879"/>
    <mergeCell ref="AN879:AP879"/>
    <mergeCell ref="AD882:AF882"/>
    <mergeCell ref="AI882:AK882"/>
    <mergeCell ref="AD814:AF814"/>
    <mergeCell ref="AI814:AK814"/>
    <mergeCell ref="AN814:AP814"/>
    <mergeCell ref="AD809:AF809"/>
    <mergeCell ref="AI809:AK809"/>
    <mergeCell ref="AN809:AP809"/>
    <mergeCell ref="AD810:AF810"/>
    <mergeCell ref="AI810:AK810"/>
    <mergeCell ref="AN810:AP810"/>
    <mergeCell ref="AD811:AF811"/>
    <mergeCell ref="AD817:AF817"/>
    <mergeCell ref="AN826:AP826"/>
    <mergeCell ref="AD827:AF827"/>
    <mergeCell ref="AI827:AK827"/>
    <mergeCell ref="AN827:AP827"/>
    <mergeCell ref="AD828:AF828"/>
    <mergeCell ref="AI828:AK828"/>
    <mergeCell ref="AN828:AP828"/>
    <mergeCell ref="AI811:AK811"/>
    <mergeCell ref="AN811:AP811"/>
    <mergeCell ref="AD812:AF812"/>
    <mergeCell ref="AD860:AF860"/>
  </mergeCells>
  <conditionalFormatting sqref="AM7">
    <cfRule type="cellIs" priority="1" operator="greaterThanOrEqual">
      <formula>$AM$7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Y1070"/>
  <sheetViews>
    <sheetView topLeftCell="A7" zoomScale="80" zoomScaleNormal="80" workbookViewId="0">
      <selection activeCell="H21" sqref="H21"/>
    </sheetView>
  </sheetViews>
  <sheetFormatPr defaultRowHeight="15"/>
  <cols>
    <col min="1" max="1" width="19.42578125" customWidth="1"/>
    <col min="2" max="2" width="11" customWidth="1"/>
    <col min="3" max="3" width="13.7109375" customWidth="1"/>
    <col min="4" max="4" width="14.28515625" customWidth="1"/>
    <col min="16" max="16" width="16" customWidth="1"/>
  </cols>
  <sheetData>
    <row r="3" spans="2:19" s="115" customFormat="1"/>
    <row r="4" spans="2:19" s="115" customFormat="1"/>
    <row r="5" spans="2:19" s="115" customFormat="1"/>
    <row r="11" spans="2:19">
      <c r="B11" s="205"/>
      <c r="C11" s="206"/>
      <c r="D11" s="206"/>
      <c r="E11" s="206"/>
      <c r="F11" s="206"/>
      <c r="G11" s="206"/>
      <c r="H11" s="206"/>
      <c r="I11" s="206"/>
      <c r="J11" s="206"/>
      <c r="K11" s="206"/>
      <c r="L11" s="206"/>
      <c r="M11" s="206"/>
      <c r="N11" s="206"/>
      <c r="O11" s="206"/>
      <c r="P11" s="206"/>
      <c r="Q11" s="206"/>
      <c r="R11" s="206"/>
      <c r="S11" s="207"/>
    </row>
    <row r="12" spans="2:19">
      <c r="B12" s="208"/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209"/>
    </row>
    <row r="13" spans="2:19" ht="18.75">
      <c r="B13" s="208"/>
      <c r="C13" s="165"/>
      <c r="D13" s="399" t="s">
        <v>234</v>
      </c>
      <c r="E13" s="399"/>
      <c r="F13" s="399"/>
      <c r="G13" s="399"/>
      <c r="H13" s="399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209"/>
    </row>
    <row r="14" spans="2:19">
      <c r="B14" s="208"/>
      <c r="C14" s="165"/>
      <c r="D14" s="155"/>
      <c r="E14" s="156"/>
      <c r="F14" s="156"/>
      <c r="G14" s="156"/>
      <c r="H14" s="156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209"/>
    </row>
    <row r="15" spans="2:19" ht="21">
      <c r="B15" s="208"/>
      <c r="C15" s="165"/>
      <c r="D15" s="154"/>
      <c r="E15" s="156"/>
      <c r="F15" s="210" t="s">
        <v>45</v>
      </c>
      <c r="G15" s="165"/>
      <c r="H15" s="165"/>
      <c r="I15" s="165"/>
      <c r="J15" s="165"/>
      <c r="K15" s="165"/>
      <c r="L15" s="390" t="s">
        <v>320</v>
      </c>
      <c r="M15" s="390"/>
      <c r="N15" s="390"/>
      <c r="O15" s="165"/>
      <c r="P15" s="165"/>
      <c r="Q15" s="165"/>
      <c r="R15" s="165"/>
      <c r="S15" s="209"/>
    </row>
    <row r="16" spans="2:19" ht="15.75">
      <c r="B16" s="208"/>
      <c r="C16" s="165"/>
      <c r="D16" s="154"/>
      <c r="E16" s="156"/>
      <c r="F16" s="211"/>
      <c r="G16" s="400" t="s">
        <v>730</v>
      </c>
      <c r="H16" s="400"/>
      <c r="I16" s="165"/>
      <c r="J16" s="165"/>
      <c r="K16" s="165"/>
      <c r="L16" s="390"/>
      <c r="M16" s="390"/>
      <c r="N16" s="390"/>
      <c r="O16" s="165"/>
      <c r="P16" s="165"/>
      <c r="Q16" s="165"/>
      <c r="R16" s="165"/>
      <c r="S16" s="209"/>
    </row>
    <row r="17" spans="1:19" ht="15.75">
      <c r="A17" t="s">
        <v>457</v>
      </c>
      <c r="B17" s="208"/>
      <c r="C17" s="165"/>
      <c r="D17" s="154"/>
      <c r="E17" s="156"/>
      <c r="F17" s="157"/>
      <c r="G17" s="157" t="s">
        <v>309</v>
      </c>
      <c r="H17" s="157" t="s">
        <v>307</v>
      </c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209"/>
    </row>
    <row r="18" spans="1:19" ht="15.75">
      <c r="B18" s="208"/>
      <c r="C18" s="165"/>
      <c r="D18" s="165"/>
      <c r="E18" s="165"/>
      <c r="F18" s="158" t="s">
        <v>284</v>
      </c>
      <c r="G18" s="159"/>
      <c r="H18" s="159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209"/>
    </row>
    <row r="19" spans="1:19" ht="15.75">
      <c r="B19" s="208"/>
      <c r="C19" s="165"/>
      <c r="D19" s="165"/>
      <c r="E19" s="165"/>
      <c r="F19" s="160" t="s">
        <v>285</v>
      </c>
      <c r="G19" s="159"/>
      <c r="H19" s="159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209"/>
    </row>
    <row r="20" spans="1:19" ht="15.75">
      <c r="B20" s="208"/>
      <c r="C20" s="165"/>
      <c r="D20" s="165"/>
      <c r="E20" s="165"/>
      <c r="F20" s="158" t="s">
        <v>286</v>
      </c>
      <c r="G20" s="159"/>
      <c r="H20" s="159">
        <v>2</v>
      </c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209"/>
    </row>
    <row r="21" spans="1:19">
      <c r="B21" s="208"/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209"/>
    </row>
    <row r="22" spans="1:19">
      <c r="B22" s="208"/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209"/>
    </row>
    <row r="23" spans="1:19">
      <c r="B23" s="208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209"/>
    </row>
    <row r="24" spans="1:19">
      <c r="B24" s="208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209"/>
    </row>
    <row r="25" spans="1:19">
      <c r="A25" t="s">
        <v>549</v>
      </c>
      <c r="B25" s="208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209"/>
    </row>
    <row r="26" spans="1:19">
      <c r="B26" s="208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209"/>
    </row>
    <row r="27" spans="1:19">
      <c r="B27" s="208"/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209"/>
    </row>
    <row r="28" spans="1:19">
      <c r="B28" s="208"/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209"/>
    </row>
    <row r="29" spans="1:19">
      <c r="B29" s="208"/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5"/>
      <c r="N29" s="165"/>
      <c r="O29" s="165"/>
      <c r="P29" s="165"/>
      <c r="Q29" s="165"/>
      <c r="R29" s="165"/>
      <c r="S29" s="209"/>
    </row>
    <row r="30" spans="1:19">
      <c r="B30" s="208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209"/>
    </row>
    <row r="31" spans="1:19">
      <c r="B31" s="208"/>
      <c r="C31" s="165"/>
      <c r="D31" s="165"/>
      <c r="E31" s="165"/>
      <c r="F31" s="165"/>
      <c r="G31" s="165"/>
      <c r="H31" s="165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209"/>
    </row>
    <row r="32" spans="1:19">
      <c r="B32" s="208"/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209"/>
    </row>
    <row r="33" spans="2:22">
      <c r="B33" s="208"/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209"/>
    </row>
    <row r="34" spans="2:22">
      <c r="B34" s="208"/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209"/>
    </row>
    <row r="35" spans="2:22">
      <c r="B35" s="208"/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5"/>
      <c r="N35" s="165"/>
      <c r="O35" s="165"/>
      <c r="P35" s="165"/>
      <c r="Q35" s="165"/>
      <c r="R35" s="165"/>
      <c r="S35" s="209"/>
    </row>
    <row r="36" spans="2:22">
      <c r="B36" s="208"/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5"/>
      <c r="N36" s="165"/>
      <c r="O36" s="165"/>
      <c r="P36" s="165"/>
      <c r="Q36" s="165"/>
      <c r="R36" s="165"/>
      <c r="S36" s="209"/>
    </row>
    <row r="37" spans="2:22">
      <c r="B37" s="212"/>
      <c r="C37" s="213"/>
      <c r="D37" s="213"/>
      <c r="E37" s="213"/>
      <c r="F37" s="213"/>
      <c r="G37" s="213"/>
      <c r="H37" s="213"/>
      <c r="I37" s="213"/>
      <c r="J37" s="213"/>
      <c r="K37" s="213"/>
      <c r="L37" s="213"/>
      <c r="M37" s="213"/>
      <c r="N37" s="213"/>
      <c r="O37" s="213"/>
      <c r="P37" s="213"/>
      <c r="Q37" s="213"/>
      <c r="R37" s="213"/>
      <c r="S37" s="214"/>
    </row>
    <row r="39" spans="2:22">
      <c r="B39" s="205"/>
      <c r="C39" s="206"/>
      <c r="D39" s="206"/>
      <c r="E39" s="206"/>
      <c r="F39" s="206"/>
      <c r="G39" s="206"/>
      <c r="H39" s="206"/>
      <c r="I39" s="206"/>
      <c r="J39" s="206"/>
      <c r="K39" s="206"/>
      <c r="L39" s="206"/>
      <c r="M39" s="206"/>
      <c r="N39" s="206"/>
      <c r="O39" s="206"/>
      <c r="P39" s="206"/>
      <c r="Q39" s="206"/>
      <c r="R39" s="206"/>
      <c r="S39" s="206"/>
      <c r="T39" s="206"/>
      <c r="U39" s="206"/>
      <c r="V39" s="207"/>
    </row>
    <row r="40" spans="2:22" ht="21">
      <c r="B40" s="208"/>
      <c r="C40" s="165"/>
      <c r="D40" s="210" t="s">
        <v>235</v>
      </c>
      <c r="E40" s="210"/>
      <c r="F40" s="210"/>
      <c r="G40" s="215"/>
      <c r="H40" s="215"/>
      <c r="I40" s="215"/>
      <c r="J40" s="21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209"/>
    </row>
    <row r="41" spans="2:22">
      <c r="B41" s="208"/>
      <c r="C41" s="203" t="s">
        <v>236</v>
      </c>
      <c r="D41" s="203"/>
      <c r="E41" s="165"/>
      <c r="F41" s="165"/>
      <c r="G41" s="165"/>
      <c r="H41" s="165"/>
      <c r="I41" s="165"/>
      <c r="J41" s="165"/>
      <c r="K41" s="165"/>
      <c r="L41" s="165"/>
      <c r="M41" s="165"/>
      <c r="N41" s="165"/>
      <c r="O41" s="165"/>
      <c r="P41" s="165"/>
      <c r="Q41" s="165"/>
      <c r="R41" s="165"/>
      <c r="S41" s="165"/>
      <c r="T41" s="165"/>
      <c r="U41" s="165"/>
      <c r="V41" s="209"/>
    </row>
    <row r="42" spans="2:22">
      <c r="B42" s="208"/>
      <c r="C42" s="152"/>
      <c r="D42" s="162" t="s">
        <v>237</v>
      </c>
      <c r="E42" s="162" t="s">
        <v>238</v>
      </c>
      <c r="F42" s="162" t="s">
        <v>239</v>
      </c>
      <c r="G42" s="162" t="s">
        <v>240</v>
      </c>
      <c r="H42" s="162" t="s">
        <v>241</v>
      </c>
      <c r="I42" s="162" t="s">
        <v>242</v>
      </c>
      <c r="J42" s="162" t="s">
        <v>243</v>
      </c>
      <c r="K42" s="162" t="s">
        <v>244</v>
      </c>
      <c r="L42" s="162" t="s">
        <v>245</v>
      </c>
      <c r="M42" s="162" t="s">
        <v>246</v>
      </c>
      <c r="N42" s="162" t="s">
        <v>247</v>
      </c>
      <c r="O42" s="162" t="s">
        <v>248</v>
      </c>
      <c r="P42" s="162" t="s">
        <v>249</v>
      </c>
      <c r="Q42" s="162" t="s">
        <v>250</v>
      </c>
      <c r="R42" s="162" t="s">
        <v>251</v>
      </c>
      <c r="S42" s="162" t="s">
        <v>252</v>
      </c>
      <c r="T42" s="162" t="s">
        <v>253</v>
      </c>
      <c r="U42" s="162" t="s">
        <v>254</v>
      </c>
      <c r="V42" s="209"/>
    </row>
    <row r="43" spans="2:22">
      <c r="B43" s="208"/>
      <c r="C43" s="163" t="s">
        <v>287</v>
      </c>
      <c r="D43" s="152">
        <f>COUNTIFS(Algandmed!E:E,"POS",Algandmed!F:F,"ATONGOAL",Algandmed!AB:AB,"1")+COUNTIFS(Algandmed!E:E,"POS",Algandmed!F:F,"ATONGOAL",Algandmed!AB:AB,"2")+COUNTIFS(Algandmed!E:E,"POS",Algandmed!F:F,"ATONGOAL",Algandmed!AB:AB,"3")+COUNTIFS(Algandmed!E:E,"POS",Algandmed!F:F,"ATONGOAL",Algandmed!AB:AB,"4")+COUNTIFS(Algandmed!E:E,"POS",Algandmed!F:F,"ATONGOAL",Algandmed!AB:AB,"5")</f>
        <v>0</v>
      </c>
      <c r="E43" s="152">
        <f>COUNTIFS(Algandmed!E:E,"POS",Algandmed!F:F,"ATONGOAL",Algandmed!AB:AB,"6")+COUNTIFS(Algandmed!E:E,"POS",Algandmed!F:F,"ATONGOAL",Algandmed!AB:AB,"7")+COUNTIFS(Algandmed!E:E,"POS",Algandmed!F:F,"ATONGOAL",Algandmed!AB:AB,"8")+COUNTIFS(Algandmed!E:E,"POS",Algandmed!F:F,"ATONGOAL",Algandmed!AB:AB,"9")+COUNTIFS(Algandmed!E:E,"POS",Algandmed!F:F,"ATONGOAL",Algandmed!AB:AB,"10")</f>
        <v>0</v>
      </c>
      <c r="F43" s="152">
        <f>COUNTIFS(Algandmed!E:E,"POS",Algandmed!F:F,"ATONGOAL",Algandmed!AB:AB,"11")+COUNTIFS(Algandmed!E:E,"POS",Algandmed!F:F,"ATONGOAL",Algandmed!AB:AB,"12")+COUNTIFS(Algandmed!E:E,"POS",Algandmed!F:F,"ATONGOAL",Algandmed!AB:AB,"13")+COUNTIFS(Algandmed!E:E,"POS",Algandmed!F:F,"ATONGOAL",Algandmed!AB:AB,"14")+COUNTIFS(Algandmed!E:E,"POS",Algandmed!F:F,"ATONGOAL",Algandmed!AB:AB,"15")</f>
        <v>0</v>
      </c>
      <c r="G43" s="152">
        <f>COUNTIFS(Algandmed!E:E,"POS",Algandmed!F:F,"ATONGOAL",Algandmed!AB:AB,"16")+COUNTIFS(Algandmed!E:E,"POS",Algandmed!F:F,"ATONGOAL",Algandmed!AB:AB,"17")+COUNTIFS(Algandmed!E:E,"POS",Algandmed!F:F,"ATONGOAL",Algandmed!AB:AB,"18")+COUNTIFS(Algandmed!E:E,"POS",Algandmed!F:F,"ATONGOAL",Algandmed!AB:AB,"19")+COUNTIFS(Algandmed!E:E,"POS",Algandmed!F:F,"ATONGOAL",Algandmed!AB:AB,"20")</f>
        <v>0</v>
      </c>
      <c r="H43" s="152">
        <f>COUNTIFS(Algandmed!E:E,"POS",Algandmed!F:F,"ATONGOAL",Algandmed!AB:AB,"21")+COUNTIFS(Algandmed!E:E,"POS",Algandmed!F:F,"ATONGOAL",Algandmed!AB:AB,"22")+COUNTIFS(Algandmed!E:E,"POS",Algandmed!F:F,"ATONGOAL",Algandmed!AB:AB,"23")+COUNTIFS(Algandmed!E:E,"POS",Algandmed!F:F,"ATONGOAL",Algandmed!AB:AB,"24")+COUNTIFS(Algandmed!E:E,"POS",Algandmed!F:F,"ATONGOAL",Algandmed!AB:AB,"25")</f>
        <v>0</v>
      </c>
      <c r="I43" s="152">
        <f>COUNTIFS(Algandmed!E:E,"POS",Algandmed!F:F,"ATONGOAL",Algandmed!AB:AB,"26")+COUNTIFS(Algandmed!E:E,"POS",Algandmed!F:F,"ATONGOAL",Algandmed!AB:AB,"27")+COUNTIFS(Algandmed!E:E,"POS",Algandmed!F:F,"ATONGOAL",Algandmed!AB:AB,"28")+COUNTIFS(Algandmed!E:E,"POS",Algandmed!F:F,"ATONGOAL",Algandmed!AB:AB,"29")+COUNTIFS(Algandmed!E:E,"POS",Algandmed!F:F,"ATONGOAL",Algandmed!AB:AB,"30")</f>
        <v>0</v>
      </c>
      <c r="J43" s="152">
        <f>COUNTIFS(Algandmed!E:E,"POS",Algandmed!F:F,"ATONGOAL",Algandmed!AB:AB,"31")+COUNTIFS(Algandmed!E:E,"POS",Algandmed!F:F,"ATONGOAL",Algandmed!AB:AB,"32")+COUNTIFS(Algandmed!E:E,"POS",Algandmed!F:F,"ATONGOAL",Algandmed!AB:AB,"33")+COUNTIFS(Algandmed!E:E,"POS",Algandmed!F:F,"ATONGOAL",Algandmed!AB:AB,"34")+COUNTIFS(Algandmed!E:E,"POS",Algandmed!F:F,"ATONGOAL",Algandmed!AB:AB,"35")</f>
        <v>0</v>
      </c>
      <c r="K43" s="152">
        <f>COUNTIFS(Algandmed!E:E,"POS",Algandmed!F:F,"ATONGOAL",Algandmed!AB:AB,"36")+COUNTIFS(Algandmed!E:E,"POS",Algandmed!F:F,"ATONGOAL",Algandmed!AB:AB,"37")+COUNTIFS(Algandmed!E:E,"POS",Algandmed!F:F,"ATONGOAL",Algandmed!AB:AB,"38")+COUNTIFS(Algandmed!E:E,"POS",Algandmed!F:F,"ATONGOAL",Algandmed!AB:AB,"39")+COUNTIFS(Algandmed!E:E,"POS",Algandmed!F:F,"ATONGOAL",Algandmed!AB:AB,"40")</f>
        <v>0</v>
      </c>
      <c r="L43" s="152">
        <f>COUNTIFS(Algandmed!E:E,"POS",Algandmed!F:F,"ATONGOAL",Algandmed!AB:AB,"41")+COUNTIFS(Algandmed!E:E,"POS",Algandmed!F:F,"ATONGOAL",Algandmed!AB:AB,"42")+COUNTIFS(Algandmed!E:E,"POS",Algandmed!F:F,"ATONGOAL",Algandmed!AB:AB,"43")+COUNTIFS(Algandmed!E:E,"POS",Algandmed!F:F,"ATONGOAL",Algandmed!AB:AB,"44")+COUNTIFS(Algandmed!E:E,"POS",Algandmed!F:F,"ATONGOAL",Algandmed!AB:AB,"45")</f>
        <v>0</v>
      </c>
      <c r="M43" s="174">
        <f>COUNTIFS(Algandmed!E:E,"POS",Algandmed!F:F,"ATONGOAL",Algandmed!AB:AB,"46")+COUNTIFS(Algandmed!E:E,"POS",Algandmed!F:F,"ATONGOAL",Algandmed!AB:AB,"47")+COUNTIFS(Algandmed!E:E,"POS",Algandmed!F:F,"ATONGOAL",Algandmed!AB:AB,"48")+COUNTIFS(Algandmed!E:E,"POS",Algandmed!F:F,"ATONGOAL",Algandmed!AB:AB,"49")+COUNTIFS(Algandmed!E:E,"POS",Algandmed!F:F,"ATONGOAL",Algandmed!AB:AB,"50")</f>
        <v>0</v>
      </c>
      <c r="N43" s="152">
        <f>COUNTIFS(Algandmed!E:E,"POS",Algandmed!F:F,"ATONGOAL",Algandmed!AB:AB,"51")+COUNTIFS(Algandmed!E:E,"POS",Algandmed!F:F,"ATONGOAL",Algandmed!AB:AB,"52")+COUNTIFS(Algandmed!E:E,"POS",Algandmed!F:F,"ATONGOAL",Algandmed!AB:AB,"53")+COUNTIFS(Algandmed!E:E,"POS",Algandmed!F:F,"ATONGOAL",Algandmed!AB:AB,"54")+COUNTIFS(Algandmed!E:E,"POS",Algandmed!F:F,"ATONGOAL",Algandmed!AB:AB,"55")</f>
        <v>0</v>
      </c>
      <c r="O43" s="152">
        <f>COUNTIFS(Algandmed!E:E,"POS",Algandmed!F:F,"ATONGOAL",Algandmed!AB:AB,"56")+COUNTIFS(Algandmed!E:E,"POS",Algandmed!F:F,"ATONGOAL",Algandmed!AB:AB,"57")+COUNTIFS(Algandmed!E:E,"POS",Algandmed!F:F,"ATONGOAL",Algandmed!AB:AB,"58")+COUNTIFS(Algandmed!E:E,"POS",Algandmed!F:F,"ATONGOAL",Algandmed!AB:AB,"59")+COUNTIFS(Algandmed!E:E,"POS",Algandmed!F:F,"ATONGOAL",Algandmed!AB:AB,"60")</f>
        <v>0</v>
      </c>
      <c r="P43" s="152">
        <f>COUNTIFS(Algandmed!E:E,"POS",Algandmed!F:F,"ATONGOAL",Algandmed!AB:AB,"61")+COUNTIFS(Algandmed!E:E,"POS",Algandmed!F:F,"ATONGOAL",Algandmed!AB:AB,"62")+COUNTIFS(Algandmed!E:E,"POS",Algandmed!F:F,"ATONGOAL",Algandmed!AB:AB,"63")+COUNTIFS(Algandmed!E:E,"POS",Algandmed!F:F,"ATONGOAL",Algandmed!AB:AB,"64")+COUNTIFS(Algandmed!E:E,"POS",Algandmed!F:F,"ATONGOAL",Algandmed!AB:AB,"65")</f>
        <v>0</v>
      </c>
      <c r="Q43" s="152">
        <f>COUNTIFS(Algandmed!E:E,"POS",Algandmed!F:F,"ATONGOAL",Algandmed!AB:AB,"66")+COUNTIFS(Algandmed!E:E,"POS",Algandmed!F:F,"ATONGOAL",Algandmed!AB:AB,"67")+COUNTIFS(Algandmed!E:E,"POS",Algandmed!F:F,"ATONGOAL",Algandmed!AB:AB,"68")+COUNTIFS(Algandmed!E:E,"POS",Algandmed!F:F,"ATONGOAL",Algandmed!AB:AB,"69")+COUNTIFS(Algandmed!E:E,"POS",Algandmed!F:F,"ATONGOAL",Algandmed!AB:AB,"70")</f>
        <v>0</v>
      </c>
      <c r="R43" s="152">
        <f>COUNTIFS(Algandmed!E:E,"POS",Algandmed!F:F,"ATONGOAL",Algandmed!AB:AB,"71")+COUNTIFS(Algandmed!E:E,"POS",Algandmed!F:F,"ATONGOAL",Algandmed!AB:AB,"72")+COUNTIFS(Algandmed!E:E,"POS",Algandmed!F:F,"ATONGOAL",Algandmed!AB:AB,"73")+COUNTIFS(Algandmed!E:E,"POS",Algandmed!F:F,"ATONGOAL",Algandmed!AB:AB,"74")+COUNTIFS(Algandmed!E:E,"POS",Algandmed!F:F,"ATONGOAL",Algandmed!AB:AB,"75")</f>
        <v>0</v>
      </c>
      <c r="S43" s="152">
        <f>COUNTIFS(Algandmed!E:E,"POS",Algandmed!F:F,"ATONGOAL",Algandmed!AB:AB,"76")+COUNTIFS(Algandmed!E:E,"POS",Algandmed!F:F,"ATONGOAL",Algandmed!AB:AB,"77")+COUNTIFS(Algandmed!E:E,"POS",Algandmed!F:F,"ATONGOAL",Algandmed!AB:AB,"78")+COUNTIFS(Algandmed!E:E,"POS",Algandmed!F:F,"ATONGOAL",Algandmed!AB:AB,"79")+COUNTIFS(Algandmed!E:E,"POS",Algandmed!F:F,"ATONGOAL",Algandmed!AB:AB,"80")</f>
        <v>0</v>
      </c>
      <c r="T43" s="152">
        <f>COUNTIFS(Algandmed!E:E,"POS",Algandmed!F:F,"ATONGOAL",Algandmed!AB:AB,"81")+COUNTIFS(Algandmed!E:E,"POS",Algandmed!F:F,"ATONGOAL",Algandmed!AB:AB,"82")+COUNTIFS(Algandmed!E:E,"POS",Algandmed!F:F,"ATONGOAL",Algandmed!AB:AB,"83")+COUNTIFS(Algandmed!E:E,"POS",Algandmed!F:F,"ATONGOAL",Algandmed!AB:AB,"84")+COUNTIFS(Algandmed!E:E,"POS",Algandmed!F:F,"ATONGOAL",Algandmed!AB:AB,"85")</f>
        <v>0</v>
      </c>
      <c r="U43" s="152">
        <f>COUNTIFS(Algandmed!E:E,"POS",Algandmed!F:F,"ATONGOAL",Algandmed!AB:AB,"86")+COUNTIFS(Algandmed!E:E,"POS",Algandmed!F:F,"ATONGOAL",Algandmed!AB:AB,"87")+COUNTIFS(Algandmed!E:E,"POS",Algandmed!F:F,"ATONGOAL",Algandmed!AB:AB,"88")+COUNTIFS(Algandmed!E:E,"POS",Algandmed!F:F,"ATONGOAL",Algandmed!AB:AB,"89")+COUNTIFS(Algandmed!E:E,"POS",Algandmed!F:F,"ATONGOAL",Algandmed!AB:AB,"90")</f>
        <v>0</v>
      </c>
      <c r="V43" s="209"/>
    </row>
    <row r="44" spans="2:22" ht="15.75" customHeight="1">
      <c r="B44" s="208"/>
      <c r="C44" s="164" t="s">
        <v>288</v>
      </c>
      <c r="D44" s="152">
        <f>COUNTIFS(Algandmed!E:E,"NEG",Algandmed!F:F,"ATONGOAL",Algandmed!AB:AB,"1")+COUNTIFS(Algandmed!E:E,"NEG",Algandmed!F:F,"ATONGOAL",Algandmed!AB:AB,"2")+COUNTIFS(Algandmed!E:E,"NEG",Algandmed!F:F,"ATONGOAL",Algandmed!AB:AB,"3")+COUNTIFS(Algandmed!E:E,"NEG",Algandmed!F:F,"ATONGOAL",Algandmed!AB:AB,"4")+COUNTIFS(Algandmed!E:E,"NEG",Algandmed!F:F,"ATONGOAL",Algandmed!AB:AB,"5")</f>
        <v>0</v>
      </c>
      <c r="E44" s="152">
        <f>COUNTIFS(Algandmed!E:E,"NEG",Algandmed!F:F,"ATONGOAL",Algandmed!AB:AB,"6")+COUNTIFS(Algandmed!E:E,"NEG",Algandmed!F:F,"ATONGOAL",Algandmed!AB:AB,"7")+COUNTIFS(Algandmed!E:E,"NEG",Algandmed!F:F,"ATONGOAL",Algandmed!AB:AB,"8")+COUNTIFS(Algandmed!E:E,"NEG",Algandmed!F:F,"ATONGOAL",Algandmed!AB:AB,"9")+COUNTIFS(Algandmed!E:E,"NEG",Algandmed!F:F,"ATONGOAL",Algandmed!AB:AB,"10")</f>
        <v>0</v>
      </c>
      <c r="F44" s="152">
        <f>COUNTIFS(Algandmed!E:E,"NEG",Algandmed!F:F,"ATONGOAL",Algandmed!AB:AB,"11")+COUNTIFS(Algandmed!E:E,"NEG",Algandmed!F:F,"ATONGOAL",Algandmed!AB:AB,"12")+COUNTIFS(Algandmed!E:E,"NEG",Algandmed!F:F,"ATONGOAL",Algandmed!AB:AB,"13")+COUNTIFS(Algandmed!E:E,"NEG",Algandmed!F:F,"ATONGOAL",Algandmed!AB:AB,"14")+COUNTIFS(Algandmed!E:E,"NEG",Algandmed!F:F,"ATONGOAL",Algandmed!AB:AB,"15")</f>
        <v>0</v>
      </c>
      <c r="G44" s="152">
        <f>COUNTIFS(Algandmed!E:E,"NEG",Algandmed!F:F,"ATONGOAL",Algandmed!AB:AB,"16")+COUNTIFS(Algandmed!E:E,"NEG",Algandmed!F:F,"ATONGOAL",Algandmed!AB:AB,"17")+COUNTIFS(Algandmed!E:E,"NEG",Algandmed!F:F,"ATONGOAL",Algandmed!AB:AB,"18")+COUNTIFS(Algandmed!E:E,"NEG",Algandmed!F:F,"ATONGOAL",Algandmed!AB:AB,"19")+COUNTIFS(Algandmed!E:E,"NEG",Algandmed!F:F,"ATONGOAL",Algandmed!AB:AB,"20")</f>
        <v>0</v>
      </c>
      <c r="H44" s="152">
        <f>COUNTIFS(Algandmed!E:E,"NEG",Algandmed!F:F,"ATONGOAL",Algandmed!AB:AB,"21")+COUNTIFS(Algandmed!E:E,"NEG",Algandmed!F:F,"ATONGOAL",Algandmed!AB:AB,"22")+COUNTIFS(Algandmed!E:E,"NEG",Algandmed!F:F,"ATONGOAL",Algandmed!AB:AB,"23")+COUNTIFS(Algandmed!E:E,"NEG",Algandmed!F:F,"ATONGOAL",Algandmed!AB:AB,"24")+COUNTIFS(Algandmed!E:E,"NEG",Algandmed!F:F,"ATONGOAL",Algandmed!AB:AB,"25")</f>
        <v>0</v>
      </c>
      <c r="I44" s="152">
        <f>COUNTIFS(Algandmed!E:E,"NEG",Algandmed!F:F,"ATONGOAL",Algandmed!AB:AB,"26")+COUNTIFS(Algandmed!E:E,"NEG",Algandmed!F:F,"ATONGOAL",Algandmed!AB:AB,"27")+COUNTIFS(Algandmed!E:E,"NEG",Algandmed!F:F,"ATONGOAL",Algandmed!AB:AB,"28")+COUNTIFS(Algandmed!E:E,"NEG",Algandmed!F:F,"ATONGOAL",Algandmed!AB:AB,"29")+COUNTIFS(Algandmed!E:E,"NEG",Algandmed!F:F,"ATONGOAL",Algandmed!AB:AB,"30")</f>
        <v>0</v>
      </c>
      <c r="J44" s="152">
        <f>COUNTIFS(Algandmed!E:E,"NEG",Algandmed!F:F,"ATONGOAL",Algandmed!AB:AB,"31")+COUNTIFS(Algandmed!E:E,"NEG",Algandmed!F:F,"ATONGOAL",Algandmed!AB:AB,"32")+COUNTIFS(Algandmed!E:E,"NEG",Algandmed!F:F,"ATONGOAL",Algandmed!AB:AB,"33")+COUNTIFS(Algandmed!E:E,"NEG",Algandmed!F:F,"ATONGOAL",Algandmed!AB:AB,"34")+COUNTIFS(Algandmed!E:E,"NEG",Algandmed!F:F,"ATONGOAL",Algandmed!AB:AB,"35")</f>
        <v>0</v>
      </c>
      <c r="K44" s="152">
        <f>COUNTIFS(Algandmed!E:E,"NEG",Algandmed!F:F,"ATONGOAL",Algandmed!AB:AB,"36")+COUNTIFS(Algandmed!E:E,"NEG",Algandmed!F:F,"ATONGOAL",Algandmed!AB:AB,"37")+COUNTIFS(Algandmed!E:E,"NEG",Algandmed!F:F,"ATONGOAL",Algandmed!AB:AB,"38")+COUNTIFS(Algandmed!E:E,"NEG",Algandmed!F:F,"ATONGOAL",Algandmed!AB:AB,"39")+COUNTIFS(Algandmed!E:E,"NEG",Algandmed!F:F,"ATONGOAL",Algandmed!AB:AB,"40")</f>
        <v>1</v>
      </c>
      <c r="L44" s="152">
        <f>COUNTIFS(Algandmed!E:E,"NEG",Algandmed!F:F,"ATONGOAL",Algandmed!AB:AB,"41")+COUNTIFS(Algandmed!E:E,"NEG",Algandmed!F:F,"ATONGOAL",Algandmed!AB:AB,"42")+COUNTIFS(Algandmed!E:E,"NEG",Algandmed!F:F,"ATONGOAL",Algandmed!AB:AB,"43")+COUNTIFS(Algandmed!E:E,"NEG",Algandmed!F:F,"ATONGOAL",Algandmed!AB:AB,"44")+COUNTIFS(Algandmed!E:E,"NEG",Algandmed!F:F,"ATONGOAL",Algandmed!AB:AB,"45")</f>
        <v>0</v>
      </c>
      <c r="M44" s="174">
        <f>COUNTIFS(Algandmed!E:E,"NEG",Algandmed!F:F,"ATONGOAL",Algandmed!AB:AB,"46")+COUNTIFS(Algandmed!E:E,"NEG",Algandmed!F:F,"ATONGOAL",Algandmed!AB:AB,"47")+COUNTIFS(Algandmed!E:E,"NEG",Algandmed!F:F,"ATONGOAL",Algandmed!AB:AB,"48")+COUNTIFS(Algandmed!E:E,"NEG",Algandmed!F:F,"ATONGOAL",Algandmed!AB:AB,"49")+COUNTIFS(Algandmed!E:E,"NEG",Algandmed!F:F,"ATONGOAL",Algandmed!AB:AB,"50")</f>
        <v>0</v>
      </c>
      <c r="N44" s="152">
        <f>COUNTIFS(Algandmed!E:E,"NEG",Algandmed!F:F,"ATONGOAL",Algandmed!AB:AB,"51")+COUNTIFS(Algandmed!E:E,"NEG",Algandmed!F:F,"ATONGOAL",Algandmed!AB:AB,"52")+COUNTIFS(Algandmed!E:E,"NEG",Algandmed!F:F,"ATONGOAL",Algandmed!AB:AB,"53")+COUNTIFS(Algandmed!E:E,"NEG",Algandmed!F:F,"ATONGOAL",Algandmed!AB:AB,"54")+COUNTIFS(Algandmed!E:E,"NEG",Algandmed!F:F,"ATONGOAL",Algandmed!AB:AB,"55")</f>
        <v>0</v>
      </c>
      <c r="O44" s="152">
        <f>COUNTIFS(Algandmed!E:E,"NEG",Algandmed!F:F,"ATONGOAL",Algandmed!AB:AB,"56")+COUNTIFS(Algandmed!E:E,"NEG",Algandmed!F:F,"ATONGOAL",Algandmed!AB:AB,"57")+COUNTIFS(Algandmed!E:E,"NEG",Algandmed!F:F,"ATONGOAL",Algandmed!AB:AB,"58")+COUNTIFS(Algandmed!E:E,"NEG",Algandmed!F:F,"ATONGOAL",Algandmed!AB:AB,"59")+COUNTIFS(Algandmed!E:E,"NEG",Algandmed!F:F,"ATONGOAL",Algandmed!AB:AB,"60")</f>
        <v>0</v>
      </c>
      <c r="P44" s="152">
        <f>COUNTIFS(Algandmed!E:E,"NEG",Algandmed!F:F,"ATONGOAL",Algandmed!AB:AB,"61")+COUNTIFS(Algandmed!E:E,"NEG",Algandmed!F:F,"ATONGOAL",Algandmed!AB:AB,"62")+COUNTIFS(Algandmed!E:E,"NEG",Algandmed!F:F,"ATONGOAL",Algandmed!AB:AB,"63")+COUNTIFS(Algandmed!E:E,"NEG",Algandmed!F:F,"ATONGOAL",Algandmed!AB:AB,"64")+COUNTIFS(Algandmed!E:E,"NEG",Algandmed!F:F,"ATONGOAL",Algandmed!AB:AB,"65")</f>
        <v>0</v>
      </c>
      <c r="Q44" s="152">
        <f>COUNTIFS(Algandmed!E:E,"NEG",Algandmed!F:F,"ATONGOAL",Algandmed!AB:AB,"66")+COUNTIFS(Algandmed!E:E,"NEG",Algandmed!F:F,"ATONGOAL",Algandmed!AB:AB,"67")+COUNTIFS(Algandmed!E:E,"NEG",Algandmed!F:F,"ATONGOAL",Algandmed!AB:AB,"68")+COUNTIFS(Algandmed!E:E,"NEG",Algandmed!F:F,"ATONGOAL",Algandmed!AB:AB,"69")+COUNTIFS(Algandmed!E:E,"NEG",Algandmed!F:F,"ATONGOAL",Algandmed!AB:AB,"70")</f>
        <v>1</v>
      </c>
      <c r="R44" s="152">
        <f>COUNTIFS(Algandmed!E:E,"NEG",Algandmed!F:F,"ATONGOAL",Algandmed!AB:AB,"71")+COUNTIFS(Algandmed!E:E,"NEG",Algandmed!F:F,"ATONGOAL",Algandmed!AB:AB,"72")+COUNTIFS(Algandmed!E:E,"NEG",Algandmed!F:F,"ATONGOAL",Algandmed!AB:AB,"73")+COUNTIFS(Algandmed!E:E,"NEG",Algandmed!F:F,"ATONGOAL",Algandmed!AB:AB,"74")+COUNTIFS(Algandmed!E:E,"NEG",Algandmed!F:F,"ATONGOAL",Algandmed!AB:AB,"75")</f>
        <v>0</v>
      </c>
      <c r="S44" s="152">
        <f>COUNTIFS(Algandmed!E:E,"NEG",Algandmed!F:F,"ATONGOAL",Algandmed!AB:AB,"76")+COUNTIFS(Algandmed!E:E,"NEG",Algandmed!F:F,"ATONGOAL",Algandmed!AB:AB,"77")+COUNTIFS(Algandmed!E:E,"NEG",Algandmed!F:F,"ATONGOAL",Algandmed!AB:AB,"78")+COUNTIFS(Algandmed!E:E,"NEG",Algandmed!F:F,"ATONGOAL",Algandmed!AB:AB,"79")+COUNTIFS(Algandmed!E:E,"NEG",Algandmed!F:F,"ATONGOAL",Algandmed!AB:AB,"80")</f>
        <v>0</v>
      </c>
      <c r="T44" s="152">
        <f>COUNTIFS(Algandmed!E:E,"NEG",Algandmed!F:F,"ATONGOAL",Algandmed!AB:AB,"81")+COUNTIFS(Algandmed!E:E,"NEG",Algandmed!F:F,"ATONGOAL",Algandmed!AB:AB,"82")+COUNTIFS(Algandmed!E:E,"NEG",Algandmed!F:F,"ATONGOAL",Algandmed!AB:AB,"83")+COUNTIFS(Algandmed!E:E,"NEG",Algandmed!F:F,"ATONGOAL",Algandmed!AB:AB,"84")+COUNTIFS(Algandmed!E:E,"NEG",Algandmed!F:F,"ATONGOAL",Algandmed!AB:AB,"85")</f>
        <v>0</v>
      </c>
      <c r="U44" s="152">
        <f>COUNTIFS(Algandmed!E:E,"NEG",Algandmed!F:F,"ATONGOAL",Algandmed!AB:AB,"86")+COUNTIFS(Algandmed!E:E,"NEG",Algandmed!F:F,"ATONGOAL",Algandmed!AB:AB,"87")+COUNTIFS(Algandmed!E:E,"NEG",Algandmed!F:F,"ATONGOAL",Algandmed!AB:AB,"88")+COUNTIFS(Algandmed!E:E,"NEG",Algandmed!F:F,"ATONGOAL",Algandmed!AB:AB,"89")+COUNTIFS(Algandmed!E:E,"NEG",Algandmed!F:F,"ATONGOAL",Algandmed!AB:AB,"90")</f>
        <v>0</v>
      </c>
      <c r="V44" s="209"/>
    </row>
    <row r="45" spans="2:22">
      <c r="B45" s="208"/>
      <c r="C45" s="161"/>
      <c r="D45" s="165"/>
      <c r="E45" s="165"/>
      <c r="F45" s="165"/>
      <c r="G45" s="165"/>
      <c r="H45" s="165"/>
      <c r="I45" s="165"/>
      <c r="J45" s="165"/>
      <c r="K45" s="165"/>
      <c r="L45" s="165"/>
      <c r="M45" s="161"/>
      <c r="N45" s="165"/>
      <c r="O45" s="165"/>
      <c r="P45" s="165"/>
      <c r="Q45" s="165"/>
      <c r="R45" s="165"/>
      <c r="S45" s="165"/>
      <c r="T45" s="165"/>
      <c r="U45" s="165"/>
      <c r="V45" s="209"/>
    </row>
    <row r="46" spans="2:22">
      <c r="B46" s="208"/>
      <c r="C46" s="152"/>
      <c r="D46" s="162" t="s">
        <v>237</v>
      </c>
      <c r="E46" s="162" t="s">
        <v>238</v>
      </c>
      <c r="F46" s="162" t="s">
        <v>239</v>
      </c>
      <c r="G46" s="162" t="s">
        <v>240</v>
      </c>
      <c r="H46" s="162" t="s">
        <v>241</v>
      </c>
      <c r="I46" s="162" t="s">
        <v>242</v>
      </c>
      <c r="J46" s="162" t="s">
        <v>243</v>
      </c>
      <c r="K46" s="162" t="s">
        <v>244</v>
      </c>
      <c r="L46" s="162" t="s">
        <v>245</v>
      </c>
      <c r="M46" s="162" t="s">
        <v>246</v>
      </c>
      <c r="N46" s="162" t="s">
        <v>247</v>
      </c>
      <c r="O46" s="162" t="s">
        <v>248</v>
      </c>
      <c r="P46" s="162" t="s">
        <v>249</v>
      </c>
      <c r="Q46" s="162" t="s">
        <v>250</v>
      </c>
      <c r="R46" s="162" t="s">
        <v>251</v>
      </c>
      <c r="S46" s="162" t="s">
        <v>252</v>
      </c>
      <c r="T46" s="162" t="s">
        <v>253</v>
      </c>
      <c r="U46" s="162" t="s">
        <v>254</v>
      </c>
      <c r="V46" s="209"/>
    </row>
    <row r="47" spans="2:22">
      <c r="B47" s="208"/>
      <c r="C47" s="163" t="s">
        <v>287</v>
      </c>
      <c r="D47" s="152" t="str">
        <f t="shared" ref="D47:U47" si="0">IF(D43=0,"",D43)</f>
        <v/>
      </c>
      <c r="E47" s="152" t="str">
        <f t="shared" si="0"/>
        <v/>
      </c>
      <c r="F47" s="152" t="str">
        <f t="shared" si="0"/>
        <v/>
      </c>
      <c r="G47" s="152" t="str">
        <f t="shared" si="0"/>
        <v/>
      </c>
      <c r="H47" s="152" t="str">
        <f t="shared" si="0"/>
        <v/>
      </c>
      <c r="I47" s="152" t="str">
        <f t="shared" si="0"/>
        <v/>
      </c>
      <c r="J47" s="152" t="str">
        <f t="shared" si="0"/>
        <v/>
      </c>
      <c r="K47" s="152" t="str">
        <f t="shared" si="0"/>
        <v/>
      </c>
      <c r="L47" s="152" t="str">
        <f t="shared" si="0"/>
        <v/>
      </c>
      <c r="M47" s="152" t="str">
        <f t="shared" si="0"/>
        <v/>
      </c>
      <c r="N47" s="152" t="str">
        <f t="shared" si="0"/>
        <v/>
      </c>
      <c r="O47" s="152" t="str">
        <f t="shared" si="0"/>
        <v/>
      </c>
      <c r="P47" s="152" t="str">
        <f t="shared" si="0"/>
        <v/>
      </c>
      <c r="Q47" s="152" t="str">
        <f t="shared" si="0"/>
        <v/>
      </c>
      <c r="R47" s="152" t="str">
        <f t="shared" si="0"/>
        <v/>
      </c>
      <c r="S47" s="152" t="str">
        <f t="shared" si="0"/>
        <v/>
      </c>
      <c r="T47" s="152" t="str">
        <f t="shared" si="0"/>
        <v/>
      </c>
      <c r="U47" s="152" t="str">
        <f t="shared" si="0"/>
        <v/>
      </c>
      <c r="V47" s="209"/>
    </row>
    <row r="48" spans="2:22">
      <c r="B48" s="208"/>
      <c r="C48" s="164" t="s">
        <v>288</v>
      </c>
      <c r="D48" s="152" t="str">
        <f t="shared" ref="D48:U48" si="1">IF(D44=0,"",D44)</f>
        <v/>
      </c>
      <c r="E48" s="152" t="str">
        <f t="shared" si="1"/>
        <v/>
      </c>
      <c r="F48" s="152" t="str">
        <f t="shared" si="1"/>
        <v/>
      </c>
      <c r="G48" s="152" t="str">
        <f t="shared" si="1"/>
        <v/>
      </c>
      <c r="H48" s="152" t="str">
        <f t="shared" si="1"/>
        <v/>
      </c>
      <c r="I48" s="152" t="str">
        <f t="shared" si="1"/>
        <v/>
      </c>
      <c r="J48" s="152" t="str">
        <f t="shared" si="1"/>
        <v/>
      </c>
      <c r="K48" s="152">
        <f t="shared" si="1"/>
        <v>1</v>
      </c>
      <c r="L48" s="152" t="str">
        <f t="shared" si="1"/>
        <v/>
      </c>
      <c r="M48" s="152" t="str">
        <f t="shared" si="1"/>
        <v/>
      </c>
      <c r="N48" s="152" t="str">
        <f t="shared" si="1"/>
        <v/>
      </c>
      <c r="O48" s="152" t="str">
        <f t="shared" si="1"/>
        <v/>
      </c>
      <c r="P48" s="152" t="str">
        <f t="shared" si="1"/>
        <v/>
      </c>
      <c r="Q48" s="152">
        <f t="shared" si="1"/>
        <v>1</v>
      </c>
      <c r="R48" s="152" t="str">
        <f t="shared" si="1"/>
        <v/>
      </c>
      <c r="S48" s="152" t="str">
        <f t="shared" si="1"/>
        <v/>
      </c>
      <c r="T48" s="152" t="str">
        <f t="shared" si="1"/>
        <v/>
      </c>
      <c r="U48" s="152" t="str">
        <f t="shared" si="1"/>
        <v/>
      </c>
      <c r="V48" s="209"/>
    </row>
    <row r="49" spans="2:22">
      <c r="B49" s="208"/>
      <c r="C49" s="165"/>
      <c r="D49" s="1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209"/>
    </row>
    <row r="50" spans="2:22">
      <c r="B50" s="208"/>
      <c r="C50" s="165"/>
      <c r="D50" s="165"/>
      <c r="E50" s="165"/>
      <c r="F50" s="165"/>
      <c r="G50" s="165"/>
      <c r="H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209"/>
    </row>
    <row r="51" spans="2:22">
      <c r="B51" s="208"/>
      <c r="C51" s="165"/>
      <c r="D51" s="165"/>
      <c r="E51" s="165"/>
      <c r="F51" s="165"/>
      <c r="G51" s="165"/>
      <c r="H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209"/>
    </row>
    <row r="52" spans="2:22">
      <c r="B52" s="208"/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209"/>
    </row>
    <row r="53" spans="2:22">
      <c r="B53" s="208"/>
      <c r="C53" s="165"/>
      <c r="D53" s="165"/>
      <c r="E53" s="165"/>
      <c r="F53" s="165"/>
      <c r="G53" s="165"/>
      <c r="H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209"/>
    </row>
    <row r="54" spans="2:22">
      <c r="B54" s="208"/>
      <c r="C54" s="165"/>
      <c r="D54" s="165"/>
      <c r="E54" s="165"/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390" t="s">
        <v>321</v>
      </c>
      <c r="U54" s="390"/>
      <c r="V54" s="391"/>
    </row>
    <row r="55" spans="2:22">
      <c r="B55" s="208"/>
      <c r="C55" s="165"/>
      <c r="D55" s="165"/>
      <c r="E55" s="165"/>
      <c r="F55" s="165"/>
      <c r="G55" s="165"/>
      <c r="H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390"/>
      <c r="U55" s="390"/>
      <c r="V55" s="391"/>
    </row>
    <row r="56" spans="2:22">
      <c r="B56" s="208"/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390"/>
      <c r="U56" s="390"/>
      <c r="V56" s="391"/>
    </row>
    <row r="57" spans="2:22">
      <c r="B57" s="208"/>
      <c r="C57" s="165"/>
      <c r="D57" s="165"/>
      <c r="E57" s="165"/>
      <c r="F57" s="165"/>
      <c r="G57" s="165"/>
      <c r="H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209"/>
    </row>
    <row r="58" spans="2:22">
      <c r="B58" s="208"/>
      <c r="C58" s="165"/>
      <c r="D58" s="165"/>
      <c r="E58" s="165"/>
      <c r="F58" s="165"/>
      <c r="G58" s="165"/>
      <c r="H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209"/>
    </row>
    <row r="59" spans="2:22">
      <c r="B59" s="208"/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209"/>
    </row>
    <row r="60" spans="2:22">
      <c r="B60" s="208"/>
      <c r="C60" s="165"/>
      <c r="D60" s="165"/>
      <c r="E60" s="165"/>
      <c r="F60" s="165"/>
      <c r="G60" s="165"/>
      <c r="H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209"/>
    </row>
    <row r="61" spans="2:22">
      <c r="B61" s="208"/>
      <c r="C61" s="165"/>
      <c r="D61" s="165"/>
      <c r="E61" s="165"/>
      <c r="F61" s="165"/>
      <c r="G61" s="165"/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209"/>
    </row>
    <row r="62" spans="2:22">
      <c r="B62" s="208"/>
      <c r="C62" s="165"/>
      <c r="D62" s="165"/>
      <c r="E62" s="165"/>
      <c r="F62" s="165"/>
      <c r="G62" s="165"/>
      <c r="H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209"/>
    </row>
    <row r="63" spans="2:22">
      <c r="B63" s="208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209"/>
    </row>
    <row r="64" spans="2:22">
      <c r="B64" s="208"/>
      <c r="C64" s="165"/>
      <c r="D64" s="165"/>
      <c r="E64" s="165"/>
      <c r="F64" s="165"/>
      <c r="G64" s="165"/>
      <c r="H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209"/>
    </row>
    <row r="65" spans="2:22">
      <c r="B65" s="208"/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209"/>
    </row>
    <row r="66" spans="2:22">
      <c r="B66" s="208"/>
      <c r="C66" s="165"/>
      <c r="D66" s="165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209"/>
    </row>
    <row r="67" spans="2:22">
      <c r="B67" s="208"/>
      <c r="C67" s="165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209"/>
    </row>
    <row r="68" spans="2:22">
      <c r="B68" s="208"/>
      <c r="C68" s="165"/>
      <c r="D68" s="165"/>
      <c r="E68" s="165"/>
      <c r="F68" s="165"/>
      <c r="G68" s="165"/>
      <c r="H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209"/>
    </row>
    <row r="69" spans="2:22">
      <c r="B69" s="208"/>
      <c r="C69" s="165"/>
      <c r="D69" s="165"/>
      <c r="E69" s="165"/>
      <c r="F69" s="165"/>
      <c r="G69" s="165"/>
      <c r="H69" s="165"/>
      <c r="I69" s="165"/>
      <c r="J69" s="165"/>
      <c r="K69" s="165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209"/>
    </row>
    <row r="70" spans="2:22">
      <c r="B70" s="208"/>
      <c r="C70" s="165"/>
      <c r="D70" s="165"/>
      <c r="E70" s="165"/>
      <c r="F70" s="165"/>
      <c r="G70" s="165"/>
      <c r="H70" s="165"/>
      <c r="I70" s="165"/>
      <c r="J70" s="165"/>
      <c r="K70" s="165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209"/>
    </row>
    <row r="71" spans="2:22">
      <c r="B71" s="208"/>
      <c r="C71" s="165"/>
      <c r="D71" s="165"/>
      <c r="E71" s="165"/>
      <c r="F71" s="165"/>
      <c r="G71" s="165"/>
      <c r="H71" s="165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209"/>
    </row>
    <row r="72" spans="2:22">
      <c r="B72" s="208"/>
      <c r="C72" s="165"/>
      <c r="D72" s="165"/>
      <c r="E72" s="165"/>
      <c r="F72" s="165"/>
      <c r="G72" s="165"/>
      <c r="H72" s="165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209"/>
    </row>
    <row r="73" spans="2:22">
      <c r="B73" s="208"/>
      <c r="C73" s="165"/>
      <c r="D73" s="165"/>
      <c r="E73" s="165"/>
      <c r="F73" s="165"/>
      <c r="G73" s="165"/>
      <c r="H73" s="165"/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209"/>
    </row>
    <row r="74" spans="2:22">
      <c r="B74" s="208"/>
      <c r="C74" s="165"/>
      <c r="D74" s="165"/>
      <c r="E74" s="165"/>
      <c r="F74" s="165"/>
      <c r="G74" s="165"/>
      <c r="H74" s="165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209"/>
    </row>
    <row r="75" spans="2:22">
      <c r="B75" s="212"/>
      <c r="C75" s="213"/>
      <c r="D75" s="213"/>
      <c r="E75" s="213"/>
      <c r="F75" s="213"/>
      <c r="G75" s="213"/>
      <c r="H75" s="213"/>
      <c r="I75" s="213"/>
      <c r="J75" s="213"/>
      <c r="K75" s="213"/>
      <c r="L75" s="213"/>
      <c r="M75" s="213"/>
      <c r="N75" s="213"/>
      <c r="O75" s="213"/>
      <c r="P75" s="213"/>
      <c r="Q75" s="213"/>
      <c r="R75" s="213"/>
      <c r="S75" s="213"/>
      <c r="T75" s="213"/>
      <c r="U75" s="213"/>
      <c r="V75" s="214"/>
    </row>
    <row r="79" spans="2:22">
      <c r="B79" s="205"/>
      <c r="C79" s="206"/>
      <c r="D79" s="206"/>
      <c r="E79" s="206"/>
      <c r="F79" s="206"/>
      <c r="G79" s="206"/>
      <c r="H79" s="206"/>
      <c r="I79" s="206"/>
      <c r="J79" s="206"/>
      <c r="K79" s="206"/>
      <c r="L79" s="206"/>
      <c r="M79" s="206"/>
      <c r="N79" s="206"/>
      <c r="O79" s="206"/>
      <c r="P79" s="206"/>
      <c r="Q79" s="206"/>
      <c r="R79" s="206"/>
      <c r="S79" s="206"/>
      <c r="T79" s="207"/>
    </row>
    <row r="80" spans="2:22">
      <c r="B80" s="243" t="s">
        <v>459</v>
      </c>
      <c r="C80" s="243" t="s">
        <v>460</v>
      </c>
      <c r="D80" s="165" t="s">
        <v>5</v>
      </c>
      <c r="E80" s="165" t="s">
        <v>1</v>
      </c>
      <c r="F80" s="165"/>
      <c r="G80" s="165"/>
      <c r="H80" s="165"/>
      <c r="I80" s="165"/>
      <c r="J80" s="165"/>
      <c r="K80" s="165"/>
      <c r="L80" s="165"/>
      <c r="M80" s="165"/>
      <c r="N80" s="165"/>
      <c r="O80" s="165"/>
      <c r="P80" s="165"/>
      <c r="Q80" s="390" t="s">
        <v>340</v>
      </c>
      <c r="R80" s="390"/>
      <c r="S80" s="391"/>
      <c r="T80" s="209"/>
    </row>
    <row r="81" spans="1:20">
      <c r="A81" s="208" t="s">
        <v>731</v>
      </c>
      <c r="B81">
        <v>1</v>
      </c>
      <c r="C81" s="165">
        <v>999</v>
      </c>
      <c r="D81" s="226"/>
      <c r="E81" s="227"/>
      <c r="F81" s="165"/>
      <c r="G81" s="165" t="s">
        <v>332</v>
      </c>
      <c r="H81" s="165"/>
      <c r="I81" s="165"/>
      <c r="J81" s="165"/>
      <c r="K81" s="165"/>
      <c r="L81" s="165"/>
      <c r="M81" s="165"/>
      <c r="N81" s="165"/>
      <c r="O81" s="165"/>
      <c r="P81" s="165"/>
      <c r="Q81" s="390"/>
      <c r="R81" s="390"/>
      <c r="S81" s="391"/>
      <c r="T81" s="209"/>
    </row>
    <row r="82" spans="1:20">
      <c r="A82" s="208"/>
      <c r="B82">
        <v>0.5</v>
      </c>
      <c r="C82" s="165">
        <v>0.99</v>
      </c>
      <c r="D82" s="165"/>
      <c r="E82" s="165"/>
      <c r="F82" s="165"/>
      <c r="G82" s="165"/>
      <c r="H82" s="165"/>
      <c r="I82" s="165"/>
      <c r="J82" s="165"/>
      <c r="K82" s="165"/>
      <c r="L82" s="165"/>
      <c r="M82" s="165"/>
      <c r="N82" s="165"/>
      <c r="O82" s="165"/>
      <c r="P82" s="165"/>
      <c r="Q82" s="390"/>
      <c r="R82" s="390"/>
      <c r="S82" s="391"/>
      <c r="T82" s="209"/>
    </row>
    <row r="83" spans="1:20">
      <c r="A83" s="208"/>
      <c r="B83">
        <v>-999</v>
      </c>
      <c r="C83" s="165">
        <v>0.49</v>
      </c>
      <c r="D83" s="316"/>
      <c r="E83" s="226"/>
      <c r="F83" s="165"/>
      <c r="G83" s="165"/>
      <c r="H83" s="165"/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165"/>
      <c r="T83" s="209"/>
    </row>
    <row r="84" spans="1:20">
      <c r="A84" s="208"/>
      <c r="C84" s="165"/>
      <c r="D84" s="165"/>
      <c r="E84" s="165"/>
      <c r="F84" s="165"/>
      <c r="G84" s="165" t="s">
        <v>343</v>
      </c>
      <c r="H84" s="165"/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165"/>
      <c r="T84" s="209"/>
    </row>
    <row r="85" spans="1:20">
      <c r="A85" s="208" t="s">
        <v>322</v>
      </c>
      <c r="B85">
        <v>8</v>
      </c>
      <c r="C85" s="165">
        <v>999</v>
      </c>
      <c r="D85" s="226"/>
      <c r="E85" s="227"/>
      <c r="F85" s="165"/>
      <c r="G85" s="165"/>
      <c r="H85" s="165"/>
      <c r="I85" s="165"/>
      <c r="J85" s="165"/>
      <c r="K85" s="165"/>
      <c r="L85" s="165"/>
      <c r="M85" s="165"/>
      <c r="N85" s="165"/>
      <c r="O85" s="165"/>
      <c r="P85" s="165"/>
      <c r="Q85" s="165"/>
      <c r="R85" s="165"/>
      <c r="S85" s="165"/>
      <c r="T85" s="209"/>
    </row>
    <row r="86" spans="1:20">
      <c r="B86" s="208">
        <v>5.0999999999999996</v>
      </c>
      <c r="C86" s="165">
        <v>7.9</v>
      </c>
      <c r="D86" s="165"/>
      <c r="E86" s="165"/>
      <c r="F86" s="165"/>
      <c r="G86" s="165"/>
      <c r="H86" s="165"/>
      <c r="I86" s="165"/>
      <c r="J86" s="165"/>
      <c r="K86" s="165"/>
      <c r="L86" s="165"/>
      <c r="M86" s="165"/>
      <c r="N86" s="165"/>
      <c r="O86" s="165"/>
      <c r="P86" s="165"/>
      <c r="Q86" s="165"/>
      <c r="R86" s="165"/>
      <c r="S86" s="165"/>
      <c r="T86" s="209"/>
    </row>
    <row r="87" spans="1:20">
      <c r="B87" s="208">
        <v>-999</v>
      </c>
      <c r="C87" s="165">
        <v>5</v>
      </c>
      <c r="D87" s="227"/>
      <c r="E87" s="226"/>
      <c r="F87" s="165"/>
      <c r="G87" s="165"/>
      <c r="H87" s="165"/>
      <c r="I87" s="165"/>
      <c r="J87" s="165"/>
      <c r="K87" s="165"/>
      <c r="L87" s="165"/>
      <c r="M87" s="165"/>
      <c r="N87" s="165"/>
      <c r="O87" s="165"/>
      <c r="P87" s="165"/>
      <c r="Q87" s="165"/>
      <c r="R87" s="165"/>
      <c r="S87" s="165"/>
      <c r="T87" s="209"/>
    </row>
    <row r="88" spans="1:20">
      <c r="A88" t="s">
        <v>465</v>
      </c>
      <c r="B88" s="208"/>
      <c r="C88" s="165"/>
      <c r="D88" s="165"/>
      <c r="E88" s="165"/>
      <c r="F88" s="165"/>
      <c r="G88" s="165"/>
      <c r="H88" s="165"/>
      <c r="I88" s="165"/>
      <c r="J88" s="165"/>
      <c r="K88" s="165"/>
      <c r="L88" s="165"/>
      <c r="M88" s="165"/>
      <c r="N88" s="165"/>
      <c r="O88" s="165"/>
      <c r="P88" s="165"/>
      <c r="Q88" s="165"/>
      <c r="R88" s="165"/>
      <c r="S88" s="165"/>
      <c r="T88" s="209"/>
    </row>
    <row r="89" spans="1:20">
      <c r="A89" t="s">
        <v>462</v>
      </c>
      <c r="F89" s="165"/>
      <c r="G89" s="165"/>
      <c r="H89" s="165"/>
      <c r="I89" s="165"/>
      <c r="J89" s="165"/>
      <c r="K89" s="165"/>
      <c r="L89" s="165"/>
      <c r="M89" s="165"/>
      <c r="N89" s="165"/>
      <c r="O89" s="165"/>
      <c r="P89" s="165"/>
      <c r="Q89" s="165"/>
      <c r="R89" s="165"/>
      <c r="S89" s="165"/>
      <c r="T89" s="209"/>
    </row>
    <row r="90" spans="1:20">
      <c r="F90" s="165"/>
      <c r="G90" s="165"/>
      <c r="H90" s="165"/>
      <c r="I90" s="165"/>
      <c r="J90" s="165"/>
      <c r="K90" s="165"/>
      <c r="L90" s="165"/>
      <c r="M90" s="165"/>
      <c r="N90" s="165"/>
      <c r="O90" s="165"/>
      <c r="P90" s="165"/>
      <c r="Q90" s="165"/>
      <c r="R90" s="165"/>
      <c r="S90" s="165"/>
      <c r="T90" s="209"/>
    </row>
    <row r="91" spans="1:20" s="115" customFormat="1">
      <c r="A91" s="387" t="s">
        <v>458</v>
      </c>
      <c r="B91" s="208"/>
      <c r="C91" s="165"/>
      <c r="D91" s="165"/>
      <c r="E91" s="165"/>
      <c r="F91" s="165"/>
      <c r="G91" s="165"/>
      <c r="H91" s="165"/>
      <c r="I91" s="165"/>
      <c r="J91" s="165"/>
      <c r="K91" s="165"/>
      <c r="L91" s="165"/>
      <c r="M91" s="165"/>
      <c r="N91" s="165"/>
      <c r="O91" s="165"/>
      <c r="P91" s="165"/>
      <c r="Q91" s="165"/>
      <c r="R91" s="165"/>
      <c r="S91" s="165"/>
      <c r="T91" s="209"/>
    </row>
    <row r="92" spans="1:20" s="115" customFormat="1">
      <c r="A92" s="387"/>
      <c r="B92" s="208"/>
      <c r="C92" s="165"/>
      <c r="D92" s="165"/>
      <c r="E92" s="165"/>
      <c r="F92" s="165"/>
      <c r="G92" s="165"/>
      <c r="H92" s="165"/>
      <c r="I92" s="165"/>
      <c r="J92" s="165"/>
      <c r="K92" s="165"/>
      <c r="L92" s="165"/>
      <c r="M92" s="165"/>
      <c r="N92" s="165"/>
      <c r="O92" s="165"/>
      <c r="P92" s="165"/>
      <c r="Q92" s="165"/>
      <c r="R92" s="165"/>
      <c r="S92" s="165"/>
      <c r="T92" s="209"/>
    </row>
    <row r="93" spans="1:20" s="115" customFormat="1">
      <c r="B93" s="208"/>
      <c r="C93" s="165"/>
      <c r="D93" s="165"/>
      <c r="E93" s="165"/>
      <c r="F93" s="165"/>
      <c r="G93" s="165"/>
      <c r="H93" s="165"/>
      <c r="I93" s="165"/>
      <c r="J93" s="165"/>
      <c r="K93" s="165"/>
      <c r="L93" s="165"/>
      <c r="M93" s="165"/>
      <c r="N93" s="165"/>
      <c r="O93" s="165"/>
      <c r="P93" s="165"/>
      <c r="Q93" s="165"/>
      <c r="R93" s="165"/>
      <c r="S93" s="165"/>
      <c r="T93" s="209"/>
    </row>
    <row r="94" spans="1:20" s="115" customFormat="1">
      <c r="A94" s="115" t="s">
        <v>461</v>
      </c>
      <c r="B94" s="208"/>
      <c r="C94" s="165"/>
      <c r="D94" s="165"/>
      <c r="E94" s="165"/>
      <c r="F94" s="165"/>
      <c r="G94" s="165"/>
      <c r="H94" s="165"/>
      <c r="I94" s="165"/>
      <c r="J94" s="165"/>
      <c r="K94" s="165"/>
      <c r="L94" s="165"/>
      <c r="M94" s="165"/>
      <c r="N94" s="165"/>
      <c r="O94" s="165"/>
      <c r="P94" s="165"/>
      <c r="Q94" s="165"/>
      <c r="R94" s="165"/>
      <c r="S94" s="165"/>
      <c r="T94" s="209"/>
    </row>
    <row r="95" spans="1:20" s="115" customFormat="1">
      <c r="B95" s="208"/>
      <c r="C95" s="165"/>
      <c r="D95" s="165"/>
      <c r="E95" s="165"/>
      <c r="F95" s="165"/>
      <c r="G95" s="165"/>
      <c r="H95" s="165"/>
      <c r="I95" s="165"/>
      <c r="J95" s="165"/>
      <c r="K95" s="165"/>
      <c r="L95" s="165"/>
      <c r="M95" s="165"/>
      <c r="N95" s="165"/>
      <c r="O95" s="165"/>
      <c r="P95" s="165"/>
      <c r="Q95" s="165"/>
      <c r="R95" s="165"/>
      <c r="S95" s="165"/>
      <c r="T95" s="209"/>
    </row>
    <row r="96" spans="1:20" s="115" customFormat="1">
      <c r="B96" s="208"/>
      <c r="C96" s="165"/>
      <c r="D96" s="165"/>
      <c r="E96" s="165"/>
      <c r="F96" s="165"/>
      <c r="G96" s="165"/>
      <c r="H96" s="165"/>
      <c r="I96" s="165"/>
      <c r="J96" s="165"/>
      <c r="K96" s="165"/>
      <c r="L96" s="165"/>
      <c r="M96" s="165"/>
      <c r="N96" s="165"/>
      <c r="O96" s="165"/>
      <c r="P96" s="165"/>
      <c r="Q96" s="165"/>
      <c r="R96" s="165"/>
      <c r="S96" s="165"/>
      <c r="T96" s="209"/>
    </row>
    <row r="97" spans="2:20" s="115" customFormat="1">
      <c r="B97" s="208"/>
      <c r="C97" s="165"/>
      <c r="D97" s="165"/>
      <c r="E97" s="165"/>
      <c r="F97" s="165"/>
      <c r="G97" s="165"/>
      <c r="H97" s="165"/>
      <c r="I97" s="165"/>
      <c r="J97" s="165"/>
      <c r="K97" s="165"/>
      <c r="L97" s="165"/>
      <c r="M97" s="165"/>
      <c r="N97" s="165"/>
      <c r="O97" s="165"/>
      <c r="P97" s="165"/>
      <c r="Q97" s="165"/>
      <c r="R97" s="165"/>
      <c r="S97" s="165"/>
      <c r="T97" s="209"/>
    </row>
    <row r="98" spans="2:20" s="115" customFormat="1">
      <c r="B98" s="208"/>
      <c r="C98" s="165"/>
      <c r="D98" s="165"/>
      <c r="E98" s="165"/>
      <c r="F98" s="165"/>
      <c r="G98" s="165"/>
      <c r="H98" s="165"/>
      <c r="I98" s="165"/>
      <c r="J98" s="165"/>
      <c r="K98" s="165"/>
      <c r="L98" s="165"/>
      <c r="M98" s="165"/>
      <c r="N98" s="165"/>
      <c r="O98" s="165"/>
      <c r="P98" s="165"/>
      <c r="Q98" s="165"/>
      <c r="R98" s="165"/>
      <c r="S98" s="165"/>
      <c r="T98" s="209"/>
    </row>
    <row r="99" spans="2:20" s="115" customFormat="1">
      <c r="B99" s="208"/>
      <c r="C99" s="165"/>
      <c r="D99" s="165"/>
      <c r="E99" s="165"/>
      <c r="F99" s="165"/>
      <c r="G99" s="165"/>
      <c r="H99" s="165"/>
      <c r="I99" s="165"/>
      <c r="J99" s="165"/>
      <c r="K99" s="165"/>
      <c r="L99" s="165"/>
      <c r="M99" s="165"/>
      <c r="N99" s="165"/>
      <c r="O99" s="165"/>
      <c r="P99" s="165"/>
      <c r="Q99" s="165"/>
      <c r="R99" s="165"/>
      <c r="S99" s="165"/>
      <c r="T99" s="209"/>
    </row>
    <row r="100" spans="2:20">
      <c r="B100" s="208"/>
      <c r="C100" s="165"/>
      <c r="D100" s="165"/>
      <c r="E100" s="165"/>
      <c r="F100" s="165"/>
      <c r="G100" s="165"/>
      <c r="H100" s="165"/>
      <c r="I100" s="165"/>
      <c r="J100" s="165"/>
      <c r="K100" s="165"/>
      <c r="L100" s="165"/>
      <c r="M100" s="165"/>
      <c r="N100" s="165"/>
      <c r="O100" s="165"/>
      <c r="P100" s="165"/>
      <c r="Q100" s="165"/>
      <c r="R100" s="165"/>
      <c r="S100" s="165"/>
      <c r="T100" s="209"/>
    </row>
    <row r="101" spans="2:20">
      <c r="B101" s="394" t="s">
        <v>325</v>
      </c>
      <c r="C101" s="395"/>
      <c r="D101" s="395"/>
      <c r="E101" s="165"/>
      <c r="F101" s="165" t="s">
        <v>328</v>
      </c>
      <c r="G101" s="165" t="s">
        <v>329</v>
      </c>
      <c r="H101" s="165"/>
      <c r="I101" s="165"/>
      <c r="J101" s="165" t="s">
        <v>330</v>
      </c>
      <c r="K101" s="165"/>
      <c r="L101" s="165"/>
      <c r="M101" s="165"/>
      <c r="N101" s="165"/>
      <c r="O101" s="165"/>
      <c r="P101" s="165"/>
      <c r="Q101" s="165"/>
      <c r="R101" s="165"/>
      <c r="S101" s="165"/>
      <c r="T101" s="209"/>
    </row>
    <row r="102" spans="2:20">
      <c r="B102" s="394"/>
      <c r="C102" s="395"/>
      <c r="D102" s="395"/>
      <c r="E102" s="165"/>
      <c r="F102" s="228">
        <v>1</v>
      </c>
      <c r="G102" s="397" t="s">
        <v>333</v>
      </c>
      <c r="H102" s="397"/>
      <c r="I102" s="165"/>
      <c r="J102" s="397" t="s">
        <v>334</v>
      </c>
      <c r="K102" s="397"/>
      <c r="L102" s="165"/>
      <c r="M102" s="165"/>
      <c r="N102" s="165"/>
      <c r="O102" s="165"/>
      <c r="P102" s="165"/>
      <c r="Q102" s="165"/>
      <c r="R102" s="165"/>
      <c r="S102" s="165"/>
      <c r="T102" s="209"/>
    </row>
    <row r="103" spans="2:20">
      <c r="B103" s="394"/>
      <c r="C103" s="395"/>
      <c r="D103" s="395"/>
      <c r="E103" s="165"/>
      <c r="F103" s="165"/>
      <c r="G103" s="397"/>
      <c r="H103" s="397"/>
      <c r="I103" s="165"/>
      <c r="J103" s="397"/>
      <c r="K103" s="397"/>
      <c r="L103" s="165"/>
      <c r="M103" s="165"/>
      <c r="N103" s="165"/>
      <c r="O103" s="165"/>
      <c r="P103" s="165"/>
      <c r="Q103" s="165"/>
      <c r="R103" s="165"/>
      <c r="S103" s="165"/>
      <c r="T103" s="209"/>
    </row>
    <row r="104" spans="2:20">
      <c r="B104" s="394" t="s">
        <v>326</v>
      </c>
      <c r="C104" s="395"/>
      <c r="D104" s="395"/>
      <c r="E104" s="165"/>
      <c r="F104" s="165"/>
      <c r="G104" s="165"/>
      <c r="H104" s="165"/>
      <c r="I104" s="165"/>
      <c r="J104" s="165"/>
      <c r="K104" s="165"/>
      <c r="L104" s="165"/>
      <c r="M104" s="165"/>
      <c r="N104" s="165"/>
      <c r="O104" s="165"/>
      <c r="P104" s="165"/>
      <c r="Q104" s="165"/>
      <c r="R104" s="165"/>
      <c r="S104" s="165"/>
      <c r="T104" s="209"/>
    </row>
    <row r="105" spans="2:20">
      <c r="B105" s="394"/>
      <c r="C105" s="395"/>
      <c r="D105" s="395"/>
      <c r="E105" s="165"/>
      <c r="F105" s="165"/>
      <c r="G105" s="165"/>
      <c r="H105" s="165"/>
      <c r="I105" s="165"/>
      <c r="J105" s="165"/>
      <c r="K105" s="165"/>
      <c r="L105" s="165"/>
      <c r="M105" s="165"/>
      <c r="N105" s="165"/>
      <c r="O105" s="165"/>
      <c r="P105" s="165"/>
      <c r="Q105" s="165"/>
      <c r="R105" s="165"/>
      <c r="S105" s="165"/>
      <c r="T105" s="209"/>
    </row>
    <row r="106" spans="2:20">
      <c r="B106" s="394"/>
      <c r="C106" s="395"/>
      <c r="D106" s="395"/>
      <c r="E106" s="165"/>
      <c r="F106" s="165"/>
      <c r="G106" s="165"/>
      <c r="H106" s="165"/>
      <c r="I106" s="165"/>
      <c r="J106" s="165"/>
      <c r="K106" s="165"/>
      <c r="L106" s="165"/>
      <c r="M106" s="165"/>
      <c r="N106" s="165"/>
      <c r="O106" s="165"/>
      <c r="P106" s="165"/>
      <c r="Q106" s="165"/>
      <c r="R106" s="165"/>
      <c r="S106" s="165"/>
      <c r="T106" s="209"/>
    </row>
    <row r="107" spans="2:20">
      <c r="B107" s="394"/>
      <c r="C107" s="395"/>
      <c r="D107" s="395"/>
      <c r="E107" s="165"/>
      <c r="F107" s="165"/>
      <c r="G107" s="165"/>
      <c r="H107" s="165"/>
      <c r="I107" s="165"/>
      <c r="J107" s="165"/>
      <c r="K107" s="165"/>
      <c r="L107" s="165"/>
      <c r="M107" s="165"/>
      <c r="N107" s="165"/>
      <c r="O107" s="165"/>
      <c r="P107" s="165"/>
      <c r="Q107" s="165"/>
      <c r="R107" s="165"/>
      <c r="S107" s="165"/>
      <c r="T107" s="209"/>
    </row>
    <row r="108" spans="2:20">
      <c r="B108" s="394" t="s">
        <v>327</v>
      </c>
      <c r="C108" s="395"/>
      <c r="D108" s="395"/>
      <c r="E108" s="165"/>
      <c r="F108" s="165"/>
      <c r="G108" s="165"/>
      <c r="H108" s="165"/>
      <c r="I108" s="165"/>
      <c r="J108" s="165"/>
      <c r="K108" s="165"/>
      <c r="L108" s="165"/>
      <c r="M108" s="165"/>
      <c r="N108" s="165"/>
      <c r="O108" s="165"/>
      <c r="P108" s="165"/>
      <c r="Q108" s="165"/>
      <c r="R108" s="165"/>
      <c r="S108" s="165"/>
      <c r="T108" s="209"/>
    </row>
    <row r="109" spans="2:20">
      <c r="B109" s="394"/>
      <c r="C109" s="395"/>
      <c r="D109" s="395"/>
      <c r="E109" s="165"/>
      <c r="F109" s="165"/>
      <c r="G109" s="165"/>
      <c r="H109" s="165"/>
      <c r="I109" s="165"/>
      <c r="J109" s="165"/>
      <c r="K109" s="165"/>
      <c r="L109" s="165"/>
      <c r="M109" s="165"/>
      <c r="N109" s="165"/>
      <c r="O109" s="165"/>
      <c r="P109" s="165"/>
      <c r="Q109" s="165"/>
      <c r="R109" s="165"/>
      <c r="S109" s="165"/>
      <c r="T109" s="209"/>
    </row>
    <row r="110" spans="2:20">
      <c r="B110" s="394"/>
      <c r="C110" s="395"/>
      <c r="D110" s="395"/>
      <c r="E110" s="165"/>
      <c r="F110" s="165"/>
      <c r="G110" s="165"/>
      <c r="H110" s="165"/>
      <c r="I110" s="165"/>
      <c r="J110" s="165"/>
      <c r="K110" s="165"/>
      <c r="L110" s="165"/>
      <c r="M110" s="165"/>
      <c r="N110" s="165"/>
      <c r="O110" s="165"/>
      <c r="P110" s="165"/>
      <c r="Q110" s="165"/>
      <c r="R110" s="165"/>
      <c r="S110" s="165"/>
      <c r="T110" s="209"/>
    </row>
    <row r="111" spans="2:20">
      <c r="B111" s="394" t="s">
        <v>341</v>
      </c>
      <c r="C111" s="395"/>
      <c r="D111" s="395"/>
      <c r="E111" s="165"/>
      <c r="F111" s="165"/>
      <c r="G111" s="165"/>
      <c r="H111" s="165"/>
      <c r="I111" s="165"/>
      <c r="J111" s="165"/>
      <c r="K111" s="165"/>
      <c r="L111" s="165"/>
      <c r="M111" s="165"/>
      <c r="N111" s="165"/>
      <c r="O111" s="165"/>
      <c r="P111" s="165"/>
      <c r="Q111" s="165"/>
      <c r="R111" s="165"/>
      <c r="S111" s="165"/>
      <c r="T111" s="209"/>
    </row>
    <row r="112" spans="2:20">
      <c r="B112" s="394"/>
      <c r="C112" s="395"/>
      <c r="D112" s="395"/>
      <c r="E112" s="165"/>
      <c r="F112" s="165"/>
      <c r="G112" s="165"/>
      <c r="H112" s="165"/>
      <c r="I112" s="165"/>
      <c r="J112" s="165"/>
      <c r="K112" s="165"/>
      <c r="L112" s="165"/>
      <c r="M112" s="165"/>
      <c r="N112" s="165"/>
      <c r="O112" s="165"/>
      <c r="P112" s="165"/>
      <c r="Q112" s="165"/>
      <c r="R112" s="165"/>
      <c r="S112" s="165"/>
      <c r="T112" s="209"/>
    </row>
    <row r="113" spans="1:20">
      <c r="B113" s="394"/>
      <c r="C113" s="395"/>
      <c r="D113" s="395"/>
      <c r="E113" s="165"/>
      <c r="F113" s="165"/>
      <c r="G113" s="165"/>
      <c r="H113" s="165"/>
      <c r="I113" s="165"/>
      <c r="J113" s="165"/>
      <c r="K113" s="165"/>
      <c r="L113" s="165"/>
      <c r="M113" s="165"/>
      <c r="N113" s="165"/>
      <c r="O113" s="165"/>
      <c r="P113" s="165"/>
      <c r="Q113" s="165"/>
      <c r="R113" s="165"/>
      <c r="S113" s="165"/>
      <c r="T113" s="209"/>
    </row>
    <row r="114" spans="1:20">
      <c r="B114" s="208"/>
      <c r="C114" s="165"/>
      <c r="D114" s="165"/>
      <c r="E114" s="165"/>
      <c r="F114" s="165"/>
      <c r="G114" s="165"/>
      <c r="H114" s="165"/>
      <c r="I114" s="165"/>
      <c r="J114" s="165"/>
      <c r="K114" s="165"/>
      <c r="L114" s="165"/>
      <c r="M114" s="165"/>
      <c r="N114" s="165"/>
      <c r="O114" s="165"/>
      <c r="P114" s="165"/>
      <c r="Q114" s="165"/>
      <c r="R114" s="165"/>
      <c r="S114" s="165"/>
      <c r="T114" s="209"/>
    </row>
    <row r="115" spans="1:20">
      <c r="B115" s="208"/>
      <c r="C115" s="165"/>
      <c r="D115" s="165"/>
      <c r="E115" s="165"/>
      <c r="F115" s="165"/>
      <c r="G115" s="165"/>
      <c r="H115" s="165"/>
      <c r="I115" s="165"/>
      <c r="J115" s="165"/>
      <c r="K115" s="165"/>
      <c r="L115" s="165"/>
      <c r="M115" s="165"/>
      <c r="N115" s="165"/>
      <c r="O115" s="165"/>
      <c r="P115" s="165"/>
      <c r="Q115" s="165"/>
      <c r="R115" s="165"/>
      <c r="S115" s="165"/>
      <c r="T115" s="209"/>
    </row>
    <row r="116" spans="1:20">
      <c r="B116" s="208" t="s">
        <v>440</v>
      </c>
      <c r="C116" s="165"/>
      <c r="D116" s="165"/>
      <c r="E116" s="165"/>
      <c r="F116" s="165"/>
      <c r="G116" s="165"/>
      <c r="H116" s="165"/>
      <c r="I116" s="165"/>
      <c r="J116" s="165"/>
      <c r="K116" s="165"/>
      <c r="L116" s="165"/>
      <c r="M116" s="165"/>
      <c r="N116" s="165"/>
      <c r="O116" s="165"/>
      <c r="P116" s="165"/>
      <c r="Q116" s="165"/>
      <c r="R116" s="165"/>
      <c r="S116" s="165"/>
      <c r="T116" s="209"/>
    </row>
    <row r="117" spans="1:20">
      <c r="B117" s="208"/>
      <c r="C117" s="165"/>
      <c r="D117" s="165"/>
      <c r="E117" s="165"/>
      <c r="F117" s="165"/>
      <c r="G117" s="165"/>
      <c r="H117" s="165"/>
      <c r="I117" s="165"/>
      <c r="J117" s="165"/>
      <c r="K117" s="165"/>
      <c r="L117" s="165"/>
      <c r="M117" s="165"/>
      <c r="N117" s="165"/>
      <c r="O117" s="165"/>
      <c r="P117" s="165"/>
      <c r="Q117" s="165"/>
      <c r="R117" s="165"/>
      <c r="S117" s="165"/>
      <c r="T117" s="209"/>
    </row>
    <row r="118" spans="1:20">
      <c r="B118" s="212"/>
      <c r="C118" s="213"/>
      <c r="D118" s="213"/>
      <c r="E118" s="213"/>
      <c r="F118" s="213"/>
      <c r="G118" s="213"/>
      <c r="H118" s="213"/>
      <c r="I118" s="213"/>
      <c r="J118" s="213"/>
      <c r="K118" s="213"/>
      <c r="L118" s="213"/>
      <c r="M118" s="213"/>
      <c r="N118" s="213"/>
      <c r="O118" s="213"/>
      <c r="P118" s="213"/>
      <c r="Q118" s="213"/>
      <c r="R118" s="213"/>
      <c r="S118" s="213"/>
      <c r="T118" s="214"/>
    </row>
    <row r="121" spans="1:20">
      <c r="B121" s="205"/>
      <c r="C121" s="206"/>
      <c r="D121" s="206"/>
      <c r="E121" s="206"/>
      <c r="F121" s="206"/>
      <c r="G121" s="206"/>
      <c r="H121" s="206"/>
      <c r="I121" s="206"/>
      <c r="J121" s="206"/>
      <c r="K121" s="206"/>
      <c r="L121" s="206"/>
      <c r="M121" s="206"/>
      <c r="N121" s="206"/>
      <c r="O121" s="206"/>
      <c r="P121" s="206"/>
      <c r="Q121" s="206"/>
      <c r="R121" s="206"/>
      <c r="S121" s="206"/>
      <c r="T121" s="207"/>
    </row>
    <row r="122" spans="1:20">
      <c r="A122" s="243" t="s">
        <v>397</v>
      </c>
      <c r="B122" s="243" t="s">
        <v>398</v>
      </c>
      <c r="C122" t="s">
        <v>438</v>
      </c>
      <c r="D122" t="s">
        <v>439</v>
      </c>
      <c r="E122" s="165" t="s">
        <v>5</v>
      </c>
      <c r="F122" s="165" t="s">
        <v>1</v>
      </c>
      <c r="G122" s="165"/>
      <c r="H122" s="165"/>
      <c r="I122" s="165"/>
      <c r="J122" s="165"/>
      <c r="K122" s="165"/>
      <c r="L122" s="165"/>
      <c r="M122" s="165"/>
      <c r="N122" s="165"/>
      <c r="O122" s="165"/>
      <c r="P122" s="165"/>
      <c r="Q122" s="390" t="s">
        <v>342</v>
      </c>
      <c r="R122" s="390"/>
      <c r="S122" s="391"/>
      <c r="T122" s="209"/>
    </row>
    <row r="123" spans="1:20">
      <c r="A123" s="208" t="s">
        <v>731</v>
      </c>
      <c r="B123" t="s">
        <v>4</v>
      </c>
      <c r="C123">
        <v>3</v>
      </c>
      <c r="D123" s="165">
        <v>999</v>
      </c>
      <c r="E123" s="226"/>
      <c r="F123" s="227"/>
      <c r="H123" s="165" t="s">
        <v>332</v>
      </c>
      <c r="I123" s="165"/>
      <c r="J123" s="165"/>
      <c r="K123" s="165"/>
      <c r="L123" s="165"/>
      <c r="M123" s="165"/>
      <c r="N123" s="165"/>
      <c r="O123" s="165"/>
      <c r="P123" s="165"/>
      <c r="Q123" s="390"/>
      <c r="R123" s="390"/>
      <c r="S123" s="391"/>
      <c r="T123" s="209"/>
    </row>
    <row r="124" spans="1:20">
      <c r="C124">
        <v>1.5</v>
      </c>
      <c r="D124" s="165">
        <v>2.99</v>
      </c>
      <c r="E124" s="165"/>
      <c r="F124" s="165"/>
      <c r="G124" s="165"/>
      <c r="H124" s="165"/>
      <c r="I124" s="165"/>
      <c r="J124" s="165"/>
      <c r="K124" s="165"/>
      <c r="L124" s="165"/>
      <c r="M124" s="165"/>
      <c r="N124" s="165"/>
      <c r="O124" s="165"/>
      <c r="P124" s="165"/>
      <c r="Q124" s="390"/>
      <c r="R124" s="390"/>
      <c r="S124" s="391"/>
      <c r="T124" s="209"/>
    </row>
    <row r="125" spans="1:20">
      <c r="C125">
        <v>-999</v>
      </c>
      <c r="D125" s="165">
        <v>1.49</v>
      </c>
      <c r="E125" s="227"/>
      <c r="F125" s="226"/>
      <c r="G125" s="165"/>
      <c r="H125" s="165"/>
      <c r="I125" s="165"/>
      <c r="J125" s="165"/>
      <c r="K125" s="165"/>
      <c r="L125" s="165"/>
      <c r="M125" s="165"/>
      <c r="N125" s="165"/>
      <c r="O125" s="165"/>
      <c r="P125" s="165"/>
      <c r="Q125" s="165"/>
      <c r="R125" s="165"/>
      <c r="S125" s="165"/>
      <c r="T125" s="209"/>
    </row>
    <row r="126" spans="1:20" s="115" customFormat="1">
      <c r="D126" s="165"/>
      <c r="E126"/>
      <c r="F126"/>
      <c r="G126" s="165"/>
      <c r="H126" s="165"/>
      <c r="I126" s="165"/>
      <c r="J126" s="165"/>
      <c r="K126" s="165"/>
      <c r="L126" s="165"/>
      <c r="M126" s="165"/>
      <c r="N126" s="165"/>
      <c r="O126" s="165"/>
      <c r="P126" s="165"/>
      <c r="Q126" s="165"/>
      <c r="R126" s="165"/>
      <c r="S126" s="165"/>
      <c r="T126" s="209"/>
    </row>
    <row r="127" spans="1:20" s="115" customFormat="1">
      <c r="A127" s="161"/>
      <c r="B127" s="165"/>
      <c r="E127" s="165" t="s">
        <v>5</v>
      </c>
      <c r="F127" s="165" t="s">
        <v>1</v>
      </c>
      <c r="G127" s="165"/>
      <c r="H127" s="165" t="s">
        <v>343</v>
      </c>
      <c r="I127" s="165"/>
      <c r="J127" s="165"/>
      <c r="K127" s="165"/>
      <c r="L127" s="165"/>
      <c r="M127" s="165"/>
      <c r="N127" s="165"/>
      <c r="O127" s="165"/>
      <c r="P127" s="165"/>
      <c r="Q127" s="165"/>
      <c r="R127" s="165"/>
      <c r="S127" s="165"/>
      <c r="T127" s="209"/>
    </row>
    <row r="128" spans="1:20" s="115" customFormat="1">
      <c r="B128" s="115" t="s">
        <v>10</v>
      </c>
      <c r="C128" s="115">
        <v>3</v>
      </c>
      <c r="D128" s="165">
        <v>999</v>
      </c>
      <c r="E128" s="226"/>
      <c r="F128" s="227"/>
      <c r="G128" s="165"/>
      <c r="H128" s="165"/>
      <c r="I128" s="165"/>
      <c r="J128" s="165"/>
      <c r="K128" s="165"/>
      <c r="L128" s="165"/>
      <c r="M128" s="165"/>
      <c r="N128" s="165"/>
      <c r="O128" s="165"/>
      <c r="P128" s="165"/>
      <c r="Q128" s="165"/>
      <c r="R128" s="165"/>
      <c r="S128" s="165"/>
      <c r="T128" s="209"/>
    </row>
    <row r="129" spans="2:20" s="115" customFormat="1">
      <c r="C129" s="115">
        <v>1.5</v>
      </c>
      <c r="D129" s="165">
        <v>2.99</v>
      </c>
      <c r="E129" s="165"/>
      <c r="F129" s="165"/>
      <c r="G129" s="165"/>
      <c r="H129" s="165"/>
      <c r="I129" s="165"/>
      <c r="J129" s="165"/>
      <c r="K129" s="165"/>
      <c r="L129" s="165"/>
      <c r="M129" s="165"/>
      <c r="N129" s="165"/>
      <c r="O129" s="165"/>
      <c r="P129" s="165"/>
      <c r="Q129" s="165"/>
      <c r="R129" s="165"/>
      <c r="S129" s="165"/>
      <c r="T129" s="209"/>
    </row>
    <row r="130" spans="2:20" s="115" customFormat="1">
      <c r="C130" s="115">
        <v>-999</v>
      </c>
      <c r="D130" s="165">
        <v>1.49</v>
      </c>
      <c r="E130" s="227"/>
      <c r="F130" s="226"/>
      <c r="G130" s="165"/>
      <c r="H130" s="165"/>
      <c r="I130" s="165"/>
      <c r="J130" s="165"/>
      <c r="K130" s="165"/>
      <c r="L130" s="165"/>
      <c r="M130" s="165"/>
      <c r="N130" s="165"/>
      <c r="O130" s="165"/>
      <c r="P130" s="165"/>
      <c r="Q130" s="165"/>
      <c r="R130" s="165"/>
      <c r="S130" s="165"/>
      <c r="T130" s="209"/>
    </row>
    <row r="131" spans="2:20" s="115" customFormat="1">
      <c r="D131" s="165"/>
      <c r="E131"/>
      <c r="F131"/>
      <c r="G131" s="165"/>
      <c r="H131" s="165"/>
      <c r="I131" s="165"/>
      <c r="J131" s="165"/>
      <c r="K131" s="165"/>
      <c r="L131" s="165"/>
      <c r="M131" s="165"/>
      <c r="N131" s="165"/>
      <c r="O131" s="165"/>
      <c r="P131" s="165"/>
      <c r="Q131" s="165"/>
      <c r="R131" s="165"/>
      <c r="S131" s="165"/>
      <c r="T131" s="209"/>
    </row>
    <row r="132" spans="2:20" s="115" customFormat="1">
      <c r="B132" s="165"/>
      <c r="E132" s="165" t="s">
        <v>5</v>
      </c>
      <c r="F132" s="165" t="s">
        <v>1</v>
      </c>
      <c r="G132" s="165"/>
      <c r="H132" s="165"/>
      <c r="I132" s="165"/>
      <c r="J132" s="165"/>
      <c r="K132" s="165"/>
      <c r="L132" s="165"/>
      <c r="M132" s="165"/>
      <c r="N132" s="165"/>
      <c r="O132" s="165"/>
      <c r="P132" s="165"/>
      <c r="Q132" s="165"/>
      <c r="R132" s="165"/>
      <c r="S132" s="165"/>
      <c r="T132" s="209"/>
    </row>
    <row r="133" spans="2:20" s="115" customFormat="1">
      <c r="B133" s="115" t="s">
        <v>29</v>
      </c>
      <c r="C133" s="115">
        <v>2</v>
      </c>
      <c r="D133" s="165">
        <v>999</v>
      </c>
      <c r="E133" s="226"/>
      <c r="F133" s="227"/>
      <c r="G133" s="165"/>
      <c r="H133" s="165"/>
      <c r="I133" s="165"/>
      <c r="J133" s="165"/>
      <c r="K133" s="165"/>
      <c r="L133" s="165"/>
      <c r="M133" s="165"/>
      <c r="N133" s="165"/>
      <c r="O133" s="165"/>
      <c r="P133" s="165"/>
      <c r="Q133" s="165"/>
      <c r="R133" s="165"/>
      <c r="S133" s="165"/>
      <c r="T133" s="209"/>
    </row>
    <row r="134" spans="2:20" s="115" customFormat="1">
      <c r="C134" s="115">
        <v>1</v>
      </c>
      <c r="D134" s="165">
        <v>1.99</v>
      </c>
      <c r="E134" s="165"/>
      <c r="F134" s="165"/>
      <c r="G134" s="165"/>
      <c r="H134" s="165"/>
      <c r="I134" s="165"/>
      <c r="J134" s="165"/>
      <c r="K134" s="165"/>
      <c r="L134" s="165"/>
      <c r="M134" s="165"/>
      <c r="N134" s="165"/>
      <c r="O134" s="165"/>
      <c r="P134" s="165"/>
      <c r="Q134" s="165"/>
      <c r="R134" s="165"/>
      <c r="S134" s="165"/>
      <c r="T134" s="209"/>
    </row>
    <row r="135" spans="2:20" s="115" customFormat="1">
      <c r="C135" s="115">
        <v>-999</v>
      </c>
      <c r="D135" s="165">
        <v>0.99</v>
      </c>
      <c r="E135" s="227"/>
      <c r="F135" s="226"/>
      <c r="G135" s="165"/>
      <c r="H135" s="165"/>
      <c r="I135" s="165"/>
      <c r="J135" s="165"/>
      <c r="K135" s="165"/>
      <c r="L135" s="165"/>
      <c r="M135" s="165"/>
      <c r="N135" s="165"/>
      <c r="O135" s="165"/>
      <c r="P135" s="165"/>
      <c r="Q135" s="165"/>
      <c r="R135" s="165"/>
      <c r="S135" s="165"/>
      <c r="T135" s="209"/>
    </row>
    <row r="136" spans="2:20" s="115" customFormat="1">
      <c r="D136" s="165"/>
      <c r="E136"/>
      <c r="F136"/>
      <c r="G136" s="165"/>
      <c r="H136" s="165"/>
      <c r="I136" s="165"/>
      <c r="J136" s="165"/>
      <c r="K136" s="165"/>
      <c r="L136" s="165"/>
      <c r="M136" s="165"/>
      <c r="N136" s="165"/>
      <c r="O136" s="165"/>
      <c r="P136" s="165"/>
      <c r="Q136" s="165"/>
      <c r="R136" s="165"/>
      <c r="S136" s="165"/>
      <c r="T136" s="209"/>
    </row>
    <row r="137" spans="2:20" s="115" customFormat="1">
      <c r="B137" s="165"/>
      <c r="E137" s="165" t="s">
        <v>5</v>
      </c>
      <c r="F137" s="165" t="s">
        <v>1</v>
      </c>
      <c r="G137" s="165"/>
      <c r="H137" s="165"/>
      <c r="I137" s="165"/>
      <c r="J137" s="165"/>
      <c r="K137" s="165"/>
      <c r="L137" s="165"/>
      <c r="M137" s="165"/>
      <c r="N137" s="165"/>
      <c r="O137" s="165"/>
      <c r="P137" s="165"/>
      <c r="Q137" s="165"/>
      <c r="R137" s="165"/>
      <c r="S137" s="165"/>
      <c r="T137" s="209"/>
    </row>
    <row r="138" spans="2:20" s="115" customFormat="1">
      <c r="B138" s="115" t="s">
        <v>127</v>
      </c>
      <c r="C138" s="115">
        <v>95</v>
      </c>
      <c r="D138" s="165">
        <v>999</v>
      </c>
      <c r="E138" s="226"/>
      <c r="F138" s="227"/>
      <c r="G138" s="165"/>
      <c r="H138" s="165"/>
      <c r="I138" s="165"/>
      <c r="J138" s="165"/>
      <c r="K138" s="165"/>
      <c r="L138" s="165"/>
      <c r="M138" s="165"/>
      <c r="N138" s="165"/>
      <c r="O138" s="165"/>
      <c r="P138" s="165"/>
      <c r="Q138" s="165"/>
      <c r="R138" s="165"/>
      <c r="S138" s="165"/>
      <c r="T138" s="209"/>
    </row>
    <row r="139" spans="2:20" s="115" customFormat="1">
      <c r="C139" s="115">
        <v>90</v>
      </c>
      <c r="D139" s="165">
        <v>94.9</v>
      </c>
      <c r="E139" s="165"/>
      <c r="F139" s="165"/>
      <c r="G139" s="165"/>
      <c r="H139" s="165"/>
      <c r="I139" s="165"/>
      <c r="J139" s="165"/>
      <c r="K139" s="165"/>
      <c r="L139" s="165"/>
      <c r="M139" s="165"/>
      <c r="N139" s="165"/>
      <c r="O139" s="165"/>
      <c r="P139" s="165"/>
      <c r="Q139" s="165"/>
      <c r="R139" s="165"/>
      <c r="S139" s="165"/>
      <c r="T139" s="209"/>
    </row>
    <row r="140" spans="2:20" s="115" customFormat="1">
      <c r="C140" s="115">
        <v>-999</v>
      </c>
      <c r="D140" s="165">
        <v>89.9</v>
      </c>
      <c r="E140" s="227"/>
      <c r="F140" s="226"/>
      <c r="G140" s="165"/>
      <c r="H140" s="165"/>
      <c r="I140" s="165"/>
      <c r="J140" s="165"/>
      <c r="K140" s="165"/>
      <c r="L140" s="165"/>
      <c r="M140" s="165"/>
      <c r="N140" s="165"/>
      <c r="O140" s="165"/>
      <c r="P140" s="165"/>
      <c r="Q140" s="165"/>
      <c r="R140" s="165"/>
      <c r="S140" s="165"/>
      <c r="T140" s="209"/>
    </row>
    <row r="141" spans="2:20" s="115" customFormat="1">
      <c r="D141" s="165"/>
      <c r="E141"/>
      <c r="F141"/>
      <c r="G141" s="165"/>
      <c r="H141" s="165"/>
      <c r="I141" s="165"/>
      <c r="J141" s="165"/>
      <c r="K141" s="165"/>
      <c r="L141" s="165"/>
      <c r="M141" s="165"/>
      <c r="N141" s="165"/>
      <c r="O141" s="165"/>
      <c r="P141" s="165"/>
      <c r="Q141" s="165"/>
      <c r="R141" s="165"/>
      <c r="S141" s="165"/>
      <c r="T141" s="209"/>
    </row>
    <row r="142" spans="2:20" s="115" customFormat="1">
      <c r="B142" s="165"/>
      <c r="E142" s="165" t="s">
        <v>5</v>
      </c>
      <c r="F142" s="165" t="s">
        <v>1</v>
      </c>
      <c r="G142" s="165"/>
      <c r="H142" s="165"/>
      <c r="I142" s="165"/>
      <c r="J142" s="165"/>
      <c r="K142" s="165"/>
      <c r="L142" s="165"/>
      <c r="M142" s="165"/>
      <c r="N142" s="165"/>
      <c r="O142" s="165"/>
      <c r="P142" s="165"/>
      <c r="Q142" s="165"/>
      <c r="R142" s="165"/>
      <c r="S142" s="165"/>
      <c r="T142" s="209"/>
    </row>
    <row r="143" spans="2:20" s="115" customFormat="1">
      <c r="B143" s="115" t="s">
        <v>164</v>
      </c>
      <c r="C143" s="115">
        <v>10</v>
      </c>
      <c r="D143" s="165">
        <v>999</v>
      </c>
      <c r="E143" s="226"/>
      <c r="F143" s="227"/>
      <c r="G143" s="165"/>
      <c r="H143" s="165"/>
      <c r="I143" s="165"/>
      <c r="J143" s="165"/>
      <c r="K143" s="165"/>
      <c r="L143" s="165"/>
      <c r="M143" s="165"/>
      <c r="N143" s="165"/>
      <c r="O143" s="165"/>
      <c r="P143" s="165"/>
      <c r="Q143" s="165"/>
      <c r="R143" s="165"/>
      <c r="S143" s="165"/>
      <c r="T143" s="209"/>
    </row>
    <row r="144" spans="2:20" s="115" customFormat="1">
      <c r="B144" s="208"/>
      <c r="C144" s="115">
        <v>5</v>
      </c>
      <c r="D144" s="165">
        <v>9.9</v>
      </c>
      <c r="E144" s="165"/>
      <c r="F144" s="165"/>
      <c r="G144" s="165"/>
      <c r="H144" s="165"/>
      <c r="I144" s="165"/>
      <c r="J144" s="165"/>
      <c r="K144" s="165"/>
      <c r="L144" s="165"/>
      <c r="M144" s="165"/>
      <c r="N144" s="165"/>
      <c r="O144" s="165"/>
      <c r="P144" s="165"/>
      <c r="Q144" s="165"/>
      <c r="R144" s="165"/>
      <c r="S144" s="165"/>
      <c r="T144" s="209"/>
    </row>
    <row r="145" spans="1:20" s="115" customFormat="1">
      <c r="B145" s="208"/>
      <c r="C145" s="115">
        <v>-999</v>
      </c>
      <c r="D145" s="165">
        <v>4.99</v>
      </c>
      <c r="E145" s="227"/>
      <c r="F145" s="226"/>
      <c r="G145" s="165"/>
      <c r="H145" s="165"/>
      <c r="I145" s="165"/>
      <c r="J145" s="165"/>
      <c r="K145" s="165"/>
      <c r="L145" s="165"/>
      <c r="M145" s="165"/>
      <c r="N145" s="165"/>
      <c r="O145" s="165"/>
      <c r="P145" s="165"/>
      <c r="Q145" s="165"/>
      <c r="R145" s="165"/>
      <c r="S145" s="165"/>
      <c r="T145" s="209"/>
    </row>
    <row r="146" spans="1:20" s="115" customFormat="1">
      <c r="B146" s="208"/>
      <c r="D146" s="165"/>
      <c r="E146"/>
      <c r="F146"/>
      <c r="G146" s="165"/>
      <c r="H146" s="165"/>
      <c r="I146" s="165"/>
      <c r="J146" s="165"/>
      <c r="K146" s="165"/>
      <c r="L146" s="165"/>
      <c r="M146" s="165"/>
      <c r="N146" s="165"/>
      <c r="O146" s="165"/>
      <c r="P146" s="165"/>
      <c r="Q146" s="165"/>
      <c r="R146" s="165"/>
      <c r="S146" s="165"/>
      <c r="T146" s="209"/>
    </row>
    <row r="147" spans="1:20">
      <c r="A147" s="243"/>
      <c r="B147" s="243" t="s">
        <v>398</v>
      </c>
      <c r="D147" s="165"/>
      <c r="E147" s="165"/>
      <c r="F147" s="165"/>
      <c r="G147" s="165"/>
      <c r="H147" s="165"/>
      <c r="I147" s="165"/>
      <c r="J147" s="165"/>
      <c r="K147" s="165"/>
      <c r="L147" s="165"/>
      <c r="M147" s="165"/>
      <c r="N147" s="165"/>
      <c r="O147" s="165"/>
      <c r="P147" s="165"/>
      <c r="Q147" s="165"/>
      <c r="R147" s="165"/>
      <c r="S147" s="165"/>
      <c r="T147" s="209"/>
    </row>
    <row r="148" spans="1:20">
      <c r="A148" s="208" t="s">
        <v>322</v>
      </c>
      <c r="B148" s="115" t="s">
        <v>4</v>
      </c>
      <c r="C148">
        <v>20</v>
      </c>
      <c r="D148" s="165">
        <v>999</v>
      </c>
      <c r="E148" s="226"/>
      <c r="F148" s="227"/>
      <c r="G148" s="165"/>
      <c r="H148" s="396" t="s">
        <v>732</v>
      </c>
      <c r="I148" s="396"/>
      <c r="J148" s="396"/>
      <c r="K148" s="396"/>
      <c r="L148" s="396"/>
      <c r="M148" s="396"/>
      <c r="N148" s="396"/>
      <c r="O148" s="165"/>
      <c r="P148" s="165"/>
      <c r="Q148" s="165"/>
      <c r="R148" s="165"/>
      <c r="S148" s="165"/>
      <c r="T148" s="209"/>
    </row>
    <row r="149" spans="1:20">
      <c r="C149">
        <v>10</v>
      </c>
      <c r="D149" s="165">
        <v>19.899999999999999</v>
      </c>
      <c r="E149" s="165"/>
      <c r="F149" s="165"/>
      <c r="G149" s="165"/>
      <c r="H149" s="396"/>
      <c r="I149" s="396"/>
      <c r="J149" s="396"/>
      <c r="K149" s="396"/>
      <c r="L149" s="396"/>
      <c r="M149" s="396"/>
      <c r="N149" s="396"/>
      <c r="O149" s="165"/>
      <c r="P149" s="165"/>
      <c r="Q149" s="165"/>
      <c r="R149" s="165"/>
      <c r="S149" s="165"/>
      <c r="T149" s="209"/>
    </row>
    <row r="150" spans="1:20">
      <c r="C150">
        <v>-999</v>
      </c>
      <c r="D150" s="165">
        <v>9.99</v>
      </c>
      <c r="E150" s="227"/>
      <c r="F150" s="226"/>
      <c r="G150" s="165"/>
      <c r="H150" s="396"/>
      <c r="I150" s="396"/>
      <c r="J150" s="396"/>
      <c r="K150" s="396"/>
      <c r="L150" s="396"/>
      <c r="M150" s="396"/>
      <c r="N150" s="396"/>
      <c r="O150" s="165"/>
      <c r="P150" s="165"/>
      <c r="Q150" s="165"/>
      <c r="R150" s="165"/>
      <c r="S150" s="165"/>
      <c r="T150" s="209"/>
    </row>
    <row r="151" spans="1:20" s="115" customFormat="1">
      <c r="D151" s="165"/>
      <c r="E151"/>
      <c r="F151"/>
      <c r="G151" s="165"/>
      <c r="H151" s="396"/>
      <c r="I151" s="396"/>
      <c r="J151" s="396"/>
      <c r="K151" s="396"/>
      <c r="L151" s="396"/>
      <c r="M151" s="396"/>
      <c r="N151" s="396"/>
      <c r="O151" s="165"/>
      <c r="P151" s="165"/>
      <c r="Q151" s="165"/>
      <c r="R151" s="165"/>
      <c r="S151" s="165"/>
      <c r="T151" s="209"/>
    </row>
    <row r="152" spans="1:20" s="115" customFormat="1">
      <c r="B152" s="115" t="s">
        <v>10</v>
      </c>
      <c r="C152" s="115">
        <v>20</v>
      </c>
      <c r="D152" s="165">
        <v>999</v>
      </c>
      <c r="E152" s="226"/>
      <c r="F152" s="227"/>
      <c r="G152" s="165"/>
      <c r="H152" s="396"/>
      <c r="I152" s="396"/>
      <c r="J152" s="396"/>
      <c r="K152" s="396"/>
      <c r="L152" s="396"/>
      <c r="M152" s="396"/>
      <c r="N152" s="396"/>
      <c r="O152" s="165"/>
      <c r="P152" s="165"/>
      <c r="Q152" s="165"/>
      <c r="R152" s="165"/>
      <c r="S152" s="165"/>
      <c r="T152" s="209"/>
    </row>
    <row r="153" spans="1:20" s="115" customFormat="1">
      <c r="C153" s="115">
        <v>10</v>
      </c>
      <c r="D153" s="165">
        <v>19.899999999999999</v>
      </c>
      <c r="E153" s="165"/>
      <c r="F153" s="165"/>
      <c r="G153" s="165"/>
      <c r="H153" s="396"/>
      <c r="I153" s="396"/>
      <c r="J153" s="396"/>
      <c r="K153" s="396"/>
      <c r="L153" s="396"/>
      <c r="M153" s="396"/>
      <c r="N153" s="396"/>
      <c r="O153" s="165"/>
      <c r="P153" s="165"/>
      <c r="Q153" s="165"/>
      <c r="R153" s="165"/>
      <c r="S153" s="165"/>
      <c r="T153" s="209"/>
    </row>
    <row r="154" spans="1:20" s="115" customFormat="1">
      <c r="C154" s="115">
        <v>-99</v>
      </c>
      <c r="D154" s="165">
        <v>9.99</v>
      </c>
      <c r="E154" s="227"/>
      <c r="F154" s="226"/>
      <c r="G154" s="165"/>
      <c r="H154" s="396"/>
      <c r="I154" s="396"/>
      <c r="J154" s="396"/>
      <c r="K154" s="396"/>
      <c r="L154" s="396"/>
      <c r="M154" s="396"/>
      <c r="N154" s="396"/>
      <c r="O154" s="165"/>
      <c r="P154" s="165"/>
      <c r="Q154" s="165"/>
      <c r="R154" s="165"/>
      <c r="S154" s="165"/>
      <c r="T154" s="209"/>
    </row>
    <row r="155" spans="1:20" s="115" customFormat="1">
      <c r="D155" s="165"/>
      <c r="E155"/>
      <c r="F155"/>
      <c r="G155" s="165"/>
      <c r="H155" s="396"/>
      <c r="I155" s="396"/>
      <c r="J155" s="396"/>
      <c r="K155" s="396"/>
      <c r="L155" s="396"/>
      <c r="M155" s="396"/>
      <c r="N155" s="396"/>
      <c r="O155" s="165"/>
      <c r="P155" s="165"/>
      <c r="Q155" s="165"/>
      <c r="R155" s="165"/>
      <c r="S155" s="165"/>
      <c r="T155" s="209"/>
    </row>
    <row r="156" spans="1:20" s="115" customFormat="1">
      <c r="B156" s="115" t="s">
        <v>29</v>
      </c>
      <c r="C156" s="115">
        <v>20</v>
      </c>
      <c r="D156" s="165">
        <v>999</v>
      </c>
      <c r="E156" s="226"/>
      <c r="F156" s="227"/>
      <c r="G156" s="165"/>
      <c r="H156" s="396"/>
      <c r="I156" s="396"/>
      <c r="J156" s="396"/>
      <c r="K156" s="396"/>
      <c r="L156" s="396"/>
      <c r="M156" s="396"/>
      <c r="N156" s="396"/>
      <c r="O156" s="165"/>
      <c r="P156" s="165"/>
      <c r="Q156" s="165"/>
      <c r="R156" s="165"/>
      <c r="S156" s="165"/>
      <c r="T156" s="209"/>
    </row>
    <row r="157" spans="1:20" s="115" customFormat="1">
      <c r="C157" s="115">
        <v>10</v>
      </c>
      <c r="D157" s="165">
        <v>19.899999999999999</v>
      </c>
      <c r="E157" s="165"/>
      <c r="F157" s="165"/>
      <c r="G157" s="165"/>
      <c r="H157" s="396"/>
      <c r="I157" s="396"/>
      <c r="J157" s="396"/>
      <c r="K157" s="396"/>
      <c r="L157" s="396"/>
      <c r="M157" s="396"/>
      <c r="N157" s="396"/>
      <c r="O157" s="165"/>
      <c r="P157" s="165"/>
      <c r="Q157" s="165"/>
      <c r="R157" s="165"/>
      <c r="S157" s="165"/>
      <c r="T157" s="209"/>
    </row>
    <row r="158" spans="1:20" s="115" customFormat="1">
      <c r="A158"/>
      <c r="C158" s="115">
        <v>-99</v>
      </c>
      <c r="D158" s="165">
        <v>9.99</v>
      </c>
      <c r="E158" s="227"/>
      <c r="F158" s="226"/>
      <c r="G158" s="165"/>
      <c r="H158" s="396"/>
      <c r="I158" s="396"/>
      <c r="J158" s="396"/>
      <c r="K158" s="396"/>
      <c r="L158" s="396"/>
      <c r="M158" s="396"/>
      <c r="N158" s="396"/>
      <c r="O158" s="165"/>
      <c r="P158" s="165"/>
      <c r="Q158" s="165"/>
      <c r="R158" s="165"/>
      <c r="S158" s="165"/>
      <c r="T158" s="209"/>
    </row>
    <row r="159" spans="1:20" s="115" customFormat="1">
      <c r="A159"/>
      <c r="B159"/>
      <c r="C159"/>
      <c r="D159"/>
      <c r="E159"/>
      <c r="F159"/>
      <c r="G159" s="165"/>
      <c r="H159" s="396"/>
      <c r="I159" s="396"/>
      <c r="J159" s="396"/>
      <c r="K159" s="396"/>
      <c r="L159" s="396"/>
      <c r="M159" s="396"/>
      <c r="N159" s="396"/>
      <c r="O159" s="165"/>
      <c r="P159" s="165"/>
      <c r="Q159" s="165"/>
      <c r="R159" s="165"/>
      <c r="S159" s="165"/>
      <c r="T159" s="209"/>
    </row>
    <row r="160" spans="1:20" s="115" customFormat="1">
      <c r="A160"/>
      <c r="B160" s="115" t="s">
        <v>127</v>
      </c>
      <c r="C160" s="115">
        <v>0</v>
      </c>
      <c r="D160" s="165">
        <v>100</v>
      </c>
      <c r="E160" s="226"/>
      <c r="F160" s="265"/>
      <c r="G160" s="165"/>
      <c r="H160" s="396"/>
      <c r="I160" s="396"/>
      <c r="J160" s="396"/>
      <c r="K160" s="396"/>
      <c r="L160" s="396"/>
      <c r="M160" s="396"/>
      <c r="N160" s="396"/>
      <c r="O160" s="165"/>
      <c r="P160" s="165"/>
      <c r="Q160" s="165"/>
      <c r="R160" s="165"/>
      <c r="S160" s="165"/>
      <c r="T160" s="209"/>
    </row>
    <row r="161" spans="1:20" s="115" customFormat="1">
      <c r="A161"/>
      <c r="D161" s="165"/>
      <c r="E161" s="165"/>
      <c r="F161" s="165"/>
      <c r="G161" s="165"/>
      <c r="H161" s="396"/>
      <c r="I161" s="396"/>
      <c r="J161" s="396"/>
      <c r="K161" s="396"/>
      <c r="L161" s="396"/>
      <c r="M161" s="396"/>
      <c r="N161" s="396"/>
      <c r="O161" s="165"/>
      <c r="P161" s="165"/>
      <c r="Q161" s="165"/>
      <c r="R161" s="165"/>
      <c r="S161" s="165"/>
      <c r="T161" s="209"/>
    </row>
    <row r="162" spans="1:20" s="115" customFormat="1">
      <c r="A162"/>
      <c r="B162" s="115" t="s">
        <v>164</v>
      </c>
      <c r="C162" s="115">
        <v>0</v>
      </c>
      <c r="D162" s="165">
        <v>100</v>
      </c>
      <c r="E162" s="226"/>
      <c r="F162" s="227"/>
      <c r="G162" s="165"/>
      <c r="H162" s="396"/>
      <c r="I162" s="396"/>
      <c r="J162" s="396"/>
      <c r="K162" s="396"/>
      <c r="L162" s="396"/>
      <c r="M162" s="396"/>
      <c r="N162" s="396"/>
      <c r="O162" s="165"/>
      <c r="P162" s="165"/>
      <c r="Q162" s="165"/>
      <c r="R162" s="165"/>
      <c r="S162" s="165"/>
      <c r="T162" s="209"/>
    </row>
    <row r="163" spans="1:20" s="115" customFormat="1">
      <c r="B163" s="208"/>
      <c r="D163" s="165"/>
      <c r="E163"/>
      <c r="F163"/>
      <c r="G163" s="165"/>
      <c r="H163" s="396"/>
      <c r="I163" s="396"/>
      <c r="J163" s="396"/>
      <c r="K163" s="396"/>
      <c r="L163" s="396"/>
      <c r="M163" s="396"/>
      <c r="N163" s="396"/>
      <c r="O163" s="165"/>
      <c r="P163" s="165"/>
      <c r="Q163" s="165"/>
      <c r="R163" s="165"/>
      <c r="S163" s="165"/>
      <c r="T163" s="209"/>
    </row>
    <row r="164" spans="1:20" s="115" customFormat="1">
      <c r="G164" s="165"/>
      <c r="H164" s="396"/>
      <c r="I164" s="396"/>
      <c r="J164" s="396"/>
      <c r="K164" s="396"/>
      <c r="L164" s="396"/>
      <c r="M164" s="396"/>
      <c r="N164" s="396"/>
      <c r="O164" s="165"/>
      <c r="P164" s="165"/>
      <c r="Q164" s="165"/>
      <c r="R164" s="165"/>
      <c r="S164" s="165"/>
      <c r="T164" s="209"/>
    </row>
    <row r="165" spans="1:20">
      <c r="G165" s="165"/>
      <c r="H165" s="165"/>
      <c r="I165" s="165"/>
      <c r="J165" s="165"/>
      <c r="K165" s="165"/>
      <c r="L165" s="165"/>
      <c r="M165" s="165"/>
      <c r="N165" s="165"/>
      <c r="O165" s="165"/>
      <c r="P165" s="165"/>
      <c r="Q165" s="165"/>
      <c r="R165" s="165"/>
      <c r="S165" s="165"/>
      <c r="T165" s="209"/>
    </row>
    <row r="166" spans="1:20">
      <c r="G166" s="165"/>
      <c r="H166" s="165"/>
      <c r="I166" s="165"/>
      <c r="J166" s="165"/>
      <c r="K166" s="165"/>
      <c r="L166" s="165"/>
      <c r="M166" s="165"/>
      <c r="N166" s="165"/>
      <c r="O166" s="165"/>
      <c r="P166" s="165"/>
      <c r="Q166" s="165"/>
      <c r="R166" s="165"/>
      <c r="S166" s="165"/>
      <c r="T166" s="209"/>
    </row>
    <row r="167" spans="1:20">
      <c r="B167" s="208"/>
      <c r="C167" s="165"/>
      <c r="E167" s="165"/>
      <c r="F167" s="165"/>
      <c r="G167" s="165"/>
      <c r="H167" s="165"/>
      <c r="I167" s="165"/>
      <c r="J167" s="165"/>
      <c r="K167" s="165"/>
      <c r="L167" s="165"/>
      <c r="M167" s="165"/>
      <c r="N167" s="165"/>
      <c r="O167" s="165"/>
      <c r="P167" s="165"/>
      <c r="Q167" s="165"/>
      <c r="R167" s="165"/>
      <c r="S167" s="165"/>
      <c r="T167" s="209"/>
    </row>
    <row r="168" spans="1:20">
      <c r="B168" s="208"/>
      <c r="C168" s="165"/>
      <c r="E168" s="165"/>
      <c r="F168" s="165"/>
      <c r="G168" s="165"/>
      <c r="H168" s="165"/>
      <c r="I168" s="165"/>
      <c r="J168" s="165"/>
      <c r="K168" s="165"/>
      <c r="L168" s="165"/>
      <c r="M168" s="165"/>
      <c r="N168" s="165"/>
      <c r="O168" s="165"/>
      <c r="P168" s="165"/>
      <c r="Q168" s="165"/>
      <c r="R168" s="165"/>
      <c r="S168" s="165"/>
      <c r="T168" s="209"/>
    </row>
    <row r="169" spans="1:20">
      <c r="B169" s="208"/>
      <c r="C169" s="165"/>
      <c r="D169" s="165"/>
      <c r="E169" s="165"/>
      <c r="F169" s="165"/>
      <c r="G169" s="165"/>
      <c r="H169" s="165"/>
      <c r="I169" s="165"/>
      <c r="J169" s="165"/>
      <c r="K169" s="165"/>
      <c r="L169" s="165"/>
      <c r="M169" s="165"/>
      <c r="N169" s="165"/>
      <c r="O169" s="165"/>
      <c r="P169" s="165"/>
      <c r="Q169" s="165"/>
      <c r="R169" s="165"/>
      <c r="S169" s="165"/>
      <c r="T169" s="209"/>
    </row>
    <row r="170" spans="1:20">
      <c r="B170" s="208"/>
      <c r="C170" s="165"/>
      <c r="D170" s="165"/>
      <c r="E170" s="165"/>
      <c r="F170" s="165"/>
      <c r="G170" s="165"/>
      <c r="H170" s="165"/>
      <c r="I170" s="165"/>
      <c r="J170" s="165"/>
      <c r="K170" s="165"/>
      <c r="L170" s="165"/>
      <c r="M170" s="165"/>
      <c r="N170" s="165"/>
      <c r="O170" s="165"/>
      <c r="P170" s="165"/>
      <c r="Q170" s="165"/>
      <c r="R170" s="165"/>
      <c r="S170" s="165"/>
      <c r="T170" s="209"/>
    </row>
    <row r="171" spans="1:20">
      <c r="B171" s="208"/>
      <c r="C171" s="165"/>
      <c r="D171" s="165"/>
      <c r="E171" s="165"/>
      <c r="F171" s="165"/>
      <c r="G171" s="165"/>
      <c r="H171" s="165"/>
      <c r="I171" s="165"/>
      <c r="J171" s="165"/>
      <c r="K171" s="165"/>
      <c r="L171" s="165"/>
      <c r="M171" s="165"/>
      <c r="N171" s="165"/>
      <c r="O171" s="165"/>
      <c r="P171" s="165"/>
      <c r="Q171" s="165"/>
      <c r="R171" s="165"/>
      <c r="S171" s="165"/>
      <c r="T171" s="209"/>
    </row>
    <row r="172" spans="1:20">
      <c r="B172" s="208"/>
      <c r="C172" s="165"/>
      <c r="D172" s="165"/>
      <c r="E172" s="165"/>
      <c r="F172" s="165"/>
      <c r="G172" s="165"/>
      <c r="H172" s="165"/>
      <c r="I172" s="165"/>
      <c r="J172" s="165"/>
      <c r="K172" s="165"/>
      <c r="L172" s="165"/>
      <c r="M172" s="165"/>
      <c r="N172" s="165"/>
      <c r="O172" s="165"/>
      <c r="P172" s="165"/>
      <c r="Q172" s="165"/>
      <c r="R172" s="165"/>
      <c r="S172" s="165"/>
      <c r="T172" s="209"/>
    </row>
    <row r="173" spans="1:20">
      <c r="B173" s="394" t="s">
        <v>325</v>
      </c>
      <c r="C173" s="395"/>
      <c r="D173" s="395"/>
      <c r="E173" s="165"/>
      <c r="F173" s="165" t="s">
        <v>328</v>
      </c>
      <c r="G173" s="165" t="s">
        <v>329</v>
      </c>
      <c r="H173" s="165"/>
      <c r="I173" s="165"/>
      <c r="J173" s="165" t="s">
        <v>330</v>
      </c>
      <c r="K173" s="165"/>
      <c r="L173" s="165"/>
      <c r="M173" s="165"/>
      <c r="N173" s="165"/>
      <c r="O173" s="165"/>
      <c r="P173" s="165"/>
      <c r="Q173" s="165"/>
      <c r="R173" s="165"/>
      <c r="S173" s="165"/>
      <c r="T173" s="209"/>
    </row>
    <row r="174" spans="1:20">
      <c r="B174" s="394"/>
      <c r="C174" s="395"/>
      <c r="D174" s="395"/>
      <c r="E174" s="165"/>
      <c r="F174" s="228">
        <v>1</v>
      </c>
      <c r="G174" s="397" t="s">
        <v>333</v>
      </c>
      <c r="H174" s="397"/>
      <c r="I174" s="165"/>
      <c r="J174" s="397" t="s">
        <v>334</v>
      </c>
      <c r="K174" s="397"/>
      <c r="L174" s="165"/>
      <c r="M174" s="165"/>
      <c r="N174" s="165"/>
      <c r="O174" s="165"/>
      <c r="P174" s="165"/>
      <c r="Q174" s="165"/>
      <c r="R174" s="165"/>
      <c r="S174" s="165"/>
      <c r="T174" s="209"/>
    </row>
    <row r="175" spans="1:20">
      <c r="B175" s="394"/>
      <c r="C175" s="395"/>
      <c r="D175" s="395"/>
      <c r="E175" s="165"/>
      <c r="F175" s="165"/>
      <c r="G175" s="397"/>
      <c r="H175" s="397"/>
      <c r="I175" s="165"/>
      <c r="J175" s="397"/>
      <c r="K175" s="397"/>
      <c r="L175" s="165"/>
      <c r="M175" s="165"/>
      <c r="N175" s="165"/>
      <c r="O175" s="165"/>
      <c r="P175" s="165"/>
      <c r="Q175" s="165"/>
      <c r="R175" s="165"/>
      <c r="S175" s="165"/>
      <c r="T175" s="209"/>
    </row>
    <row r="176" spans="1:20">
      <c r="B176" s="394" t="s">
        <v>326</v>
      </c>
      <c r="C176" s="395"/>
      <c r="D176" s="395"/>
      <c r="E176" s="165"/>
      <c r="F176" s="165"/>
      <c r="G176" s="165"/>
      <c r="H176" s="165"/>
      <c r="I176" s="165"/>
      <c r="J176" s="165"/>
      <c r="K176" s="165"/>
      <c r="L176" s="165"/>
      <c r="M176" s="165"/>
      <c r="N176" s="165"/>
      <c r="O176" s="165"/>
      <c r="P176" s="165"/>
      <c r="Q176" s="165"/>
      <c r="R176" s="165"/>
      <c r="S176" s="165"/>
      <c r="T176" s="209"/>
    </row>
    <row r="177" spans="2:20">
      <c r="B177" s="394"/>
      <c r="C177" s="395"/>
      <c r="D177" s="395"/>
      <c r="E177" s="165"/>
      <c r="F177" s="165"/>
      <c r="G177" s="165"/>
      <c r="H177" s="165"/>
      <c r="I177" s="165"/>
      <c r="J177" s="165"/>
      <c r="K177" s="165"/>
      <c r="L177" s="165"/>
      <c r="M177" s="165"/>
      <c r="N177" s="165"/>
      <c r="O177" s="165"/>
      <c r="P177" s="165"/>
      <c r="Q177" s="165"/>
      <c r="R177" s="165"/>
      <c r="S177" s="165"/>
      <c r="T177" s="209"/>
    </row>
    <row r="178" spans="2:20">
      <c r="B178" s="394"/>
      <c r="C178" s="395"/>
      <c r="D178" s="395"/>
      <c r="E178" s="165"/>
      <c r="F178" s="165"/>
      <c r="G178" s="165"/>
      <c r="H178" s="165"/>
      <c r="I178" s="165"/>
      <c r="J178" s="165"/>
      <c r="K178" s="165"/>
      <c r="L178" s="165"/>
      <c r="M178" s="165"/>
      <c r="N178" s="165"/>
      <c r="O178" s="165"/>
      <c r="P178" s="165"/>
      <c r="Q178" s="165"/>
      <c r="R178" s="165"/>
      <c r="S178" s="165"/>
      <c r="T178" s="209"/>
    </row>
    <row r="179" spans="2:20">
      <c r="B179" s="394"/>
      <c r="C179" s="395"/>
      <c r="D179" s="395"/>
      <c r="E179" s="165"/>
      <c r="F179" s="165"/>
      <c r="G179" s="165"/>
      <c r="H179" s="165"/>
      <c r="I179" s="165"/>
      <c r="J179" s="165"/>
      <c r="K179" s="165"/>
      <c r="L179" s="165"/>
      <c r="M179" s="165"/>
      <c r="N179" s="165"/>
      <c r="O179" s="165"/>
      <c r="P179" s="165"/>
      <c r="Q179" s="165"/>
      <c r="R179" s="165"/>
      <c r="S179" s="165"/>
      <c r="T179" s="209"/>
    </row>
    <row r="180" spans="2:20">
      <c r="B180" s="394" t="s">
        <v>327</v>
      </c>
      <c r="C180" s="395"/>
      <c r="D180" s="395"/>
      <c r="E180" s="165"/>
      <c r="F180" s="165"/>
      <c r="G180" s="165"/>
      <c r="H180" s="165"/>
      <c r="I180" s="165"/>
      <c r="J180" s="165"/>
      <c r="K180" s="165"/>
      <c r="L180" s="165"/>
      <c r="M180" s="165"/>
      <c r="N180" s="165"/>
      <c r="O180" s="165"/>
      <c r="P180" s="165"/>
      <c r="Q180" s="165"/>
      <c r="R180" s="165"/>
      <c r="S180" s="165"/>
      <c r="T180" s="209"/>
    </row>
    <row r="181" spans="2:20">
      <c r="B181" s="394"/>
      <c r="C181" s="395"/>
      <c r="D181" s="395"/>
      <c r="E181" s="165"/>
      <c r="F181" s="165"/>
      <c r="G181" s="165"/>
      <c r="H181" s="165"/>
      <c r="I181" s="165"/>
      <c r="J181" s="165"/>
      <c r="K181" s="165"/>
      <c r="L181" s="165"/>
      <c r="M181" s="165"/>
      <c r="N181" s="165"/>
      <c r="O181" s="165"/>
      <c r="P181" s="165"/>
      <c r="Q181" s="165"/>
      <c r="R181" s="165"/>
      <c r="S181" s="165"/>
      <c r="T181" s="209"/>
    </row>
    <row r="182" spans="2:20">
      <c r="B182" s="394"/>
      <c r="C182" s="395"/>
      <c r="D182" s="395"/>
      <c r="E182" s="165"/>
      <c r="F182" s="165"/>
      <c r="G182" s="165"/>
      <c r="H182" s="165"/>
      <c r="I182" s="165"/>
      <c r="J182" s="165"/>
      <c r="K182" s="165"/>
      <c r="L182" s="165"/>
      <c r="M182" s="165"/>
      <c r="N182" s="165"/>
      <c r="O182" s="165"/>
      <c r="P182" s="165"/>
      <c r="Q182" s="165"/>
      <c r="R182" s="165"/>
      <c r="S182" s="165"/>
      <c r="T182" s="209"/>
    </row>
    <row r="183" spans="2:20">
      <c r="B183" s="394" t="s">
        <v>341</v>
      </c>
      <c r="C183" s="395"/>
      <c r="D183" s="395"/>
      <c r="E183" s="165"/>
      <c r="F183" s="165"/>
      <c r="G183" s="165"/>
      <c r="H183" s="165"/>
      <c r="I183" s="165"/>
      <c r="J183" s="165"/>
      <c r="K183" s="165"/>
      <c r="L183" s="165"/>
      <c r="M183" s="165"/>
      <c r="N183" s="165"/>
      <c r="O183" s="165"/>
      <c r="P183" s="165"/>
      <c r="Q183" s="165"/>
      <c r="R183" s="165"/>
      <c r="S183" s="165"/>
      <c r="T183" s="209"/>
    </row>
    <row r="184" spans="2:20">
      <c r="B184" s="394"/>
      <c r="C184" s="395"/>
      <c r="D184" s="395"/>
      <c r="E184" s="165"/>
      <c r="F184" s="165"/>
      <c r="G184" s="165"/>
      <c r="H184" s="165"/>
      <c r="I184" s="165"/>
      <c r="J184" s="165"/>
      <c r="K184" s="165"/>
      <c r="L184" s="165"/>
      <c r="M184" s="165"/>
      <c r="N184" s="165"/>
      <c r="O184" s="165"/>
      <c r="P184" s="165"/>
      <c r="Q184" s="165"/>
      <c r="R184" s="165"/>
      <c r="S184" s="165"/>
      <c r="T184" s="209"/>
    </row>
    <row r="185" spans="2:20">
      <c r="B185" s="394"/>
      <c r="C185" s="395"/>
      <c r="D185" s="395"/>
      <c r="E185" s="165"/>
      <c r="F185" s="165"/>
      <c r="G185" s="165"/>
      <c r="H185" s="165"/>
      <c r="I185" s="165"/>
      <c r="J185" s="165"/>
      <c r="K185" s="165"/>
      <c r="L185" s="165"/>
      <c r="M185" s="165"/>
      <c r="N185" s="165"/>
      <c r="O185" s="165"/>
      <c r="P185" s="165"/>
      <c r="Q185" s="165"/>
      <c r="R185" s="165"/>
      <c r="S185" s="165"/>
      <c r="T185" s="209"/>
    </row>
    <row r="186" spans="2:20">
      <c r="B186" s="208"/>
      <c r="C186" s="165"/>
      <c r="D186" s="165"/>
      <c r="E186" s="165"/>
      <c r="F186" s="165"/>
      <c r="G186" s="165"/>
      <c r="H186" s="165"/>
      <c r="I186" s="165"/>
      <c r="J186" s="165"/>
      <c r="K186" s="165"/>
      <c r="L186" s="165"/>
      <c r="M186" s="165"/>
      <c r="N186" s="165"/>
      <c r="O186" s="165"/>
      <c r="P186" s="165"/>
      <c r="Q186" s="165"/>
      <c r="R186" s="165"/>
      <c r="S186" s="165"/>
      <c r="T186" s="209"/>
    </row>
    <row r="187" spans="2:20">
      <c r="B187" s="208"/>
      <c r="C187" s="165"/>
      <c r="D187" s="165"/>
      <c r="E187" s="165"/>
      <c r="F187" s="165"/>
      <c r="G187" s="165"/>
      <c r="H187" s="165"/>
      <c r="I187" s="165"/>
      <c r="J187" s="165"/>
      <c r="K187" s="165"/>
      <c r="L187" s="165"/>
      <c r="M187" s="165"/>
      <c r="N187" s="165"/>
      <c r="O187" s="165"/>
      <c r="P187" s="165"/>
      <c r="Q187" s="165"/>
      <c r="R187" s="165"/>
      <c r="S187" s="165"/>
      <c r="T187" s="209"/>
    </row>
    <row r="188" spans="2:20">
      <c r="B188" s="208"/>
      <c r="C188" s="165"/>
      <c r="D188" s="165"/>
      <c r="E188" s="165"/>
      <c r="F188" s="165"/>
      <c r="G188" s="165"/>
      <c r="H188" s="165"/>
      <c r="I188" s="165"/>
      <c r="J188" s="165"/>
      <c r="K188" s="165"/>
      <c r="L188" s="165"/>
      <c r="M188" s="165"/>
      <c r="N188" s="165"/>
      <c r="O188" s="165"/>
      <c r="P188" s="165"/>
      <c r="Q188" s="165"/>
      <c r="R188" s="165"/>
      <c r="S188" s="165"/>
      <c r="T188" s="209"/>
    </row>
    <row r="189" spans="2:20">
      <c r="B189" s="208"/>
      <c r="C189" s="165"/>
      <c r="D189" s="165"/>
      <c r="E189" s="165"/>
      <c r="F189" s="165"/>
      <c r="G189" s="165"/>
      <c r="H189" s="165"/>
      <c r="I189" s="165"/>
      <c r="J189" s="165"/>
      <c r="K189" s="165"/>
      <c r="L189" s="165"/>
      <c r="M189" s="165"/>
      <c r="N189" s="165"/>
      <c r="O189" s="165"/>
      <c r="P189" s="165"/>
      <c r="Q189" s="165"/>
      <c r="R189" s="165"/>
      <c r="S189" s="165"/>
      <c r="T189" s="209"/>
    </row>
    <row r="190" spans="2:20">
      <c r="B190" s="212"/>
      <c r="C190" s="213"/>
      <c r="D190" s="213"/>
      <c r="E190" s="213"/>
      <c r="F190" s="213"/>
      <c r="G190" s="213"/>
      <c r="H190" s="213"/>
      <c r="I190" s="213"/>
      <c r="J190" s="213"/>
      <c r="K190" s="213"/>
      <c r="L190" s="213"/>
      <c r="M190" s="213"/>
      <c r="N190" s="213"/>
      <c r="O190" s="213"/>
      <c r="P190" s="213"/>
      <c r="Q190" s="213"/>
      <c r="R190" s="213"/>
      <c r="S190" s="213"/>
      <c r="T190" s="214"/>
    </row>
    <row r="193" spans="1:20">
      <c r="B193" s="205"/>
      <c r="C193" s="206"/>
      <c r="D193" s="206"/>
      <c r="E193" s="206"/>
      <c r="F193" s="206"/>
      <c r="G193" s="206"/>
      <c r="H193" s="206"/>
      <c r="I193" s="206"/>
      <c r="J193" s="206"/>
      <c r="K193" s="206"/>
      <c r="L193" s="206"/>
      <c r="M193" s="206"/>
      <c r="N193" s="206"/>
      <c r="O193" s="206"/>
      <c r="P193" s="206"/>
      <c r="Q193" s="206"/>
      <c r="R193" s="206"/>
      <c r="S193" s="206"/>
      <c r="T193" s="207"/>
    </row>
    <row r="194" spans="1:20">
      <c r="B194" s="243" t="s">
        <v>397</v>
      </c>
      <c r="C194" s="243" t="s">
        <v>398</v>
      </c>
      <c r="D194" s="115"/>
      <c r="E194" s="165" t="s">
        <v>5</v>
      </c>
      <c r="F194" s="165" t="s">
        <v>1</v>
      </c>
      <c r="G194" s="165"/>
      <c r="H194" s="165"/>
      <c r="I194" s="165"/>
      <c r="J194" s="165"/>
      <c r="K194" s="165"/>
      <c r="L194" s="165"/>
      <c r="M194" s="165"/>
      <c r="N194" s="165"/>
      <c r="O194" s="165"/>
      <c r="P194" s="165"/>
      <c r="Q194" s="390" t="s">
        <v>344</v>
      </c>
      <c r="R194" s="390"/>
      <c r="S194" s="391"/>
      <c r="T194" s="209"/>
    </row>
    <row r="195" spans="1:20">
      <c r="A195" s="208" t="s">
        <v>731</v>
      </c>
      <c r="B195" s="115" t="s">
        <v>10</v>
      </c>
      <c r="C195" s="261">
        <v>1</v>
      </c>
      <c r="D195" s="262">
        <v>100</v>
      </c>
      <c r="E195" s="226"/>
      <c r="F195" s="227"/>
      <c r="G195" s="115"/>
      <c r="H195" s="165" t="s">
        <v>332</v>
      </c>
      <c r="I195" s="165"/>
      <c r="J195" s="165"/>
      <c r="K195" s="165"/>
      <c r="L195" s="165"/>
      <c r="M195" s="165"/>
      <c r="N195" s="165"/>
      <c r="O195" s="165"/>
      <c r="P195" s="165"/>
      <c r="Q195" s="390"/>
      <c r="R195" s="390"/>
      <c r="S195" s="391"/>
      <c r="T195" s="209"/>
    </row>
    <row r="196" spans="1:20">
      <c r="B196" s="208"/>
      <c r="C196" s="261">
        <v>0.5</v>
      </c>
      <c r="D196" s="262">
        <v>0.99</v>
      </c>
      <c r="E196" s="165"/>
      <c r="F196" s="165"/>
      <c r="G196" s="165"/>
      <c r="H196" s="165"/>
      <c r="I196" s="165"/>
      <c r="J196" s="165"/>
      <c r="K196" s="165"/>
      <c r="L196" s="165"/>
      <c r="M196" s="165"/>
      <c r="N196" s="165"/>
      <c r="O196" s="165"/>
      <c r="P196" s="165"/>
      <c r="Q196" s="390"/>
      <c r="R196" s="390"/>
      <c r="S196" s="391"/>
      <c r="T196" s="209"/>
    </row>
    <row r="197" spans="1:20">
      <c r="A197" t="s">
        <v>440</v>
      </c>
      <c r="B197" s="208"/>
      <c r="C197" s="261">
        <v>-99</v>
      </c>
      <c r="D197" s="262">
        <v>0.49</v>
      </c>
      <c r="E197" s="227"/>
      <c r="F197" s="226"/>
      <c r="G197" s="165"/>
      <c r="H197" s="165"/>
      <c r="I197" s="165"/>
      <c r="J197" s="165"/>
      <c r="K197" s="165"/>
      <c r="L197" s="165"/>
      <c r="M197" s="165"/>
      <c r="N197" s="165"/>
      <c r="O197" s="165"/>
      <c r="P197" s="165"/>
      <c r="Q197" s="165"/>
      <c r="R197" s="165"/>
      <c r="S197" s="165"/>
      <c r="T197" s="209"/>
    </row>
    <row r="198" spans="1:20">
      <c r="B198" s="208"/>
      <c r="C198" s="115"/>
      <c r="D198" s="165"/>
      <c r="E198" s="115"/>
      <c r="F198" s="115"/>
      <c r="G198" s="165"/>
      <c r="H198" s="165" t="s">
        <v>343</v>
      </c>
      <c r="I198" s="165"/>
      <c r="J198" s="165"/>
      <c r="K198" s="165"/>
      <c r="L198" s="165"/>
      <c r="M198" s="165"/>
      <c r="N198" s="165"/>
      <c r="O198" s="165"/>
      <c r="P198" s="165"/>
      <c r="Q198" s="165"/>
      <c r="R198" s="165"/>
      <c r="S198" s="165"/>
      <c r="T198" s="209"/>
    </row>
    <row r="199" spans="1:20">
      <c r="B199" s="208"/>
      <c r="C199" s="165"/>
      <c r="D199" s="115"/>
      <c r="E199" s="165" t="s">
        <v>5</v>
      </c>
      <c r="F199" s="165" t="s">
        <v>1</v>
      </c>
      <c r="G199" s="165"/>
      <c r="H199" s="165"/>
      <c r="I199" s="165"/>
      <c r="J199" s="165"/>
      <c r="K199" s="165"/>
      <c r="L199" s="165"/>
      <c r="M199" s="165"/>
      <c r="N199" s="165"/>
      <c r="O199" s="165"/>
      <c r="P199" s="165"/>
      <c r="Q199" s="165"/>
      <c r="R199" s="165"/>
      <c r="S199" s="165"/>
      <c r="T199" s="209"/>
    </row>
    <row r="200" spans="1:20">
      <c r="A200" s="208"/>
      <c r="B200" s="115" t="s">
        <v>29</v>
      </c>
      <c r="C200">
        <v>1</v>
      </c>
      <c r="D200" s="165">
        <v>999</v>
      </c>
      <c r="E200" s="226"/>
      <c r="F200" s="227"/>
      <c r="G200" s="165"/>
      <c r="H200" s="165"/>
      <c r="I200" s="165"/>
      <c r="J200" s="165"/>
      <c r="K200" s="165"/>
      <c r="L200" s="165"/>
      <c r="M200" s="165"/>
      <c r="N200" s="165"/>
      <c r="O200" s="165"/>
      <c r="P200" s="165"/>
      <c r="Q200" s="165"/>
      <c r="R200" s="165"/>
      <c r="S200" s="165"/>
      <c r="T200" s="209"/>
    </row>
    <row r="201" spans="1:20">
      <c r="A201" s="208"/>
      <c r="B201" s="115"/>
      <c r="C201">
        <v>0.5</v>
      </c>
      <c r="D201" s="165">
        <v>0.99</v>
      </c>
      <c r="E201" s="165"/>
      <c r="F201" s="165"/>
      <c r="G201" s="165"/>
      <c r="H201" s="165"/>
      <c r="I201" s="165"/>
      <c r="J201" s="165"/>
      <c r="K201" s="165"/>
      <c r="L201" s="165"/>
      <c r="M201" s="165"/>
      <c r="N201" s="165"/>
      <c r="O201" s="165"/>
      <c r="P201" s="165"/>
      <c r="Q201" s="165"/>
      <c r="R201" s="165"/>
      <c r="S201" s="165"/>
      <c r="T201" s="209"/>
    </row>
    <row r="202" spans="1:20">
      <c r="A202" s="208" t="s">
        <v>457</v>
      </c>
      <c r="B202" s="115"/>
      <c r="C202" s="165">
        <v>-999</v>
      </c>
      <c r="D202" s="161">
        <v>0.49</v>
      </c>
      <c r="E202" s="227"/>
      <c r="F202" s="226"/>
      <c r="G202" s="165"/>
      <c r="H202" s="165"/>
      <c r="I202" s="165"/>
      <c r="J202" s="165"/>
      <c r="K202" s="165"/>
      <c r="L202" s="165"/>
      <c r="M202" s="165"/>
      <c r="N202" s="165"/>
      <c r="O202" s="165"/>
      <c r="P202" s="165"/>
      <c r="Q202" s="165"/>
      <c r="R202" s="165"/>
      <c r="S202" s="165"/>
      <c r="T202" s="209"/>
    </row>
    <row r="203" spans="1:20">
      <c r="A203" s="208"/>
      <c r="B203" s="115"/>
      <c r="D203" s="165"/>
      <c r="E203" s="115"/>
      <c r="F203" s="115"/>
      <c r="G203" s="165"/>
      <c r="H203" s="165"/>
      <c r="I203" s="165"/>
      <c r="J203" s="165"/>
      <c r="K203" s="165"/>
      <c r="L203" s="165"/>
      <c r="M203" s="165"/>
      <c r="N203" s="165"/>
      <c r="O203" s="165"/>
      <c r="P203" s="165"/>
      <c r="Q203" s="165"/>
      <c r="R203" s="165"/>
      <c r="S203" s="165"/>
      <c r="T203" s="209"/>
    </row>
    <row r="204" spans="1:20">
      <c r="A204" s="208"/>
      <c r="B204" s="165"/>
      <c r="D204" s="115"/>
      <c r="E204" s="165" t="s">
        <v>5</v>
      </c>
      <c r="F204" s="165" t="s">
        <v>1</v>
      </c>
      <c r="G204" s="165"/>
      <c r="H204" s="165"/>
      <c r="I204" s="165"/>
      <c r="J204" s="165"/>
      <c r="K204" s="165"/>
      <c r="L204" s="165"/>
      <c r="M204" s="165"/>
      <c r="N204" s="165"/>
      <c r="O204" s="165"/>
      <c r="P204" s="165"/>
      <c r="Q204" s="165"/>
      <c r="R204" s="165"/>
      <c r="S204" s="165"/>
      <c r="T204" s="209"/>
    </row>
    <row r="205" spans="1:20">
      <c r="A205" s="208"/>
      <c r="B205" s="115" t="s">
        <v>25</v>
      </c>
      <c r="C205">
        <v>1</v>
      </c>
      <c r="D205" s="165">
        <v>999</v>
      </c>
      <c r="E205" s="226"/>
      <c r="F205" s="227"/>
      <c r="G205" s="165"/>
      <c r="H205" s="165"/>
      <c r="I205" s="165"/>
      <c r="J205" s="165"/>
      <c r="K205" s="165"/>
      <c r="L205" s="165"/>
      <c r="M205" s="165"/>
      <c r="N205" s="165"/>
      <c r="O205" s="165"/>
      <c r="P205" s="165"/>
      <c r="Q205" s="165"/>
      <c r="R205" s="165"/>
      <c r="S205" s="165"/>
      <c r="T205" s="209"/>
    </row>
    <row r="206" spans="1:20">
      <c r="A206" s="208"/>
      <c r="B206" s="115"/>
      <c r="C206">
        <v>0.5</v>
      </c>
      <c r="D206" s="165">
        <v>0.99</v>
      </c>
      <c r="E206" s="165"/>
      <c r="F206" s="165"/>
      <c r="G206" s="165"/>
      <c r="H206" s="165"/>
      <c r="I206" s="165"/>
      <c r="J206" s="165"/>
      <c r="K206" s="165"/>
      <c r="L206" s="165"/>
      <c r="M206" s="165"/>
      <c r="N206" s="165"/>
      <c r="O206" s="165"/>
      <c r="P206" s="165"/>
      <c r="Q206" s="165"/>
      <c r="R206" s="165"/>
      <c r="S206" s="165"/>
      <c r="T206" s="209"/>
    </row>
    <row r="207" spans="1:20">
      <c r="A207" s="208"/>
      <c r="B207" s="115"/>
      <c r="C207">
        <v>-99</v>
      </c>
      <c r="D207" s="165">
        <v>0.49</v>
      </c>
      <c r="E207" s="227"/>
      <c r="F207" s="226"/>
      <c r="G207" s="165"/>
      <c r="H207" s="165"/>
      <c r="I207" s="165"/>
      <c r="J207" s="165"/>
      <c r="K207" s="165"/>
      <c r="L207" s="165"/>
      <c r="M207" s="165"/>
      <c r="N207" s="165"/>
      <c r="O207" s="165"/>
      <c r="P207" s="165"/>
      <c r="Q207" s="165"/>
      <c r="R207" s="165"/>
      <c r="S207" s="165"/>
      <c r="T207" s="209"/>
    </row>
    <row r="208" spans="1:20">
      <c r="A208" s="208"/>
      <c r="B208" s="115"/>
      <c r="D208" s="165"/>
      <c r="E208" s="115"/>
      <c r="F208" s="115"/>
      <c r="G208" s="165"/>
      <c r="H208" s="165"/>
      <c r="I208" s="165"/>
      <c r="J208" s="165"/>
      <c r="K208" s="165"/>
      <c r="L208" s="165"/>
      <c r="M208" s="165"/>
      <c r="N208" s="165"/>
      <c r="O208" s="165"/>
      <c r="P208" s="165"/>
      <c r="Q208" s="165"/>
      <c r="R208" s="165"/>
      <c r="S208" s="165"/>
      <c r="T208" s="209"/>
    </row>
    <row r="209" spans="1:20">
      <c r="A209" s="208"/>
      <c r="B209" s="165"/>
      <c r="D209" s="115"/>
      <c r="E209" s="165" t="s">
        <v>5</v>
      </c>
      <c r="F209" s="165" t="s">
        <v>1</v>
      </c>
      <c r="G209" s="165"/>
      <c r="H209" s="165"/>
      <c r="I209" s="165"/>
      <c r="J209" s="165"/>
      <c r="K209" s="165"/>
      <c r="L209" s="165"/>
      <c r="M209" s="165"/>
      <c r="N209" s="165"/>
      <c r="O209" s="165"/>
      <c r="P209" s="165"/>
      <c r="Q209" s="165"/>
      <c r="R209" s="165"/>
      <c r="S209" s="165"/>
      <c r="T209" s="209"/>
    </row>
    <row r="210" spans="1:20">
      <c r="A210" s="208"/>
      <c r="B210" s="115" t="s">
        <v>27</v>
      </c>
      <c r="C210">
        <v>1</v>
      </c>
      <c r="D210" s="165">
        <v>999</v>
      </c>
      <c r="E210" s="226"/>
      <c r="F210" s="227"/>
      <c r="G210" s="165"/>
      <c r="H210" s="165"/>
      <c r="I210" s="165"/>
      <c r="J210" s="165"/>
      <c r="K210" s="165"/>
      <c r="L210" s="165"/>
      <c r="M210" s="165"/>
      <c r="N210" s="165"/>
      <c r="O210" s="165"/>
      <c r="P210" s="165"/>
      <c r="Q210" s="165"/>
      <c r="R210" s="165"/>
      <c r="S210" s="165"/>
      <c r="T210" s="209"/>
    </row>
    <row r="211" spans="1:20">
      <c r="A211" s="208"/>
      <c r="B211" s="115"/>
      <c r="C211">
        <v>0.5</v>
      </c>
      <c r="D211" s="165">
        <v>0.99</v>
      </c>
      <c r="E211" s="165"/>
      <c r="F211" s="165"/>
      <c r="G211" s="165"/>
      <c r="H211" s="165"/>
      <c r="I211" s="165"/>
      <c r="J211" s="165"/>
      <c r="K211" s="165"/>
      <c r="L211" s="165"/>
      <c r="M211" s="165"/>
      <c r="N211" s="165"/>
      <c r="O211" s="165"/>
      <c r="P211" s="165"/>
      <c r="Q211" s="165"/>
      <c r="R211" s="165"/>
      <c r="S211" s="165"/>
      <c r="T211" s="209"/>
    </row>
    <row r="212" spans="1:20">
      <c r="A212" s="208"/>
      <c r="B212" s="115"/>
      <c r="C212">
        <v>-999</v>
      </c>
      <c r="D212" s="165">
        <v>0.49</v>
      </c>
      <c r="E212" s="227"/>
      <c r="F212" s="226"/>
      <c r="G212" s="165"/>
      <c r="H212" s="165"/>
      <c r="I212" s="165"/>
      <c r="J212" s="165"/>
      <c r="K212" s="165"/>
      <c r="L212" s="165"/>
      <c r="M212" s="165"/>
      <c r="N212" s="165"/>
      <c r="O212" s="165"/>
      <c r="P212" s="165"/>
      <c r="Q212" s="165"/>
      <c r="R212" s="165"/>
      <c r="S212" s="165"/>
      <c r="T212" s="209"/>
    </row>
    <row r="213" spans="1:20">
      <c r="A213" s="208"/>
      <c r="B213" s="115"/>
      <c r="D213" s="165"/>
      <c r="E213" s="115"/>
      <c r="F213" s="115"/>
      <c r="G213" s="165"/>
      <c r="H213" s="165"/>
      <c r="I213" s="165"/>
      <c r="J213" s="165"/>
      <c r="K213" s="165"/>
      <c r="L213" s="165"/>
      <c r="M213" s="165"/>
      <c r="N213" s="165"/>
      <c r="O213" s="165"/>
      <c r="P213" s="165"/>
      <c r="Q213" s="165"/>
      <c r="R213" s="165"/>
      <c r="S213" s="165"/>
      <c r="T213" s="209"/>
    </row>
    <row r="214" spans="1:20">
      <c r="A214" s="243" t="s">
        <v>397</v>
      </c>
      <c r="B214" s="243" t="s">
        <v>398</v>
      </c>
      <c r="D214" s="165"/>
      <c r="E214" s="165"/>
      <c r="F214" s="165"/>
      <c r="G214" s="165"/>
      <c r="H214" s="165"/>
      <c r="I214" s="165"/>
      <c r="J214" s="165"/>
      <c r="K214" s="165"/>
      <c r="L214" s="165"/>
      <c r="M214" s="165"/>
      <c r="N214" s="165"/>
      <c r="O214" s="165"/>
      <c r="P214" s="165"/>
      <c r="Q214" s="165"/>
      <c r="R214" s="165"/>
      <c r="S214" s="165"/>
      <c r="T214" s="209"/>
    </row>
    <row r="215" spans="1:20">
      <c r="A215" s="208" t="s">
        <v>322</v>
      </c>
      <c r="B215" s="115" t="s">
        <v>10</v>
      </c>
      <c r="C215">
        <v>2</v>
      </c>
      <c r="D215" s="165">
        <v>999</v>
      </c>
      <c r="E215" s="226"/>
      <c r="F215" s="227"/>
      <c r="G215" s="165"/>
      <c r="H215" s="396" t="s">
        <v>732</v>
      </c>
      <c r="I215" s="396"/>
      <c r="J215" s="396"/>
      <c r="K215" s="396"/>
      <c r="L215" s="396"/>
      <c r="M215" s="396"/>
      <c r="N215" s="396"/>
      <c r="O215" s="165"/>
      <c r="P215" s="165"/>
      <c r="Q215" s="165"/>
      <c r="R215" s="165"/>
      <c r="S215" s="165"/>
      <c r="T215" s="209"/>
    </row>
    <row r="216" spans="1:20">
      <c r="A216" s="208"/>
      <c r="B216" s="115"/>
      <c r="C216">
        <v>1</v>
      </c>
      <c r="D216" s="165">
        <v>1.99</v>
      </c>
      <c r="E216" s="165"/>
      <c r="F216" s="165"/>
      <c r="G216" s="165"/>
      <c r="H216" s="396"/>
      <c r="I216" s="396"/>
      <c r="J216" s="396"/>
      <c r="K216" s="396"/>
      <c r="L216" s="396"/>
      <c r="M216" s="396"/>
      <c r="N216" s="396"/>
      <c r="O216" s="165"/>
      <c r="P216" s="165"/>
      <c r="Q216" s="165"/>
      <c r="R216" s="165"/>
      <c r="S216" s="165"/>
      <c r="T216" s="209"/>
    </row>
    <row r="217" spans="1:20">
      <c r="A217" s="208"/>
      <c r="B217" s="115"/>
      <c r="C217">
        <v>-999</v>
      </c>
      <c r="D217" s="165">
        <v>0.99</v>
      </c>
      <c r="E217" s="227"/>
      <c r="F217" s="226"/>
      <c r="G217" s="165"/>
      <c r="H217" s="396"/>
      <c r="I217" s="396"/>
      <c r="J217" s="396"/>
      <c r="K217" s="396"/>
      <c r="L217" s="396"/>
      <c r="M217" s="396"/>
      <c r="N217" s="396"/>
      <c r="O217" s="165"/>
      <c r="P217" s="165"/>
      <c r="Q217" s="165"/>
      <c r="R217" s="165"/>
      <c r="S217" s="165"/>
      <c r="T217" s="209"/>
    </row>
    <row r="218" spans="1:20">
      <c r="A218" s="208"/>
      <c r="B218" s="115"/>
      <c r="D218" s="165"/>
      <c r="E218" s="115"/>
      <c r="F218" s="115"/>
      <c r="G218" s="165"/>
      <c r="H218" s="396"/>
      <c r="I218" s="396"/>
      <c r="J218" s="396"/>
      <c r="K218" s="396"/>
      <c r="L218" s="396"/>
      <c r="M218" s="396"/>
      <c r="N218" s="396"/>
      <c r="O218" s="165"/>
      <c r="P218" s="165"/>
      <c r="Q218" s="165"/>
      <c r="R218" s="165"/>
      <c r="S218" s="165"/>
      <c r="T218" s="209"/>
    </row>
    <row r="219" spans="1:20">
      <c r="A219" s="208"/>
      <c r="B219" s="115" t="s">
        <v>29</v>
      </c>
      <c r="C219">
        <v>2</v>
      </c>
      <c r="D219" s="165">
        <v>999</v>
      </c>
      <c r="E219" s="226"/>
      <c r="F219" s="227"/>
      <c r="G219" s="165"/>
      <c r="H219" s="396"/>
      <c r="I219" s="396"/>
      <c r="J219" s="396"/>
      <c r="K219" s="396"/>
      <c r="L219" s="396"/>
      <c r="M219" s="396"/>
      <c r="N219" s="396"/>
      <c r="O219" s="165"/>
      <c r="P219" s="165"/>
      <c r="Q219" s="165"/>
      <c r="R219" s="165"/>
      <c r="S219" s="165"/>
      <c r="T219" s="209"/>
    </row>
    <row r="220" spans="1:20">
      <c r="A220" s="208"/>
      <c r="C220">
        <v>1</v>
      </c>
      <c r="D220" s="165">
        <v>1.99</v>
      </c>
      <c r="E220" s="165"/>
      <c r="F220" s="165"/>
      <c r="G220" s="165"/>
      <c r="H220" s="396"/>
      <c r="I220" s="396"/>
      <c r="J220" s="396"/>
      <c r="K220" s="396"/>
      <c r="L220" s="396"/>
      <c r="M220" s="396"/>
      <c r="N220" s="396"/>
      <c r="O220" s="165"/>
      <c r="P220" s="165"/>
      <c r="Q220" s="165"/>
      <c r="R220" s="165"/>
      <c r="S220" s="165"/>
      <c r="T220" s="209"/>
    </row>
    <row r="221" spans="1:20">
      <c r="A221" s="208"/>
      <c r="B221" s="115"/>
      <c r="C221">
        <v>-999</v>
      </c>
      <c r="D221" s="165">
        <v>0.99</v>
      </c>
      <c r="E221" s="227"/>
      <c r="F221" s="226"/>
      <c r="G221" s="165"/>
      <c r="H221" s="396"/>
      <c r="I221" s="396"/>
      <c r="J221" s="396"/>
      <c r="K221" s="396"/>
      <c r="L221" s="396"/>
      <c r="M221" s="396"/>
      <c r="N221" s="396"/>
      <c r="O221" s="165"/>
      <c r="P221" s="165"/>
      <c r="Q221" s="165"/>
      <c r="R221" s="165"/>
      <c r="S221" s="165"/>
      <c r="T221" s="209"/>
    </row>
    <row r="222" spans="1:20">
      <c r="A222" s="208"/>
      <c r="B222" s="115"/>
      <c r="D222" s="165"/>
      <c r="E222" s="115"/>
      <c r="F222" s="115"/>
      <c r="G222" s="165"/>
      <c r="H222" s="396"/>
      <c r="I222" s="396"/>
      <c r="J222" s="396"/>
      <c r="K222" s="396"/>
      <c r="L222" s="396"/>
      <c r="M222" s="396"/>
      <c r="N222" s="396"/>
      <c r="O222" s="165"/>
      <c r="P222" s="165"/>
      <c r="Q222" s="165"/>
      <c r="R222" s="165"/>
      <c r="S222" s="165"/>
      <c r="T222" s="209"/>
    </row>
    <row r="223" spans="1:20">
      <c r="A223" s="208"/>
      <c r="B223" s="115" t="s">
        <v>25</v>
      </c>
      <c r="C223">
        <v>2</v>
      </c>
      <c r="D223" s="165">
        <v>999</v>
      </c>
      <c r="E223" s="226"/>
      <c r="F223" s="227"/>
      <c r="G223" s="165"/>
      <c r="H223" s="396"/>
      <c r="I223" s="396"/>
      <c r="J223" s="396"/>
      <c r="K223" s="396"/>
      <c r="L223" s="396"/>
      <c r="M223" s="396"/>
      <c r="N223" s="396"/>
      <c r="O223" s="165"/>
      <c r="P223" s="165"/>
      <c r="Q223" s="165"/>
      <c r="R223" s="165"/>
      <c r="S223" s="165"/>
      <c r="T223" s="209"/>
    </row>
    <row r="224" spans="1:20">
      <c r="A224" s="208"/>
      <c r="B224" s="165"/>
      <c r="C224">
        <v>1</v>
      </c>
      <c r="D224" s="165">
        <v>1.99</v>
      </c>
      <c r="E224" s="165"/>
      <c r="F224" s="165"/>
      <c r="G224" s="165"/>
      <c r="H224" s="396"/>
      <c r="I224" s="396"/>
      <c r="J224" s="396"/>
      <c r="K224" s="396"/>
      <c r="L224" s="396"/>
      <c r="M224" s="396"/>
      <c r="N224" s="396"/>
      <c r="O224" s="165"/>
      <c r="P224" s="165"/>
      <c r="Q224" s="165"/>
      <c r="R224" s="165"/>
      <c r="S224" s="165"/>
      <c r="T224" s="209"/>
    </row>
    <row r="225" spans="1:20">
      <c r="A225" s="208"/>
      <c r="C225">
        <v>-999</v>
      </c>
      <c r="D225" s="165">
        <v>0.99</v>
      </c>
      <c r="E225" s="227"/>
      <c r="F225" s="226"/>
      <c r="G225" s="165"/>
      <c r="H225" s="396"/>
      <c r="I225" s="396"/>
      <c r="J225" s="396"/>
      <c r="K225" s="396"/>
      <c r="L225" s="396"/>
      <c r="M225" s="396"/>
      <c r="N225" s="396"/>
      <c r="O225" s="165"/>
      <c r="P225" s="165"/>
      <c r="Q225" s="165"/>
      <c r="R225" s="165"/>
      <c r="S225" s="165"/>
      <c r="T225" s="209"/>
    </row>
    <row r="226" spans="1:20">
      <c r="A226" s="208"/>
      <c r="B226" s="115"/>
      <c r="D226" s="165"/>
      <c r="E226" s="115"/>
      <c r="F226" s="115"/>
      <c r="G226" s="165"/>
      <c r="H226" s="396"/>
      <c r="I226" s="396"/>
      <c r="J226" s="396"/>
      <c r="K226" s="396"/>
      <c r="L226" s="396"/>
      <c r="M226" s="396"/>
      <c r="N226" s="396"/>
      <c r="O226" s="165"/>
      <c r="P226" s="165"/>
      <c r="Q226" s="165"/>
      <c r="R226" s="165"/>
      <c r="S226" s="165"/>
      <c r="T226" s="209"/>
    </row>
    <row r="227" spans="1:20">
      <c r="A227" s="208"/>
      <c r="B227" s="115" t="s">
        <v>27</v>
      </c>
      <c r="C227">
        <v>2</v>
      </c>
      <c r="D227" s="165">
        <v>999</v>
      </c>
      <c r="E227" s="226"/>
      <c r="F227" s="227"/>
      <c r="G227" s="165"/>
      <c r="H227" s="396"/>
      <c r="I227" s="396"/>
      <c r="J227" s="396"/>
      <c r="K227" s="396"/>
      <c r="L227" s="396"/>
      <c r="M227" s="396"/>
      <c r="N227" s="396"/>
      <c r="O227" s="165"/>
      <c r="P227" s="165"/>
      <c r="Q227" s="165"/>
      <c r="R227" s="165"/>
      <c r="S227" s="165"/>
      <c r="T227" s="209"/>
    </row>
    <row r="228" spans="1:20" s="115" customFormat="1">
      <c r="A228" s="208"/>
      <c r="C228" s="115">
        <v>1</v>
      </c>
      <c r="D228" s="165">
        <v>1.99</v>
      </c>
      <c r="E228"/>
      <c r="F228"/>
      <c r="G228" s="165"/>
      <c r="H228" s="396"/>
      <c r="I228" s="396"/>
      <c r="J228" s="396"/>
      <c r="K228" s="396"/>
      <c r="L228" s="396"/>
      <c r="M228" s="396"/>
      <c r="N228" s="396"/>
      <c r="O228" s="165"/>
      <c r="P228" s="165"/>
      <c r="Q228" s="165"/>
      <c r="R228" s="165"/>
      <c r="S228" s="165"/>
      <c r="T228" s="209"/>
    </row>
    <row r="229" spans="1:20">
      <c r="A229" s="208"/>
      <c r="B229" s="115"/>
      <c r="C229">
        <v>-999</v>
      </c>
      <c r="D229" s="165">
        <v>0.99</v>
      </c>
      <c r="E229" s="227"/>
      <c r="F229" s="226"/>
      <c r="G229" s="165"/>
      <c r="H229" s="396"/>
      <c r="I229" s="396"/>
      <c r="J229" s="396"/>
      <c r="K229" s="396"/>
      <c r="L229" s="396"/>
      <c r="M229" s="396"/>
      <c r="N229" s="396"/>
      <c r="O229" s="165"/>
      <c r="P229" s="165"/>
      <c r="Q229" s="165"/>
      <c r="R229" s="165"/>
      <c r="S229" s="165"/>
      <c r="T229" s="209"/>
    </row>
    <row r="230" spans="1:20">
      <c r="B230" s="208"/>
      <c r="C230" s="165"/>
      <c r="D230" s="165"/>
      <c r="E230" s="165"/>
      <c r="F230" s="165"/>
      <c r="G230" s="165"/>
      <c r="H230" s="165"/>
      <c r="I230" s="165"/>
      <c r="J230" s="165"/>
      <c r="K230" s="165"/>
      <c r="L230" s="165"/>
      <c r="M230" s="165"/>
      <c r="N230" s="165"/>
      <c r="O230" s="165"/>
      <c r="P230" s="165"/>
      <c r="Q230" s="165"/>
      <c r="R230" s="165"/>
      <c r="S230" s="165"/>
      <c r="T230" s="209"/>
    </row>
    <row r="231" spans="1:20">
      <c r="B231" s="208"/>
      <c r="D231" s="165"/>
      <c r="E231" s="165"/>
      <c r="F231" s="165"/>
      <c r="G231" s="165"/>
      <c r="H231" s="165"/>
      <c r="I231" s="165"/>
      <c r="J231" s="165"/>
      <c r="K231" s="165"/>
      <c r="L231" s="165"/>
      <c r="M231" s="165"/>
      <c r="N231" s="165"/>
      <c r="O231" s="165"/>
      <c r="P231" s="165"/>
      <c r="Q231" s="165"/>
      <c r="R231" s="165"/>
      <c r="S231" s="165"/>
      <c r="T231" s="209"/>
    </row>
    <row r="232" spans="1:20">
      <c r="B232" s="208" t="s">
        <v>323</v>
      </c>
      <c r="C232" s="165"/>
      <c r="D232" s="226"/>
      <c r="E232" s="165"/>
      <c r="F232" s="165"/>
      <c r="G232" s="165"/>
      <c r="H232" s="165"/>
      <c r="I232" s="165"/>
      <c r="J232" s="165"/>
      <c r="K232" s="165"/>
      <c r="L232" s="165"/>
      <c r="M232" s="165"/>
      <c r="N232" s="165"/>
      <c r="O232" s="165"/>
      <c r="P232" s="165"/>
      <c r="Q232" s="165"/>
      <c r="R232" s="165"/>
      <c r="S232" s="165"/>
      <c r="T232" s="209"/>
    </row>
    <row r="233" spans="1:20">
      <c r="B233" s="208" t="s">
        <v>324</v>
      </c>
      <c r="C233" s="165"/>
      <c r="D233" s="227"/>
      <c r="E233" s="165"/>
      <c r="F233" s="165"/>
      <c r="G233" s="165"/>
      <c r="H233" s="165"/>
      <c r="I233" s="165"/>
      <c r="J233" s="165"/>
      <c r="K233" s="165"/>
      <c r="L233" s="165"/>
      <c r="M233" s="165"/>
      <c r="N233" s="165"/>
      <c r="O233" s="165"/>
      <c r="P233" s="165"/>
      <c r="Q233" s="165"/>
      <c r="R233" s="165"/>
      <c r="S233" s="165"/>
      <c r="T233" s="209"/>
    </row>
    <row r="234" spans="1:20">
      <c r="B234" s="208"/>
      <c r="C234" s="165"/>
      <c r="D234" s="165"/>
      <c r="E234" s="165"/>
      <c r="F234" s="165"/>
      <c r="G234" s="165"/>
      <c r="H234" s="165"/>
      <c r="I234" s="165"/>
      <c r="J234" s="165"/>
      <c r="K234" s="165"/>
      <c r="L234" s="165"/>
      <c r="M234" s="165"/>
      <c r="N234" s="165"/>
      <c r="O234" s="165"/>
      <c r="P234" s="165"/>
      <c r="Q234" s="165"/>
      <c r="R234" s="165"/>
      <c r="S234" s="165"/>
      <c r="T234" s="209"/>
    </row>
    <row r="235" spans="1:20">
      <c r="B235" s="208"/>
      <c r="C235" s="165"/>
      <c r="D235" s="165"/>
      <c r="E235" s="165"/>
      <c r="F235" s="165"/>
      <c r="G235" s="165"/>
      <c r="H235" s="165"/>
      <c r="I235" s="165"/>
      <c r="J235" s="165"/>
      <c r="K235" s="165"/>
      <c r="L235" s="165"/>
      <c r="M235" s="165"/>
      <c r="N235" s="165"/>
      <c r="O235" s="165"/>
      <c r="P235" s="165"/>
      <c r="Q235" s="165"/>
      <c r="R235" s="165"/>
      <c r="S235" s="165"/>
      <c r="T235" s="209"/>
    </row>
    <row r="236" spans="1:20">
      <c r="B236" s="208"/>
      <c r="C236" s="165"/>
      <c r="D236" s="165" t="s">
        <v>437</v>
      </c>
      <c r="E236" s="165"/>
      <c r="F236" s="165"/>
      <c r="G236" s="165"/>
      <c r="H236" s="165"/>
      <c r="I236" s="165"/>
      <c r="J236" s="165"/>
      <c r="K236" s="165"/>
      <c r="L236" s="165"/>
      <c r="M236" s="165"/>
      <c r="N236" s="165"/>
      <c r="O236" s="165"/>
      <c r="P236" s="165"/>
      <c r="Q236" s="165"/>
      <c r="R236" s="165"/>
      <c r="S236" s="165"/>
      <c r="T236" s="209"/>
    </row>
    <row r="237" spans="1:20">
      <c r="B237" s="208"/>
      <c r="C237" s="165"/>
      <c r="D237" s="165"/>
      <c r="E237" s="165"/>
      <c r="F237" s="165"/>
      <c r="G237" s="165"/>
      <c r="H237" s="165"/>
      <c r="I237" s="165"/>
      <c r="J237" s="165"/>
      <c r="K237" s="165"/>
      <c r="L237" s="165"/>
      <c r="M237" s="165"/>
      <c r="N237" s="165"/>
      <c r="O237" s="165"/>
      <c r="P237" s="165"/>
      <c r="Q237" s="165"/>
      <c r="R237" s="165"/>
      <c r="S237" s="165"/>
      <c r="T237" s="209"/>
    </row>
    <row r="238" spans="1:20">
      <c r="B238" s="394" t="s">
        <v>325</v>
      </c>
      <c r="C238" s="395"/>
      <c r="D238" s="395"/>
      <c r="E238" s="165"/>
      <c r="F238" s="165" t="s">
        <v>328</v>
      </c>
      <c r="G238" s="165" t="s">
        <v>329</v>
      </c>
      <c r="H238" s="165"/>
      <c r="I238" s="165"/>
      <c r="J238" s="165" t="s">
        <v>330</v>
      </c>
      <c r="K238" s="165"/>
      <c r="L238" s="165"/>
      <c r="M238" s="165"/>
      <c r="N238" s="165"/>
      <c r="O238" s="165"/>
      <c r="P238" s="165"/>
      <c r="Q238" s="165"/>
      <c r="R238" s="165"/>
      <c r="S238" s="165"/>
      <c r="T238" s="209"/>
    </row>
    <row r="239" spans="1:20">
      <c r="B239" s="394"/>
      <c r="C239" s="395"/>
      <c r="D239" s="395"/>
      <c r="E239" s="165"/>
      <c r="F239" s="228">
        <v>1</v>
      </c>
      <c r="G239" s="397" t="s">
        <v>333</v>
      </c>
      <c r="H239" s="397"/>
      <c r="I239" s="165"/>
      <c r="J239" s="397" t="s">
        <v>334</v>
      </c>
      <c r="K239" s="397"/>
      <c r="L239" s="165"/>
      <c r="M239" s="165"/>
      <c r="N239" s="165"/>
      <c r="O239" s="165"/>
      <c r="P239" s="165"/>
      <c r="Q239" s="165"/>
      <c r="R239" s="165"/>
      <c r="S239" s="165"/>
      <c r="T239" s="209"/>
    </row>
    <row r="240" spans="1:20">
      <c r="B240" s="394"/>
      <c r="C240" s="395"/>
      <c r="D240" s="395"/>
      <c r="E240" s="165"/>
      <c r="F240" s="165"/>
      <c r="G240" s="397"/>
      <c r="H240" s="397"/>
      <c r="I240" s="165"/>
      <c r="J240" s="397"/>
      <c r="K240" s="397"/>
      <c r="L240" s="165"/>
      <c r="M240" s="165"/>
      <c r="N240" s="165"/>
      <c r="O240" s="165"/>
      <c r="P240" s="165"/>
      <c r="Q240" s="165"/>
      <c r="R240" s="165"/>
      <c r="S240" s="165"/>
      <c r="T240" s="209"/>
    </row>
    <row r="241" spans="1:20">
      <c r="B241" s="394" t="s">
        <v>326</v>
      </c>
      <c r="C241" s="395"/>
      <c r="D241" s="395"/>
      <c r="E241" s="165"/>
      <c r="F241" s="165"/>
      <c r="G241" s="165"/>
      <c r="H241" s="165"/>
      <c r="I241" s="165"/>
      <c r="J241" s="165"/>
      <c r="K241" s="165"/>
      <c r="L241" s="165"/>
      <c r="M241" s="165"/>
      <c r="N241" s="165"/>
      <c r="O241" s="165"/>
      <c r="P241" s="165"/>
      <c r="Q241" s="165"/>
      <c r="R241" s="165"/>
      <c r="S241" s="165"/>
      <c r="T241" s="209"/>
    </row>
    <row r="242" spans="1:20">
      <c r="A242" t="s">
        <v>450</v>
      </c>
      <c r="B242" s="394"/>
      <c r="C242" s="395"/>
      <c r="D242" s="395"/>
      <c r="E242" s="165"/>
      <c r="F242" s="165"/>
      <c r="G242" s="165"/>
      <c r="H242" s="165"/>
      <c r="I242" s="165"/>
      <c r="J242" s="165"/>
      <c r="K242" s="165"/>
      <c r="L242" s="165"/>
      <c r="M242" s="165"/>
      <c r="N242" s="165"/>
      <c r="O242" s="165"/>
      <c r="P242" s="165"/>
      <c r="Q242" s="165"/>
      <c r="R242" s="165"/>
      <c r="S242" s="165"/>
      <c r="T242" s="209"/>
    </row>
    <row r="243" spans="1:20">
      <c r="A243" t="s">
        <v>452</v>
      </c>
      <c r="B243" s="394"/>
      <c r="C243" s="395"/>
      <c r="D243" s="395"/>
      <c r="E243" s="165"/>
      <c r="F243" s="165"/>
      <c r="G243" s="165"/>
      <c r="H243" s="165"/>
      <c r="I243" s="165"/>
      <c r="J243" s="165"/>
      <c r="K243" s="165"/>
      <c r="L243" s="165"/>
      <c r="M243" s="165"/>
      <c r="N243" s="165"/>
      <c r="O243" s="165"/>
      <c r="P243" s="165"/>
      <c r="Q243" s="165"/>
      <c r="R243" s="165"/>
      <c r="S243" s="165"/>
      <c r="T243" s="209"/>
    </row>
    <row r="244" spans="1:20">
      <c r="A244" t="s">
        <v>445</v>
      </c>
      <c r="B244" s="394"/>
      <c r="C244" s="395"/>
      <c r="D244" s="395"/>
      <c r="E244" s="165"/>
      <c r="F244" s="165"/>
      <c r="G244" s="165"/>
      <c r="H244" s="165"/>
      <c r="I244" s="165"/>
      <c r="J244" s="165"/>
      <c r="K244" s="165"/>
      <c r="L244" s="165"/>
      <c r="M244" s="165"/>
      <c r="N244" s="165"/>
      <c r="O244" s="165"/>
      <c r="P244" s="165"/>
      <c r="Q244" s="165"/>
      <c r="R244" s="165"/>
      <c r="S244" s="165"/>
      <c r="T244" s="209"/>
    </row>
    <row r="245" spans="1:20">
      <c r="A245" t="s">
        <v>441</v>
      </c>
      <c r="B245" s="394" t="s">
        <v>327</v>
      </c>
      <c r="C245" s="395"/>
      <c r="D245" s="395"/>
      <c r="E245" s="165"/>
      <c r="F245" s="165"/>
      <c r="G245" s="165"/>
      <c r="H245" s="165"/>
      <c r="I245" s="165"/>
      <c r="J245" s="165"/>
      <c r="K245" s="165"/>
      <c r="L245" s="165"/>
      <c r="M245" s="165"/>
      <c r="N245" s="165"/>
      <c r="O245" s="165"/>
      <c r="P245" s="165"/>
      <c r="Q245" s="165"/>
      <c r="R245" s="165"/>
      <c r="S245" s="165"/>
      <c r="T245" s="209"/>
    </row>
    <row r="246" spans="1:20">
      <c r="B246" s="394"/>
      <c r="C246" s="395"/>
      <c r="D246" s="395"/>
      <c r="E246" s="165"/>
      <c r="F246" s="165"/>
      <c r="G246" s="165"/>
      <c r="H246" s="165"/>
      <c r="I246" s="165"/>
      <c r="J246" s="165"/>
      <c r="K246" s="165"/>
      <c r="L246" s="165"/>
      <c r="M246" s="165"/>
      <c r="N246" s="165"/>
      <c r="O246" s="165"/>
      <c r="P246" s="165"/>
      <c r="Q246" s="165"/>
      <c r="R246" s="165"/>
      <c r="S246" s="165"/>
      <c r="T246" s="209"/>
    </row>
    <row r="247" spans="1:20">
      <c r="B247" s="394"/>
      <c r="C247" s="395"/>
      <c r="D247" s="395"/>
      <c r="E247" s="165"/>
      <c r="F247" s="165"/>
      <c r="G247" s="165"/>
      <c r="H247" s="165"/>
      <c r="I247" s="165"/>
      <c r="J247" s="165"/>
      <c r="K247" s="165"/>
      <c r="L247" s="165"/>
      <c r="M247" s="165"/>
      <c r="N247" s="165"/>
      <c r="O247" s="165"/>
      <c r="P247" s="165"/>
      <c r="Q247" s="165"/>
      <c r="R247" s="165"/>
      <c r="S247" s="165"/>
      <c r="T247" s="209"/>
    </row>
    <row r="248" spans="1:20">
      <c r="B248" s="394" t="s">
        <v>341</v>
      </c>
      <c r="C248" s="395"/>
      <c r="D248" s="395"/>
      <c r="E248" s="165"/>
      <c r="F248" s="165"/>
      <c r="G248" s="165"/>
      <c r="H248" s="165"/>
      <c r="I248" s="165"/>
      <c r="J248" s="165"/>
      <c r="K248" s="165"/>
      <c r="L248" s="165"/>
      <c r="M248" s="165"/>
      <c r="N248" s="165"/>
      <c r="O248" s="165"/>
      <c r="P248" s="165"/>
      <c r="Q248" s="165"/>
      <c r="R248" s="165"/>
      <c r="S248" s="165"/>
      <c r="T248" s="209"/>
    </row>
    <row r="249" spans="1:20">
      <c r="B249" s="394"/>
      <c r="C249" s="395"/>
      <c r="D249" s="395"/>
      <c r="E249" s="165"/>
      <c r="F249" s="165"/>
      <c r="G249" s="165"/>
      <c r="H249" s="165"/>
      <c r="I249" s="165"/>
      <c r="J249" s="165"/>
      <c r="K249" s="165"/>
      <c r="L249" s="165"/>
      <c r="M249" s="165"/>
      <c r="N249" s="165"/>
      <c r="O249" s="165"/>
      <c r="P249" s="165"/>
      <c r="Q249" s="165"/>
      <c r="R249" s="165"/>
      <c r="S249" s="165"/>
      <c r="T249" s="209"/>
    </row>
    <row r="250" spans="1:20">
      <c r="B250" s="394"/>
      <c r="C250" s="395"/>
      <c r="D250" s="395"/>
      <c r="E250" s="165"/>
      <c r="F250" s="165"/>
      <c r="G250" s="165"/>
      <c r="H250" s="165"/>
      <c r="I250" s="165"/>
      <c r="J250" s="165"/>
      <c r="K250" s="165"/>
      <c r="L250" s="165"/>
      <c r="M250" s="165"/>
      <c r="N250" s="165"/>
      <c r="O250" s="165"/>
      <c r="P250" s="165"/>
      <c r="Q250" s="165"/>
      <c r="R250" s="165"/>
      <c r="S250" s="165"/>
      <c r="T250" s="209"/>
    </row>
    <row r="251" spans="1:20">
      <c r="B251" s="208"/>
      <c r="C251" s="165"/>
      <c r="D251" s="165"/>
      <c r="E251" s="165"/>
      <c r="F251" s="165"/>
      <c r="G251" s="165"/>
      <c r="H251" s="165"/>
      <c r="I251" s="165"/>
      <c r="J251" s="165"/>
      <c r="K251" s="165"/>
      <c r="L251" s="165"/>
      <c r="M251" s="165"/>
      <c r="N251" s="165"/>
      <c r="O251" s="165"/>
      <c r="P251" s="165"/>
      <c r="Q251" s="165"/>
      <c r="R251" s="165"/>
      <c r="S251" s="165"/>
      <c r="T251" s="209"/>
    </row>
    <row r="252" spans="1:20">
      <c r="B252" s="208"/>
      <c r="C252" s="165"/>
      <c r="D252" s="165"/>
      <c r="E252" s="165"/>
      <c r="F252" s="165"/>
      <c r="G252" s="165"/>
      <c r="H252" s="165"/>
      <c r="I252" s="165"/>
      <c r="J252" s="165"/>
      <c r="K252" s="165"/>
      <c r="L252" s="165"/>
      <c r="M252" s="165"/>
      <c r="N252" s="165"/>
      <c r="O252" s="165"/>
      <c r="P252" s="165"/>
      <c r="Q252" s="165"/>
      <c r="R252" s="165"/>
      <c r="S252" s="165"/>
      <c r="T252" s="209"/>
    </row>
    <row r="253" spans="1:20">
      <c r="B253" s="208"/>
      <c r="C253" s="165"/>
      <c r="D253" s="165"/>
      <c r="E253" s="165"/>
      <c r="F253" s="165"/>
      <c r="G253" s="165"/>
      <c r="H253" s="165"/>
      <c r="I253" s="165"/>
      <c r="J253" s="165"/>
      <c r="K253" s="165"/>
      <c r="L253" s="165"/>
      <c r="M253" s="165"/>
      <c r="N253" s="165"/>
      <c r="O253" s="165"/>
      <c r="P253" s="165"/>
      <c r="Q253" s="165"/>
      <c r="R253" s="165"/>
      <c r="S253" s="165"/>
      <c r="T253" s="209"/>
    </row>
    <row r="254" spans="1:20">
      <c r="B254" s="208"/>
      <c r="C254" s="165"/>
      <c r="D254" s="165"/>
      <c r="E254" s="165"/>
      <c r="F254" s="165"/>
      <c r="G254" s="165"/>
      <c r="H254" s="165"/>
      <c r="I254" s="165"/>
      <c r="J254" s="165"/>
      <c r="K254" s="165"/>
      <c r="L254" s="165"/>
      <c r="M254" s="165"/>
      <c r="N254" s="165"/>
      <c r="O254" s="165"/>
      <c r="P254" s="165"/>
      <c r="Q254" s="165"/>
      <c r="R254" s="165"/>
      <c r="S254" s="165"/>
      <c r="T254" s="209"/>
    </row>
    <row r="255" spans="1:20">
      <c r="B255" s="212"/>
      <c r="C255" s="213"/>
      <c r="D255" s="213"/>
      <c r="E255" s="213"/>
      <c r="F255" s="213"/>
      <c r="G255" s="213"/>
      <c r="H255" s="213"/>
      <c r="I255" s="213"/>
      <c r="J255" s="213"/>
      <c r="K255" s="213"/>
      <c r="L255" s="213"/>
      <c r="M255" s="213"/>
      <c r="N255" s="213"/>
      <c r="O255" s="213"/>
      <c r="P255" s="213"/>
      <c r="Q255" s="213"/>
      <c r="R255" s="213"/>
      <c r="S255" s="213"/>
      <c r="T255" s="214"/>
    </row>
    <row r="258" spans="1:22">
      <c r="B258" s="205"/>
      <c r="C258" s="206"/>
      <c r="D258" s="206"/>
      <c r="E258" s="206"/>
      <c r="F258" s="206"/>
      <c r="G258" s="206"/>
      <c r="H258" s="206"/>
      <c r="I258" s="206"/>
      <c r="J258" s="206"/>
      <c r="K258" s="206"/>
      <c r="L258" s="206"/>
      <c r="M258" s="206"/>
      <c r="N258" s="206"/>
      <c r="O258" s="206"/>
      <c r="P258" s="206"/>
      <c r="Q258" s="206"/>
      <c r="R258" s="206"/>
      <c r="S258" s="206"/>
      <c r="T258" s="207"/>
    </row>
    <row r="259" spans="1:22">
      <c r="B259" s="208"/>
      <c r="C259" s="165"/>
      <c r="D259" s="165"/>
      <c r="E259" s="165"/>
      <c r="F259" s="165"/>
      <c r="G259" s="165"/>
      <c r="H259" s="165"/>
      <c r="I259" s="165"/>
      <c r="J259" s="165"/>
      <c r="K259" s="165"/>
      <c r="L259" s="165"/>
      <c r="M259" s="165"/>
      <c r="N259" s="165"/>
      <c r="O259" s="165"/>
      <c r="P259" s="165"/>
      <c r="Q259" s="390" t="s">
        <v>345</v>
      </c>
      <c r="R259" s="390"/>
      <c r="S259" s="391"/>
      <c r="T259" s="209"/>
    </row>
    <row r="260" spans="1:22">
      <c r="A260" t="s">
        <v>457</v>
      </c>
      <c r="B260" s="208"/>
      <c r="C260" s="165"/>
      <c r="D260" s="165"/>
      <c r="E260" s="165"/>
      <c r="F260" s="165"/>
      <c r="G260" s="165"/>
      <c r="H260" s="165"/>
      <c r="I260" s="165"/>
      <c r="J260" s="165"/>
      <c r="K260" s="165"/>
      <c r="L260" s="165"/>
      <c r="M260" s="165"/>
      <c r="N260" s="165"/>
      <c r="O260" s="165"/>
      <c r="P260" s="165"/>
      <c r="Q260" s="390"/>
      <c r="R260" s="390"/>
      <c r="S260" s="391"/>
      <c r="T260" s="209"/>
    </row>
    <row r="261" spans="1:22">
      <c r="B261" s="208"/>
      <c r="C261" s="165"/>
      <c r="D261" s="165"/>
      <c r="E261" s="165"/>
      <c r="F261" s="165"/>
      <c r="G261" s="165"/>
      <c r="H261" s="165"/>
      <c r="I261" s="165"/>
      <c r="J261" s="165"/>
      <c r="K261" s="165"/>
      <c r="L261" s="165"/>
      <c r="M261" s="165"/>
      <c r="N261" s="165"/>
      <c r="O261" s="165"/>
      <c r="P261" s="165"/>
      <c r="Q261" s="390"/>
      <c r="R261" s="390"/>
      <c r="S261" s="391"/>
      <c r="T261" s="209"/>
    </row>
    <row r="262" spans="1:22">
      <c r="B262" s="208"/>
      <c r="C262" s="165"/>
      <c r="D262" s="165"/>
      <c r="E262" s="165"/>
      <c r="F262" s="165"/>
      <c r="G262" s="165"/>
      <c r="H262" s="165"/>
      <c r="I262" s="165"/>
      <c r="J262" s="165"/>
      <c r="K262" s="165"/>
      <c r="L262" s="165"/>
      <c r="M262" s="165"/>
      <c r="N262" s="165"/>
      <c r="O262" s="165"/>
      <c r="P262" s="165"/>
      <c r="Q262" s="165"/>
      <c r="R262" s="165"/>
      <c r="S262" s="165"/>
      <c r="T262" s="209"/>
    </row>
    <row r="263" spans="1:22">
      <c r="A263" t="s">
        <v>457</v>
      </c>
      <c r="B263" s="208"/>
      <c r="C263" s="165"/>
      <c r="D263" s="165"/>
      <c r="E263" s="165"/>
      <c r="F263" s="165"/>
      <c r="G263" s="165"/>
      <c r="H263" s="398" t="s">
        <v>346</v>
      </c>
      <c r="I263" s="398"/>
      <c r="J263" s="398"/>
      <c r="K263" s="398"/>
      <c r="L263" s="398"/>
      <c r="M263" s="398"/>
      <c r="N263" s="165"/>
      <c r="O263" s="165"/>
      <c r="P263" s="165"/>
      <c r="Q263" s="165"/>
      <c r="R263" s="165"/>
      <c r="S263" s="165"/>
      <c r="T263" s="209"/>
    </row>
    <row r="264" spans="1:22">
      <c r="B264" s="208"/>
      <c r="C264" s="165"/>
      <c r="D264" s="165"/>
      <c r="E264" s="165"/>
      <c r="F264" s="165"/>
      <c r="G264" s="165"/>
      <c r="H264" s="398"/>
      <c r="I264" s="398"/>
      <c r="J264" s="398"/>
      <c r="K264" s="398"/>
      <c r="L264" s="398"/>
      <c r="M264" s="398"/>
      <c r="N264" s="165"/>
      <c r="O264" s="165"/>
      <c r="P264" s="165" t="s">
        <v>347</v>
      </c>
      <c r="Q264" s="165" t="s">
        <v>2</v>
      </c>
      <c r="R264" s="165" t="s">
        <v>6</v>
      </c>
      <c r="S264" s="165"/>
      <c r="T264" s="209"/>
    </row>
    <row r="265" spans="1:22">
      <c r="B265" s="208"/>
      <c r="C265" s="165"/>
      <c r="D265" s="165"/>
      <c r="E265" s="165"/>
      <c r="F265" s="165"/>
      <c r="G265" s="165"/>
      <c r="H265" s="398"/>
      <c r="I265" s="398"/>
      <c r="J265" s="398"/>
      <c r="K265" s="398"/>
      <c r="L265" s="398"/>
      <c r="M265" s="398"/>
      <c r="N265" s="165"/>
      <c r="O265" s="165"/>
      <c r="P265" s="165" t="s">
        <v>703</v>
      </c>
      <c r="Q265" s="165">
        <v>20</v>
      </c>
      <c r="R265" s="165">
        <v>-20</v>
      </c>
      <c r="S265" s="165"/>
      <c r="T265" s="209"/>
    </row>
    <row r="266" spans="1:22">
      <c r="B266" s="208"/>
      <c r="C266" s="165"/>
      <c r="D266" s="165"/>
      <c r="E266" s="165"/>
      <c r="F266" s="165"/>
      <c r="G266" s="165"/>
      <c r="H266" s="398"/>
      <c r="I266" s="398"/>
      <c r="J266" s="398"/>
      <c r="K266" s="398"/>
      <c r="L266" s="398"/>
      <c r="M266" s="398"/>
      <c r="N266" s="165"/>
      <c r="O266" s="165"/>
      <c r="P266" s="165" t="s">
        <v>9</v>
      </c>
      <c r="Q266" s="165">
        <v>12</v>
      </c>
      <c r="R266" s="165">
        <v>-12</v>
      </c>
      <c r="S266" s="165"/>
      <c r="T266" s="209"/>
    </row>
    <row r="267" spans="1:22">
      <c r="B267" s="208"/>
      <c r="C267" s="165"/>
      <c r="D267" s="165"/>
      <c r="E267" s="165"/>
      <c r="F267" s="165"/>
      <c r="G267" s="165"/>
      <c r="H267" s="398"/>
      <c r="I267" s="398"/>
      <c r="J267" s="398"/>
      <c r="K267" s="398"/>
      <c r="L267" s="398"/>
      <c r="M267" s="398"/>
      <c r="N267" s="165"/>
      <c r="O267" s="165"/>
      <c r="P267" s="161" t="s">
        <v>8</v>
      </c>
      <c r="Q267" s="165">
        <v>10</v>
      </c>
      <c r="R267" s="165">
        <v>-10</v>
      </c>
      <c r="S267" s="165"/>
      <c r="T267" s="209"/>
    </row>
    <row r="268" spans="1:22">
      <c r="B268" s="208"/>
      <c r="C268" s="165"/>
      <c r="D268" s="165"/>
      <c r="E268" s="165"/>
      <c r="F268" s="165"/>
      <c r="G268" s="165"/>
      <c r="H268" s="398"/>
      <c r="I268" s="398"/>
      <c r="J268" s="398"/>
      <c r="K268" s="398"/>
      <c r="L268" s="398"/>
      <c r="M268" s="398"/>
      <c r="N268" s="165"/>
      <c r="O268" s="165"/>
      <c r="P268" s="161" t="s">
        <v>19</v>
      </c>
      <c r="Q268" s="161">
        <v>8</v>
      </c>
      <c r="R268" s="161">
        <v>-8</v>
      </c>
      <c r="S268" s="165"/>
      <c r="T268" s="209"/>
    </row>
    <row r="269" spans="1:22">
      <c r="B269" s="208"/>
      <c r="C269" s="165"/>
      <c r="D269" s="165"/>
      <c r="E269" s="165"/>
      <c r="F269" s="165"/>
      <c r="G269" s="165"/>
      <c r="H269" s="398"/>
      <c r="I269" s="398"/>
      <c r="J269" s="398"/>
      <c r="K269" s="398"/>
      <c r="L269" s="398"/>
      <c r="M269" s="398"/>
      <c r="N269" s="165"/>
      <c r="O269" s="165"/>
      <c r="P269" s="161" t="s">
        <v>304</v>
      </c>
      <c r="Q269" s="161">
        <v>12</v>
      </c>
      <c r="R269" s="161">
        <v>-12</v>
      </c>
      <c r="S269" s="165"/>
      <c r="T269" s="209"/>
    </row>
    <row r="270" spans="1:22">
      <c r="B270" s="208"/>
      <c r="C270" s="165"/>
      <c r="D270" s="165"/>
      <c r="E270" s="165"/>
      <c r="F270" s="165"/>
      <c r="G270" s="165"/>
      <c r="H270" s="398"/>
      <c r="I270" s="398"/>
      <c r="J270" s="398"/>
      <c r="K270" s="398"/>
      <c r="L270" s="398"/>
      <c r="M270" s="398"/>
      <c r="N270" s="165"/>
      <c r="O270" s="165"/>
      <c r="P270" s="161" t="s">
        <v>7</v>
      </c>
      <c r="Q270" s="161">
        <v>6</v>
      </c>
      <c r="R270" s="161">
        <v>-6</v>
      </c>
      <c r="S270" s="165"/>
      <c r="T270" s="209"/>
      <c r="V270" t="s">
        <v>457</v>
      </c>
    </row>
    <row r="271" spans="1:22">
      <c r="B271" s="208"/>
      <c r="C271" s="165"/>
      <c r="D271" s="165"/>
      <c r="E271" s="165"/>
      <c r="F271" s="165"/>
      <c r="G271" s="165"/>
      <c r="H271" s="165"/>
      <c r="I271" s="165"/>
      <c r="J271" s="165"/>
      <c r="K271" s="165"/>
      <c r="L271" s="165"/>
      <c r="M271" s="165"/>
      <c r="N271" s="165"/>
      <c r="O271" s="165"/>
      <c r="P271" s="161" t="s">
        <v>163</v>
      </c>
      <c r="Q271" s="161">
        <v>4</v>
      </c>
      <c r="R271" s="161">
        <v>-4</v>
      </c>
      <c r="S271" s="165"/>
      <c r="T271" s="209"/>
    </row>
    <row r="272" spans="1:22">
      <c r="B272" s="208"/>
      <c r="C272" s="165"/>
      <c r="D272" s="165"/>
      <c r="E272" s="165"/>
      <c r="F272" s="165"/>
      <c r="G272" s="165"/>
      <c r="H272" s="165"/>
      <c r="I272" s="165"/>
      <c r="J272" s="165"/>
      <c r="K272" s="165"/>
      <c r="L272" s="165"/>
      <c r="M272" s="165"/>
      <c r="N272" s="165"/>
      <c r="O272" s="165"/>
      <c r="P272" s="161" t="s">
        <v>310</v>
      </c>
      <c r="Q272" s="161">
        <v>2</v>
      </c>
      <c r="R272" s="161">
        <v>-2</v>
      </c>
      <c r="S272" s="165"/>
      <c r="T272" s="209"/>
    </row>
    <row r="273" spans="1:22">
      <c r="A273" t="s">
        <v>461</v>
      </c>
      <c r="B273" s="208"/>
      <c r="C273" s="165"/>
      <c r="D273" s="165"/>
      <c r="E273" s="165"/>
      <c r="F273" s="165"/>
      <c r="G273" s="165"/>
      <c r="H273" s="165" t="s">
        <v>456</v>
      </c>
      <c r="I273" s="165"/>
      <c r="J273" s="165"/>
      <c r="K273" s="165"/>
      <c r="L273" s="165"/>
      <c r="M273" s="165"/>
      <c r="N273" s="165"/>
      <c r="O273" s="165"/>
      <c r="P273" s="161" t="s">
        <v>156</v>
      </c>
      <c r="Q273" s="161">
        <v>1</v>
      </c>
      <c r="R273" s="161">
        <v>-1</v>
      </c>
      <c r="S273" s="165"/>
      <c r="T273" s="209"/>
    </row>
    <row r="274" spans="1:22">
      <c r="B274" s="208"/>
      <c r="C274" s="165"/>
      <c r="D274" s="165"/>
      <c r="E274" s="165"/>
      <c r="F274" s="165"/>
      <c r="G274" s="165"/>
      <c r="H274" s="165">
        <v>-1</v>
      </c>
      <c r="I274" s="165"/>
      <c r="J274" s="165"/>
      <c r="K274" s="165"/>
      <c r="L274" s="165"/>
      <c r="M274" s="165"/>
      <c r="N274" s="165"/>
      <c r="O274" s="165"/>
      <c r="P274" s="161" t="s">
        <v>3</v>
      </c>
      <c r="Q274" s="161">
        <v>-1</v>
      </c>
      <c r="R274" s="161">
        <v>1</v>
      </c>
      <c r="S274" s="165"/>
      <c r="T274" s="209"/>
    </row>
    <row r="275" spans="1:22">
      <c r="B275" s="208"/>
      <c r="C275" s="165"/>
      <c r="D275" s="165"/>
      <c r="E275" s="165"/>
      <c r="F275" s="165"/>
      <c r="G275" s="165"/>
      <c r="H275" s="165"/>
      <c r="I275" s="165"/>
      <c r="J275" s="165"/>
      <c r="K275" s="165"/>
      <c r="L275" s="165"/>
      <c r="M275" s="165"/>
      <c r="N275" s="165"/>
      <c r="O275" s="165"/>
      <c r="P275" s="165"/>
      <c r="Q275" s="165"/>
      <c r="R275" s="165"/>
      <c r="S275" s="165"/>
      <c r="T275" s="209"/>
    </row>
    <row r="276" spans="1:22">
      <c r="B276" s="208"/>
      <c r="C276" s="165"/>
      <c r="D276" s="165"/>
      <c r="E276" s="165"/>
      <c r="F276" s="165"/>
      <c r="G276" s="165"/>
      <c r="H276" s="165"/>
      <c r="I276" s="165"/>
      <c r="J276" s="165"/>
      <c r="K276" s="165"/>
      <c r="L276" s="165"/>
      <c r="M276" s="165"/>
      <c r="N276" s="165"/>
      <c r="O276" s="165"/>
      <c r="P276" s="165"/>
      <c r="Q276" s="165"/>
      <c r="R276" s="165"/>
      <c r="S276" s="165"/>
      <c r="T276" s="209"/>
    </row>
    <row r="277" spans="1:22">
      <c r="B277" s="208"/>
      <c r="C277" s="165"/>
      <c r="D277" s="165"/>
      <c r="E277" s="165"/>
      <c r="F277" s="165"/>
      <c r="G277" s="165"/>
      <c r="H277" s="165"/>
      <c r="I277" s="165"/>
      <c r="J277" s="165"/>
      <c r="K277" s="165"/>
      <c r="L277" s="165"/>
      <c r="M277" s="165"/>
      <c r="N277" s="165"/>
      <c r="O277" s="165"/>
      <c r="P277" s="165"/>
      <c r="Q277" s="165"/>
      <c r="R277" s="165"/>
      <c r="S277" s="165"/>
      <c r="T277" s="209"/>
    </row>
    <row r="278" spans="1:22">
      <c r="B278" s="208"/>
      <c r="C278" s="165"/>
      <c r="D278" s="165"/>
      <c r="E278" s="165"/>
      <c r="F278" s="165"/>
      <c r="G278" s="165"/>
      <c r="H278" s="165"/>
      <c r="I278" s="165"/>
      <c r="J278" s="165"/>
      <c r="K278" s="165"/>
      <c r="L278" s="165"/>
      <c r="M278" s="165"/>
      <c r="N278" s="165"/>
      <c r="O278" s="165"/>
      <c r="P278" s="165"/>
      <c r="Q278" s="165"/>
      <c r="R278" s="165"/>
      <c r="S278" s="165"/>
      <c r="T278" s="209"/>
    </row>
    <row r="279" spans="1:22">
      <c r="B279" s="208"/>
      <c r="C279" s="165"/>
      <c r="D279" s="165"/>
      <c r="E279" s="165"/>
      <c r="F279" s="165"/>
      <c r="G279" s="165"/>
      <c r="H279" s="165"/>
      <c r="I279" s="165"/>
      <c r="J279" s="165"/>
      <c r="K279" s="165"/>
      <c r="L279" s="165"/>
      <c r="M279" s="165"/>
      <c r="N279" s="165"/>
      <c r="O279" s="165"/>
      <c r="P279" s="165"/>
      <c r="Q279" s="165"/>
      <c r="R279" s="165"/>
      <c r="S279" s="165"/>
      <c r="T279" s="209"/>
    </row>
    <row r="280" spans="1:22">
      <c r="B280" s="208"/>
      <c r="C280" s="165"/>
      <c r="D280" s="165"/>
      <c r="E280" s="165"/>
      <c r="F280" s="165"/>
      <c r="G280" s="165"/>
      <c r="H280" s="165"/>
      <c r="I280" s="165"/>
      <c r="J280" s="165"/>
      <c r="K280" s="165"/>
      <c r="L280" s="165"/>
      <c r="M280" s="165"/>
      <c r="N280" s="165"/>
      <c r="O280" s="165"/>
      <c r="P280" s="165"/>
      <c r="Q280" s="165"/>
      <c r="R280" s="165"/>
      <c r="S280" s="165"/>
      <c r="T280" s="209"/>
    </row>
    <row r="281" spans="1:22">
      <c r="B281" s="208"/>
      <c r="C281" s="165"/>
      <c r="D281" s="165"/>
      <c r="E281" s="165"/>
      <c r="F281" s="165"/>
      <c r="G281" s="165"/>
      <c r="H281" s="165"/>
      <c r="I281" s="165"/>
      <c r="J281" s="165"/>
      <c r="K281" s="165"/>
      <c r="L281" s="165"/>
      <c r="M281" s="165"/>
      <c r="N281" s="165"/>
      <c r="O281" s="165"/>
      <c r="P281" s="165"/>
      <c r="Q281" s="165"/>
      <c r="R281" s="165"/>
      <c r="S281" s="165"/>
      <c r="T281" s="209"/>
    </row>
    <row r="282" spans="1:22">
      <c r="B282" s="208"/>
      <c r="C282" s="165"/>
      <c r="D282" s="165"/>
      <c r="E282" s="165"/>
      <c r="F282" s="165"/>
      <c r="G282" s="165"/>
      <c r="H282" s="165"/>
      <c r="I282" s="165"/>
      <c r="J282" s="165"/>
      <c r="K282" s="165"/>
      <c r="L282" s="165"/>
      <c r="M282" s="165"/>
      <c r="N282" s="165"/>
      <c r="O282" s="165"/>
      <c r="P282" s="165"/>
      <c r="Q282" s="165"/>
      <c r="R282" s="165"/>
      <c r="S282" s="165"/>
      <c r="T282" s="209"/>
    </row>
    <row r="283" spans="1:22">
      <c r="B283" s="212"/>
      <c r="C283" s="213"/>
      <c r="D283" s="213"/>
      <c r="E283" s="213"/>
      <c r="F283" s="213"/>
      <c r="G283" s="213"/>
      <c r="H283" s="213"/>
      <c r="I283" s="213"/>
      <c r="J283" s="213"/>
      <c r="K283" s="213"/>
      <c r="L283" s="213"/>
      <c r="M283" s="213"/>
      <c r="N283" s="213"/>
      <c r="O283" s="213"/>
      <c r="P283" s="213"/>
      <c r="Q283" s="213"/>
      <c r="R283" s="213"/>
      <c r="S283" s="213"/>
      <c r="T283" s="214"/>
    </row>
    <row r="285" spans="1:22" s="115" customFormat="1">
      <c r="B285" s="205"/>
      <c r="C285" s="206"/>
      <c r="D285" s="206"/>
      <c r="E285" s="206"/>
      <c r="F285" s="206"/>
      <c r="G285" s="206"/>
      <c r="H285" s="206"/>
      <c r="I285" s="206"/>
      <c r="J285" s="206"/>
      <c r="K285" s="206"/>
      <c r="L285" s="206"/>
      <c r="M285" s="206"/>
      <c r="N285" s="206"/>
      <c r="O285" s="206"/>
      <c r="P285" s="206"/>
      <c r="Q285" s="206"/>
      <c r="R285" s="206"/>
      <c r="S285" s="206"/>
      <c r="T285" s="206"/>
      <c r="U285" s="206"/>
      <c r="V285" s="207"/>
    </row>
    <row r="286" spans="1:22" s="115" customFormat="1">
      <c r="B286" s="208" t="s">
        <v>354</v>
      </c>
      <c r="C286" s="165"/>
      <c r="D286" s="165"/>
      <c r="E286" s="165"/>
      <c r="F286" s="165"/>
      <c r="G286" s="165"/>
      <c r="H286" s="165"/>
      <c r="I286" s="165"/>
      <c r="J286" s="165"/>
      <c r="K286" s="165"/>
      <c r="L286" s="165"/>
      <c r="M286" s="165"/>
      <c r="N286" s="165"/>
      <c r="O286" s="165"/>
      <c r="P286" s="390" t="s">
        <v>348</v>
      </c>
      <c r="Q286" s="390"/>
      <c r="R286" s="391"/>
      <c r="S286" s="165"/>
      <c r="T286" s="165"/>
      <c r="U286" s="165"/>
      <c r="V286" s="209"/>
    </row>
    <row r="287" spans="1:22" s="115" customFormat="1">
      <c r="B287" s="208" t="s">
        <v>355</v>
      </c>
      <c r="C287" s="165"/>
      <c r="D287" s="165"/>
      <c r="E287" s="165"/>
      <c r="F287" s="165"/>
      <c r="G287" s="165"/>
      <c r="H287" s="165"/>
      <c r="I287" s="165"/>
      <c r="J287" s="165"/>
      <c r="K287" s="165"/>
      <c r="L287" s="165"/>
      <c r="M287" s="165"/>
      <c r="N287" s="165"/>
      <c r="O287" s="165"/>
      <c r="P287" s="390"/>
      <c r="Q287" s="390"/>
      <c r="R287" s="391"/>
      <c r="S287" s="165"/>
      <c r="T287" s="165"/>
      <c r="U287" s="165"/>
      <c r="V287" s="209"/>
    </row>
    <row r="288" spans="1:22" s="115" customFormat="1">
      <c r="B288" s="208" t="s">
        <v>356</v>
      </c>
      <c r="C288" s="165"/>
      <c r="D288" s="165"/>
      <c r="E288" s="165"/>
      <c r="F288" s="165"/>
      <c r="G288" s="165"/>
      <c r="H288" s="165"/>
      <c r="I288" s="165"/>
      <c r="J288" s="165"/>
      <c r="K288" s="165"/>
      <c r="L288" s="165"/>
      <c r="M288" s="165"/>
      <c r="N288" s="165"/>
      <c r="O288" s="165"/>
      <c r="P288" s="390"/>
      <c r="Q288" s="390"/>
      <c r="R288" s="391"/>
      <c r="S288" s="165"/>
      <c r="T288" s="165"/>
      <c r="U288" s="165"/>
      <c r="V288" s="209"/>
    </row>
    <row r="289" spans="1:22" s="115" customFormat="1">
      <c r="B289" s="208" t="s">
        <v>357</v>
      </c>
      <c r="C289" s="165"/>
      <c r="D289" s="165"/>
      <c r="E289" s="165"/>
      <c r="F289" s="165"/>
      <c r="G289" s="165"/>
      <c r="H289" s="165"/>
      <c r="I289" s="165"/>
      <c r="J289" s="165"/>
      <c r="K289" s="165"/>
      <c r="L289" s="165"/>
      <c r="M289" s="165"/>
      <c r="N289" s="165"/>
      <c r="O289" s="165"/>
      <c r="P289" s="390"/>
      <c r="Q289" s="390"/>
      <c r="R289" s="391"/>
      <c r="S289" s="165"/>
      <c r="T289" s="165"/>
      <c r="U289" s="165"/>
      <c r="V289" s="209"/>
    </row>
    <row r="290" spans="1:22" s="115" customFormat="1">
      <c r="A290" s="115" t="s">
        <v>438</v>
      </c>
      <c r="B290" s="208" t="s">
        <v>439</v>
      </c>
      <c r="C290" s="165"/>
      <c r="D290" s="165"/>
      <c r="E290" s="165"/>
      <c r="F290" s="165"/>
      <c r="G290" s="165"/>
      <c r="H290" s="165"/>
      <c r="I290" s="398" t="s">
        <v>420</v>
      </c>
      <c r="J290" s="398"/>
      <c r="K290" s="398"/>
      <c r="L290" s="398"/>
      <c r="M290" s="165"/>
      <c r="N290" s="165"/>
      <c r="O290" s="165"/>
      <c r="P290" s="165"/>
      <c r="Q290" s="165"/>
      <c r="R290" s="165"/>
      <c r="S290" s="165"/>
      <c r="T290" s="165"/>
      <c r="U290" s="165"/>
      <c r="V290" s="209"/>
    </row>
    <row r="291" spans="1:22" s="115" customFormat="1">
      <c r="A291" s="115">
        <v>-999</v>
      </c>
      <c r="B291" s="208">
        <v>-30</v>
      </c>
      <c r="C291" s="229"/>
      <c r="D291" s="165"/>
      <c r="E291" s="165" t="s">
        <v>347</v>
      </c>
      <c r="F291" s="165" t="s">
        <v>2</v>
      </c>
      <c r="G291" s="165" t="s">
        <v>6</v>
      </c>
      <c r="H291" s="165"/>
      <c r="I291" s="398"/>
      <c r="J291" s="398"/>
      <c r="K291" s="398"/>
      <c r="L291" s="398"/>
      <c r="M291" s="404" t="s">
        <v>425</v>
      </c>
      <c r="N291" s="404"/>
      <c r="O291" s="404"/>
      <c r="P291" s="404"/>
      <c r="Q291" s="404"/>
      <c r="R291" s="404"/>
      <c r="S291" s="165"/>
      <c r="T291" s="165"/>
      <c r="U291" s="165"/>
      <c r="V291" s="209"/>
    </row>
    <row r="292" spans="1:22" s="115" customFormat="1">
      <c r="A292" s="115">
        <v>-29.9</v>
      </c>
      <c r="B292" s="208">
        <v>-20</v>
      </c>
      <c r="C292" s="230"/>
      <c r="D292" s="165"/>
      <c r="E292" s="165" t="s">
        <v>703</v>
      </c>
      <c r="F292" s="165">
        <v>100</v>
      </c>
      <c r="G292" s="165">
        <v>-100</v>
      </c>
      <c r="H292" s="165"/>
      <c r="I292" s="398"/>
      <c r="J292" s="398"/>
      <c r="K292" s="398"/>
      <c r="L292" s="398"/>
      <c r="M292" s="404"/>
      <c r="N292" s="404"/>
      <c r="O292" s="404"/>
      <c r="P292" s="404"/>
      <c r="Q292" s="404"/>
      <c r="R292" s="404"/>
      <c r="S292" s="165"/>
      <c r="T292" s="165"/>
      <c r="U292" s="165"/>
      <c r="V292" s="209"/>
    </row>
    <row r="293" spans="1:22" s="115" customFormat="1">
      <c r="A293" s="115">
        <v>-19.899999999999999</v>
      </c>
      <c r="B293" s="208">
        <v>-5</v>
      </c>
      <c r="C293" s="231"/>
      <c r="D293" s="165"/>
      <c r="E293" s="165" t="s">
        <v>9</v>
      </c>
      <c r="F293" s="165">
        <v>12</v>
      </c>
      <c r="G293" s="165">
        <v>-12</v>
      </c>
      <c r="H293" s="165"/>
      <c r="I293" s="398"/>
      <c r="J293" s="398"/>
      <c r="K293" s="398"/>
      <c r="L293" s="398"/>
      <c r="M293" s="165" t="s">
        <v>426</v>
      </c>
      <c r="N293" s="165"/>
      <c r="O293" s="165"/>
      <c r="P293" s="165"/>
      <c r="Q293" s="165"/>
      <c r="R293" s="165"/>
      <c r="S293" s="165"/>
      <c r="T293" s="165"/>
      <c r="U293" s="165"/>
      <c r="V293" s="209"/>
    </row>
    <row r="294" spans="1:22" s="115" customFormat="1">
      <c r="A294" s="115">
        <v>5</v>
      </c>
      <c r="B294" s="208">
        <v>19.899999999999999</v>
      </c>
      <c r="C294" s="232"/>
      <c r="D294" s="165"/>
      <c r="E294" s="161" t="s">
        <v>8</v>
      </c>
      <c r="F294" s="165">
        <v>10</v>
      </c>
      <c r="G294" s="165">
        <v>-10</v>
      </c>
      <c r="H294" s="165"/>
      <c r="I294" s="165"/>
      <c r="J294" s="165"/>
      <c r="K294" s="165"/>
      <c r="L294" s="165"/>
      <c r="M294" s="165"/>
      <c r="N294" s="165"/>
      <c r="O294" s="165"/>
      <c r="P294" s="165"/>
      <c r="Q294" s="165"/>
      <c r="R294" s="165"/>
      <c r="S294" s="165"/>
      <c r="T294" s="165"/>
      <c r="U294" s="165"/>
      <c r="V294" s="209"/>
    </row>
    <row r="295" spans="1:22" s="115" customFormat="1">
      <c r="A295" s="115">
        <v>20</v>
      </c>
      <c r="B295" s="208">
        <v>29.9</v>
      </c>
      <c r="C295" s="233"/>
      <c r="D295" s="165"/>
      <c r="E295" s="161" t="s">
        <v>19</v>
      </c>
      <c r="F295" s="161">
        <v>8</v>
      </c>
      <c r="G295" s="161">
        <v>-8</v>
      </c>
      <c r="H295" s="165"/>
      <c r="I295" s="165"/>
      <c r="J295" s="165"/>
      <c r="K295" s="165"/>
      <c r="L295" s="165"/>
      <c r="M295" s="165"/>
      <c r="N295" s="165"/>
      <c r="O295" s="165"/>
      <c r="P295" s="165"/>
      <c r="Q295" s="165"/>
      <c r="R295" s="165"/>
      <c r="S295" s="165"/>
      <c r="T295" s="165"/>
      <c r="U295" s="165"/>
      <c r="V295" s="209"/>
    </row>
    <row r="296" spans="1:22" s="115" customFormat="1">
      <c r="A296" s="115">
        <v>30</v>
      </c>
      <c r="B296" s="208">
        <v>999</v>
      </c>
      <c r="C296" s="234"/>
      <c r="D296" s="165"/>
      <c r="E296" s="161" t="s">
        <v>7</v>
      </c>
      <c r="F296" s="161">
        <v>6</v>
      </c>
      <c r="G296" s="161">
        <v>-6</v>
      </c>
      <c r="H296" s="165"/>
      <c r="I296" s="165"/>
      <c r="J296" s="165"/>
      <c r="K296" s="165"/>
      <c r="L296" s="165" t="s">
        <v>421</v>
      </c>
      <c r="M296" s="165"/>
      <c r="N296" s="165"/>
      <c r="O296" s="165"/>
      <c r="P296" s="165"/>
      <c r="Q296" s="165"/>
      <c r="R296" s="165"/>
      <c r="S296" s="165"/>
      <c r="T296" s="165"/>
      <c r="U296" s="165"/>
      <c r="V296" s="209"/>
    </row>
    <row r="297" spans="1:22" s="115" customFormat="1">
      <c r="B297" s="208"/>
      <c r="C297" s="165"/>
      <c r="D297" s="165"/>
      <c r="E297" s="161" t="s">
        <v>163</v>
      </c>
      <c r="F297" s="161">
        <v>4</v>
      </c>
      <c r="G297" s="161">
        <v>-4</v>
      </c>
      <c r="H297" s="165"/>
      <c r="I297" s="165"/>
      <c r="J297" s="165"/>
      <c r="K297" s="165"/>
      <c r="L297" s="165" t="s">
        <v>422</v>
      </c>
      <c r="M297" s="165"/>
      <c r="N297" s="165"/>
      <c r="O297" s="165"/>
      <c r="P297" s="165"/>
      <c r="Q297" s="165"/>
      <c r="R297" s="165"/>
      <c r="S297" s="165"/>
      <c r="T297" s="165"/>
      <c r="U297" s="165"/>
      <c r="V297" s="209"/>
    </row>
    <row r="298" spans="1:22" s="115" customFormat="1">
      <c r="B298" s="208"/>
      <c r="C298" s="165"/>
      <c r="D298" s="165"/>
      <c r="E298" s="161" t="s">
        <v>310</v>
      </c>
      <c r="F298" s="161">
        <v>2</v>
      </c>
      <c r="G298" s="161">
        <v>-2</v>
      </c>
      <c r="H298" s="165"/>
      <c r="I298" s="165"/>
      <c r="J298" s="165"/>
      <c r="K298" s="165"/>
      <c r="L298" s="165" t="s">
        <v>423</v>
      </c>
      <c r="M298" s="165"/>
      <c r="N298" s="165"/>
      <c r="O298" s="165"/>
      <c r="P298" s="165"/>
      <c r="Q298" s="165"/>
      <c r="R298" s="165"/>
      <c r="S298" s="165"/>
      <c r="T298" s="165"/>
      <c r="U298" s="165"/>
      <c r="V298" s="209"/>
    </row>
    <row r="299" spans="1:22" s="115" customFormat="1">
      <c r="B299" s="208"/>
      <c r="C299" s="165"/>
      <c r="D299" s="165"/>
      <c r="E299" s="161" t="s">
        <v>156</v>
      </c>
      <c r="F299" s="161">
        <v>1</v>
      </c>
      <c r="G299" s="161">
        <v>-1</v>
      </c>
      <c r="H299" s="165"/>
      <c r="I299" s="165"/>
      <c r="J299" s="165"/>
      <c r="K299" s="165"/>
      <c r="L299" s="165"/>
      <c r="M299" s="165"/>
      <c r="N299" s="165"/>
      <c r="O299" s="165"/>
      <c r="S299" s="165"/>
      <c r="T299" s="165"/>
      <c r="U299" s="165"/>
      <c r="V299" s="209"/>
    </row>
    <row r="300" spans="1:22" s="115" customFormat="1">
      <c r="B300" s="208" t="s">
        <v>442</v>
      </c>
      <c r="C300" s="165"/>
      <c r="D300" s="165"/>
      <c r="E300" s="161" t="s">
        <v>3</v>
      </c>
      <c r="F300" s="161">
        <v>-2</v>
      </c>
      <c r="G300" s="161">
        <v>2</v>
      </c>
      <c r="H300" s="165"/>
      <c r="I300" s="165"/>
      <c r="J300" s="165"/>
      <c r="K300" s="165"/>
      <c r="L300" s="404" t="s">
        <v>424</v>
      </c>
      <c r="M300" s="404"/>
      <c r="N300" s="404"/>
      <c r="O300" s="404"/>
      <c r="P300" s="404"/>
      <c r="Q300" s="404"/>
      <c r="R300" s="404"/>
      <c r="S300" s="404"/>
      <c r="T300" s="404"/>
      <c r="U300" s="404"/>
      <c r="V300" s="209"/>
    </row>
    <row r="301" spans="1:22" s="115" customFormat="1">
      <c r="B301" s="208" t="s">
        <v>441</v>
      </c>
      <c r="C301" s="165"/>
      <c r="D301" s="165"/>
      <c r="E301" s="165"/>
      <c r="F301" s="165"/>
      <c r="G301" s="165"/>
      <c r="H301" s="165"/>
      <c r="I301" s="165"/>
      <c r="J301" s="165"/>
      <c r="K301" s="165"/>
      <c r="L301" s="404"/>
      <c r="M301" s="404"/>
      <c r="N301" s="404"/>
      <c r="O301" s="404"/>
      <c r="P301" s="404"/>
      <c r="Q301" s="404"/>
      <c r="R301" s="404"/>
      <c r="S301" s="404"/>
      <c r="T301" s="404"/>
      <c r="U301" s="404"/>
      <c r="V301" s="209"/>
    </row>
    <row r="302" spans="1:22" ht="15.75">
      <c r="B302" s="208" t="s">
        <v>443</v>
      </c>
      <c r="C302" s="165" t="s">
        <v>440</v>
      </c>
      <c r="D302" s="165"/>
      <c r="E302" s="165"/>
      <c r="F302" s="402" t="s">
        <v>364</v>
      </c>
      <c r="G302" s="402"/>
      <c r="H302" s="402"/>
      <c r="I302" s="402"/>
      <c r="J302" s="402"/>
      <c r="K302" s="165"/>
      <c r="L302" s="165"/>
      <c r="M302" s="165"/>
      <c r="N302" s="165"/>
      <c r="O302" s="165"/>
      <c r="S302" s="165"/>
      <c r="T302" s="165"/>
      <c r="U302" s="165"/>
      <c r="V302" s="209"/>
    </row>
    <row r="303" spans="1:22" ht="26.25">
      <c r="B303" s="208"/>
      <c r="C303" s="165"/>
      <c r="D303" s="401" t="s">
        <v>349</v>
      </c>
      <c r="E303" s="401"/>
      <c r="F303" s="401"/>
      <c r="G303" s="401"/>
      <c r="H303" s="401"/>
      <c r="I303" s="401"/>
      <c r="J303" s="401"/>
      <c r="K303" s="401"/>
      <c r="L303" s="401"/>
      <c r="M303" s="401"/>
      <c r="N303" s="165"/>
      <c r="O303" s="165"/>
      <c r="P303" s="165"/>
      <c r="Q303" s="165"/>
      <c r="R303" s="165"/>
      <c r="S303" s="165"/>
      <c r="T303" s="165"/>
      <c r="U303" s="165"/>
      <c r="V303" s="209"/>
    </row>
    <row r="304" spans="1:22">
      <c r="B304" s="208" t="s">
        <v>311</v>
      </c>
      <c r="C304" s="165" t="s">
        <v>350</v>
      </c>
      <c r="D304" s="165" t="s">
        <v>351</v>
      </c>
      <c r="E304" s="165" t="s">
        <v>352</v>
      </c>
      <c r="F304" s="165" t="s">
        <v>353</v>
      </c>
      <c r="G304" s="235" t="s">
        <v>365</v>
      </c>
      <c r="H304" s="165"/>
      <c r="I304" s="165" t="s">
        <v>311</v>
      </c>
      <c r="J304" s="165" t="s">
        <v>350</v>
      </c>
      <c r="K304" s="165" t="s">
        <v>351</v>
      </c>
      <c r="L304" s="165" t="s">
        <v>352</v>
      </c>
      <c r="M304" s="165" t="s">
        <v>353</v>
      </c>
      <c r="N304" s="235" t="s">
        <v>365</v>
      </c>
      <c r="O304" s="165"/>
      <c r="P304" s="165" t="s">
        <v>311</v>
      </c>
      <c r="Q304" s="165" t="s">
        <v>350</v>
      </c>
      <c r="R304" s="165" t="s">
        <v>351</v>
      </c>
      <c r="S304" s="165" t="s">
        <v>352</v>
      </c>
      <c r="T304" s="165" t="s">
        <v>353</v>
      </c>
      <c r="U304" s="235" t="s">
        <v>365</v>
      </c>
      <c r="V304" s="209"/>
    </row>
    <row r="305" spans="1:22">
      <c r="B305" s="208">
        <f>Algandmed!AF405</f>
        <v>0</v>
      </c>
      <c r="C305" s="165">
        <f>SUM(Algandmed!AF405:AI405)</f>
        <v>0</v>
      </c>
      <c r="D305" s="165">
        <f>Algandmed!AJ405+C305+Algandmed!AK405+Algandmed!AL405</f>
        <v>0</v>
      </c>
      <c r="E305" s="165">
        <f>Algandmed!AE405</f>
        <v>0</v>
      </c>
      <c r="F305" s="236" t="e">
        <f>SUM(Algandmed!AF405:AM405)/Algandmed!AE405</f>
        <v>#DIV/0!</v>
      </c>
      <c r="G305" s="237" t="e">
        <f>(($F$292*Algandmed!AF405)+($F$293*Algandmed!AG405)+($F$294*Algandmed!AH405)+($F$295*Algandmed!AI405)+($F$296*Algandmed!AK405)+($F$297*Algandmed!AL405)+($F$298*Algandmed!AJ405)+($F$299*Algandmed!AM405)+((Algandmed!AE405-SUM(Algandmed!AF405:AM405))*Settings!$F$300))/SQRT(Algandmed!AE405)</f>
        <v>#DIV/0!</v>
      </c>
      <c r="H305" s="237"/>
      <c r="I305" s="238">
        <f>Algandmed!AO405</f>
        <v>0</v>
      </c>
      <c r="J305" s="238">
        <f>SUM(Algandmed!AO405:AR405)</f>
        <v>0</v>
      </c>
      <c r="K305" s="238">
        <f>Algandmed!AS405+J305+Algandmed!AT405+Algandmed!AU405</f>
        <v>0</v>
      </c>
      <c r="L305" s="238">
        <f>Algandmed!AN405</f>
        <v>0</v>
      </c>
      <c r="M305" s="236" t="e">
        <f>SUM(Algandmed!AO405:AV405)/Algandmed!AN405</f>
        <v>#DIV/0!</v>
      </c>
      <c r="N305" s="237" t="e">
        <f>(($F$292*Algandmed!AO405)+($F$293*Algandmed!AP405)+($F$294*Algandmed!AQ405)+($F$295*Algandmed!AR405)+($F$296*Algandmed!AT405)+($F$297*Algandmed!AU405)+($F$298*Algandmed!AS405)+($F$299*Algandmed!AV405)+((Algandmed!AN405-SUM(Algandmed!AO405:AV405))*Settings!$F$300))/SQRT(Algandmed!AN405)</f>
        <v>#DIV/0!</v>
      </c>
      <c r="O305" s="165"/>
      <c r="P305" s="165">
        <f>Algandmed!AX405</f>
        <v>0</v>
      </c>
      <c r="Q305" s="165">
        <f>SUM(Algandmed!AX405:BA405)</f>
        <v>0</v>
      </c>
      <c r="R305" s="165">
        <f>Algandmed!BB405+Q305+Algandmed!BC405+Algandmed!BD405</f>
        <v>0</v>
      </c>
      <c r="S305" s="165">
        <f>Algandmed!AW405</f>
        <v>0</v>
      </c>
      <c r="T305" s="236" t="e">
        <f>SUM(Algandmed!AX405:BE405)/Algandmed!AW405</f>
        <v>#DIV/0!</v>
      </c>
      <c r="U305" s="237" t="e">
        <f>(($F$292*Algandmed!AX405)+($F$293*Algandmed!AY405)+($F$294*Algandmed!AZ405)+($F$295*Algandmed!BA405)+($F$296*Algandmed!BC405)+($F$297*Algandmed!BD405)+($F$298*Algandmed!BB405)+($F$299*Algandmed!BE405)+((Algandmed!AW405-SUM(Algandmed!AX405:BE405))*Settings!$F$300))/SQRT(Algandmed!AW405)</f>
        <v>#DIV/0!</v>
      </c>
      <c r="V305" s="209"/>
    </row>
    <row r="306" spans="1:22">
      <c r="B306" s="208"/>
      <c r="C306" s="165"/>
      <c r="D306" s="165"/>
      <c r="E306" s="165"/>
      <c r="F306" s="236"/>
      <c r="G306" s="237"/>
      <c r="H306" s="165"/>
      <c r="I306" s="238"/>
      <c r="J306" s="238"/>
      <c r="K306" s="238"/>
      <c r="L306" s="238"/>
      <c r="M306" s="236"/>
      <c r="N306" s="237"/>
      <c r="O306" s="165"/>
      <c r="P306" s="165"/>
      <c r="Q306" s="165"/>
      <c r="R306" s="165"/>
      <c r="S306" s="165"/>
      <c r="T306" s="236"/>
      <c r="U306" s="237"/>
      <c r="V306" s="209"/>
    </row>
    <row r="307" spans="1:22">
      <c r="B307" s="208"/>
      <c r="C307" s="165"/>
      <c r="D307" s="165"/>
      <c r="E307" s="165"/>
      <c r="F307" s="236"/>
      <c r="G307" s="237"/>
      <c r="H307" s="165"/>
      <c r="I307" s="238">
        <f>Algandmed!AO407</f>
        <v>0</v>
      </c>
      <c r="J307" s="238">
        <f>SUM(Algandmed!AO407:AR407)</f>
        <v>0</v>
      </c>
      <c r="K307" s="238">
        <f>Algandmed!AS407+J307+Algandmed!AT407+Algandmed!AU407</f>
        <v>0</v>
      </c>
      <c r="L307" s="238">
        <f>Algandmed!AN407</f>
        <v>0</v>
      </c>
      <c r="M307" s="236" t="e">
        <f>SUM(Algandmed!AO407:AV407)/Algandmed!AN407</f>
        <v>#DIV/0!</v>
      </c>
      <c r="N307" s="237" t="e">
        <f>(($F$292*Algandmed!AO407)+($F$293*Algandmed!AP407)+($F$294*Algandmed!AQ407)+($F$295*Algandmed!AR407)+($F$296*Algandmed!AT407)+($F$297*Algandmed!AU407)+($F$298*Algandmed!AS407)+($F$299*Algandmed!AV407)+((Algandmed!AN407-SUM(Algandmed!AO407:AV407))*Settings!$F$300))/SQRT(Algandmed!AN407)</f>
        <v>#DIV/0!</v>
      </c>
      <c r="O307" s="165"/>
      <c r="P307" s="165"/>
      <c r="Q307" s="165"/>
      <c r="R307" s="165"/>
      <c r="S307" s="165"/>
      <c r="T307" s="236"/>
      <c r="U307" s="237"/>
      <c r="V307" s="209"/>
    </row>
    <row r="308" spans="1:22">
      <c r="B308" s="208"/>
      <c r="C308" s="165"/>
      <c r="D308" s="165"/>
      <c r="E308" s="165"/>
      <c r="F308" s="236"/>
      <c r="G308" s="237"/>
      <c r="H308" s="165"/>
      <c r="I308" s="238"/>
      <c r="J308" s="238"/>
      <c r="K308" s="238"/>
      <c r="L308" s="238"/>
      <c r="M308" s="236"/>
      <c r="N308" s="237"/>
      <c r="O308" s="165"/>
      <c r="P308" s="165"/>
      <c r="Q308" s="165"/>
      <c r="R308" s="165"/>
      <c r="S308" s="165"/>
      <c r="T308" s="236"/>
      <c r="U308" s="237"/>
      <c r="V308" s="209"/>
    </row>
    <row r="309" spans="1:22">
      <c r="B309" s="208">
        <f>Algandmed!AF409</f>
        <v>0</v>
      </c>
      <c r="C309" s="165">
        <f>SUM(Algandmed!AF409:AI409)</f>
        <v>0</v>
      </c>
      <c r="D309" s="165">
        <f>Algandmed!AJ409+C309+Algandmed!AK409+Algandmed!AL409</f>
        <v>0</v>
      </c>
      <c r="E309" s="165">
        <f>Algandmed!AE409</f>
        <v>0</v>
      </c>
      <c r="F309" s="236" t="e">
        <f>SUM(Algandmed!AF409:AM409)/Algandmed!AE409</f>
        <v>#DIV/0!</v>
      </c>
      <c r="G309" s="237" t="e">
        <f>(($F$292*Algandmed!AF409)+($F$293*Algandmed!AG409)+($F$294*Algandmed!AH409)+($F$295*Algandmed!AI409)+($F$296*Algandmed!AK409)+($F$297*Algandmed!AL409)+($F$298*Algandmed!AJ409)+($F$299*Algandmed!AM409)+((Algandmed!AE409-SUM(Algandmed!AF409:AM409))*Settings!$F$300))/SQRT(Algandmed!AE409)</f>
        <v>#DIV/0!</v>
      </c>
      <c r="H309" s="165"/>
      <c r="I309" s="238">
        <f>Algandmed!AO409</f>
        <v>0</v>
      </c>
      <c r="J309" s="238">
        <f>SUM(Algandmed!AO409:AR409)</f>
        <v>0</v>
      </c>
      <c r="K309" s="238">
        <f>Algandmed!AS409+J309+Algandmed!AT409+Algandmed!AU409</f>
        <v>0</v>
      </c>
      <c r="L309" s="238">
        <f>Algandmed!AN409</f>
        <v>0</v>
      </c>
      <c r="M309" s="236" t="e">
        <f>SUM(Algandmed!AO409:AV409)/Algandmed!AN409</f>
        <v>#DIV/0!</v>
      </c>
      <c r="N309" s="237" t="e">
        <f>(($F$292*Algandmed!AO409)+($F$293*Algandmed!AP409)+($F$294*Algandmed!AQ409)+($F$295*Algandmed!AR409)+($F$296*Algandmed!AT409)+($F$297*Algandmed!AU409)+($F$298*Algandmed!AS409)+($F$299*Algandmed!AV409)+((Algandmed!AN409-SUM(Algandmed!AO409:AV409))*Settings!$F$300))/SQRT(Algandmed!AN409)</f>
        <v>#DIV/0!</v>
      </c>
      <c r="O309" s="165"/>
      <c r="P309" s="165">
        <f>Algandmed!AX409</f>
        <v>0</v>
      </c>
      <c r="Q309" s="165">
        <f>SUM(Algandmed!AX409:BA409)</f>
        <v>0</v>
      </c>
      <c r="R309" s="165">
        <f>Algandmed!BB409+Q309+Algandmed!BC409+Algandmed!BD409</f>
        <v>0</v>
      </c>
      <c r="S309" s="165">
        <f>Algandmed!AW409</f>
        <v>0</v>
      </c>
      <c r="T309" s="236" t="e">
        <f>SUM(Algandmed!AX409:BE409)/Algandmed!AW409</f>
        <v>#DIV/0!</v>
      </c>
      <c r="U309" s="237" t="e">
        <f>(($F$292*Algandmed!AX409)+($F$293*Algandmed!AY409)+($F$294*Algandmed!AZ409)+($F$295*Algandmed!BA409)+($F$296*Algandmed!BC409)+($F$297*Algandmed!BD409)+($F$298*Algandmed!BB409)+($F$299*Algandmed!BE409)+((Algandmed!AW409-SUM(Algandmed!AX409:BE409))*Settings!$F$300))/SQRT(Algandmed!AW409)</f>
        <v>#DIV/0!</v>
      </c>
      <c r="V309" s="209"/>
    </row>
    <row r="310" spans="1:22">
      <c r="B310" s="208"/>
      <c r="C310" s="165"/>
      <c r="D310" s="165"/>
      <c r="E310" s="165"/>
      <c r="F310" s="236"/>
      <c r="G310" s="237"/>
      <c r="H310" s="165"/>
      <c r="I310" s="238"/>
      <c r="J310" s="238"/>
      <c r="K310" s="238"/>
      <c r="L310" s="238"/>
      <c r="M310" s="236"/>
      <c r="N310" s="237"/>
      <c r="O310" s="165"/>
      <c r="P310" s="165"/>
      <c r="Q310" s="165"/>
      <c r="R310" s="165"/>
      <c r="S310" s="165"/>
      <c r="T310" s="236"/>
      <c r="U310" s="237"/>
      <c r="V310" s="209"/>
    </row>
    <row r="311" spans="1:22">
      <c r="B311" s="208">
        <f>Algandmed!AF411</f>
        <v>0</v>
      </c>
      <c r="C311" s="165">
        <f>SUM(Algandmed!AF411:AI411)</f>
        <v>0</v>
      </c>
      <c r="D311" s="165">
        <f>Algandmed!AJ411+C311+Algandmed!AK411+Algandmed!AL411</f>
        <v>0</v>
      </c>
      <c r="E311" s="165">
        <f>Algandmed!AE411</f>
        <v>0</v>
      </c>
      <c r="F311" s="236" t="e">
        <f>SUM(Algandmed!AF411:AM411)/Algandmed!AE411</f>
        <v>#DIV/0!</v>
      </c>
      <c r="G311" s="237" t="e">
        <f>(($F$292*Algandmed!AF411)+($F$293*Algandmed!AG411)+($F$294*Algandmed!AH411)+($F$295*Algandmed!AI411)+($F$296*Algandmed!AK411)+($F$297*Algandmed!AL411)+($F$298*Algandmed!AJ411)+($F$299*Algandmed!AM411)+((Algandmed!AE411-SUM(Algandmed!AF411:AM411))*Settings!$F$300))/SQRT(Algandmed!AE411)</f>
        <v>#DIV/0!</v>
      </c>
      <c r="H311" s="165"/>
      <c r="I311" s="238">
        <f>Algandmed!AO411</f>
        <v>0</v>
      </c>
      <c r="J311" s="238">
        <f>SUM(Algandmed!AO411:AR411)</f>
        <v>0</v>
      </c>
      <c r="K311" s="238">
        <f>Algandmed!AS411+J311+Algandmed!AT411+Algandmed!AU411</f>
        <v>0</v>
      </c>
      <c r="L311" s="238">
        <f>Algandmed!AN411</f>
        <v>0</v>
      </c>
      <c r="M311" s="236" t="e">
        <f>SUM(Algandmed!AO411:AV411)/Algandmed!AN411</f>
        <v>#DIV/0!</v>
      </c>
      <c r="N311" s="237" t="e">
        <f>(($F$292*Algandmed!AO411)+($F$293*Algandmed!AP411)+($F$294*Algandmed!AQ411)+($F$295*Algandmed!AR411)+($F$296*Algandmed!AT411)+($F$297*Algandmed!AU411)+($F$298*Algandmed!AS411)+($F$299*Algandmed!AV411)+((Algandmed!AN411-SUM(Algandmed!AO411:AV411))*Settings!$F$300))/SQRT(Algandmed!AN411)</f>
        <v>#DIV/0!</v>
      </c>
      <c r="O311" s="165"/>
      <c r="P311" s="165">
        <f>Algandmed!AX411</f>
        <v>0</v>
      </c>
      <c r="Q311" s="165">
        <f>SUM(Algandmed!AX411:BA411)</f>
        <v>0</v>
      </c>
      <c r="R311" s="165">
        <f>Algandmed!BB411+Q311+Algandmed!BC411+Algandmed!BD411</f>
        <v>0</v>
      </c>
      <c r="S311" s="165">
        <f>Algandmed!AW411</f>
        <v>0</v>
      </c>
      <c r="T311" s="236" t="e">
        <f>SUM(Algandmed!AX411:BE411)/Algandmed!AW411</f>
        <v>#DIV/0!</v>
      </c>
      <c r="U311" s="237" t="e">
        <f>(($F$292*Algandmed!AX411)+($F$293*Algandmed!AY411)+($F$294*Algandmed!AZ411)+($F$295*Algandmed!BA411)+($F$296*Algandmed!BC411)+($F$297*Algandmed!BD411)+($F$298*Algandmed!BB411)+($F$299*Algandmed!BE411)+((Algandmed!AW411-SUM(Algandmed!AX411:BE411))*Settings!$F$300))/SQRT(Algandmed!AW411)</f>
        <v>#DIV/0!</v>
      </c>
      <c r="V311" s="209"/>
    </row>
    <row r="312" spans="1:22">
      <c r="A312" t="s">
        <v>457</v>
      </c>
      <c r="B312" s="208"/>
      <c r="C312" s="165"/>
      <c r="D312" s="165"/>
      <c r="E312" s="165"/>
      <c r="F312" s="236"/>
      <c r="G312" s="237"/>
      <c r="H312" s="165"/>
      <c r="I312" s="238"/>
      <c r="J312" s="238"/>
      <c r="K312" s="238"/>
      <c r="L312" s="238"/>
      <c r="M312" s="236"/>
      <c r="N312" s="237"/>
      <c r="O312" s="165"/>
      <c r="P312" s="165"/>
      <c r="Q312" s="165"/>
      <c r="R312" s="165"/>
      <c r="S312" s="165"/>
      <c r="T312" s="236"/>
      <c r="U312" s="237"/>
      <c r="V312" s="209"/>
    </row>
    <row r="313" spans="1:22">
      <c r="B313" s="208">
        <f>Algandmed!AF413</f>
        <v>0</v>
      </c>
      <c r="C313" s="165">
        <f>SUM(Algandmed!AF413:AI413)</f>
        <v>0</v>
      </c>
      <c r="D313" s="165">
        <f>Algandmed!AJ413+C313+Algandmed!AK413+Algandmed!AL413</f>
        <v>0</v>
      </c>
      <c r="E313" s="165">
        <f>Algandmed!AE413</f>
        <v>0</v>
      </c>
      <c r="F313" s="236" t="e">
        <f>SUM(Algandmed!AF413:AM413)/Algandmed!AE413</f>
        <v>#DIV/0!</v>
      </c>
      <c r="G313" s="237" t="e">
        <f>(($F$292*Algandmed!AF413)+($F$293*Algandmed!AG413)+($F$294*Algandmed!AH413)+($F$295*Algandmed!AI413)+($F$296*Algandmed!AK413)+($F$297*Algandmed!AL413)+($F$298*Algandmed!AJ413)+($F$299*Algandmed!AM413)+((Algandmed!AE413-SUM(Algandmed!AF413:AM413))*Settings!$F$300))/SQRT(Algandmed!AE413)</f>
        <v>#DIV/0!</v>
      </c>
      <c r="H313" s="165"/>
      <c r="I313" s="238">
        <f>Algandmed!AO413</f>
        <v>0</v>
      </c>
      <c r="J313" s="238">
        <f>SUM(Algandmed!AO413:AR413)</f>
        <v>0</v>
      </c>
      <c r="K313" s="238">
        <f>Algandmed!AS413+J313+Algandmed!AT413+Algandmed!AU413</f>
        <v>0</v>
      </c>
      <c r="L313" s="238">
        <f>Algandmed!AN413</f>
        <v>0</v>
      </c>
      <c r="M313" s="236" t="e">
        <f>SUM(Algandmed!AO413:AV413)/Algandmed!AN413</f>
        <v>#DIV/0!</v>
      </c>
      <c r="N313" s="237" t="e">
        <f>(($F$292*Algandmed!AO413)+($F$293*Algandmed!AP413)+($F$294*Algandmed!AQ413)+($F$295*Algandmed!AR413)+($F$296*Algandmed!AT413)+($F$297*Algandmed!AU413)+($F$298*Algandmed!AS413)+($F$299*Algandmed!AV413)+((Algandmed!AN413-SUM(Algandmed!AO413:AV413))*Settings!$F$300))/SQRT(Algandmed!AN413)</f>
        <v>#DIV/0!</v>
      </c>
      <c r="O313" s="165"/>
      <c r="P313" s="165">
        <f>Algandmed!AX413</f>
        <v>0</v>
      </c>
      <c r="Q313" s="165">
        <f>SUM(Algandmed!AX413:BA413)</f>
        <v>0</v>
      </c>
      <c r="R313" s="165">
        <f>Algandmed!BB413+Q313+Algandmed!BC413+Algandmed!BD413</f>
        <v>0</v>
      </c>
      <c r="S313" s="165">
        <f>Algandmed!AW413</f>
        <v>0</v>
      </c>
      <c r="T313" s="236" t="e">
        <f>SUM(Algandmed!AX413:BE413)/Algandmed!AW413</f>
        <v>#DIV/0!</v>
      </c>
      <c r="U313" s="237" t="e">
        <f>(($F$292*Algandmed!AX413)+($F$293*Algandmed!AY413)+($F$294*Algandmed!AZ413)+($F$295*Algandmed!BA413)+($F$296*Algandmed!BC413)+($F$297*Algandmed!BD413)+($F$298*Algandmed!BB413)+($F$299*Algandmed!BE413)+((Algandmed!AW413-SUM(Algandmed!AX413:BE413))*Settings!$F$300))/SQRT(Algandmed!AW413)</f>
        <v>#DIV/0!</v>
      </c>
      <c r="V313" s="209"/>
    </row>
    <row r="314" spans="1:22">
      <c r="B314" s="208"/>
      <c r="C314" s="165"/>
      <c r="D314" s="165"/>
      <c r="E314" s="165"/>
      <c r="F314" s="236"/>
      <c r="G314" s="237"/>
      <c r="H314" s="165"/>
      <c r="I314" s="238"/>
      <c r="J314" s="238"/>
      <c r="K314" s="238"/>
      <c r="L314" s="238"/>
      <c r="M314" s="236"/>
      <c r="N314" s="237"/>
      <c r="O314" s="165"/>
      <c r="P314" s="165"/>
      <c r="Q314" s="165"/>
      <c r="R314" s="165"/>
      <c r="S314" s="165"/>
      <c r="T314" s="236"/>
      <c r="U314" s="237"/>
      <c r="V314" s="209"/>
    </row>
    <row r="315" spans="1:22">
      <c r="B315" s="208">
        <f>Algandmed!AF415</f>
        <v>0</v>
      </c>
      <c r="C315" s="165">
        <f>SUM(Algandmed!AF415:AI415)</f>
        <v>0</v>
      </c>
      <c r="D315" s="165">
        <f>Algandmed!AJ415+C315+Algandmed!AK415+Algandmed!AL415</f>
        <v>0</v>
      </c>
      <c r="E315" s="165">
        <f>Algandmed!AE415</f>
        <v>0</v>
      </c>
      <c r="F315" s="236" t="e">
        <f>SUM(Algandmed!AF415:AM415)/Algandmed!AE415</f>
        <v>#DIV/0!</v>
      </c>
      <c r="G315" s="237" t="e">
        <f>(($F$292*Algandmed!AF415)+($F$293*Algandmed!AG415)+($F$294*Algandmed!AH415)+($F$295*Algandmed!AI415)+($F$296*Algandmed!AK415)+($F$297*Algandmed!AL415)+($F$298*Algandmed!AJ415)+($F$299*Algandmed!AM415)+((Algandmed!AE415-SUM(Algandmed!AF415:AM415))*Settings!$F$300))/SQRT(Algandmed!AE415)</f>
        <v>#DIV/0!</v>
      </c>
      <c r="H315" s="165"/>
      <c r="I315" s="238">
        <f>Algandmed!AO415</f>
        <v>0</v>
      </c>
      <c r="J315" s="238">
        <f>SUM(Algandmed!AO415:AR415)</f>
        <v>0</v>
      </c>
      <c r="K315" s="238">
        <f>Algandmed!AS415+J315+Algandmed!AT415+Algandmed!AU415</f>
        <v>0</v>
      </c>
      <c r="L315" s="238">
        <f>Algandmed!AN415</f>
        <v>0</v>
      </c>
      <c r="M315" s="236" t="e">
        <f>SUM(Algandmed!AO415:AV415)/Algandmed!AN415</f>
        <v>#DIV/0!</v>
      </c>
      <c r="N315" s="237" t="e">
        <f>(($F$292*Algandmed!AO415)+($F$293*Algandmed!AP415)+($F$294*Algandmed!AQ415)+($F$295*Algandmed!AR415)+($F$296*Algandmed!AT415)+($F$297*Algandmed!AU415)+($F$298*Algandmed!AS415)+($F$299*Algandmed!AV415)+((Algandmed!AN415-SUM(Algandmed!AO415:AV415))*Settings!$F$300))/SQRT(Algandmed!AN415)</f>
        <v>#DIV/0!</v>
      </c>
      <c r="O315" s="165"/>
      <c r="P315" s="165">
        <f>Algandmed!AX415</f>
        <v>0</v>
      </c>
      <c r="Q315" s="165">
        <f>SUM(Algandmed!AX415:BA415)</f>
        <v>0</v>
      </c>
      <c r="R315" s="165">
        <f>Algandmed!BB415+Q315+Algandmed!BC415+Algandmed!BD415</f>
        <v>0</v>
      </c>
      <c r="S315" s="165">
        <f>Algandmed!AW415</f>
        <v>0</v>
      </c>
      <c r="T315" s="236" t="e">
        <f>SUM(Algandmed!AX415:BE415)/Algandmed!AW415</f>
        <v>#DIV/0!</v>
      </c>
      <c r="U315" s="237" t="e">
        <f>(($F$292*Algandmed!AX415)+($F$293*Algandmed!AY415)+($F$294*Algandmed!AZ415)+($F$295*Algandmed!BA415)+($F$296*Algandmed!BC415)+($F$297*Algandmed!BD415)+($F$298*Algandmed!BB415)+($F$299*Algandmed!BE415)+((Algandmed!AW415-SUM(Algandmed!AX415:BE415))*Settings!$F$300))/SQRT(Algandmed!AW415)</f>
        <v>#DIV/0!</v>
      </c>
      <c r="V315" s="209"/>
    </row>
    <row r="316" spans="1:22">
      <c r="B316" s="208"/>
      <c r="C316" s="165"/>
      <c r="D316" s="165"/>
      <c r="E316" s="165"/>
      <c r="F316" s="236"/>
      <c r="G316" s="237"/>
      <c r="H316" s="165"/>
      <c r="I316" s="238"/>
      <c r="J316" s="238"/>
      <c r="K316" s="238"/>
      <c r="L316" s="238"/>
      <c r="M316" s="236"/>
      <c r="N316" s="237"/>
      <c r="O316" s="165"/>
      <c r="P316" s="165"/>
      <c r="Q316" s="165"/>
      <c r="R316" s="165"/>
      <c r="S316" s="165"/>
      <c r="T316" s="236"/>
      <c r="U316" s="237"/>
      <c r="V316" s="209"/>
    </row>
    <row r="317" spans="1:22">
      <c r="B317" s="208"/>
      <c r="C317" s="165"/>
      <c r="D317" s="165"/>
      <c r="E317" s="165"/>
      <c r="F317" s="236"/>
      <c r="G317" s="237"/>
      <c r="H317" s="165"/>
      <c r="I317" s="238">
        <f>Algandmed!AO417</f>
        <v>0</v>
      </c>
      <c r="J317" s="238">
        <f>SUM(Algandmed!AO417:AR417)</f>
        <v>0</v>
      </c>
      <c r="K317" s="238">
        <f>Algandmed!AS417+J317+Algandmed!AT417+Algandmed!AU417</f>
        <v>0</v>
      </c>
      <c r="L317" s="238">
        <f>Algandmed!AN417</f>
        <v>0</v>
      </c>
      <c r="M317" s="236" t="e">
        <f>SUM(Algandmed!AO417:AV417)/Algandmed!AN417</f>
        <v>#DIV/0!</v>
      </c>
      <c r="N317" s="237" t="e">
        <f>(($F$292*Algandmed!AO417)+($F$293*Algandmed!AP417)+($F$294*Algandmed!AQ417)+($F$295*Algandmed!AR417)+($F$296*Algandmed!AT417)+($F$297*Algandmed!AU417)+($F$298*Algandmed!AS417)+($F$299*Algandmed!AV417)+((Algandmed!AN417-SUM(Algandmed!AO417:AV417))*Settings!$F$300))/SQRT(Algandmed!AN417)</f>
        <v>#DIV/0!</v>
      </c>
      <c r="O317" s="165"/>
      <c r="P317" s="165"/>
      <c r="Q317" s="165"/>
      <c r="R317" s="165"/>
      <c r="S317" s="165"/>
      <c r="T317" s="236"/>
      <c r="U317" s="237"/>
      <c r="V317" s="209"/>
    </row>
    <row r="318" spans="1:22">
      <c r="B318" s="208"/>
      <c r="C318" s="165"/>
      <c r="D318" s="165"/>
      <c r="E318" s="165"/>
      <c r="F318" s="236"/>
      <c r="G318" s="237"/>
      <c r="H318" s="165"/>
      <c r="I318" s="238"/>
      <c r="J318" s="238"/>
      <c r="K318" s="238"/>
      <c r="L318" s="238"/>
      <c r="M318" s="236"/>
      <c r="N318" s="237"/>
      <c r="O318" s="165"/>
      <c r="P318" s="165"/>
      <c r="Q318" s="165"/>
      <c r="R318" s="165"/>
      <c r="S318" s="165"/>
      <c r="T318" s="236"/>
      <c r="U318" s="237"/>
      <c r="V318" s="209"/>
    </row>
    <row r="319" spans="1:22">
      <c r="B319" s="208">
        <f>Algandmed!AF419</f>
        <v>0</v>
      </c>
      <c r="C319" s="165">
        <f>SUM(Algandmed!AF419:AI419)</f>
        <v>0</v>
      </c>
      <c r="D319" s="165">
        <f>Algandmed!AJ419+C319+Algandmed!AK419+Algandmed!AL419</f>
        <v>0</v>
      </c>
      <c r="E319" s="165">
        <f>Algandmed!AE419</f>
        <v>0</v>
      </c>
      <c r="F319" s="236" t="e">
        <f>SUM(Algandmed!AF419:AM419)/Algandmed!AE419</f>
        <v>#DIV/0!</v>
      </c>
      <c r="G319" s="237" t="e">
        <f>(($F$292*Algandmed!AF419)+($F$293*Algandmed!AG419)+($F$294*Algandmed!AH419)+($F$295*Algandmed!AI419)+($F$296*Algandmed!AK419)+($F$297*Algandmed!AL419)+($F$298*Algandmed!AJ419)+($F$299*Algandmed!AM419)+((Algandmed!AE419-SUM(Algandmed!AF419:AM419))*Settings!$F$300))/SQRT(Algandmed!AE419)</f>
        <v>#DIV/0!</v>
      </c>
      <c r="H319" s="165"/>
      <c r="I319" s="238">
        <f>Algandmed!AO419</f>
        <v>0</v>
      </c>
      <c r="J319" s="238">
        <f>SUM(Algandmed!AO419:AR419)</f>
        <v>0</v>
      </c>
      <c r="K319" s="238">
        <f>Algandmed!AS419+J319+Algandmed!AT419+Algandmed!AU419</f>
        <v>0</v>
      </c>
      <c r="L319" s="238">
        <f>Algandmed!AN419</f>
        <v>0</v>
      </c>
      <c r="M319" s="236" t="e">
        <f>SUM(Algandmed!AO419:AV419)/Algandmed!AN419</f>
        <v>#DIV/0!</v>
      </c>
      <c r="N319" s="237" t="e">
        <f>(($F$292*Algandmed!AO419)+($F$293*Algandmed!AP419)+($F$294*Algandmed!AQ419)+($F$295*Algandmed!AR419)+($F$296*Algandmed!AT419)+($F$297*Algandmed!AU419)+($F$298*Algandmed!AS419)+($F$299*Algandmed!AV419)+((Algandmed!AN419-SUM(Algandmed!AO419:AV419))*Settings!$F$300))/SQRT(Algandmed!AN419)</f>
        <v>#DIV/0!</v>
      </c>
      <c r="O319" s="165"/>
      <c r="P319" s="165">
        <f>Algandmed!AX419</f>
        <v>0</v>
      </c>
      <c r="Q319" s="165">
        <f>SUM(Algandmed!AX419:BA419)</f>
        <v>0</v>
      </c>
      <c r="R319" s="165">
        <f>Algandmed!BB419+Q319+Algandmed!BC419+Algandmed!BD419</f>
        <v>0</v>
      </c>
      <c r="S319" s="165">
        <f>Algandmed!AW419</f>
        <v>0</v>
      </c>
      <c r="T319" s="236" t="e">
        <f>SUM(Algandmed!AX419:BE419)/Algandmed!AW419</f>
        <v>#DIV/0!</v>
      </c>
      <c r="U319" s="237" t="e">
        <f>(($F$292*Algandmed!AX419)+($F$293*Algandmed!AY419)+($F$294*Algandmed!AZ419)+($F$295*Algandmed!BA419)+($F$296*Algandmed!BC419)+($F$297*Algandmed!BD419)+($F$298*Algandmed!BB419)+($F$299*Algandmed!BE419)+((Algandmed!AW419-SUM(Algandmed!AX419:BE419))*Settings!$F$300))/SQRT(Algandmed!AW419)</f>
        <v>#DIV/0!</v>
      </c>
      <c r="V319" s="209"/>
    </row>
    <row r="320" spans="1:22">
      <c r="B320" s="208"/>
      <c r="C320" s="165"/>
      <c r="D320" s="165"/>
      <c r="E320" s="165"/>
      <c r="F320" s="165"/>
      <c r="G320" s="165"/>
      <c r="H320" s="165"/>
      <c r="I320" s="165"/>
      <c r="J320" s="238"/>
      <c r="K320" s="238"/>
      <c r="L320" s="238"/>
      <c r="M320" s="165"/>
      <c r="N320" s="237"/>
      <c r="O320" s="165"/>
      <c r="P320" s="165"/>
      <c r="Q320" s="165"/>
      <c r="R320" s="165"/>
      <c r="S320" s="165"/>
      <c r="T320" s="165"/>
      <c r="U320" s="165"/>
      <c r="V320" s="209"/>
    </row>
    <row r="321" spans="2:22">
      <c r="B321" s="212"/>
      <c r="C321" s="213"/>
      <c r="D321" s="213"/>
      <c r="E321" s="213"/>
      <c r="F321" s="213"/>
      <c r="G321" s="213"/>
      <c r="H321" s="213"/>
      <c r="I321" s="213"/>
      <c r="J321" s="213"/>
      <c r="K321" s="213"/>
      <c r="L321" s="213"/>
      <c r="M321" s="213"/>
      <c r="N321" s="213"/>
      <c r="O321" s="213"/>
      <c r="P321" s="213"/>
      <c r="Q321" s="213"/>
      <c r="R321" s="213"/>
      <c r="S321" s="213"/>
      <c r="T321" s="213"/>
      <c r="U321" s="213"/>
      <c r="V321" s="214"/>
    </row>
    <row r="323" spans="2:22" s="115" customFormat="1"/>
    <row r="324" spans="2:22" s="115" customFormat="1"/>
    <row r="325" spans="2:22" s="115" customFormat="1">
      <c r="B325" s="205"/>
      <c r="C325" s="206"/>
      <c r="D325" s="206"/>
      <c r="E325" s="206"/>
      <c r="F325" s="206"/>
      <c r="G325" s="206"/>
      <c r="H325" s="206"/>
      <c r="I325" s="206"/>
      <c r="J325" s="206"/>
      <c r="K325" s="206"/>
      <c r="L325" s="206"/>
      <c r="M325" s="207"/>
    </row>
    <row r="326" spans="2:22" s="115" customFormat="1">
      <c r="B326" s="208" t="s">
        <v>354</v>
      </c>
      <c r="C326" s="165"/>
      <c r="D326" s="165"/>
      <c r="E326" s="165"/>
      <c r="F326" s="165"/>
      <c r="G326" s="165"/>
      <c r="H326" s="165"/>
      <c r="I326" s="165"/>
      <c r="J326" s="165"/>
      <c r="K326" s="165"/>
      <c r="L326" s="165"/>
      <c r="M326" s="209"/>
    </row>
    <row r="327" spans="2:22" s="115" customFormat="1">
      <c r="B327" s="208" t="s">
        <v>355</v>
      </c>
      <c r="C327" s="165"/>
      <c r="D327" s="165"/>
      <c r="E327" s="165"/>
      <c r="F327" s="165"/>
      <c r="G327" s="165"/>
      <c r="H327" s="165"/>
      <c r="I327" s="165"/>
      <c r="J327" s="165"/>
      <c r="K327" s="165"/>
      <c r="L327" s="165"/>
      <c r="M327" s="209"/>
    </row>
    <row r="328" spans="2:22" s="115" customFormat="1">
      <c r="B328" s="208" t="s">
        <v>356</v>
      </c>
      <c r="C328" s="165"/>
      <c r="D328" s="165"/>
      <c r="E328" s="165"/>
      <c r="F328" s="165"/>
      <c r="G328" s="165"/>
      <c r="H328" s="165"/>
      <c r="I328" s="165"/>
      <c r="J328" s="165"/>
      <c r="K328" s="165"/>
      <c r="L328" s="165"/>
      <c r="M328" s="209"/>
    </row>
    <row r="329" spans="2:22" s="115" customFormat="1">
      <c r="B329" s="208" t="s">
        <v>357</v>
      </c>
      <c r="C329" s="165"/>
      <c r="D329" s="165"/>
      <c r="E329" s="165"/>
      <c r="F329" s="165"/>
      <c r="G329" s="165"/>
      <c r="H329" s="165"/>
      <c r="I329" s="165"/>
      <c r="J329" s="165"/>
      <c r="K329" s="165"/>
      <c r="L329" s="165"/>
      <c r="M329" s="209"/>
    </row>
    <row r="330" spans="2:22" s="115" customFormat="1">
      <c r="B330" s="208"/>
      <c r="C330" s="165"/>
      <c r="D330" s="165"/>
      <c r="E330" s="165"/>
      <c r="F330" s="165"/>
      <c r="G330" s="165"/>
      <c r="H330" s="165"/>
      <c r="I330" s="165"/>
      <c r="J330" s="165"/>
      <c r="K330" s="165"/>
      <c r="L330" s="165"/>
      <c r="M330" s="209"/>
    </row>
    <row r="331" spans="2:22" s="115" customFormat="1">
      <c r="B331" s="208" t="s">
        <v>359</v>
      </c>
      <c r="C331" s="229"/>
      <c r="D331" s="165"/>
      <c r="E331" s="165" t="s">
        <v>347</v>
      </c>
      <c r="F331" s="165" t="s">
        <v>2</v>
      </c>
      <c r="G331" s="165" t="s">
        <v>6</v>
      </c>
      <c r="H331" s="165"/>
      <c r="I331" s="165"/>
      <c r="J331" s="165"/>
      <c r="K331" s="165"/>
      <c r="L331" s="165"/>
      <c r="M331" s="209"/>
    </row>
    <row r="332" spans="2:22" s="115" customFormat="1">
      <c r="B332" s="208" t="s">
        <v>360</v>
      </c>
      <c r="C332" s="230"/>
      <c r="D332" s="165"/>
      <c r="E332" s="165" t="s">
        <v>703</v>
      </c>
      <c r="F332" s="165">
        <v>100</v>
      </c>
      <c r="G332" s="165">
        <v>-100</v>
      </c>
      <c r="H332" s="165"/>
      <c r="I332" s="165"/>
      <c r="J332" s="165"/>
      <c r="K332" s="165"/>
      <c r="L332" s="165"/>
      <c r="M332" s="209"/>
    </row>
    <row r="333" spans="2:22" s="115" customFormat="1">
      <c r="B333" s="208" t="s">
        <v>361</v>
      </c>
      <c r="C333" s="231"/>
      <c r="D333" s="165"/>
      <c r="E333" s="165" t="s">
        <v>9</v>
      </c>
      <c r="F333" s="165">
        <v>12</v>
      </c>
      <c r="G333" s="165">
        <v>-12</v>
      </c>
      <c r="H333" s="165"/>
      <c r="I333" s="165"/>
      <c r="J333" s="165"/>
      <c r="K333" s="165"/>
      <c r="L333" s="165"/>
      <c r="M333" s="209"/>
    </row>
    <row r="334" spans="2:22" s="115" customFormat="1">
      <c r="B334" s="208" t="s">
        <v>362</v>
      </c>
      <c r="C334" s="232"/>
      <c r="D334" s="165"/>
      <c r="E334" s="161" t="s">
        <v>8</v>
      </c>
      <c r="F334" s="165">
        <v>10</v>
      </c>
      <c r="G334" s="165">
        <v>-10</v>
      </c>
      <c r="H334" s="165"/>
      <c r="I334" s="165"/>
      <c r="J334" s="165"/>
      <c r="K334" s="165"/>
      <c r="L334" s="165"/>
      <c r="M334" s="209"/>
    </row>
    <row r="335" spans="2:22" s="115" customFormat="1">
      <c r="B335" s="208" t="s">
        <v>363</v>
      </c>
      <c r="C335" s="233"/>
      <c r="D335" s="165"/>
      <c r="E335" s="161" t="s">
        <v>19</v>
      </c>
      <c r="F335" s="161">
        <v>8</v>
      </c>
      <c r="G335" s="161">
        <v>-8</v>
      </c>
      <c r="H335" s="165"/>
      <c r="I335" s="165"/>
      <c r="J335" s="165"/>
      <c r="K335" s="165"/>
      <c r="L335" s="165"/>
      <c r="M335" s="209"/>
    </row>
    <row r="336" spans="2:22" s="115" customFormat="1">
      <c r="B336" s="208" t="s">
        <v>358</v>
      </c>
      <c r="C336" s="234"/>
      <c r="D336" s="165"/>
      <c r="E336" s="161" t="s">
        <v>7</v>
      </c>
      <c r="F336" s="161">
        <v>6</v>
      </c>
      <c r="G336" s="161">
        <v>-6</v>
      </c>
      <c r="H336" s="165"/>
      <c r="I336" s="165"/>
      <c r="J336" s="165"/>
      <c r="K336" s="165"/>
      <c r="L336" s="165"/>
      <c r="M336" s="209"/>
    </row>
    <row r="337" spans="1:22" s="115" customFormat="1">
      <c r="B337" s="208"/>
      <c r="C337" s="165"/>
      <c r="D337" s="165"/>
      <c r="E337" s="161" t="s">
        <v>163</v>
      </c>
      <c r="F337" s="161">
        <v>4</v>
      </c>
      <c r="G337" s="161">
        <v>-4</v>
      </c>
      <c r="H337" s="165"/>
      <c r="I337" s="165"/>
      <c r="J337" s="165"/>
      <c r="K337" s="165"/>
      <c r="L337" s="165"/>
      <c r="M337" s="209"/>
    </row>
    <row r="338" spans="1:22" s="115" customFormat="1">
      <c r="B338" s="208"/>
      <c r="C338" s="165"/>
      <c r="D338" s="165"/>
      <c r="E338" s="161" t="s">
        <v>310</v>
      </c>
      <c r="F338" s="161">
        <v>2</v>
      </c>
      <c r="G338" s="161">
        <v>-2</v>
      </c>
      <c r="H338" s="165"/>
      <c r="I338" s="165"/>
      <c r="J338" s="165"/>
      <c r="K338" s="165"/>
      <c r="L338" s="165"/>
      <c r="M338" s="209"/>
    </row>
    <row r="339" spans="1:22" s="115" customFormat="1">
      <c r="B339" s="208"/>
      <c r="C339" s="165"/>
      <c r="D339" s="165"/>
      <c r="E339" s="161" t="s">
        <v>156</v>
      </c>
      <c r="F339" s="161">
        <v>1</v>
      </c>
      <c r="G339" s="161">
        <v>-1</v>
      </c>
      <c r="H339" s="165"/>
      <c r="I339" s="165"/>
      <c r="J339" s="165"/>
      <c r="K339" s="165"/>
      <c r="L339" s="165"/>
      <c r="M339" s="209"/>
    </row>
    <row r="340" spans="1:22" s="115" customFormat="1">
      <c r="B340" s="212"/>
      <c r="C340" s="213"/>
      <c r="D340" s="213"/>
      <c r="E340" s="239" t="s">
        <v>3</v>
      </c>
      <c r="F340" s="239">
        <v>-2</v>
      </c>
      <c r="G340" s="239">
        <v>2</v>
      </c>
      <c r="H340" s="213"/>
      <c r="I340" s="213"/>
      <c r="J340" s="213"/>
      <c r="K340" s="213"/>
      <c r="L340" s="213"/>
      <c r="M340" s="214"/>
    </row>
    <row r="341" spans="1:22">
      <c r="B341" s="205"/>
      <c r="C341" s="206"/>
      <c r="D341" s="206"/>
      <c r="E341" s="206"/>
      <c r="F341" s="206"/>
      <c r="G341" s="206"/>
      <c r="H341" s="206"/>
      <c r="I341" s="206"/>
      <c r="J341" s="206"/>
      <c r="K341" s="206"/>
      <c r="L341" s="206"/>
      <c r="M341" s="206"/>
      <c r="N341" s="206"/>
      <c r="O341" s="206"/>
      <c r="P341" s="206"/>
      <c r="Q341" s="392" t="s">
        <v>366</v>
      </c>
      <c r="R341" s="392"/>
      <c r="S341" s="393"/>
      <c r="T341" s="206"/>
      <c r="U341" s="206"/>
      <c r="V341" s="207"/>
    </row>
    <row r="342" spans="1:22">
      <c r="A342" t="s">
        <v>437</v>
      </c>
      <c r="B342" s="208"/>
      <c r="C342" s="165" t="s">
        <v>440</v>
      </c>
      <c r="D342" s="165"/>
      <c r="E342" s="165"/>
      <c r="F342" s="165"/>
      <c r="G342" s="165"/>
      <c r="H342" s="165"/>
      <c r="I342" s="165"/>
      <c r="J342" s="165"/>
      <c r="K342" s="165"/>
      <c r="L342" s="165"/>
      <c r="M342" s="165"/>
      <c r="N342" s="165"/>
      <c r="O342" s="165"/>
      <c r="P342" s="165"/>
      <c r="Q342" s="390"/>
      <c r="R342" s="390"/>
      <c r="S342" s="391"/>
      <c r="T342" s="165"/>
      <c r="U342" s="165"/>
      <c r="V342" s="209"/>
    </row>
    <row r="343" spans="1:22" ht="15.75">
      <c r="B343" s="208"/>
      <c r="C343" s="165"/>
      <c r="D343" s="165"/>
      <c r="E343" s="165"/>
      <c r="F343" s="165"/>
      <c r="G343" s="165"/>
      <c r="H343" s="402" t="s">
        <v>370</v>
      </c>
      <c r="I343" s="402"/>
      <c r="J343" s="402"/>
      <c r="K343" s="402"/>
      <c r="L343" s="402"/>
      <c r="M343" s="165"/>
      <c r="N343" s="165"/>
      <c r="O343" s="165"/>
      <c r="P343" s="165"/>
      <c r="Q343" s="390"/>
      <c r="R343" s="390"/>
      <c r="S343" s="391"/>
      <c r="T343" s="165"/>
      <c r="U343" s="165"/>
      <c r="V343" s="209"/>
    </row>
    <row r="344" spans="1:22">
      <c r="B344" s="208"/>
      <c r="C344" s="165"/>
      <c r="D344" s="165"/>
      <c r="E344" s="165"/>
      <c r="F344" s="165"/>
      <c r="G344" s="165"/>
      <c r="H344" s="165"/>
      <c r="I344" s="165"/>
      <c r="J344" s="165"/>
      <c r="K344" s="165"/>
      <c r="L344" s="165"/>
      <c r="M344" s="165"/>
      <c r="N344" s="165"/>
      <c r="O344" s="165"/>
      <c r="P344" s="165"/>
      <c r="Q344" s="390"/>
      <c r="R344" s="390"/>
      <c r="S344" s="391"/>
      <c r="T344" s="165"/>
      <c r="U344" s="165"/>
      <c r="V344" s="209"/>
    </row>
    <row r="345" spans="1:22">
      <c r="B345" s="208"/>
      <c r="C345" s="165"/>
      <c r="D345" s="165"/>
      <c r="E345" s="165"/>
      <c r="F345" s="165"/>
      <c r="G345" s="165"/>
      <c r="H345" s="165"/>
      <c r="I345" s="165"/>
      <c r="J345" s="165"/>
      <c r="K345" s="165"/>
      <c r="L345" s="165"/>
      <c r="M345" s="165"/>
      <c r="N345" s="165"/>
      <c r="O345" s="165"/>
      <c r="P345" s="165"/>
      <c r="Q345" s="165"/>
      <c r="R345" s="165"/>
      <c r="S345" s="165"/>
      <c r="T345" s="165"/>
      <c r="U345" s="165"/>
      <c r="V345" s="209"/>
    </row>
    <row r="346" spans="1:22">
      <c r="B346" s="208" t="s">
        <v>311</v>
      </c>
      <c r="C346" s="165" t="s">
        <v>350</v>
      </c>
      <c r="D346" s="165" t="s">
        <v>351</v>
      </c>
      <c r="E346" s="165" t="s">
        <v>352</v>
      </c>
      <c r="F346" s="165" t="s">
        <v>367</v>
      </c>
      <c r="G346" s="235" t="s">
        <v>365</v>
      </c>
      <c r="H346" s="165"/>
      <c r="I346" s="165" t="s">
        <v>311</v>
      </c>
      <c r="J346" s="165" t="s">
        <v>350</v>
      </c>
      <c r="K346" s="165" t="s">
        <v>351</v>
      </c>
      <c r="L346" s="165" t="s">
        <v>352</v>
      </c>
      <c r="M346" s="165" t="s">
        <v>353</v>
      </c>
      <c r="N346" s="235" t="s">
        <v>365</v>
      </c>
      <c r="O346" s="165"/>
      <c r="P346" s="165" t="s">
        <v>311</v>
      </c>
      <c r="Q346" s="165" t="s">
        <v>350</v>
      </c>
      <c r="R346" s="165" t="s">
        <v>351</v>
      </c>
      <c r="S346" s="165" t="s">
        <v>352</v>
      </c>
      <c r="T346" s="165" t="s">
        <v>353</v>
      </c>
      <c r="U346" s="235" t="s">
        <v>365</v>
      </c>
      <c r="V346" s="209"/>
    </row>
    <row r="347" spans="1:22">
      <c r="B347" s="208">
        <f>Algandmed!AF406</f>
        <v>0</v>
      </c>
      <c r="C347" s="165">
        <f>SUM(Algandmed!AF406:AI406)</f>
        <v>0</v>
      </c>
      <c r="D347" s="165">
        <f>Algandmed!AJ406+C347+Algandmed!AK406+Algandmed!AL406</f>
        <v>0</v>
      </c>
      <c r="E347" s="165">
        <f>Algandmed!AE406</f>
        <v>0</v>
      </c>
      <c r="F347" s="236" t="e">
        <f>SUM(Algandmed!AF406:AM406)/Algandmed!AE406</f>
        <v>#DIV/0!</v>
      </c>
      <c r="G347" s="237" t="e">
        <f>(($G$292*Algandmed!AF406)+($G$293*Algandmed!AG406)+($G$294*Algandmed!AH406)+($G$295*Algandmed!AI406)+($G$296*Algandmed!AK406)+($G$297*Algandmed!AL406)+($G$298*Algandmed!AJ406)+($G$299*Algandmed!AM406)+((Algandmed!AE406-SUM(Algandmed!AF406:AM406))*Settings!$G$300))/SQRT(Algandmed!AE406)</f>
        <v>#DIV/0!</v>
      </c>
      <c r="H347" s="237"/>
      <c r="I347" s="238">
        <f>Algandmed!AO406</f>
        <v>0</v>
      </c>
      <c r="J347" s="238">
        <f>SUM(Algandmed!AO406:AR406)</f>
        <v>0</v>
      </c>
      <c r="K347" s="238">
        <f>Algandmed!AS406+J347+Algandmed!AT406+Algandmed!AU406</f>
        <v>0</v>
      </c>
      <c r="L347" s="238">
        <f>Algandmed!AN406</f>
        <v>0</v>
      </c>
      <c r="M347" s="236" t="e">
        <f>SUM(Algandmed!AO406:AV406)/Algandmed!AN406</f>
        <v>#DIV/0!</v>
      </c>
      <c r="N347" s="237" t="e">
        <f>(($G$292*Algandmed!AO406)+($G$293*Algandmed!AP406)+($G$294*Algandmed!AQ406)+($G$295*Algandmed!AR406)+($G$296*Algandmed!AT406)+($G$297*Algandmed!AU406)+($G$298*Algandmed!AS406)+($G$299*Algandmed!AV406)+((Algandmed!AN406-SUM(Algandmed!AO406:AV406))*Settings!$G$300))/SQRT(Algandmed!AN406)</f>
        <v>#DIV/0!</v>
      </c>
      <c r="O347" s="165"/>
      <c r="P347" s="165">
        <f>Algandmed!AX406</f>
        <v>0</v>
      </c>
      <c r="Q347" s="165">
        <f>SUM(Algandmed!AX406:BA406)</f>
        <v>0</v>
      </c>
      <c r="R347" s="165">
        <f>Algandmed!BB406+Q347+Algandmed!BC406+Algandmed!BD406</f>
        <v>0</v>
      </c>
      <c r="S347" s="165">
        <f>Algandmed!AW406</f>
        <v>0</v>
      </c>
      <c r="T347" s="236" t="e">
        <f>SUM(Algandmed!AX406:BE406)/Algandmed!AW406</f>
        <v>#DIV/0!</v>
      </c>
      <c r="U347" s="237" t="e">
        <f>(($G$292*Algandmed!AX406)+($G$293*Algandmed!AY406)+($G$294*Algandmed!AZ406)+($G$295*Algandmed!BA406)+($G$296*Algandmed!BC406)+($G$297*Algandmed!BD406)+($G$298*Algandmed!BB406)+($G$299*Algandmed!BE406)+((Algandmed!AW406-SUM(Algandmed!AX406:BE406))*Settings!$G$300))/SQRT(Algandmed!AW406)</f>
        <v>#DIV/0!</v>
      </c>
      <c r="V347" s="209"/>
    </row>
    <row r="348" spans="1:22">
      <c r="B348" s="208"/>
      <c r="C348" s="165"/>
      <c r="D348" s="165"/>
      <c r="E348" s="165"/>
      <c r="F348" s="236"/>
      <c r="G348" s="237"/>
      <c r="H348" s="165"/>
      <c r="I348" s="238"/>
      <c r="J348" s="238"/>
      <c r="K348" s="238"/>
      <c r="L348" s="238"/>
      <c r="M348" s="236"/>
      <c r="N348" s="237"/>
      <c r="O348" s="165"/>
      <c r="P348" s="165"/>
      <c r="Q348" s="165"/>
      <c r="R348" s="165"/>
      <c r="S348" s="165"/>
      <c r="T348" s="236"/>
      <c r="U348" s="237"/>
      <c r="V348" s="209"/>
    </row>
    <row r="349" spans="1:22">
      <c r="B349" s="208"/>
      <c r="C349" s="165"/>
      <c r="D349" s="165"/>
      <c r="E349" s="165"/>
      <c r="F349" s="236"/>
      <c r="G349" s="237"/>
      <c r="H349" s="165"/>
      <c r="I349" s="238">
        <f>Algandmed!AO408</f>
        <v>0</v>
      </c>
      <c r="J349" s="238">
        <f>SUM(Algandmed!AO408:AR408)</f>
        <v>0</v>
      </c>
      <c r="K349" s="238">
        <f>Algandmed!AS408+J349+Algandmed!AT408+Algandmed!AU408</f>
        <v>0</v>
      </c>
      <c r="L349" s="238">
        <f>Algandmed!AN408</f>
        <v>0</v>
      </c>
      <c r="M349" s="236" t="e">
        <f>SUM(Algandmed!AO408:AV408)/Algandmed!AN408</f>
        <v>#DIV/0!</v>
      </c>
      <c r="N349" s="237" t="e">
        <f>(($G$292*Algandmed!AO408)+($G$293*Algandmed!AP408)+($G$294*Algandmed!AQ408)+($G$295*Algandmed!AR408)+($G$296*Algandmed!AT408)+($G$297*Algandmed!AU408)+($G$298*Algandmed!AS408)+($G$299*Algandmed!AV408)+((Algandmed!AN408-SUM(Algandmed!AO408:AV408))*Settings!$G$300))/SQRT(Algandmed!AN408)</f>
        <v>#DIV/0!</v>
      </c>
      <c r="O349" s="165"/>
      <c r="P349" s="165"/>
      <c r="Q349" s="165"/>
      <c r="R349" s="165"/>
      <c r="S349" s="165"/>
      <c r="T349" s="236"/>
      <c r="U349" s="237"/>
      <c r="V349" s="209"/>
    </row>
    <row r="350" spans="1:22">
      <c r="B350" s="208"/>
      <c r="C350" s="165"/>
      <c r="D350" s="165"/>
      <c r="E350" s="165"/>
      <c r="F350" s="236"/>
      <c r="G350" s="237"/>
      <c r="H350" s="165"/>
      <c r="I350" s="238"/>
      <c r="J350" s="238"/>
      <c r="K350" s="238"/>
      <c r="L350" s="238"/>
      <c r="M350" s="236"/>
      <c r="N350" s="237"/>
      <c r="O350" s="165"/>
      <c r="P350" s="165"/>
      <c r="Q350" s="165"/>
      <c r="R350" s="165"/>
      <c r="S350" s="165"/>
      <c r="T350" s="236"/>
      <c r="U350" s="237"/>
      <c r="V350" s="209"/>
    </row>
    <row r="351" spans="1:22">
      <c r="B351" s="208">
        <f>Algandmed!AF410</f>
        <v>0</v>
      </c>
      <c r="C351" s="165">
        <f>SUM(Algandmed!AF410:AI410)</f>
        <v>0</v>
      </c>
      <c r="D351" s="165">
        <f>Algandmed!AJ410+C351+Algandmed!AK410+Algandmed!AL410</f>
        <v>0</v>
      </c>
      <c r="E351" s="165">
        <f>Algandmed!AE410</f>
        <v>0</v>
      </c>
      <c r="F351" s="236" t="e">
        <f>SUM(Algandmed!AF410:AM410)/Algandmed!AE410</f>
        <v>#DIV/0!</v>
      </c>
      <c r="G351" s="237" t="e">
        <f>(($G$292*Algandmed!AF410)+($G$293*Algandmed!AG410)+($G$294*Algandmed!AH410)+($G$295*Algandmed!AI410)+($G$296*Algandmed!AK410)+($G$297*Algandmed!AL410)+($G$298*Algandmed!AJ410)+($G$299*Algandmed!AM410)+((Algandmed!AE410-SUM(Algandmed!AF410:AM410))*Settings!$G$300))/SQRT(Algandmed!AE410)</f>
        <v>#DIV/0!</v>
      </c>
      <c r="H351" s="165"/>
      <c r="I351" s="238">
        <f>Algandmed!AO410</f>
        <v>0</v>
      </c>
      <c r="J351" s="238">
        <f>SUM(Algandmed!AO410:AR410)</f>
        <v>0</v>
      </c>
      <c r="K351" s="238">
        <f>Algandmed!AS410+J351+Algandmed!AT410+Algandmed!AU410</f>
        <v>0</v>
      </c>
      <c r="L351" s="238">
        <f>Algandmed!AN410</f>
        <v>0</v>
      </c>
      <c r="M351" s="236" t="e">
        <f>SUM(Algandmed!AO410:AV410)/Algandmed!AN410</f>
        <v>#DIV/0!</v>
      </c>
      <c r="N351" s="237" t="e">
        <f>(($G$292*Algandmed!AO410)+($G$293*Algandmed!AP410)+($G$294*Algandmed!AQ410)+($G$295*Algandmed!AR410)+($G$296*Algandmed!AT410)+($G$297*Algandmed!AU410)+($G$298*Algandmed!AS410)+($G$299*Algandmed!AV410)+((Algandmed!AN410-SUM(Algandmed!AO410:AV410))*Settings!$G$300))/SQRT(Algandmed!AN410)</f>
        <v>#DIV/0!</v>
      </c>
      <c r="O351" s="165"/>
      <c r="P351" s="165">
        <f>Algandmed!AX410</f>
        <v>0</v>
      </c>
      <c r="Q351" s="165">
        <f>SUM(Algandmed!AX410:BA410)</f>
        <v>0</v>
      </c>
      <c r="R351" s="165">
        <f>Algandmed!BB410+Q351+Algandmed!BC410+Algandmed!BD410</f>
        <v>0</v>
      </c>
      <c r="S351" s="165">
        <f>Algandmed!AW410</f>
        <v>0</v>
      </c>
      <c r="T351" s="236" t="e">
        <f>SUM(Algandmed!AX410:BE410)/Algandmed!AW410</f>
        <v>#DIV/0!</v>
      </c>
      <c r="U351" s="237" t="e">
        <f>(($G$292*Algandmed!AX410)+($G$293*Algandmed!AY410)+($G$294*Algandmed!AZ410)+($G$295*Algandmed!BA410)+($G$296*Algandmed!BC410)+($G$297*Algandmed!BD410)+($G$298*Algandmed!BB410)+($G$299*Algandmed!BE410)+((Algandmed!AW410-SUM(Algandmed!AX410:BE410))*Settings!$G$300))/SQRT(Algandmed!AW410)</f>
        <v>#DIV/0!</v>
      </c>
      <c r="V351" s="209"/>
    </row>
    <row r="352" spans="1:22">
      <c r="B352" s="208"/>
      <c r="C352" s="165"/>
      <c r="D352" s="165"/>
      <c r="E352" s="165"/>
      <c r="F352" s="236"/>
      <c r="G352" s="237"/>
      <c r="H352" s="165"/>
      <c r="I352" s="238"/>
      <c r="J352" s="238"/>
      <c r="K352" s="238"/>
      <c r="L352" s="238"/>
      <c r="M352" s="236"/>
      <c r="N352" s="237"/>
      <c r="O352" s="165"/>
      <c r="P352" s="165"/>
      <c r="Q352" s="165"/>
      <c r="R352" s="165"/>
      <c r="S352" s="165"/>
      <c r="T352" s="236"/>
      <c r="U352" s="237"/>
      <c r="V352" s="209"/>
    </row>
    <row r="353" spans="2:22">
      <c r="B353" s="208">
        <f>Algandmed!AF412</f>
        <v>0</v>
      </c>
      <c r="C353" s="165">
        <f>SUM(Algandmed!AF412:AI412)</f>
        <v>0</v>
      </c>
      <c r="D353" s="165">
        <f>Algandmed!AJ412+C353+Algandmed!AK412+Algandmed!AL412</f>
        <v>0</v>
      </c>
      <c r="E353" s="165">
        <f>Algandmed!AE412</f>
        <v>0</v>
      </c>
      <c r="F353" s="236" t="e">
        <f>SUM(Algandmed!AF412:AM412)/Algandmed!AE412</f>
        <v>#DIV/0!</v>
      </c>
      <c r="G353" s="237" t="e">
        <f>(($G$292*Algandmed!AF412)+($G$293*Algandmed!AG412)+($G$294*Algandmed!AH412)+($G$295*Algandmed!AI412)+($G$296*Algandmed!AK412)+($G$297*Algandmed!AL412)+($G$298*Algandmed!AJ412)+($G$299*Algandmed!AM412)+((Algandmed!AE412-SUM(Algandmed!AF412:AM412))*Settings!$G$300))/SQRT(Algandmed!AE412)</f>
        <v>#DIV/0!</v>
      </c>
      <c r="H353" s="165"/>
      <c r="I353" s="238">
        <f>Algandmed!AO412</f>
        <v>0</v>
      </c>
      <c r="J353" s="238">
        <f>SUM(Algandmed!AO412:AR412)</f>
        <v>0</v>
      </c>
      <c r="K353" s="238">
        <f>Algandmed!AS412+J353+Algandmed!AT412+Algandmed!AU412</f>
        <v>0</v>
      </c>
      <c r="L353" s="238">
        <f>Algandmed!AN412</f>
        <v>0</v>
      </c>
      <c r="M353" s="236" t="e">
        <f>SUM(Algandmed!AO412:AV412)/Algandmed!AN412</f>
        <v>#DIV/0!</v>
      </c>
      <c r="N353" s="237" t="e">
        <f>(($G$292*Algandmed!AO412)+($G$293*Algandmed!AP412)+($G$294*Algandmed!AQ412)+($G$295*Algandmed!AR412)+($G$296*Algandmed!AT412)+($G$297*Algandmed!AU412)+($G$298*Algandmed!AS412)+($G$299*Algandmed!AV412)+((Algandmed!AN412-SUM(Algandmed!AO412:AV412))*Settings!$G$300))/SQRT(Algandmed!AN412)</f>
        <v>#DIV/0!</v>
      </c>
      <c r="O353" s="165"/>
      <c r="P353" s="165">
        <f>Algandmed!AX412</f>
        <v>0</v>
      </c>
      <c r="Q353" s="165">
        <f>SUM(Algandmed!AX412:BA412)</f>
        <v>0</v>
      </c>
      <c r="R353" s="165">
        <f>Algandmed!BB412+Q353+Algandmed!BC412+Algandmed!BD412</f>
        <v>0</v>
      </c>
      <c r="S353" s="165">
        <f>Algandmed!AW412</f>
        <v>0</v>
      </c>
      <c r="T353" s="236" t="e">
        <f>SUM(Algandmed!AX412:BE412)/Algandmed!AW412</f>
        <v>#DIV/0!</v>
      </c>
      <c r="U353" s="237" t="e">
        <f>(($G$292*Algandmed!AX412)+($G$293*Algandmed!AY412)+($G$294*Algandmed!AZ412)+($G$295*Algandmed!BA412)+($G$296*Algandmed!BC412)+($G$297*Algandmed!BD412)+($G$298*Algandmed!BB412)+($G$299*Algandmed!BE412)+((Algandmed!AW412-SUM(Algandmed!AX412:BE412))*Settings!$G$300))/SQRT(Algandmed!AW412)</f>
        <v>#DIV/0!</v>
      </c>
      <c r="V353" s="209"/>
    </row>
    <row r="354" spans="2:22">
      <c r="B354" s="208"/>
      <c r="C354" s="165"/>
      <c r="D354" s="165"/>
      <c r="E354" s="165"/>
      <c r="F354" s="236"/>
      <c r="G354" s="237"/>
      <c r="H354" s="165"/>
      <c r="I354" s="238"/>
      <c r="J354" s="238"/>
      <c r="K354" s="238"/>
      <c r="L354" s="238"/>
      <c r="M354" s="236"/>
      <c r="N354" s="237"/>
      <c r="O354" s="165"/>
      <c r="P354" s="165"/>
      <c r="Q354" s="165"/>
      <c r="R354" s="165"/>
      <c r="S354" s="165"/>
      <c r="T354" s="236"/>
      <c r="U354" s="237"/>
      <c r="V354" s="209"/>
    </row>
    <row r="355" spans="2:22">
      <c r="B355" s="208">
        <f>Algandmed!AF414</f>
        <v>0</v>
      </c>
      <c r="C355" s="165">
        <f>SUM(Algandmed!AF414:AI414)</f>
        <v>0</v>
      </c>
      <c r="D355" s="165">
        <f>Algandmed!AJ414+C355+Algandmed!AK414+Algandmed!AL414</f>
        <v>0</v>
      </c>
      <c r="E355" s="165">
        <f>Algandmed!AE414</f>
        <v>0</v>
      </c>
      <c r="F355" s="236" t="e">
        <f>SUM(Algandmed!AF414:AM414)/Algandmed!AE414</f>
        <v>#DIV/0!</v>
      </c>
      <c r="G355" s="237" t="e">
        <f>(($G$292*Algandmed!AF414)+($G$293*Algandmed!AG414)+($G$294*Algandmed!AH414)+($G$295*Algandmed!AI414)+($G$296*Algandmed!AK414)+($G$297*Algandmed!AL414)+($G$298*Algandmed!AJ414)+($G$299*Algandmed!AM414)+((Algandmed!AE414-SUM(Algandmed!AF414:AM414))*Settings!$G$300))/SQRT(Algandmed!AE414)</f>
        <v>#DIV/0!</v>
      </c>
      <c r="H355" s="165"/>
      <c r="I355" s="238">
        <f>Algandmed!AO414</f>
        <v>0</v>
      </c>
      <c r="J355" s="238">
        <f>SUM(Algandmed!AO414:AR414)</f>
        <v>0</v>
      </c>
      <c r="K355" s="238">
        <f>Algandmed!AS414+J355+Algandmed!AT414+Algandmed!AU414</f>
        <v>0</v>
      </c>
      <c r="L355" s="238">
        <f>Algandmed!AN414</f>
        <v>0</v>
      </c>
      <c r="M355" s="236" t="e">
        <f>SUM(Algandmed!AO414:AV414)/Algandmed!AN414</f>
        <v>#DIV/0!</v>
      </c>
      <c r="N355" s="237" t="e">
        <f>(($G$292*Algandmed!AO414)+($G$293*Algandmed!AP414)+($G$294*Algandmed!AQ414)+($G$295*Algandmed!AR414)+($G$296*Algandmed!AT414)+($G$297*Algandmed!AU414)+($G$298*Algandmed!AS414)+($G$299*Algandmed!AV414)+((Algandmed!AN414-SUM(Algandmed!AO414:AV414))*Settings!$G$300))/SQRT(Algandmed!AN414)</f>
        <v>#DIV/0!</v>
      </c>
      <c r="O355" s="165"/>
      <c r="P355" s="165">
        <f>Algandmed!AX414</f>
        <v>0</v>
      </c>
      <c r="Q355" s="165">
        <f>SUM(Algandmed!AX414:BA414)</f>
        <v>0</v>
      </c>
      <c r="R355" s="165">
        <f>Algandmed!BB414+Q355+Algandmed!BC414+Algandmed!BD414</f>
        <v>0</v>
      </c>
      <c r="S355" s="165">
        <f>Algandmed!AW414</f>
        <v>0</v>
      </c>
      <c r="T355" s="236" t="e">
        <f>SUM(Algandmed!AX414:BE414)/Algandmed!AW414</f>
        <v>#DIV/0!</v>
      </c>
      <c r="U355" s="237" t="e">
        <f>(($G$292*Algandmed!AX414)+($G$293*Algandmed!AY414)+($G$294*Algandmed!AZ414)+($G$295*Algandmed!BA414)+($G$296*Algandmed!BC414)+($G$297*Algandmed!BD414)+($G$298*Algandmed!BB414)+($G$299*Algandmed!BE414)+((Algandmed!AW414-SUM(Algandmed!AX414:BE414))*Settings!$G$300))/SQRT(Algandmed!AW414)</f>
        <v>#DIV/0!</v>
      </c>
      <c r="V355" s="209"/>
    </row>
    <row r="356" spans="2:22">
      <c r="B356" s="208"/>
      <c r="C356" s="165"/>
      <c r="D356" s="165"/>
      <c r="E356" s="165"/>
      <c r="F356" s="236"/>
      <c r="G356" s="237"/>
      <c r="H356" s="165"/>
      <c r="I356" s="238"/>
      <c r="J356" s="238"/>
      <c r="K356" s="238"/>
      <c r="L356" s="238"/>
      <c r="M356" s="236"/>
      <c r="N356" s="237"/>
      <c r="O356" s="165"/>
      <c r="P356" s="165"/>
      <c r="Q356" s="165"/>
      <c r="R356" s="165"/>
      <c r="S356" s="165"/>
      <c r="T356" s="236"/>
      <c r="U356" s="237"/>
      <c r="V356" s="209"/>
    </row>
    <row r="357" spans="2:22">
      <c r="B357" s="208">
        <f>Algandmed!AF416</f>
        <v>0</v>
      </c>
      <c r="C357" s="165">
        <f>SUM(Algandmed!AF416:AI416)</f>
        <v>0</v>
      </c>
      <c r="D357" s="165">
        <f>Algandmed!AJ416+C357+Algandmed!AK416+Algandmed!AL416</f>
        <v>0</v>
      </c>
      <c r="E357" s="165">
        <f>Algandmed!AE416</f>
        <v>0</v>
      </c>
      <c r="F357" s="236" t="e">
        <f>SUM(Algandmed!AF416:AM416)/Algandmed!AE416</f>
        <v>#DIV/0!</v>
      </c>
      <c r="G357" s="237" t="e">
        <f>(($G$292*Algandmed!AF416)+($G$293*Algandmed!AG416)+($G$294*Algandmed!AH416)+($G$295*Algandmed!AI416)+($G$296*Algandmed!AK416)+($G$297*Algandmed!AL416)+($G$298*Algandmed!AJ416)+($G$299*Algandmed!AM416)+((Algandmed!AE416-SUM(Algandmed!AF416:AM416))*Settings!$G$300))/SQRT(Algandmed!AE416)</f>
        <v>#DIV/0!</v>
      </c>
      <c r="H357" s="165"/>
      <c r="I357" s="238">
        <f>Algandmed!AO416</f>
        <v>0</v>
      </c>
      <c r="J357" s="238">
        <f>SUM(Algandmed!AO416:AR416)</f>
        <v>0</v>
      </c>
      <c r="K357" s="238">
        <f>Algandmed!AS416+J357+Algandmed!AT416+Algandmed!AU416</f>
        <v>0</v>
      </c>
      <c r="L357" s="238">
        <f>Algandmed!AN416</f>
        <v>0</v>
      </c>
      <c r="M357" s="236" t="e">
        <f>SUM(Algandmed!AO416:AV416)/Algandmed!AN416</f>
        <v>#DIV/0!</v>
      </c>
      <c r="N357" s="237" t="e">
        <f>(($G$292*Algandmed!AO416)+($G$293*Algandmed!AP416)+($G$294*Algandmed!AQ416)+($G$295*Algandmed!AR416)+($G$296*Algandmed!AT416)+($G$297*Algandmed!AU416)+($G$298*Algandmed!AS416)+($G$299*Algandmed!AV416)+((Algandmed!AN416-SUM(Algandmed!AO416:AV416))*Settings!$G$300))/SQRT(Algandmed!AN416)</f>
        <v>#DIV/0!</v>
      </c>
      <c r="O357" s="165"/>
      <c r="P357" s="165">
        <f>Algandmed!AX416</f>
        <v>0</v>
      </c>
      <c r="Q357" s="165">
        <f>SUM(Algandmed!AX416:BA416)</f>
        <v>0</v>
      </c>
      <c r="R357" s="165">
        <f>Algandmed!BB416+Q357+Algandmed!BC416+Algandmed!BD416</f>
        <v>0</v>
      </c>
      <c r="S357" s="165">
        <f>Algandmed!AW416</f>
        <v>0</v>
      </c>
      <c r="T357" s="236" t="e">
        <f>SUM(Algandmed!AX416:BE416)/Algandmed!AW416</f>
        <v>#DIV/0!</v>
      </c>
      <c r="U357" s="237" t="e">
        <f>(($G$292*Algandmed!AX416)+($G$293*Algandmed!AY416)+($G$294*Algandmed!AZ416)+($G$295*Algandmed!BA416)+($G$296*Algandmed!BC416)+($G$297*Algandmed!BD416)+($G$298*Algandmed!BB416)+($G$299*Algandmed!BE416)+((Algandmed!AW416-SUM(Algandmed!AX416:BE416))*Settings!$G$300))/SQRT(Algandmed!AW416)</f>
        <v>#DIV/0!</v>
      </c>
      <c r="V357" s="209"/>
    </row>
    <row r="358" spans="2:22">
      <c r="B358" s="208"/>
      <c r="C358" s="165"/>
      <c r="D358" s="165"/>
      <c r="E358" s="165"/>
      <c r="F358" s="236"/>
      <c r="G358" s="237"/>
      <c r="H358" s="165"/>
      <c r="I358" s="238"/>
      <c r="J358" s="238"/>
      <c r="K358" s="238"/>
      <c r="L358" s="238"/>
      <c r="M358" s="236"/>
      <c r="N358" s="237"/>
      <c r="O358" s="165"/>
      <c r="P358" s="165"/>
      <c r="Q358" s="165"/>
      <c r="R358" s="165"/>
      <c r="S358" s="165"/>
      <c r="T358" s="236"/>
      <c r="U358" s="237"/>
      <c r="V358" s="209"/>
    </row>
    <row r="359" spans="2:22">
      <c r="B359" s="208"/>
      <c r="C359" s="165"/>
      <c r="D359" s="165"/>
      <c r="E359" s="165"/>
      <c r="F359" s="236"/>
      <c r="G359" s="237"/>
      <c r="H359" s="165"/>
      <c r="I359" s="238">
        <f>Algandmed!AO418</f>
        <v>0</v>
      </c>
      <c r="J359" s="238">
        <f>SUM(Algandmed!AO418:AR418)</f>
        <v>0</v>
      </c>
      <c r="K359" s="238">
        <f>Algandmed!AS418+J359+Algandmed!AT418+Algandmed!AU418</f>
        <v>0</v>
      </c>
      <c r="L359" s="238">
        <f>Algandmed!AN418</f>
        <v>0</v>
      </c>
      <c r="M359" s="236" t="e">
        <f>SUM(Algandmed!AO418:AV418)/Algandmed!AN418</f>
        <v>#DIV/0!</v>
      </c>
      <c r="N359" s="237" t="e">
        <f>(($G$292*Algandmed!AO418)+($G$293*Algandmed!AP418)+($G$294*Algandmed!AQ418)+($G$295*Algandmed!AR418)+($G$296*Algandmed!AT418)+($G$297*Algandmed!AU418)+($G$298*Algandmed!AS418)+($G$299*Algandmed!AV418)+((Algandmed!AN418-SUM(Algandmed!AO418:AV418))*Settings!$G$300))/SQRT(Algandmed!AN418)</f>
        <v>#DIV/0!</v>
      </c>
      <c r="O359" s="165"/>
      <c r="P359" s="165"/>
      <c r="Q359" s="165"/>
      <c r="R359" s="165"/>
      <c r="S359" s="165"/>
      <c r="T359" s="236"/>
      <c r="U359" s="237"/>
      <c r="V359" s="209"/>
    </row>
    <row r="360" spans="2:22">
      <c r="B360" s="208"/>
      <c r="C360" s="165"/>
      <c r="D360" s="165"/>
      <c r="E360" s="165"/>
      <c r="F360" s="236"/>
      <c r="G360" s="237"/>
      <c r="H360" s="165"/>
      <c r="I360" s="238"/>
      <c r="J360" s="238"/>
      <c r="K360" s="238"/>
      <c r="L360" s="238"/>
      <c r="M360" s="236"/>
      <c r="N360" s="237"/>
      <c r="O360" s="165"/>
      <c r="P360" s="165"/>
      <c r="Q360" s="165"/>
      <c r="R360" s="165"/>
      <c r="S360" s="165"/>
      <c r="T360" s="236"/>
      <c r="U360" s="237"/>
      <c r="V360" s="209"/>
    </row>
    <row r="361" spans="2:22">
      <c r="B361" s="208">
        <f>Algandmed!AF420</f>
        <v>0</v>
      </c>
      <c r="C361" s="165">
        <f>SUM(Algandmed!AF420:AI420)</f>
        <v>0</v>
      </c>
      <c r="D361" s="165">
        <f>Algandmed!AJ420+C361+Algandmed!AK420+Algandmed!AL420</f>
        <v>0</v>
      </c>
      <c r="E361" s="165">
        <f>Algandmed!AE420</f>
        <v>0</v>
      </c>
      <c r="F361" s="236" t="e">
        <f>SUM(Algandmed!AF420:AM420)/Algandmed!AE420</f>
        <v>#DIV/0!</v>
      </c>
      <c r="G361" s="237" t="e">
        <f>(($G$292*Algandmed!AF420)+($G$293*Algandmed!AG420)+($G$294*Algandmed!AH420)+($G$295*Algandmed!AI420)+($G$296*Algandmed!AK420)+($G$297*Algandmed!AL420)+($G$298*Algandmed!AJ420)+($G$299*Algandmed!AM420)+((Algandmed!AE420-SUM(Algandmed!AF420:AM420))*Settings!$G$300))/SQRT(Algandmed!AE420)</f>
        <v>#DIV/0!</v>
      </c>
      <c r="H361" s="165"/>
      <c r="I361" s="238">
        <f>Algandmed!AO420</f>
        <v>0</v>
      </c>
      <c r="J361" s="238">
        <f>SUM(Algandmed!AO420:AR420)</f>
        <v>0</v>
      </c>
      <c r="K361" s="238">
        <f>Algandmed!AS420+J361+Algandmed!AT420+Algandmed!AU420</f>
        <v>0</v>
      </c>
      <c r="L361" s="238">
        <f>Algandmed!AN420</f>
        <v>0</v>
      </c>
      <c r="M361" s="236" t="e">
        <f>SUM(Algandmed!AO420:AV420)/Algandmed!AN420</f>
        <v>#DIV/0!</v>
      </c>
      <c r="N361" s="237" t="e">
        <f>(($G$292*Algandmed!AO420)+($G$293*Algandmed!AP420)+($G$294*Algandmed!AQ420)+($G$295*Algandmed!AR420)+($G$296*Algandmed!AT420)+($G$297*Algandmed!AU420)+($G$298*Algandmed!AS420)+($G$299*Algandmed!AV420)+((Algandmed!AN420-SUM(Algandmed!AO420:AV420))*Settings!$G$300))/SQRT(Algandmed!AN420)</f>
        <v>#DIV/0!</v>
      </c>
      <c r="O361" s="165"/>
      <c r="P361" s="165">
        <f>Algandmed!AX420</f>
        <v>0</v>
      </c>
      <c r="Q361" s="165">
        <f>SUM(Algandmed!AX420:BA420)</f>
        <v>0</v>
      </c>
      <c r="R361" s="165">
        <f>Algandmed!BB420+Q361+Algandmed!BC420+Algandmed!BD420</f>
        <v>0</v>
      </c>
      <c r="S361" s="165">
        <f>Algandmed!AW420</f>
        <v>0</v>
      </c>
      <c r="T361" s="236" t="e">
        <f>SUM(Algandmed!AX420:BE420)/Algandmed!AW420</f>
        <v>#DIV/0!</v>
      </c>
      <c r="U361" s="237" t="e">
        <f>(($G$292*Algandmed!AX420)+($G$293*Algandmed!AY420)+($G$294*Algandmed!AZ420)+($G$295*Algandmed!BA420)+($G$296*Algandmed!BC420)+($G$297*Algandmed!BD420)+($G$298*Algandmed!BB420)+($G$299*Algandmed!BE420)+((Algandmed!AW420-SUM(Algandmed!AX420:BE420))*Settings!$G$300))/SQRT(Algandmed!AW420)</f>
        <v>#DIV/0!</v>
      </c>
      <c r="V361" s="209"/>
    </row>
    <row r="362" spans="2:22">
      <c r="B362" s="208"/>
      <c r="C362" s="165"/>
      <c r="D362" s="165"/>
      <c r="E362" s="165"/>
      <c r="F362" s="165"/>
      <c r="G362" s="165"/>
      <c r="H362" s="165"/>
      <c r="I362" s="165"/>
      <c r="J362" s="165"/>
      <c r="K362" s="165"/>
      <c r="L362" s="165"/>
      <c r="M362" s="165"/>
      <c r="N362" s="165"/>
      <c r="O362" s="165"/>
      <c r="P362" s="165"/>
      <c r="Q362" s="165"/>
      <c r="R362" s="165"/>
      <c r="S362" s="165"/>
      <c r="T362" s="165"/>
      <c r="U362" s="165"/>
      <c r="V362" s="209"/>
    </row>
    <row r="363" spans="2:22">
      <c r="B363" s="212"/>
      <c r="C363" s="213"/>
      <c r="D363" s="213"/>
      <c r="E363" s="213"/>
      <c r="F363" s="213"/>
      <c r="G363" s="213"/>
      <c r="H363" s="213"/>
      <c r="I363" s="213"/>
      <c r="J363" s="213"/>
      <c r="K363" s="213"/>
      <c r="L363" s="213"/>
      <c r="M363" s="213"/>
      <c r="N363" s="213"/>
      <c r="O363" s="213"/>
      <c r="P363" s="213"/>
      <c r="Q363" s="213"/>
      <c r="R363" s="213"/>
      <c r="S363" s="213"/>
      <c r="T363" s="213"/>
      <c r="U363" s="213"/>
      <c r="V363" s="214"/>
    </row>
    <row r="365" spans="2:22">
      <c r="B365" s="205"/>
      <c r="C365" s="206"/>
      <c r="D365" s="206"/>
      <c r="E365" s="206"/>
      <c r="F365" s="206"/>
      <c r="G365" s="206"/>
      <c r="H365" s="206"/>
      <c r="I365" s="206"/>
      <c r="J365" s="206"/>
      <c r="K365" s="206"/>
      <c r="L365" s="206"/>
      <c r="M365" s="392" t="s">
        <v>368</v>
      </c>
      <c r="N365" s="392"/>
      <c r="O365" s="393"/>
      <c r="P365" s="207"/>
    </row>
    <row r="366" spans="2:22" ht="21">
      <c r="B366" s="208"/>
      <c r="C366" s="165"/>
      <c r="D366" s="389" t="s">
        <v>369</v>
      </c>
      <c r="E366" s="389"/>
      <c r="F366" s="389"/>
      <c r="G366" s="389"/>
      <c r="H366" s="389"/>
      <c r="I366" s="389"/>
      <c r="J366" s="389"/>
      <c r="K366" s="389"/>
      <c r="L366" s="165"/>
      <c r="M366" s="390"/>
      <c r="N366" s="390"/>
      <c r="O366" s="391"/>
      <c r="P366" s="209"/>
    </row>
    <row r="367" spans="2:22">
      <c r="B367" s="208"/>
      <c r="C367" s="165"/>
      <c r="D367" s="165"/>
      <c r="E367" s="165"/>
      <c r="F367" s="165"/>
      <c r="G367" s="165"/>
      <c r="H367" s="165"/>
      <c r="I367" s="165"/>
      <c r="J367" s="165"/>
      <c r="K367" s="165"/>
      <c r="L367" s="165"/>
      <c r="M367" s="390"/>
      <c r="N367" s="390"/>
      <c r="O367" s="391"/>
      <c r="P367" s="209"/>
    </row>
    <row r="368" spans="2:22">
      <c r="B368" s="208" t="s">
        <v>371</v>
      </c>
      <c r="C368" s="165"/>
      <c r="D368" s="165"/>
      <c r="E368" s="165"/>
      <c r="F368" s="165"/>
      <c r="G368" s="165"/>
      <c r="H368" s="165"/>
      <c r="I368" s="165"/>
      <c r="J368" s="165"/>
      <c r="K368" s="165"/>
      <c r="L368" s="165"/>
      <c r="M368" s="390"/>
      <c r="N368" s="390"/>
      <c r="O368" s="391"/>
      <c r="P368" s="209"/>
    </row>
    <row r="369" spans="2:16">
      <c r="B369" s="208" t="s">
        <v>376</v>
      </c>
      <c r="C369" s="165"/>
      <c r="D369" s="165"/>
      <c r="E369" s="165"/>
      <c r="F369" s="165"/>
      <c r="G369" s="165"/>
      <c r="H369" s="165"/>
      <c r="I369" s="165"/>
      <c r="J369" s="165"/>
      <c r="K369" s="165"/>
      <c r="L369" s="165"/>
      <c r="M369" s="165"/>
      <c r="N369" s="165"/>
      <c r="O369" s="165"/>
      <c r="P369" s="209"/>
    </row>
    <row r="370" spans="2:16" s="115" customFormat="1">
      <c r="B370" s="208" t="s">
        <v>373</v>
      </c>
      <c r="C370" s="165"/>
      <c r="D370" s="165"/>
      <c r="E370" s="165"/>
      <c r="F370" s="165"/>
      <c r="G370" s="165"/>
      <c r="H370" s="165"/>
      <c r="I370" s="165"/>
      <c r="J370" s="165"/>
      <c r="K370" s="165"/>
      <c r="L370" s="165"/>
      <c r="M370" s="165"/>
      <c r="N370" s="165"/>
      <c r="O370" s="165"/>
      <c r="P370" s="209"/>
    </row>
    <row r="371" spans="2:16">
      <c r="B371" s="208" t="s">
        <v>374</v>
      </c>
      <c r="C371" s="165"/>
      <c r="D371" s="165"/>
      <c r="E371" s="165"/>
      <c r="F371" s="165"/>
      <c r="G371" s="165"/>
      <c r="H371" s="165"/>
      <c r="I371" s="165"/>
      <c r="J371" s="165"/>
      <c r="K371" s="165"/>
      <c r="L371" s="165"/>
      <c r="M371" s="165"/>
      <c r="N371" s="165"/>
      <c r="O371" s="165"/>
      <c r="P371" s="209"/>
    </row>
    <row r="372" spans="2:16" s="115" customFormat="1">
      <c r="B372" s="208" t="s">
        <v>380</v>
      </c>
      <c r="C372" s="165"/>
      <c r="D372" s="165"/>
      <c r="E372" s="165"/>
      <c r="F372" s="165"/>
      <c r="G372" s="165"/>
      <c r="H372" s="165"/>
      <c r="I372" s="165"/>
      <c r="J372" s="165"/>
      <c r="K372" s="165"/>
      <c r="L372" s="165"/>
      <c r="M372" s="165"/>
      <c r="N372" s="165"/>
      <c r="O372" s="165"/>
      <c r="P372" s="209"/>
    </row>
    <row r="373" spans="2:16">
      <c r="B373" s="208"/>
      <c r="C373" s="165" t="s">
        <v>438</v>
      </c>
      <c r="D373" s="165" t="s">
        <v>439</v>
      </c>
      <c r="E373" s="165"/>
      <c r="F373" s="165"/>
      <c r="G373" s="398" t="s">
        <v>375</v>
      </c>
      <c r="H373" s="398"/>
      <c r="I373" s="165"/>
      <c r="J373" s="165"/>
      <c r="K373" s="165"/>
      <c r="L373" s="165"/>
      <c r="M373" s="165"/>
      <c r="N373" s="165"/>
      <c r="O373" s="165"/>
      <c r="P373" s="209"/>
    </row>
    <row r="374" spans="2:16">
      <c r="B374" s="165" t="s">
        <v>2</v>
      </c>
      <c r="C374">
        <v>80</v>
      </c>
      <c r="D374" s="165">
        <v>100</v>
      </c>
      <c r="E374" s="234"/>
      <c r="F374" s="165"/>
      <c r="G374" s="398"/>
      <c r="H374" s="398"/>
      <c r="I374" s="165"/>
      <c r="J374" s="165" t="s">
        <v>378</v>
      </c>
      <c r="K374" s="165">
        <v>5</v>
      </c>
      <c r="L374" s="165"/>
      <c r="M374" s="165"/>
      <c r="N374" s="165"/>
      <c r="O374" s="165"/>
      <c r="P374" s="209"/>
    </row>
    <row r="375" spans="2:16">
      <c r="B375" s="165" t="s">
        <v>2</v>
      </c>
      <c r="C375">
        <v>60</v>
      </c>
      <c r="D375" s="165">
        <v>79</v>
      </c>
      <c r="E375" s="233"/>
      <c r="F375" s="165"/>
      <c r="G375" s="398"/>
      <c r="H375" s="398"/>
      <c r="I375" s="165"/>
      <c r="J375" s="165" t="s">
        <v>379</v>
      </c>
      <c r="K375" s="165">
        <v>1</v>
      </c>
      <c r="L375" s="165"/>
      <c r="M375" s="165"/>
      <c r="N375" s="165"/>
      <c r="O375" s="165"/>
      <c r="P375" s="209"/>
    </row>
    <row r="376" spans="2:16">
      <c r="B376" s="165" t="s">
        <v>2</v>
      </c>
      <c r="C376">
        <v>10</v>
      </c>
      <c r="D376" s="165">
        <v>59</v>
      </c>
      <c r="E376" s="232"/>
      <c r="F376" s="165"/>
      <c r="G376" s="398"/>
      <c r="H376" s="398"/>
      <c r="I376" s="165"/>
      <c r="J376" s="165"/>
      <c r="K376" s="165"/>
      <c r="L376" s="165"/>
      <c r="M376" s="165"/>
      <c r="N376" s="165"/>
      <c r="O376" s="165"/>
      <c r="P376" s="209"/>
    </row>
    <row r="377" spans="2:16">
      <c r="B377" s="208"/>
      <c r="C377" s="165"/>
      <c r="D377" s="165"/>
      <c r="E377" s="165"/>
      <c r="F377" s="165"/>
      <c r="G377" s="398"/>
      <c r="H377" s="398"/>
      <c r="I377" s="165"/>
      <c r="J377" s="165"/>
      <c r="K377" s="165"/>
      <c r="L377" s="165"/>
      <c r="M377" s="165"/>
      <c r="N377" s="165"/>
      <c r="O377" s="165"/>
      <c r="P377" s="209"/>
    </row>
    <row r="378" spans="2:16">
      <c r="B378" s="208"/>
      <c r="C378" s="165"/>
      <c r="D378" s="165"/>
      <c r="E378" s="165"/>
      <c r="F378" s="165"/>
      <c r="G378" s="398"/>
      <c r="H378" s="398"/>
      <c r="I378" s="165"/>
      <c r="J378" s="165"/>
      <c r="K378" s="165"/>
      <c r="L378" s="165"/>
      <c r="M378" s="165"/>
      <c r="N378" s="165"/>
      <c r="O378" s="165"/>
      <c r="P378" s="209"/>
    </row>
    <row r="379" spans="2:16">
      <c r="B379" s="208"/>
      <c r="C379" s="165"/>
      <c r="D379" s="165">
        <f>MAX(F383:F397,J383:J397,N383:N397)</f>
        <v>0</v>
      </c>
      <c r="E379" s="165"/>
      <c r="F379" s="165"/>
      <c r="G379" s="398"/>
      <c r="H379" s="398"/>
      <c r="I379" s="165"/>
      <c r="J379" s="165"/>
      <c r="K379" s="165"/>
      <c r="L379" s="165"/>
      <c r="M379" s="165"/>
      <c r="N379" s="165"/>
      <c r="O379" s="165"/>
      <c r="P379" s="209"/>
    </row>
    <row r="380" spans="2:16">
      <c r="B380" s="208"/>
      <c r="C380" s="165"/>
      <c r="D380" s="165"/>
      <c r="E380" s="165"/>
      <c r="F380" s="165"/>
      <c r="G380" s="165"/>
      <c r="H380" s="165"/>
      <c r="I380" s="165"/>
      <c r="J380" s="165"/>
      <c r="K380" s="165"/>
      <c r="L380" s="165"/>
      <c r="M380" s="165"/>
      <c r="N380" s="165"/>
      <c r="O380" s="165"/>
      <c r="P380" s="209"/>
    </row>
    <row r="381" spans="2:16">
      <c r="B381" s="208"/>
      <c r="C381" s="165"/>
      <c r="D381" s="165"/>
      <c r="E381" s="165"/>
      <c r="F381" s="165"/>
      <c r="G381" s="165"/>
      <c r="H381" s="165"/>
      <c r="I381" s="165"/>
      <c r="J381" s="165"/>
      <c r="K381" s="165"/>
      <c r="L381" s="165"/>
      <c r="M381" s="165"/>
      <c r="N381" s="165"/>
      <c r="O381" s="165"/>
      <c r="P381" s="209"/>
    </row>
    <row r="382" spans="2:16">
      <c r="B382" s="208"/>
      <c r="C382" s="165"/>
      <c r="D382" s="165" t="s">
        <v>311</v>
      </c>
      <c r="E382" s="165" t="s">
        <v>350</v>
      </c>
      <c r="F382" s="165" t="s">
        <v>377</v>
      </c>
      <c r="G382" s="165"/>
      <c r="H382" s="165" t="s">
        <v>311</v>
      </c>
      <c r="I382" s="165" t="s">
        <v>350</v>
      </c>
      <c r="J382" s="165" t="s">
        <v>377</v>
      </c>
      <c r="K382" s="165"/>
      <c r="L382" s="165" t="s">
        <v>311</v>
      </c>
      <c r="M382" s="165" t="s">
        <v>350</v>
      </c>
      <c r="N382" s="165" t="s">
        <v>377</v>
      </c>
      <c r="O382" s="165"/>
      <c r="P382" s="209"/>
    </row>
    <row r="383" spans="2:16">
      <c r="B383" s="208"/>
      <c r="C383" s="165"/>
      <c r="D383" s="165">
        <f>Algandmed!AE427</f>
        <v>0</v>
      </c>
      <c r="E383" s="165">
        <f>Algandmed!AF427</f>
        <v>0</v>
      </c>
      <c r="F383" s="165">
        <f>(D383*$K$374)+(E383*$K$375)</f>
        <v>0</v>
      </c>
      <c r="G383" s="165"/>
      <c r="H383" s="165">
        <f>Algandmed!AH427</f>
        <v>0</v>
      </c>
      <c r="I383" s="165">
        <f>Algandmed!AI427</f>
        <v>0</v>
      </c>
      <c r="J383" s="165">
        <f>(H383*$K$374)+(I383*$K$375)</f>
        <v>0</v>
      </c>
      <c r="K383" s="165"/>
      <c r="L383" s="165">
        <f>Algandmed!AK427</f>
        <v>0</v>
      </c>
      <c r="M383" s="165">
        <f>Algandmed!AL427</f>
        <v>0</v>
      </c>
      <c r="N383" s="165">
        <f>(L383*$K$374)+(M383*$K$375)</f>
        <v>0</v>
      </c>
      <c r="O383" s="165"/>
      <c r="P383" s="209"/>
    </row>
    <row r="384" spans="2:16">
      <c r="B384" s="208"/>
      <c r="C384" s="165"/>
      <c r="D384" s="165"/>
      <c r="E384" s="165"/>
      <c r="F384" s="165"/>
      <c r="G384" s="165"/>
      <c r="H384" s="165"/>
      <c r="I384" s="165"/>
      <c r="J384" s="165"/>
      <c r="K384" s="165"/>
      <c r="L384" s="165"/>
      <c r="M384" s="165"/>
      <c r="N384" s="165"/>
      <c r="O384" s="165"/>
      <c r="P384" s="209"/>
    </row>
    <row r="385" spans="1:16">
      <c r="B385" s="208"/>
      <c r="C385" s="165"/>
      <c r="D385" s="165"/>
      <c r="E385" s="165"/>
      <c r="F385" s="165"/>
      <c r="G385" s="165"/>
      <c r="H385" s="165">
        <f>Algandmed!AH429</f>
        <v>0</v>
      </c>
      <c r="I385" s="165">
        <f>Algandmed!AI429</f>
        <v>0</v>
      </c>
      <c r="J385" s="165">
        <f t="shared" ref="J385:J397" si="2">(H385*$K$374)+(I385*$K$375)</f>
        <v>0</v>
      </c>
      <c r="K385" s="165"/>
      <c r="L385" s="165"/>
      <c r="M385" s="165"/>
      <c r="N385" s="165"/>
      <c r="O385" s="165"/>
      <c r="P385" s="209"/>
    </row>
    <row r="386" spans="1:16">
      <c r="B386" s="208"/>
      <c r="C386" s="165"/>
      <c r="D386" s="165"/>
      <c r="E386" s="165"/>
      <c r="F386" s="165"/>
      <c r="G386" s="165"/>
      <c r="H386" s="165"/>
      <c r="I386" s="165"/>
      <c r="J386" s="165"/>
      <c r="K386" s="165"/>
      <c r="L386" s="165"/>
      <c r="M386" s="165"/>
      <c r="N386" s="165"/>
      <c r="O386" s="165"/>
      <c r="P386" s="209"/>
    </row>
    <row r="387" spans="1:16">
      <c r="B387" s="208"/>
      <c r="C387" s="165"/>
      <c r="D387" s="165">
        <f>Algandmed!AE431</f>
        <v>0</v>
      </c>
      <c r="E387" s="165">
        <f>Algandmed!AF431</f>
        <v>0</v>
      </c>
      <c r="F387" s="165">
        <f t="shared" ref="F387:F397" si="3">(D387*K378)+(E387*K379)</f>
        <v>0</v>
      </c>
      <c r="G387" s="165"/>
      <c r="H387" s="165">
        <f>Algandmed!AH431</f>
        <v>0</v>
      </c>
      <c r="I387" s="165">
        <f>Algandmed!AI431</f>
        <v>0</v>
      </c>
      <c r="J387" s="165">
        <f t="shared" si="2"/>
        <v>0</v>
      </c>
      <c r="K387" s="165"/>
      <c r="L387" s="165">
        <f>Algandmed!AK431</f>
        <v>0</v>
      </c>
      <c r="M387" s="165">
        <f>Algandmed!AL431</f>
        <v>0</v>
      </c>
      <c r="N387" s="165">
        <f t="shared" ref="N387:N397" si="4">(L387*$K$374)+(M387*$K$375)</f>
        <v>0</v>
      </c>
      <c r="O387" s="165"/>
      <c r="P387" s="209"/>
    </row>
    <row r="388" spans="1:16">
      <c r="B388" s="208"/>
      <c r="C388" s="165"/>
      <c r="D388" s="165"/>
      <c r="E388" s="165"/>
      <c r="F388" s="165"/>
      <c r="G388" s="165"/>
      <c r="H388" s="165"/>
      <c r="I388" s="165"/>
      <c r="J388" s="165"/>
      <c r="K388" s="165"/>
      <c r="L388" s="165"/>
      <c r="M388" s="165"/>
      <c r="N388" s="165"/>
      <c r="O388" s="165"/>
      <c r="P388" s="209"/>
    </row>
    <row r="389" spans="1:16">
      <c r="A389" t="s">
        <v>457</v>
      </c>
      <c r="B389" s="208"/>
      <c r="C389" s="165"/>
      <c r="D389" s="165">
        <f>Algandmed!AE433</f>
        <v>0</v>
      </c>
      <c r="E389" s="165">
        <f>Algandmed!AF433</f>
        <v>0</v>
      </c>
      <c r="F389" s="165">
        <f t="shared" si="3"/>
        <v>0</v>
      </c>
      <c r="G389" s="165"/>
      <c r="H389" s="165">
        <f>Algandmed!AH433</f>
        <v>0</v>
      </c>
      <c r="I389" s="165">
        <f>Algandmed!AI433</f>
        <v>0</v>
      </c>
      <c r="J389" s="165">
        <f t="shared" si="2"/>
        <v>0</v>
      </c>
      <c r="K389" s="165"/>
      <c r="L389" s="165">
        <f>Algandmed!AK433</f>
        <v>0</v>
      </c>
      <c r="M389" s="165">
        <f>Algandmed!AL433</f>
        <v>0</v>
      </c>
      <c r="N389" s="165">
        <f t="shared" si="4"/>
        <v>0</v>
      </c>
      <c r="O389" s="165"/>
      <c r="P389" s="209"/>
    </row>
    <row r="390" spans="1:16">
      <c r="B390" s="208"/>
      <c r="C390" s="165"/>
      <c r="D390" s="165"/>
      <c r="E390" s="165"/>
      <c r="F390" s="165"/>
      <c r="G390" s="165"/>
      <c r="H390" s="165"/>
      <c r="I390" s="165"/>
      <c r="J390" s="165"/>
      <c r="K390" s="165"/>
      <c r="L390" s="165"/>
      <c r="M390" s="165"/>
      <c r="N390" s="165"/>
      <c r="O390" s="165"/>
      <c r="P390" s="209"/>
    </row>
    <row r="391" spans="1:16">
      <c r="B391" s="208"/>
      <c r="C391" s="165"/>
      <c r="D391" s="165">
        <f>Algandmed!AE435</f>
        <v>0</v>
      </c>
      <c r="E391" s="165">
        <f>Algandmed!AF435</f>
        <v>0</v>
      </c>
      <c r="F391" s="165">
        <f t="shared" si="3"/>
        <v>0</v>
      </c>
      <c r="G391" s="165"/>
      <c r="H391" s="165">
        <f>Algandmed!AH435</f>
        <v>0</v>
      </c>
      <c r="I391" s="165">
        <f>Algandmed!AI435</f>
        <v>0</v>
      </c>
      <c r="J391" s="165">
        <f t="shared" si="2"/>
        <v>0</v>
      </c>
      <c r="K391" s="165"/>
      <c r="L391" s="165">
        <f>Algandmed!AK435</f>
        <v>0</v>
      </c>
      <c r="M391" s="165">
        <f>Algandmed!AL435</f>
        <v>0</v>
      </c>
      <c r="N391" s="165">
        <f t="shared" si="4"/>
        <v>0</v>
      </c>
      <c r="O391" s="165"/>
      <c r="P391" s="209"/>
    </row>
    <row r="392" spans="1:16">
      <c r="B392" s="208"/>
      <c r="C392" s="165"/>
      <c r="D392" s="165"/>
      <c r="E392" s="165"/>
      <c r="F392" s="165"/>
      <c r="G392" s="165"/>
      <c r="H392" s="165"/>
      <c r="I392" s="165"/>
      <c r="J392" s="165"/>
      <c r="K392" s="165"/>
      <c r="L392" s="165"/>
      <c r="M392" s="165"/>
      <c r="N392" s="165"/>
      <c r="O392" s="165"/>
      <c r="P392" s="209"/>
    </row>
    <row r="393" spans="1:16">
      <c r="B393" s="208"/>
      <c r="C393" s="165"/>
      <c r="D393" s="165">
        <f>Algandmed!AE437</f>
        <v>0</v>
      </c>
      <c r="E393" s="165">
        <f>Algandmed!AF437</f>
        <v>0</v>
      </c>
      <c r="F393" s="165">
        <f t="shared" si="3"/>
        <v>0</v>
      </c>
      <c r="G393" s="165"/>
      <c r="H393" s="165">
        <f>Algandmed!AH437</f>
        <v>0</v>
      </c>
      <c r="I393" s="165">
        <f>Algandmed!AI437</f>
        <v>0</v>
      </c>
      <c r="J393" s="165">
        <f t="shared" si="2"/>
        <v>0</v>
      </c>
      <c r="K393" s="165"/>
      <c r="L393" s="165">
        <f>Algandmed!AK437</f>
        <v>0</v>
      </c>
      <c r="M393" s="165">
        <f>Algandmed!AL437</f>
        <v>0</v>
      </c>
      <c r="N393" s="165">
        <f t="shared" si="4"/>
        <v>0</v>
      </c>
      <c r="O393" s="165"/>
      <c r="P393" s="209"/>
    </row>
    <row r="394" spans="1:16">
      <c r="B394" s="208"/>
      <c r="C394" s="165"/>
      <c r="D394" s="165"/>
      <c r="E394" s="165"/>
      <c r="F394" s="165"/>
      <c r="G394" s="165"/>
      <c r="H394" s="165"/>
      <c r="I394" s="165"/>
      <c r="J394" s="165"/>
      <c r="K394" s="165"/>
      <c r="L394" s="165"/>
      <c r="M394" s="165"/>
      <c r="N394" s="165"/>
      <c r="O394" s="165"/>
      <c r="P394" s="209"/>
    </row>
    <row r="395" spans="1:16">
      <c r="B395" s="208"/>
      <c r="C395" s="165"/>
      <c r="D395" s="165"/>
      <c r="E395" s="165"/>
      <c r="F395" s="165"/>
      <c r="G395" s="165"/>
      <c r="H395" s="165">
        <f>Algandmed!AH439</f>
        <v>0</v>
      </c>
      <c r="I395" s="165">
        <f>Algandmed!AI439</f>
        <v>0</v>
      </c>
      <c r="J395" s="165">
        <f t="shared" si="2"/>
        <v>0</v>
      </c>
      <c r="K395" s="165"/>
      <c r="L395" s="165"/>
      <c r="M395" s="165"/>
      <c r="N395" s="165"/>
      <c r="O395" s="165"/>
      <c r="P395" s="209"/>
    </row>
    <row r="396" spans="1:16">
      <c r="B396" s="208"/>
      <c r="C396" s="165"/>
      <c r="D396" s="165"/>
      <c r="E396" s="165"/>
      <c r="F396" s="165"/>
      <c r="G396" s="165"/>
      <c r="H396" s="165"/>
      <c r="I396" s="165"/>
      <c r="J396" s="165"/>
      <c r="K396" s="165"/>
      <c r="L396" s="165"/>
      <c r="M396" s="165"/>
      <c r="N396" s="165"/>
      <c r="O396" s="165"/>
      <c r="P396" s="209"/>
    </row>
    <row r="397" spans="1:16">
      <c r="B397" s="208"/>
      <c r="C397" s="165"/>
      <c r="D397" s="165">
        <f>Algandmed!AE441</f>
        <v>0</v>
      </c>
      <c r="E397" s="165">
        <f>Algandmed!AF441</f>
        <v>0</v>
      </c>
      <c r="F397" s="165">
        <f t="shared" si="3"/>
        <v>0</v>
      </c>
      <c r="G397" s="165"/>
      <c r="H397" s="165">
        <f>Algandmed!AH441</f>
        <v>0</v>
      </c>
      <c r="I397" s="165">
        <f>Algandmed!AI441</f>
        <v>0</v>
      </c>
      <c r="J397" s="165">
        <f t="shared" si="2"/>
        <v>0</v>
      </c>
      <c r="K397" s="165"/>
      <c r="L397" s="165">
        <f>Algandmed!AK441</f>
        <v>0</v>
      </c>
      <c r="M397" s="165">
        <f>Algandmed!AL441</f>
        <v>0</v>
      </c>
      <c r="N397" s="165">
        <f t="shared" si="4"/>
        <v>0</v>
      </c>
      <c r="O397" s="165"/>
      <c r="P397" s="209"/>
    </row>
    <row r="398" spans="1:16">
      <c r="B398" s="208"/>
      <c r="C398" s="165"/>
      <c r="D398" s="165"/>
      <c r="E398" s="165"/>
      <c r="F398" s="165"/>
      <c r="G398" s="165"/>
      <c r="H398" s="165"/>
      <c r="I398" s="165"/>
      <c r="J398" s="165"/>
      <c r="K398" s="165"/>
      <c r="L398" s="165"/>
      <c r="M398" s="165"/>
      <c r="N398" s="165"/>
      <c r="O398" s="165"/>
      <c r="P398" s="209"/>
    </row>
    <row r="399" spans="1:16">
      <c r="B399" s="212"/>
      <c r="C399" s="213"/>
      <c r="D399" s="213"/>
      <c r="E399" s="213"/>
      <c r="F399" s="213"/>
      <c r="G399" s="213"/>
      <c r="H399" s="213"/>
      <c r="I399" s="213"/>
      <c r="J399" s="213"/>
      <c r="K399" s="213"/>
      <c r="L399" s="213"/>
      <c r="M399" s="213"/>
      <c r="N399" s="213"/>
      <c r="O399" s="213"/>
      <c r="P399" s="214"/>
    </row>
    <row r="400" spans="1:16">
      <c r="D400" s="115"/>
    </row>
    <row r="401" spans="2:16">
      <c r="B401" s="205"/>
      <c r="C401" s="206"/>
      <c r="D401" s="206"/>
      <c r="E401" s="206"/>
      <c r="F401" s="206"/>
      <c r="G401" s="206"/>
      <c r="H401" s="206"/>
      <c r="I401" s="206"/>
      <c r="J401" s="206"/>
      <c r="K401" s="206"/>
      <c r="L401" s="206"/>
      <c r="M401" s="392" t="s">
        <v>383</v>
      </c>
      <c r="N401" s="392"/>
      <c r="O401" s="393"/>
      <c r="P401" s="207"/>
    </row>
    <row r="402" spans="2:16" ht="21">
      <c r="B402" s="208"/>
      <c r="C402" s="165"/>
      <c r="D402" s="389" t="s">
        <v>369</v>
      </c>
      <c r="E402" s="389"/>
      <c r="F402" s="389"/>
      <c r="G402" s="389"/>
      <c r="H402" s="389"/>
      <c r="I402" s="389"/>
      <c r="J402" s="389"/>
      <c r="K402" s="389"/>
      <c r="L402" s="165"/>
      <c r="M402" s="390"/>
      <c r="N402" s="390"/>
      <c r="O402" s="391"/>
      <c r="P402" s="209"/>
    </row>
    <row r="403" spans="2:16">
      <c r="B403" s="208"/>
      <c r="C403" s="165"/>
      <c r="D403" s="165"/>
      <c r="E403" s="165"/>
      <c r="F403" s="165"/>
      <c r="G403" s="165"/>
      <c r="H403" s="165"/>
      <c r="I403" s="165"/>
      <c r="J403" s="165"/>
      <c r="K403" s="165"/>
      <c r="L403" s="165"/>
      <c r="M403" s="390"/>
      <c r="N403" s="390"/>
      <c r="O403" s="391"/>
      <c r="P403" s="209"/>
    </row>
    <row r="404" spans="2:16">
      <c r="B404" s="208" t="s">
        <v>371</v>
      </c>
      <c r="C404" s="165"/>
      <c r="D404" s="165"/>
      <c r="E404" s="165"/>
      <c r="F404" s="165"/>
      <c r="G404" s="165"/>
      <c r="H404" s="165"/>
      <c r="I404" s="165"/>
      <c r="J404" s="165"/>
      <c r="K404" s="165"/>
      <c r="L404" s="165"/>
      <c r="M404" s="390"/>
      <c r="N404" s="390"/>
      <c r="O404" s="391"/>
      <c r="P404" s="209"/>
    </row>
    <row r="405" spans="2:16">
      <c r="B405" s="208" t="s">
        <v>376</v>
      </c>
      <c r="C405" s="165"/>
      <c r="D405" s="165"/>
      <c r="E405" s="165"/>
      <c r="F405" s="165"/>
      <c r="G405" s="165"/>
      <c r="H405" s="165"/>
      <c r="I405" s="165"/>
      <c r="J405" s="165"/>
      <c r="K405" s="165"/>
      <c r="L405" s="165"/>
      <c r="M405" s="165"/>
      <c r="N405" s="165"/>
      <c r="O405" s="165"/>
      <c r="P405" s="209"/>
    </row>
    <row r="406" spans="2:16">
      <c r="B406" s="208" t="s">
        <v>382</v>
      </c>
      <c r="C406" s="165"/>
      <c r="D406" s="165"/>
      <c r="E406" s="165"/>
      <c r="F406" s="165"/>
      <c r="G406" s="165"/>
      <c r="H406" s="165"/>
      <c r="I406" s="165"/>
      <c r="J406" s="165"/>
      <c r="K406" s="165"/>
      <c r="L406" s="165"/>
      <c r="M406" s="165"/>
      <c r="N406" s="165"/>
      <c r="O406" s="165"/>
      <c r="P406" s="209"/>
    </row>
    <row r="407" spans="2:16">
      <c r="B407" s="208" t="s">
        <v>374</v>
      </c>
      <c r="C407" s="165"/>
      <c r="D407" s="165"/>
      <c r="E407" s="165"/>
      <c r="F407" s="165"/>
      <c r="G407" s="165"/>
      <c r="H407" s="165"/>
      <c r="I407" s="165"/>
      <c r="J407" s="165"/>
      <c r="K407" s="165"/>
      <c r="L407" s="165"/>
      <c r="M407" s="165"/>
      <c r="N407" s="165"/>
      <c r="O407" s="165"/>
      <c r="P407" s="209"/>
    </row>
    <row r="408" spans="2:16">
      <c r="B408" s="208" t="s">
        <v>381</v>
      </c>
      <c r="C408" s="165"/>
      <c r="D408" s="165"/>
      <c r="E408" s="165"/>
      <c r="F408" s="165"/>
      <c r="G408" s="165"/>
      <c r="H408" s="165"/>
      <c r="I408" s="165"/>
      <c r="J408" s="165"/>
      <c r="K408" s="165"/>
      <c r="L408" s="165"/>
      <c r="M408" s="165"/>
      <c r="N408" s="165"/>
      <c r="O408" s="165"/>
      <c r="P408" s="209"/>
    </row>
    <row r="409" spans="2:16">
      <c r="B409" s="165" t="s">
        <v>372</v>
      </c>
      <c r="C409">
        <v>80</v>
      </c>
      <c r="D409" s="165">
        <v>100</v>
      </c>
      <c r="E409" s="229"/>
      <c r="F409" s="165"/>
      <c r="G409" s="398" t="s">
        <v>375</v>
      </c>
      <c r="H409" s="398"/>
      <c r="I409" s="165"/>
      <c r="J409" s="165"/>
      <c r="K409" s="165"/>
      <c r="L409" s="165"/>
      <c r="M409" s="165"/>
      <c r="N409" s="165"/>
      <c r="O409" s="165"/>
      <c r="P409" s="209"/>
    </row>
    <row r="410" spans="2:16">
      <c r="B410" s="165" t="s">
        <v>372</v>
      </c>
      <c r="C410">
        <v>60</v>
      </c>
      <c r="D410" s="165">
        <v>79</v>
      </c>
      <c r="E410" s="230"/>
      <c r="F410" s="165"/>
      <c r="G410" s="398"/>
      <c r="H410" s="398"/>
      <c r="I410" s="165"/>
      <c r="J410" s="165" t="s">
        <v>378</v>
      </c>
      <c r="K410" s="165">
        <v>5</v>
      </c>
      <c r="L410" s="165"/>
      <c r="M410" s="165"/>
      <c r="N410" s="165"/>
      <c r="O410" s="165"/>
      <c r="P410" s="209"/>
    </row>
    <row r="411" spans="2:16">
      <c r="B411" s="165" t="s">
        <v>372</v>
      </c>
      <c r="C411">
        <v>10</v>
      </c>
      <c r="D411" s="165">
        <v>59</v>
      </c>
      <c r="E411" s="231"/>
      <c r="F411" s="165"/>
      <c r="G411" s="398"/>
      <c r="H411" s="398"/>
      <c r="I411" s="165"/>
      <c r="J411" s="165" t="s">
        <v>379</v>
      </c>
      <c r="K411" s="165">
        <v>1</v>
      </c>
      <c r="L411" s="165"/>
      <c r="M411" s="165"/>
      <c r="N411" s="165"/>
      <c r="O411" s="165"/>
      <c r="P411" s="209"/>
    </row>
    <row r="412" spans="2:16">
      <c r="B412" s="208"/>
      <c r="C412" s="165"/>
      <c r="D412" s="165"/>
      <c r="E412" s="165"/>
      <c r="F412" s="165"/>
      <c r="G412" s="398"/>
      <c r="H412" s="398"/>
      <c r="I412" s="165"/>
      <c r="J412" s="165"/>
      <c r="K412" s="165"/>
      <c r="L412" s="165"/>
      <c r="M412" s="165"/>
      <c r="N412" s="165"/>
      <c r="O412" s="165"/>
      <c r="P412" s="209"/>
    </row>
    <row r="413" spans="2:16">
      <c r="B413" s="208"/>
      <c r="C413" s="165"/>
      <c r="D413" s="165"/>
      <c r="E413" s="165"/>
      <c r="F413" s="165"/>
      <c r="G413" s="398"/>
      <c r="H413" s="398"/>
      <c r="I413" s="165"/>
      <c r="J413" s="165"/>
      <c r="K413" s="165"/>
      <c r="L413" s="165"/>
      <c r="M413" s="165"/>
      <c r="N413" s="165"/>
      <c r="O413" s="165"/>
      <c r="P413" s="209"/>
    </row>
    <row r="414" spans="2:16">
      <c r="B414" s="208"/>
      <c r="C414" s="165"/>
      <c r="D414" s="165">
        <f>MAX(D418:N432)</f>
        <v>0</v>
      </c>
      <c r="E414" s="165"/>
      <c r="F414" s="165"/>
      <c r="G414" s="398"/>
      <c r="H414" s="398"/>
      <c r="I414" s="165"/>
      <c r="J414" s="165"/>
      <c r="K414" s="165"/>
      <c r="L414" s="165"/>
      <c r="M414" s="165"/>
      <c r="N414" s="165"/>
      <c r="O414" s="165"/>
      <c r="P414" s="209"/>
    </row>
    <row r="415" spans="2:16">
      <c r="B415" s="208"/>
      <c r="C415" s="165"/>
      <c r="E415" s="165"/>
      <c r="F415" s="165"/>
      <c r="G415" s="398"/>
      <c r="H415" s="398"/>
      <c r="I415" s="165"/>
      <c r="J415" s="165"/>
      <c r="K415" s="165"/>
      <c r="L415" s="165"/>
      <c r="M415" s="165"/>
      <c r="N415" s="165"/>
      <c r="O415" s="165"/>
      <c r="P415" s="209"/>
    </row>
    <row r="416" spans="2:16">
      <c r="B416" s="208"/>
      <c r="C416" s="165"/>
      <c r="D416" s="165"/>
      <c r="E416" s="165"/>
      <c r="F416" s="165"/>
      <c r="G416" s="165"/>
      <c r="H416" s="165"/>
      <c r="I416" s="165"/>
      <c r="J416" s="165"/>
      <c r="K416" s="165"/>
      <c r="L416" s="165"/>
      <c r="M416" s="165"/>
      <c r="N416" s="165"/>
      <c r="O416" s="165"/>
      <c r="P416" s="209"/>
    </row>
    <row r="417" spans="1:16">
      <c r="A417" t="s">
        <v>457</v>
      </c>
      <c r="B417" s="208"/>
      <c r="C417" s="165"/>
      <c r="D417" s="165" t="s">
        <v>311</v>
      </c>
      <c r="E417" s="165" t="s">
        <v>350</v>
      </c>
      <c r="F417" s="165" t="s">
        <v>377</v>
      </c>
      <c r="G417" s="165"/>
      <c r="H417" s="165" t="s">
        <v>311</v>
      </c>
      <c r="I417" s="165" t="s">
        <v>350</v>
      </c>
      <c r="J417" s="165" t="s">
        <v>377</v>
      </c>
      <c r="K417" s="165"/>
      <c r="L417" s="165" t="s">
        <v>311</v>
      </c>
      <c r="M417" s="165" t="s">
        <v>350</v>
      </c>
      <c r="N417" s="165" t="s">
        <v>377</v>
      </c>
      <c r="O417" s="165"/>
      <c r="P417" s="209"/>
    </row>
    <row r="418" spans="1:16">
      <c r="B418" s="208"/>
      <c r="C418" s="165"/>
      <c r="D418" s="165">
        <f>Algandmed!AE428</f>
        <v>0</v>
      </c>
      <c r="E418" s="165">
        <f>Algandmed!AF428</f>
        <v>0</v>
      </c>
      <c r="F418" s="165">
        <f>(D418*$K$410)+(E418*$K$411)</f>
        <v>0</v>
      </c>
      <c r="G418" s="165"/>
      <c r="H418" s="165">
        <f>Algandmed!AH428</f>
        <v>0</v>
      </c>
      <c r="I418" s="165">
        <f>Algandmed!AI428</f>
        <v>0</v>
      </c>
      <c r="J418" s="165">
        <f>(H418*$K$410)+(I418*$K$411)</f>
        <v>0</v>
      </c>
      <c r="K418" s="165"/>
      <c r="L418" s="165">
        <f>Algandmed!AK428</f>
        <v>0</v>
      </c>
      <c r="M418" s="165">
        <f>Algandmed!AL428</f>
        <v>0</v>
      </c>
      <c r="N418" s="165">
        <f>(L418*$K$410)+(M418*$K$411)</f>
        <v>0</v>
      </c>
      <c r="O418" s="165"/>
      <c r="P418" s="209"/>
    </row>
    <row r="419" spans="1:16">
      <c r="B419" s="208"/>
      <c r="C419" s="165"/>
      <c r="D419" s="165"/>
      <c r="E419" s="165"/>
      <c r="F419" s="165"/>
      <c r="G419" s="165"/>
      <c r="H419" s="165"/>
      <c r="I419" s="165"/>
      <c r="J419" s="165"/>
      <c r="K419" s="165"/>
      <c r="L419" s="165"/>
      <c r="M419" s="165"/>
      <c r="N419" s="165"/>
      <c r="O419" s="165"/>
      <c r="P419" s="209"/>
    </row>
    <row r="420" spans="1:16">
      <c r="B420" s="208"/>
      <c r="C420" s="165"/>
      <c r="D420" s="165"/>
      <c r="E420" s="165"/>
      <c r="F420" s="165"/>
      <c r="G420" s="165"/>
      <c r="H420" s="165">
        <f>Algandmed!AH430</f>
        <v>0</v>
      </c>
      <c r="I420" s="165">
        <f>Algandmed!AI430</f>
        <v>0</v>
      </c>
      <c r="J420" s="165">
        <f t="shared" ref="J420:J432" si="5">(H420*$K$410)+(I420*$K$411)</f>
        <v>0</v>
      </c>
      <c r="K420" s="165"/>
      <c r="L420" s="165"/>
      <c r="M420" s="165"/>
      <c r="N420" s="165"/>
      <c r="O420" s="165"/>
      <c r="P420" s="209"/>
    </row>
    <row r="421" spans="1:16">
      <c r="B421" s="208"/>
      <c r="C421" s="165"/>
      <c r="D421" s="165"/>
      <c r="E421" s="165"/>
      <c r="F421" s="165"/>
      <c r="G421" s="165"/>
      <c r="H421" s="165"/>
      <c r="I421" s="165"/>
      <c r="J421" s="165"/>
      <c r="K421" s="165"/>
      <c r="L421" s="165"/>
      <c r="M421" s="165"/>
      <c r="N421" s="165"/>
      <c r="O421" s="165"/>
      <c r="P421" s="209"/>
    </row>
    <row r="422" spans="1:16">
      <c r="B422" s="208"/>
      <c r="C422" s="165"/>
      <c r="D422" s="165">
        <f>Algandmed!AE432</f>
        <v>0</v>
      </c>
      <c r="E422" s="165">
        <f>Algandmed!AF432</f>
        <v>0</v>
      </c>
      <c r="F422" s="165">
        <f t="shared" ref="F422:F432" si="6">(D422*$K$410)+(E422*$K$411)</f>
        <v>0</v>
      </c>
      <c r="G422" s="165"/>
      <c r="H422" s="165">
        <f>Algandmed!AH432</f>
        <v>0</v>
      </c>
      <c r="I422" s="165">
        <f>Algandmed!AI432</f>
        <v>0</v>
      </c>
      <c r="J422" s="165">
        <f t="shared" si="5"/>
        <v>0</v>
      </c>
      <c r="K422" s="165"/>
      <c r="L422" s="165">
        <f>Algandmed!AK432</f>
        <v>0</v>
      </c>
      <c r="M422" s="165">
        <f>Algandmed!AL432</f>
        <v>0</v>
      </c>
      <c r="N422" s="165">
        <f t="shared" ref="N422:N432" si="7">(L422*$K$410)+(M422*$K$411)</f>
        <v>0</v>
      </c>
      <c r="O422" s="165"/>
      <c r="P422" s="209"/>
    </row>
    <row r="423" spans="1:16">
      <c r="B423" s="208"/>
      <c r="C423" s="165"/>
      <c r="D423" s="165"/>
      <c r="E423" s="165"/>
      <c r="F423" s="165"/>
      <c r="G423" s="165"/>
      <c r="H423" s="165"/>
      <c r="I423" s="165"/>
      <c r="J423" s="165"/>
      <c r="K423" s="165"/>
      <c r="L423" s="165"/>
      <c r="M423" s="165"/>
      <c r="N423" s="165"/>
      <c r="O423" s="165"/>
      <c r="P423" s="209"/>
    </row>
    <row r="424" spans="1:16">
      <c r="B424" s="208"/>
      <c r="C424" s="165"/>
      <c r="D424" s="165">
        <f>Algandmed!AE434</f>
        <v>0</v>
      </c>
      <c r="E424" s="165">
        <f>Algandmed!AF434</f>
        <v>0</v>
      </c>
      <c r="F424" s="165">
        <f t="shared" si="6"/>
        <v>0</v>
      </c>
      <c r="G424" s="165"/>
      <c r="H424" s="165">
        <f>Algandmed!AH434</f>
        <v>0</v>
      </c>
      <c r="I424" s="165">
        <f>Algandmed!AI434</f>
        <v>0</v>
      </c>
      <c r="J424" s="165">
        <f t="shared" si="5"/>
        <v>0</v>
      </c>
      <c r="K424" s="165"/>
      <c r="L424" s="165">
        <f>Algandmed!AK434</f>
        <v>0</v>
      </c>
      <c r="M424" s="165">
        <f>Algandmed!AL434</f>
        <v>0</v>
      </c>
      <c r="N424" s="165">
        <f t="shared" si="7"/>
        <v>0</v>
      </c>
      <c r="O424" s="165"/>
      <c r="P424" s="209"/>
    </row>
    <row r="425" spans="1:16">
      <c r="A425" t="s">
        <v>453</v>
      </c>
      <c r="B425" s="208"/>
      <c r="C425" s="165"/>
      <c r="D425" s="165"/>
      <c r="E425" s="165"/>
      <c r="F425" s="165"/>
      <c r="G425" s="165"/>
      <c r="H425" s="165"/>
      <c r="I425" s="165"/>
      <c r="J425" s="165"/>
      <c r="K425" s="165"/>
      <c r="L425" s="165"/>
      <c r="M425" s="165"/>
      <c r="N425" s="165"/>
      <c r="O425" s="165"/>
      <c r="P425" s="209"/>
    </row>
    <row r="426" spans="1:16">
      <c r="B426" s="208"/>
      <c r="C426" s="165"/>
      <c r="D426" s="165">
        <f>Algandmed!AE436</f>
        <v>0</v>
      </c>
      <c r="E426" s="165">
        <f>Algandmed!AF436</f>
        <v>0</v>
      </c>
      <c r="F426" s="165">
        <f t="shared" si="6"/>
        <v>0</v>
      </c>
      <c r="G426" s="165"/>
      <c r="H426" s="165">
        <f>Algandmed!AH436</f>
        <v>0</v>
      </c>
      <c r="I426" s="165">
        <f>Algandmed!AI436</f>
        <v>0</v>
      </c>
      <c r="J426" s="165">
        <f t="shared" si="5"/>
        <v>0</v>
      </c>
      <c r="K426" s="165"/>
      <c r="L426" s="165">
        <f>Algandmed!AK436</f>
        <v>0</v>
      </c>
      <c r="M426" s="165">
        <f>Algandmed!AL436</f>
        <v>0</v>
      </c>
      <c r="N426" s="165">
        <f t="shared" si="7"/>
        <v>0</v>
      </c>
      <c r="O426" s="165"/>
      <c r="P426" s="209"/>
    </row>
    <row r="427" spans="1:16">
      <c r="B427" s="208"/>
      <c r="C427" s="165"/>
      <c r="D427" s="165"/>
      <c r="E427" s="165"/>
      <c r="F427" s="165"/>
      <c r="G427" s="165"/>
      <c r="H427" s="165"/>
      <c r="I427" s="165"/>
      <c r="J427" s="165"/>
      <c r="K427" s="165"/>
      <c r="L427" s="165"/>
      <c r="M427" s="165"/>
      <c r="N427" s="165"/>
      <c r="O427" s="165"/>
      <c r="P427" s="209"/>
    </row>
    <row r="428" spans="1:16">
      <c r="B428" s="208"/>
      <c r="C428" s="165"/>
      <c r="D428" s="165">
        <f>Algandmed!AE438</f>
        <v>0</v>
      </c>
      <c r="E428" s="165">
        <f>Algandmed!AF438</f>
        <v>0</v>
      </c>
      <c r="F428" s="165">
        <f t="shared" si="6"/>
        <v>0</v>
      </c>
      <c r="G428" s="165"/>
      <c r="H428" s="165">
        <f>Algandmed!AH438</f>
        <v>0</v>
      </c>
      <c r="I428" s="165">
        <f>Algandmed!AI438</f>
        <v>0</v>
      </c>
      <c r="J428" s="165">
        <f t="shared" si="5"/>
        <v>0</v>
      </c>
      <c r="K428" s="165"/>
      <c r="L428" s="165">
        <f>Algandmed!AK438</f>
        <v>0</v>
      </c>
      <c r="M428" s="165">
        <f>Algandmed!AL438</f>
        <v>0</v>
      </c>
      <c r="N428" s="165">
        <f t="shared" si="7"/>
        <v>0</v>
      </c>
      <c r="O428" s="165"/>
      <c r="P428" s="209"/>
    </row>
    <row r="429" spans="1:16">
      <c r="B429" s="208"/>
      <c r="C429" s="165"/>
      <c r="D429" s="165"/>
      <c r="E429" s="165"/>
      <c r="F429" s="165"/>
      <c r="G429" s="165"/>
      <c r="H429" s="165"/>
      <c r="I429" s="165"/>
      <c r="J429" s="165"/>
      <c r="K429" s="165"/>
      <c r="L429" s="165"/>
      <c r="M429" s="165"/>
      <c r="N429" s="165"/>
      <c r="O429" s="165"/>
      <c r="P429" s="209"/>
    </row>
    <row r="430" spans="1:16">
      <c r="B430" s="208"/>
      <c r="C430" s="165"/>
      <c r="D430" s="165"/>
      <c r="E430" s="165"/>
      <c r="F430" s="165"/>
      <c r="G430" s="165"/>
      <c r="H430" s="165">
        <f>Algandmed!AH440</f>
        <v>0</v>
      </c>
      <c r="I430" s="165">
        <f>Algandmed!AI440</f>
        <v>0</v>
      </c>
      <c r="J430" s="165">
        <f t="shared" si="5"/>
        <v>0</v>
      </c>
      <c r="K430" s="165"/>
      <c r="L430" s="165"/>
      <c r="M430" s="165"/>
      <c r="N430" s="165"/>
      <c r="O430" s="165"/>
      <c r="P430" s="209"/>
    </row>
    <row r="431" spans="1:16">
      <c r="B431" s="208"/>
      <c r="C431" s="165"/>
      <c r="D431" s="165"/>
      <c r="E431" s="165"/>
      <c r="F431" s="165"/>
      <c r="G431" s="165"/>
      <c r="H431" s="165"/>
      <c r="I431" s="165"/>
      <c r="J431" s="165"/>
      <c r="K431" s="165"/>
      <c r="L431" s="165"/>
      <c r="M431" s="165"/>
      <c r="N431" s="165"/>
      <c r="O431" s="165"/>
      <c r="P431" s="209"/>
    </row>
    <row r="432" spans="1:16">
      <c r="B432" s="208"/>
      <c r="C432" s="165"/>
      <c r="D432" s="165">
        <f>Algandmed!AE442</f>
        <v>0</v>
      </c>
      <c r="E432" s="165">
        <f>Algandmed!AF442</f>
        <v>0</v>
      </c>
      <c r="F432" s="165">
        <f t="shared" si="6"/>
        <v>0</v>
      </c>
      <c r="G432" s="165"/>
      <c r="H432" s="165">
        <f>Algandmed!AH442</f>
        <v>0</v>
      </c>
      <c r="I432" s="165">
        <f>Algandmed!AI442</f>
        <v>0</v>
      </c>
      <c r="J432" s="165">
        <f t="shared" si="5"/>
        <v>0</v>
      </c>
      <c r="K432" s="165"/>
      <c r="L432" s="165">
        <f>Algandmed!AK442</f>
        <v>0</v>
      </c>
      <c r="M432" s="165">
        <f>Algandmed!AL442</f>
        <v>0</v>
      </c>
      <c r="N432" s="165">
        <f t="shared" si="7"/>
        <v>0</v>
      </c>
      <c r="O432" s="165"/>
      <c r="P432" s="209"/>
    </row>
    <row r="433" spans="1:22">
      <c r="B433" s="208"/>
      <c r="C433" s="165"/>
      <c r="D433" s="165"/>
      <c r="E433" s="165"/>
      <c r="F433" s="165"/>
      <c r="G433" s="165"/>
      <c r="H433" s="165"/>
      <c r="I433" s="165"/>
      <c r="J433" s="165"/>
      <c r="K433" s="165"/>
      <c r="L433" s="165"/>
      <c r="M433" s="165"/>
      <c r="N433" s="165"/>
      <c r="O433" s="165"/>
      <c r="P433" s="209"/>
    </row>
    <row r="434" spans="1:22">
      <c r="B434" s="212"/>
      <c r="C434" s="213"/>
      <c r="D434" s="213"/>
      <c r="E434" s="213"/>
      <c r="F434" s="213"/>
      <c r="G434" s="213"/>
      <c r="H434" s="213"/>
      <c r="I434" s="213"/>
      <c r="J434" s="213"/>
      <c r="K434" s="213"/>
      <c r="L434" s="213"/>
      <c r="M434" s="213"/>
      <c r="N434" s="213"/>
      <c r="O434" s="213"/>
      <c r="P434" s="214"/>
    </row>
    <row r="435" spans="1:22"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</row>
    <row r="436" spans="1:22"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</row>
    <row r="437" spans="1:22">
      <c r="B437" s="205"/>
      <c r="C437" s="206"/>
      <c r="D437" s="206"/>
      <c r="E437" s="206"/>
      <c r="F437" s="206"/>
      <c r="G437" s="388" t="s">
        <v>384</v>
      </c>
      <c r="H437" s="388"/>
      <c r="I437" s="388"/>
      <c r="J437" s="388"/>
      <c r="K437" s="388"/>
      <c r="L437" s="388"/>
      <c r="M437" s="388"/>
      <c r="N437" s="206"/>
      <c r="O437" s="206"/>
      <c r="P437" s="206"/>
      <c r="Q437" s="206"/>
      <c r="R437" s="206"/>
      <c r="S437" s="206"/>
      <c r="T437" s="206"/>
      <c r="U437" s="206"/>
      <c r="V437" s="207"/>
    </row>
    <row r="438" spans="1:22">
      <c r="B438" s="208" t="s">
        <v>354</v>
      </c>
      <c r="C438" s="165"/>
      <c r="D438" s="165"/>
      <c r="E438" s="165"/>
      <c r="F438" s="165"/>
      <c r="G438" s="389"/>
      <c r="H438" s="389"/>
      <c r="I438" s="389"/>
      <c r="J438" s="389"/>
      <c r="K438" s="389"/>
      <c r="L438" s="389"/>
      <c r="M438" s="389"/>
      <c r="N438" s="165"/>
      <c r="O438" s="392" t="s">
        <v>390</v>
      </c>
      <c r="P438" s="392"/>
      <c r="Q438" s="393"/>
      <c r="R438" s="165"/>
      <c r="S438" s="165"/>
      <c r="T438" s="165"/>
      <c r="U438" s="165"/>
      <c r="V438" s="209"/>
    </row>
    <row r="439" spans="1:22">
      <c r="B439" s="208" t="s">
        <v>355</v>
      </c>
      <c r="C439" s="165"/>
      <c r="D439" s="165"/>
      <c r="E439" s="165"/>
      <c r="F439" s="165"/>
      <c r="G439" s="165"/>
      <c r="H439" s="165"/>
      <c r="I439" s="165"/>
      <c r="J439" s="165"/>
      <c r="K439" s="165"/>
      <c r="L439" s="165"/>
      <c r="M439" s="165"/>
      <c r="N439" s="165"/>
      <c r="O439" s="390"/>
      <c r="P439" s="390"/>
      <c r="Q439" s="391"/>
      <c r="R439" s="165"/>
      <c r="S439" s="165"/>
      <c r="T439" s="165"/>
      <c r="U439" s="165"/>
      <c r="V439" s="209"/>
    </row>
    <row r="440" spans="1:22">
      <c r="B440" s="208" t="s">
        <v>356</v>
      </c>
      <c r="C440" s="165"/>
      <c r="D440" s="165"/>
      <c r="E440" s="165"/>
      <c r="F440" s="165"/>
      <c r="G440" s="165"/>
      <c r="H440" s="165"/>
      <c r="I440" s="165"/>
      <c r="J440" s="165"/>
      <c r="K440" s="165"/>
      <c r="L440" s="165"/>
      <c r="M440" s="165"/>
      <c r="N440" s="165"/>
      <c r="O440" s="390"/>
      <c r="P440" s="390"/>
      <c r="Q440" s="391"/>
      <c r="R440" s="165"/>
      <c r="S440" s="165"/>
      <c r="T440" s="165"/>
      <c r="U440" s="165"/>
      <c r="V440" s="209"/>
    </row>
    <row r="441" spans="1:22">
      <c r="B441" s="208" t="s">
        <v>357</v>
      </c>
      <c r="C441" s="165"/>
      <c r="D441" s="165"/>
      <c r="E441" s="165"/>
      <c r="F441" s="165"/>
      <c r="G441" s="165"/>
      <c r="H441" s="165"/>
      <c r="I441" s="165"/>
      <c r="J441" s="165"/>
      <c r="K441" s="165"/>
      <c r="L441" s="165"/>
      <c r="M441" s="165"/>
      <c r="N441" s="165"/>
      <c r="O441" s="390"/>
      <c r="P441" s="390"/>
      <c r="Q441" s="391"/>
      <c r="R441" s="165"/>
      <c r="S441" s="165"/>
      <c r="T441" s="165"/>
      <c r="U441" s="165"/>
      <c r="V441" s="209"/>
    </row>
    <row r="442" spans="1:22">
      <c r="A442" s="115" t="s">
        <v>438</v>
      </c>
      <c r="B442" s="208" t="s">
        <v>439</v>
      </c>
      <c r="C442" s="165"/>
      <c r="D442" s="165"/>
      <c r="E442" s="165"/>
      <c r="F442" s="165"/>
      <c r="G442" s="165"/>
      <c r="H442" s="165"/>
      <c r="I442" s="165"/>
      <c r="J442" s="165"/>
      <c r="K442" s="165"/>
      <c r="L442" s="165"/>
      <c r="M442" s="165"/>
      <c r="N442" s="165"/>
      <c r="O442" s="165"/>
      <c r="P442" s="165"/>
      <c r="Q442" s="165"/>
      <c r="R442" s="165"/>
      <c r="S442" s="165"/>
      <c r="T442" s="165"/>
      <c r="U442" s="165"/>
      <c r="V442" s="209"/>
    </row>
    <row r="443" spans="1:22">
      <c r="A443" s="115">
        <v>-999</v>
      </c>
      <c r="B443" s="208">
        <v>-30</v>
      </c>
      <c r="C443" s="229"/>
      <c r="D443" s="165"/>
      <c r="E443" s="165" t="s">
        <v>347</v>
      </c>
      <c r="F443" s="165" t="s">
        <v>2</v>
      </c>
      <c r="G443" s="165" t="s">
        <v>6</v>
      </c>
      <c r="H443" s="165"/>
      <c r="I443" s="165"/>
      <c r="J443" s="165"/>
      <c r="K443" s="165"/>
      <c r="L443" s="165"/>
      <c r="M443" s="165"/>
      <c r="N443" s="165"/>
      <c r="O443" s="165"/>
      <c r="P443" s="165"/>
      <c r="Q443" s="165"/>
      <c r="R443" s="165"/>
      <c r="S443" s="165"/>
      <c r="T443" s="165"/>
      <c r="U443" s="165"/>
      <c r="V443" s="209"/>
    </row>
    <row r="444" spans="1:22">
      <c r="A444" s="115">
        <v>-29.9</v>
      </c>
      <c r="B444" s="208">
        <v>-20</v>
      </c>
      <c r="C444" s="230"/>
      <c r="D444" s="165"/>
      <c r="E444" s="165" t="s">
        <v>703</v>
      </c>
      <c r="F444" s="165">
        <v>100</v>
      </c>
      <c r="G444" s="165">
        <v>-100</v>
      </c>
      <c r="H444" s="165"/>
      <c r="I444" s="165"/>
      <c r="J444" s="165"/>
      <c r="K444" s="165"/>
      <c r="L444" s="165"/>
      <c r="M444" s="165"/>
      <c r="N444" s="165"/>
      <c r="O444" s="165"/>
      <c r="P444" s="165"/>
      <c r="Q444" s="165"/>
      <c r="R444" s="165"/>
      <c r="S444" s="165"/>
      <c r="T444" s="165"/>
      <c r="U444" s="165"/>
      <c r="V444" s="209"/>
    </row>
    <row r="445" spans="1:22">
      <c r="A445" s="115">
        <v>-19.899999999999999</v>
      </c>
      <c r="B445" s="208">
        <v>-5</v>
      </c>
      <c r="C445" s="231"/>
      <c r="D445" s="165"/>
      <c r="E445" s="165" t="s">
        <v>9</v>
      </c>
      <c r="F445" s="165">
        <v>12</v>
      </c>
      <c r="G445" s="165">
        <v>-12</v>
      </c>
      <c r="H445" s="165"/>
      <c r="I445" s="165"/>
      <c r="J445" s="165"/>
      <c r="K445" s="165"/>
      <c r="L445" s="165"/>
      <c r="M445" s="165"/>
      <c r="N445" s="165"/>
      <c r="O445" s="165"/>
      <c r="P445" s="165"/>
      <c r="Q445" s="165"/>
      <c r="R445" s="165"/>
      <c r="S445" s="165"/>
      <c r="T445" s="165"/>
      <c r="U445" s="165"/>
      <c r="V445" s="209"/>
    </row>
    <row r="446" spans="1:22">
      <c r="A446" s="115">
        <v>5</v>
      </c>
      <c r="B446" s="208">
        <v>19.899999999999999</v>
      </c>
      <c r="C446" s="232"/>
      <c r="D446" s="165"/>
      <c r="E446" s="161" t="s">
        <v>8</v>
      </c>
      <c r="F446" s="165">
        <v>10</v>
      </c>
      <c r="G446" s="165">
        <v>-10</v>
      </c>
      <c r="H446" s="165"/>
      <c r="I446" s="165"/>
      <c r="J446" s="165"/>
      <c r="K446" s="165"/>
      <c r="L446" s="165"/>
      <c r="M446" s="165"/>
      <c r="N446" s="165"/>
      <c r="O446" s="165"/>
      <c r="P446" s="165"/>
      <c r="Q446" s="165"/>
      <c r="R446" s="165"/>
      <c r="S446" s="165"/>
      <c r="T446" s="165"/>
      <c r="U446" s="165"/>
      <c r="V446" s="209"/>
    </row>
    <row r="447" spans="1:22">
      <c r="A447" s="115">
        <v>20</v>
      </c>
      <c r="B447" s="208">
        <v>29.9</v>
      </c>
      <c r="C447" s="233"/>
      <c r="D447" s="165"/>
      <c r="E447" s="161" t="s">
        <v>19</v>
      </c>
      <c r="F447" s="161">
        <v>8</v>
      </c>
      <c r="G447" s="161">
        <v>-8</v>
      </c>
      <c r="H447" s="165"/>
      <c r="I447" s="165"/>
      <c r="J447" s="165"/>
      <c r="K447" s="165"/>
      <c r="L447" s="165"/>
      <c r="M447" s="165"/>
      <c r="N447" s="165"/>
      <c r="O447" s="165"/>
      <c r="P447" s="165"/>
      <c r="Q447" s="165"/>
      <c r="R447" s="165"/>
      <c r="S447" s="165"/>
      <c r="T447" s="165"/>
      <c r="U447" s="165"/>
      <c r="V447" s="209"/>
    </row>
    <row r="448" spans="1:22">
      <c r="A448" s="115">
        <v>30</v>
      </c>
      <c r="B448" s="208">
        <v>999</v>
      </c>
      <c r="C448" s="234"/>
      <c r="D448" s="165"/>
      <c r="E448" s="161" t="s">
        <v>7</v>
      </c>
      <c r="F448" s="161">
        <v>6</v>
      </c>
      <c r="G448" s="161">
        <v>-6</v>
      </c>
      <c r="H448" s="165"/>
      <c r="I448" s="165"/>
      <c r="J448" s="165"/>
      <c r="K448" s="165"/>
      <c r="L448" s="165"/>
      <c r="M448" s="165"/>
      <c r="N448" s="165"/>
      <c r="O448" s="165"/>
      <c r="P448" s="165"/>
      <c r="Q448" s="165"/>
      <c r="R448" s="165"/>
      <c r="S448" s="165"/>
      <c r="T448" s="165"/>
      <c r="U448" s="165"/>
      <c r="V448" s="209"/>
    </row>
    <row r="449" spans="1:22">
      <c r="B449" s="208"/>
      <c r="C449" s="165"/>
      <c r="D449" s="165"/>
      <c r="E449" s="161" t="s">
        <v>163</v>
      </c>
      <c r="F449" s="161">
        <v>4</v>
      </c>
      <c r="G449" s="161">
        <v>-4</v>
      </c>
      <c r="H449" s="165"/>
      <c r="I449" s="165"/>
      <c r="J449" s="165"/>
      <c r="K449" s="165"/>
      <c r="L449" s="165"/>
      <c r="M449" s="165"/>
      <c r="N449" s="165"/>
      <c r="O449" s="165"/>
      <c r="P449" s="165"/>
      <c r="Q449" s="165"/>
      <c r="R449" s="165"/>
      <c r="S449" s="165"/>
      <c r="T449" s="165"/>
      <c r="U449" s="165"/>
      <c r="V449" s="209"/>
    </row>
    <row r="450" spans="1:22">
      <c r="B450" s="208"/>
      <c r="C450" s="165"/>
      <c r="D450" s="165"/>
      <c r="E450" s="161" t="s">
        <v>310</v>
      </c>
      <c r="F450" s="161">
        <v>2</v>
      </c>
      <c r="G450" s="161">
        <v>-2</v>
      </c>
      <c r="H450" s="165"/>
      <c r="I450" s="165"/>
      <c r="J450" s="165"/>
      <c r="K450" s="165"/>
      <c r="L450" s="165"/>
      <c r="M450" s="165"/>
      <c r="N450" s="165"/>
      <c r="O450" s="165"/>
      <c r="P450" s="165"/>
      <c r="Q450" s="165"/>
      <c r="R450" s="165"/>
      <c r="S450" s="165"/>
      <c r="T450" s="165"/>
      <c r="U450" s="165"/>
      <c r="V450" s="209"/>
    </row>
    <row r="451" spans="1:22">
      <c r="A451" t="s">
        <v>457</v>
      </c>
      <c r="B451" s="208"/>
      <c r="C451" s="165"/>
      <c r="D451" s="165"/>
      <c r="E451" s="161" t="s">
        <v>156</v>
      </c>
      <c r="F451" s="161">
        <v>1</v>
      </c>
      <c r="G451" s="161">
        <v>-1</v>
      </c>
      <c r="H451" s="165"/>
      <c r="I451" s="165"/>
      <c r="J451" s="165"/>
      <c r="K451" s="165"/>
      <c r="L451" s="165"/>
      <c r="M451" s="165"/>
      <c r="N451" s="165"/>
      <c r="O451" s="165"/>
      <c r="P451" s="165"/>
      <c r="Q451" s="165"/>
      <c r="R451" s="165"/>
      <c r="S451" s="165"/>
      <c r="T451" s="165"/>
      <c r="U451" s="165"/>
      <c r="V451" s="209"/>
    </row>
    <row r="452" spans="1:22">
      <c r="B452" s="208" t="s">
        <v>440</v>
      </c>
      <c r="C452" s="165"/>
      <c r="D452" s="165"/>
      <c r="E452" s="161" t="s">
        <v>3</v>
      </c>
      <c r="F452" s="161">
        <v>-2</v>
      </c>
      <c r="G452" s="161">
        <v>2</v>
      </c>
      <c r="H452" s="165"/>
      <c r="I452" s="165"/>
      <c r="J452" s="165"/>
      <c r="K452" s="165"/>
      <c r="L452" s="165"/>
      <c r="M452" s="165"/>
      <c r="N452" s="165"/>
      <c r="O452" s="165"/>
      <c r="P452" s="165"/>
      <c r="Q452" s="165"/>
      <c r="R452" s="165"/>
      <c r="S452" s="165"/>
      <c r="T452" s="165"/>
      <c r="U452" s="165"/>
      <c r="V452" s="209"/>
    </row>
    <row r="453" spans="1:22">
      <c r="A453" t="s">
        <v>457</v>
      </c>
      <c r="B453" s="208"/>
      <c r="C453" s="165"/>
      <c r="D453" s="165"/>
      <c r="E453" s="165"/>
      <c r="F453" s="165"/>
      <c r="G453" s="165"/>
      <c r="H453" s="165"/>
      <c r="I453" s="165"/>
      <c r="J453" s="165"/>
      <c r="K453" s="165"/>
      <c r="L453" s="165"/>
      <c r="M453" s="165"/>
      <c r="N453" s="165"/>
      <c r="O453" s="165"/>
      <c r="P453" s="165"/>
      <c r="Q453" s="165"/>
      <c r="R453" s="165"/>
      <c r="S453" s="165"/>
      <c r="T453" s="165"/>
      <c r="U453" s="165"/>
      <c r="V453" s="209"/>
    </row>
    <row r="454" spans="1:22">
      <c r="B454" s="208" t="s">
        <v>311</v>
      </c>
      <c r="C454" s="165" t="s">
        <v>350</v>
      </c>
      <c r="D454" s="165" t="s">
        <v>351</v>
      </c>
      <c r="E454" s="165" t="s">
        <v>352</v>
      </c>
      <c r="F454" s="165" t="s">
        <v>353</v>
      </c>
      <c r="G454" s="235" t="s">
        <v>365</v>
      </c>
      <c r="H454" s="165"/>
      <c r="I454" s="165" t="s">
        <v>311</v>
      </c>
      <c r="J454" s="165" t="s">
        <v>350</v>
      </c>
      <c r="K454" s="165" t="s">
        <v>351</v>
      </c>
      <c r="L454" s="165" t="s">
        <v>352</v>
      </c>
      <c r="M454" s="165" t="s">
        <v>353</v>
      </c>
      <c r="N454" s="235" t="s">
        <v>365</v>
      </c>
      <c r="O454" s="165"/>
      <c r="P454" s="165" t="s">
        <v>311</v>
      </c>
      <c r="Q454" s="165" t="s">
        <v>350</v>
      </c>
      <c r="R454" s="165" t="s">
        <v>351</v>
      </c>
      <c r="S454" s="165" t="s">
        <v>352</v>
      </c>
      <c r="T454" s="165" t="s">
        <v>353</v>
      </c>
      <c r="U454" s="235" t="s">
        <v>365</v>
      </c>
      <c r="V454" s="209"/>
    </row>
    <row r="455" spans="1:22">
      <c r="B455" s="208">
        <f>Algandmed!AE491</f>
        <v>0</v>
      </c>
      <c r="C455" s="165">
        <f>SUM(Algandmed!AE491:AH491)</f>
        <v>0</v>
      </c>
      <c r="D455" s="165">
        <f>C455+Algandmed!AI491+Algandmed!AJ491+Algandmed!AK491</f>
        <v>0</v>
      </c>
      <c r="E455" s="165">
        <f>Algandmed!AM491</f>
        <v>0</v>
      </c>
      <c r="F455" s="236" t="e">
        <f>SUM(Algandmed!AE491:AL491)/Algandmed!AM491</f>
        <v>#DIV/0!</v>
      </c>
      <c r="G455" s="237" t="e">
        <f>(($F$292*Algandmed!AE491)+($F$293*Algandmed!AF491)+($F$294*Algandmed!AG491)+($F$295*Algandmed!AH491)+($F$296*Algandmed!AI491)+($F$297*Algandmed!AJ491)+($F$298*Algandmed!AK491)+($F$299*Algandmed!AL491)+((Algandmed!AM491-SUM(Algandmed!AE491:AL491))*Settings!$F$300))/SQRT(Algandmed!AM491)</f>
        <v>#DIV/0!</v>
      </c>
      <c r="H455" s="237"/>
      <c r="I455" s="238">
        <f>Algandmed!AN491</f>
        <v>0</v>
      </c>
      <c r="J455" s="238">
        <f>SUM(Algandmed!AN491:AQ491)</f>
        <v>0</v>
      </c>
      <c r="K455" s="238">
        <f>J455+Algandmed!AR491+Algandmed!AS491+Algandmed!AT491</f>
        <v>0</v>
      </c>
      <c r="L455" s="238">
        <f>Algandmed!AV491</f>
        <v>0</v>
      </c>
      <c r="M455" s="236" t="e">
        <f>SUM(Algandmed!AN491:'Algandmed'!AU491)/Algandmed!AV491</f>
        <v>#DIV/0!</v>
      </c>
      <c r="N455" s="237" t="e">
        <f>(($F$292*Algandmed!AN491)+($F$293*Algandmed!AO491)+($F$294*Algandmed!AP491)+($F$295*Algandmed!AQ491)+($F$296*Algandmed!AR491)+($F$297*Algandmed!AS491)+($F$298*Algandmed!AT491)+($F$299*Algandmed!AU491)+((Algandmed!AV491-SUM(Algandmed!AN491:AU491))*Settings!$F$300))/SQRT(Algandmed!AV491)</f>
        <v>#DIV/0!</v>
      </c>
      <c r="O455" s="165"/>
      <c r="P455" s="238">
        <f>Algandmed!AW491</f>
        <v>0</v>
      </c>
      <c r="Q455" s="238">
        <f>SUM(Algandmed!AW491:AZ491)</f>
        <v>0</v>
      </c>
      <c r="R455" s="238">
        <f>Q455+Algandmed!BA491+Algandmed!BB491+Algandmed!BC491</f>
        <v>0</v>
      </c>
      <c r="S455" s="238">
        <f>Algandmed!BE491</f>
        <v>0</v>
      </c>
      <c r="T455" s="236" t="e">
        <f>SUM(Algandmed!AW491:BD491)/Algandmed!BE491</f>
        <v>#DIV/0!</v>
      </c>
      <c r="U455" s="237" t="e">
        <f>(($F$292*Algandmed!AW491)+($F$293*Algandmed!AX491)+($F$294*Algandmed!AY491)+($F$295*Algandmed!AZ491)+($F$296*Algandmed!BA491)+($F$297*Algandmed!BB491)+($F$298*Algandmed!BC491)+($F$299*Algandmed!BD491)+((Algandmed!BE491-SUM(Algandmed!AW491:BD491))*Settings!$F$300))/SQRT(Algandmed!BE491)</f>
        <v>#DIV/0!</v>
      </c>
      <c r="V455" s="209"/>
    </row>
    <row r="456" spans="1:22">
      <c r="B456" s="208"/>
      <c r="C456" s="165"/>
      <c r="D456" s="165"/>
      <c r="E456" s="165"/>
      <c r="F456" s="236"/>
      <c r="G456" s="237"/>
      <c r="H456" s="165"/>
      <c r="I456" s="238"/>
      <c r="J456" s="238"/>
      <c r="K456" s="238"/>
      <c r="L456" s="238"/>
      <c r="M456" s="236"/>
      <c r="N456" s="237"/>
      <c r="O456" s="165"/>
      <c r="P456" s="238"/>
      <c r="Q456" s="238"/>
      <c r="R456" s="238"/>
      <c r="S456" s="238"/>
      <c r="T456" s="236"/>
      <c r="U456" s="237"/>
      <c r="V456" s="209"/>
    </row>
    <row r="457" spans="1:22">
      <c r="B457" s="208"/>
      <c r="C457" s="165"/>
      <c r="D457" s="165"/>
      <c r="E457" s="165"/>
      <c r="F457" s="236"/>
      <c r="G457" s="237"/>
      <c r="H457" s="165"/>
      <c r="I457" s="238">
        <f>Algandmed!AN493</f>
        <v>0</v>
      </c>
      <c r="J457" s="238">
        <f>SUM(Algandmed!AN493:AQ493)</f>
        <v>0</v>
      </c>
      <c r="K457" s="238">
        <f>J457+Algandmed!AR493+Algandmed!AS493+Algandmed!AT493</f>
        <v>0</v>
      </c>
      <c r="L457" s="238">
        <f>Algandmed!AV493</f>
        <v>0</v>
      </c>
      <c r="M457" s="236" t="e">
        <f>SUM(Algandmed!AN493:'Algandmed'!AU493)/Algandmed!AV493</f>
        <v>#DIV/0!</v>
      </c>
      <c r="N457" s="237" t="e">
        <f>(($F$292*Algandmed!AN493)+($F$293*Algandmed!AO493)+($F$294*Algandmed!AP493)+($F$295*Algandmed!AQ493)+($F$296*Algandmed!AR493)+($F$297*Algandmed!AS493)+($F$298*Algandmed!AT493)+($F$299*Algandmed!AU493)+((Algandmed!AV493-SUM(Algandmed!AN493:AU493))*Settings!$F$300))/SQRT(Algandmed!AV493)</f>
        <v>#DIV/0!</v>
      </c>
      <c r="O457" s="165"/>
      <c r="P457" s="238"/>
      <c r="Q457" s="238"/>
      <c r="R457" s="238"/>
      <c r="S457" s="238"/>
      <c r="T457" s="236"/>
      <c r="U457" s="237"/>
      <c r="V457" s="209"/>
    </row>
    <row r="458" spans="1:22">
      <c r="B458" s="208"/>
      <c r="C458" s="165"/>
      <c r="D458" s="165"/>
      <c r="E458" s="165"/>
      <c r="F458" s="236"/>
      <c r="G458" s="237"/>
      <c r="H458" s="165"/>
      <c r="I458" s="238"/>
      <c r="J458" s="238"/>
      <c r="K458" s="238"/>
      <c r="L458" s="238"/>
      <c r="M458" s="236"/>
      <c r="N458" s="237"/>
      <c r="O458" s="165"/>
      <c r="P458" s="238"/>
      <c r="Q458" s="238"/>
      <c r="R458" s="238"/>
      <c r="S458" s="238"/>
      <c r="T458" s="236"/>
      <c r="U458" s="237"/>
      <c r="V458" s="209"/>
    </row>
    <row r="459" spans="1:22">
      <c r="B459" s="208">
        <f>Algandmed!AE495</f>
        <v>0</v>
      </c>
      <c r="C459" s="165">
        <f>SUM(Algandmed!AE495:AH495)</f>
        <v>0</v>
      </c>
      <c r="D459" s="165">
        <f>C459+Algandmed!AI495+Algandmed!AJ495+Algandmed!AK495</f>
        <v>0</v>
      </c>
      <c r="E459" s="165">
        <f>Algandmed!AM495</f>
        <v>0</v>
      </c>
      <c r="F459" s="236" t="e">
        <f>SUM(Algandmed!AE495:AL495)/Algandmed!AM495</f>
        <v>#DIV/0!</v>
      </c>
      <c r="G459" s="237" t="e">
        <f>(($F$292*Algandmed!AE495)+($F$293*Algandmed!AF495)+($F$294*Algandmed!AG495)+($F$295*Algandmed!AH495)+($F$296*Algandmed!AI495)+($F$297*Algandmed!AJ495)+($F$298*Algandmed!AK495)+($F$299*Algandmed!AL495)+((Algandmed!AM495-SUM(Algandmed!AE495:AL495))*Settings!$F$300))/SQRT(Algandmed!AM495)</f>
        <v>#DIV/0!</v>
      </c>
      <c r="H459" s="165"/>
      <c r="I459" s="238">
        <f>Algandmed!AN495</f>
        <v>0</v>
      </c>
      <c r="J459" s="238">
        <f>SUM(Algandmed!AN495:AQ495)</f>
        <v>0</v>
      </c>
      <c r="K459" s="238">
        <f>J459+Algandmed!AR495+Algandmed!AS495+Algandmed!AT495</f>
        <v>0</v>
      </c>
      <c r="L459" s="238">
        <f>Algandmed!AV495</f>
        <v>0</v>
      </c>
      <c r="M459" s="236" t="e">
        <f>SUM(Algandmed!AN495:'Algandmed'!AU495)/Algandmed!AV495</f>
        <v>#DIV/0!</v>
      </c>
      <c r="N459" s="237" t="e">
        <f>(($F$292*Algandmed!AN495)+($F$293*Algandmed!AO495)+($F$294*Algandmed!AP495)+($F$295*Algandmed!AQ495)+($F$296*Algandmed!AR495)+($F$297*Algandmed!AS495)+($F$298*Algandmed!AT495)+($F$299*Algandmed!AU495)+((Algandmed!AV495-SUM(Algandmed!AN495:AU495))*Settings!$F$300))/SQRT(Algandmed!AV495)</f>
        <v>#DIV/0!</v>
      </c>
      <c r="O459" s="165"/>
      <c r="P459" s="238">
        <f>Algandmed!AW495</f>
        <v>0</v>
      </c>
      <c r="Q459" s="238">
        <f>SUM(Algandmed!AW495:AZ495)</f>
        <v>0</v>
      </c>
      <c r="R459" s="238">
        <f>Q459+Algandmed!BA495+Algandmed!BB495+Algandmed!BC495</f>
        <v>0</v>
      </c>
      <c r="S459" s="238">
        <f>Algandmed!BE495</f>
        <v>0</v>
      </c>
      <c r="T459" s="236" t="e">
        <f>SUM(Algandmed!AW495:BD495)/Algandmed!BE495</f>
        <v>#DIV/0!</v>
      </c>
      <c r="U459" s="237" t="e">
        <f>(($F$292*Algandmed!AW495)+($F$293*Algandmed!AX495)+($F$294*Algandmed!AY495)+($F$295*Algandmed!AZ495)+($F$296*Algandmed!BA495)+($F$297*Algandmed!BB495)+($F$298*Algandmed!BC495)+($F$299*Algandmed!BD495)+((Algandmed!BE495-SUM(Algandmed!AW495:BD495))*Settings!$F$300))/SQRT(Algandmed!BE495)</f>
        <v>#DIV/0!</v>
      </c>
      <c r="V459" s="209"/>
    </row>
    <row r="460" spans="1:22">
      <c r="B460" s="208"/>
      <c r="C460" s="165"/>
      <c r="D460" s="165"/>
      <c r="E460" s="165"/>
      <c r="F460" s="236"/>
      <c r="G460" s="237"/>
      <c r="H460" s="165"/>
      <c r="I460" s="238"/>
      <c r="J460" s="238"/>
      <c r="K460" s="238"/>
      <c r="L460" s="238"/>
      <c r="M460" s="236"/>
      <c r="N460" s="237"/>
      <c r="O460" s="165"/>
      <c r="P460" s="238"/>
      <c r="Q460" s="238"/>
      <c r="R460" s="238"/>
      <c r="S460" s="238"/>
      <c r="T460" s="236"/>
      <c r="U460" s="237"/>
      <c r="V460" s="209"/>
    </row>
    <row r="461" spans="1:22">
      <c r="B461" s="208">
        <f>Algandmed!AE497</f>
        <v>0</v>
      </c>
      <c r="C461" s="165">
        <f>SUM(Algandmed!AE497:AH497)</f>
        <v>0</v>
      </c>
      <c r="D461" s="165">
        <f>C461+Algandmed!AI497+Algandmed!AJ497+Algandmed!AK497</f>
        <v>0</v>
      </c>
      <c r="E461" s="165">
        <f>Algandmed!AM497</f>
        <v>0</v>
      </c>
      <c r="F461" s="236" t="e">
        <f>SUM(Algandmed!AE497:AL497)/Algandmed!AM497</f>
        <v>#DIV/0!</v>
      </c>
      <c r="G461" s="237" t="e">
        <f>(($F$292*Algandmed!AE497)+($F$293*Algandmed!AF497)+($F$294*Algandmed!AG497)+($F$295*Algandmed!AH497)+($F$296*Algandmed!AI497)+($F$297*Algandmed!AJ497)+($F$298*Algandmed!AK497)+($F$299*Algandmed!AL497)+((Algandmed!AM497-SUM(Algandmed!AE497:AL497))*Settings!$F$300))/SQRT(Algandmed!AM497)</f>
        <v>#DIV/0!</v>
      </c>
      <c r="H461" s="165"/>
      <c r="I461" s="238">
        <f>Algandmed!AN497</f>
        <v>0</v>
      </c>
      <c r="J461" s="238">
        <f>SUM(Algandmed!AN497:AQ497)</f>
        <v>0</v>
      </c>
      <c r="K461" s="238">
        <f>J461+Algandmed!AR497+Algandmed!AS497+Algandmed!AT497</f>
        <v>0</v>
      </c>
      <c r="L461" s="238">
        <f>Algandmed!AV497</f>
        <v>0</v>
      </c>
      <c r="M461" s="236" t="e">
        <f>SUM(Algandmed!AN497:'Algandmed'!AU497)/Algandmed!AV497</f>
        <v>#DIV/0!</v>
      </c>
      <c r="N461" s="237" t="e">
        <f>(($F$292*Algandmed!AN497)+($F$293*Algandmed!AO497)+($F$294*Algandmed!AP497)+($F$295*Algandmed!AQ497)+($F$296*Algandmed!AR497)+($F$297*Algandmed!AS497)+($F$298*Algandmed!AT497)+($F$299*Algandmed!AU497)+((Algandmed!AV497-SUM(Algandmed!AN497:AU497))*Settings!$F$300))/SQRT(Algandmed!AV497)</f>
        <v>#DIV/0!</v>
      </c>
      <c r="O461" s="165"/>
      <c r="P461" s="238">
        <f>Algandmed!AW497</f>
        <v>0</v>
      </c>
      <c r="Q461" s="238">
        <f>SUM(Algandmed!AW497:AZ497)</f>
        <v>0</v>
      </c>
      <c r="R461" s="238">
        <f>Q461+Algandmed!BA497+Algandmed!BB497+Algandmed!BC497</f>
        <v>0</v>
      </c>
      <c r="S461" s="238">
        <f>Algandmed!BE497</f>
        <v>0</v>
      </c>
      <c r="T461" s="236" t="e">
        <f>SUM(Algandmed!AW497:BD497)/Algandmed!BE497</f>
        <v>#DIV/0!</v>
      </c>
      <c r="U461" s="237" t="e">
        <f>(($F$292*Algandmed!AW497)+($F$293*Algandmed!AX497)+($F$294*Algandmed!AY497)+($F$295*Algandmed!AZ497)+($F$296*Algandmed!BA497)+($F$297*Algandmed!BB497)+($F$298*Algandmed!BC497)+($F$299*Algandmed!BD497)+((Algandmed!BE497-SUM(Algandmed!AW497:BD497))*Settings!$F$300))/SQRT(Algandmed!BE497)</f>
        <v>#DIV/0!</v>
      </c>
      <c r="V461" s="209"/>
    </row>
    <row r="462" spans="1:22">
      <c r="B462" s="208"/>
      <c r="C462" s="165"/>
      <c r="D462" s="165"/>
      <c r="E462" s="165"/>
      <c r="F462" s="236"/>
      <c r="G462" s="237"/>
      <c r="H462" s="165"/>
      <c r="I462" s="238"/>
      <c r="J462" s="238"/>
      <c r="K462" s="238"/>
      <c r="L462" s="238"/>
      <c r="M462" s="236"/>
      <c r="N462" s="237"/>
      <c r="O462" s="165"/>
      <c r="P462" s="238"/>
      <c r="Q462" s="238"/>
      <c r="R462" s="238"/>
      <c r="S462" s="238"/>
      <c r="T462" s="236"/>
      <c r="U462" s="237"/>
      <c r="V462" s="209"/>
    </row>
    <row r="463" spans="1:22">
      <c r="B463" s="208">
        <f>Algandmed!AE499</f>
        <v>0</v>
      </c>
      <c r="C463" s="165">
        <f>SUM(Algandmed!AE499:AH499)</f>
        <v>0</v>
      </c>
      <c r="D463" s="165">
        <f>C463+Algandmed!AI499+Algandmed!AJ499+Algandmed!AK499</f>
        <v>0</v>
      </c>
      <c r="E463" s="165">
        <f>Algandmed!AM499</f>
        <v>0</v>
      </c>
      <c r="F463" s="236" t="e">
        <f>SUM(Algandmed!AE499:AL499)/Algandmed!AM499</f>
        <v>#DIV/0!</v>
      </c>
      <c r="G463" s="237" t="e">
        <f>(($F$292*Algandmed!AE499)+($F$293*Algandmed!AF499)+($F$294*Algandmed!AG499)+($F$295*Algandmed!AH499)+($F$296*Algandmed!AI499)+($F$297*Algandmed!AJ499)+($F$298*Algandmed!AK499)+($F$299*Algandmed!AL499)+((Algandmed!AM499-SUM(Algandmed!AE499:AL499))*Settings!$F$300))/SQRT(Algandmed!AM499)</f>
        <v>#DIV/0!</v>
      </c>
      <c r="H463" s="165"/>
      <c r="I463" s="238">
        <f>Algandmed!AN499</f>
        <v>0</v>
      </c>
      <c r="J463" s="238">
        <f>SUM(Algandmed!AN499:AQ499)</f>
        <v>0</v>
      </c>
      <c r="K463" s="238">
        <f>J463+Algandmed!AR499+Algandmed!AS499+Algandmed!AT499</f>
        <v>0</v>
      </c>
      <c r="L463" s="238">
        <f>Algandmed!AV499</f>
        <v>0</v>
      </c>
      <c r="M463" s="236" t="e">
        <f>SUM(Algandmed!AN499:'Algandmed'!AU499)/Algandmed!AV499</f>
        <v>#DIV/0!</v>
      </c>
      <c r="N463" s="237" t="e">
        <f>(($F$292*Algandmed!AN499)+($F$293*Algandmed!AO499)+($F$294*Algandmed!AP499)+($F$295*Algandmed!AQ499)+($F$296*Algandmed!AR499)+($F$297*Algandmed!AS499)+($F$298*Algandmed!AT499)+($F$299*Algandmed!AU499)+((Algandmed!AV499-SUM(Algandmed!AN499:AU499))*Settings!$F$300))/SQRT(Algandmed!AV499)</f>
        <v>#DIV/0!</v>
      </c>
      <c r="O463" s="165"/>
      <c r="P463" s="238">
        <f>Algandmed!AW499</f>
        <v>0</v>
      </c>
      <c r="Q463" s="238">
        <f>SUM(Algandmed!AW499:AZ499)</f>
        <v>0</v>
      </c>
      <c r="R463" s="238">
        <f>Q463+Algandmed!BA499+Algandmed!BB499+Algandmed!BC499</f>
        <v>0</v>
      </c>
      <c r="S463" s="238">
        <f>Algandmed!BE499</f>
        <v>0</v>
      </c>
      <c r="T463" s="236" t="e">
        <f>SUM(Algandmed!AW499:BD499)/Algandmed!BE499</f>
        <v>#DIV/0!</v>
      </c>
      <c r="U463" s="237" t="e">
        <f>(($F$292*Algandmed!AW499)+($F$293*Algandmed!AX499)+($F$294*Algandmed!AY499)+($F$295*Algandmed!AZ499)+($F$296*Algandmed!BA499)+($F$297*Algandmed!BB499)+($F$298*Algandmed!BC499)+($F$299*Algandmed!BD499)+((Algandmed!BE499-SUM(Algandmed!AW499:BD499))*Settings!$F$300))/SQRT(Algandmed!BE499)</f>
        <v>#DIV/0!</v>
      </c>
      <c r="V463" s="209"/>
    </row>
    <row r="464" spans="1:22">
      <c r="B464" s="208"/>
      <c r="C464" s="165"/>
      <c r="D464" s="165"/>
      <c r="E464" s="165"/>
      <c r="F464" s="236"/>
      <c r="G464" s="237"/>
      <c r="H464" s="165"/>
      <c r="I464" s="238"/>
      <c r="J464" s="238"/>
      <c r="K464" s="238"/>
      <c r="L464" s="238"/>
      <c r="M464" s="236"/>
      <c r="N464" s="237"/>
      <c r="O464" s="165"/>
      <c r="P464" s="238"/>
      <c r="Q464" s="238"/>
      <c r="R464" s="238"/>
      <c r="S464" s="238"/>
      <c r="T464" s="236"/>
      <c r="U464" s="237"/>
      <c r="V464" s="209"/>
    </row>
    <row r="465" spans="2:22">
      <c r="B465" s="208">
        <f>Algandmed!AE501</f>
        <v>0</v>
      </c>
      <c r="C465" s="165">
        <f>SUM(Algandmed!AE501:AH501)</f>
        <v>0</v>
      </c>
      <c r="D465" s="165">
        <f>C465+Algandmed!AI501+Algandmed!AJ501+Algandmed!AK501</f>
        <v>0</v>
      </c>
      <c r="E465" s="165">
        <f>Algandmed!AM501</f>
        <v>0</v>
      </c>
      <c r="F465" s="236" t="e">
        <f>SUM(Algandmed!AE501:AL501)/Algandmed!AM501</f>
        <v>#DIV/0!</v>
      </c>
      <c r="G465" s="237" t="e">
        <f>(($F$292*Algandmed!AE501)+($F$293*Algandmed!AF501)+($F$294*Algandmed!AG501)+($F$295*Algandmed!AH501)+($F$296*Algandmed!AI501)+($F$297*Algandmed!AJ501)+($F$298*Algandmed!AK501)+($F$299*Algandmed!AL501)+((Algandmed!AM501-SUM(Algandmed!AE501:AL501))*Settings!$F$300))/SQRT(Algandmed!AM501)</f>
        <v>#DIV/0!</v>
      </c>
      <c r="H465" s="165"/>
      <c r="I465" s="238">
        <f>Algandmed!AN501</f>
        <v>0</v>
      </c>
      <c r="J465" s="238">
        <f>SUM(Algandmed!AN501:AQ501)</f>
        <v>0</v>
      </c>
      <c r="K465" s="238">
        <f>J465+Algandmed!AR501+Algandmed!AS501+Algandmed!AT501</f>
        <v>0</v>
      </c>
      <c r="L465" s="238">
        <f>Algandmed!AV501</f>
        <v>0</v>
      </c>
      <c r="M465" s="236" t="e">
        <f>SUM(Algandmed!AN501:'Algandmed'!AU501)/Algandmed!AV501</f>
        <v>#DIV/0!</v>
      </c>
      <c r="N465" s="237" t="e">
        <f>(($F$292*Algandmed!AN501)+($F$293*Algandmed!AO501)+($F$294*Algandmed!AP501)+($F$295*Algandmed!AQ501)+($F$296*Algandmed!AR501)+($F$297*Algandmed!AS501)+($F$298*Algandmed!AT501)+($F$299*Algandmed!AU501)+((Algandmed!AV501-SUM(Algandmed!AN501:AU501))*Settings!$F$300))/SQRT(Algandmed!AV501)</f>
        <v>#DIV/0!</v>
      </c>
      <c r="O465" s="165"/>
      <c r="P465" s="238">
        <f>Algandmed!AW501</f>
        <v>0</v>
      </c>
      <c r="Q465" s="238">
        <f>SUM(Algandmed!AW501:AZ501)</f>
        <v>0</v>
      </c>
      <c r="R465" s="238">
        <f>Q465+Algandmed!BA501+Algandmed!BB501+Algandmed!BC501</f>
        <v>0</v>
      </c>
      <c r="S465" s="238">
        <f>Algandmed!BE501</f>
        <v>0</v>
      </c>
      <c r="T465" s="236" t="e">
        <f>SUM(Algandmed!AW501:BD501)/Algandmed!BE501</f>
        <v>#DIV/0!</v>
      </c>
      <c r="U465" s="237" t="e">
        <f>(($F$292*Algandmed!AW501)+($F$293*Algandmed!AX501)+($F$294*Algandmed!AY501)+($F$295*Algandmed!AZ501)+($F$296*Algandmed!BA501)+($F$297*Algandmed!BB501)+($F$298*Algandmed!BC501)+($F$299*Algandmed!BD501)+((Algandmed!BE501-SUM(Algandmed!AW501:BD501))*Settings!$F$300))/SQRT(Algandmed!BE501)</f>
        <v>#DIV/0!</v>
      </c>
      <c r="V465" s="209"/>
    </row>
    <row r="466" spans="2:22">
      <c r="B466" s="208"/>
      <c r="C466" s="165"/>
      <c r="D466" s="165"/>
      <c r="E466" s="165"/>
      <c r="F466" s="236"/>
      <c r="G466" s="237"/>
      <c r="H466" s="165"/>
      <c r="I466" s="238"/>
      <c r="J466" s="238"/>
      <c r="K466" s="238"/>
      <c r="L466" s="238"/>
      <c r="M466" s="236"/>
      <c r="N466" s="237"/>
      <c r="O466" s="165"/>
      <c r="P466" s="238"/>
      <c r="Q466" s="238"/>
      <c r="R466" s="238"/>
      <c r="S466" s="238"/>
      <c r="T466" s="236"/>
      <c r="U466" s="237"/>
      <c r="V466" s="209"/>
    </row>
    <row r="467" spans="2:22">
      <c r="B467" s="208"/>
      <c r="C467" s="165"/>
      <c r="D467" s="165"/>
      <c r="E467" s="165"/>
      <c r="F467" s="236"/>
      <c r="G467" s="237"/>
      <c r="H467" s="165"/>
      <c r="I467" s="238">
        <f>Algandmed!AN503</f>
        <v>0</v>
      </c>
      <c r="J467" s="238">
        <f>SUM(Algandmed!AN503:AQ503)</f>
        <v>0</v>
      </c>
      <c r="K467" s="238">
        <f>J467+Algandmed!AR503+Algandmed!AS503+Algandmed!AT503</f>
        <v>0</v>
      </c>
      <c r="L467" s="238">
        <f>Algandmed!AV503</f>
        <v>0</v>
      </c>
      <c r="M467" s="236" t="e">
        <f>SUM(Algandmed!AN503:'Algandmed'!AU503)/Algandmed!AV503</f>
        <v>#DIV/0!</v>
      </c>
      <c r="N467" s="237" t="e">
        <f>(($F$292*Algandmed!AN503)+($F$293*Algandmed!AO503)+($F$294*Algandmed!AP503)+($F$295*Algandmed!AQ503)+($F$296*Algandmed!AR503)+($F$297*Algandmed!AS503)+($F$298*Algandmed!AT503)+($F$299*Algandmed!AU503)+((Algandmed!AV503-SUM(Algandmed!AN503:AU503))*Settings!$F$300))/SQRT(Algandmed!AV503)</f>
        <v>#DIV/0!</v>
      </c>
      <c r="O467" s="165"/>
      <c r="P467" s="238"/>
      <c r="Q467" s="238"/>
      <c r="R467" s="238"/>
      <c r="S467" s="238"/>
      <c r="T467" s="236"/>
      <c r="U467" s="237"/>
      <c r="V467" s="209"/>
    </row>
    <row r="468" spans="2:22">
      <c r="B468" s="208"/>
      <c r="C468" s="165"/>
      <c r="D468" s="165"/>
      <c r="E468" s="165"/>
      <c r="F468" s="236"/>
      <c r="G468" s="237"/>
      <c r="H468" s="165"/>
      <c r="I468" s="238"/>
      <c r="J468" s="238"/>
      <c r="K468" s="238"/>
      <c r="L468" s="238"/>
      <c r="M468" s="236"/>
      <c r="N468" s="237"/>
      <c r="O468" s="165"/>
      <c r="P468" s="238"/>
      <c r="Q468" s="238"/>
      <c r="R468" s="238"/>
      <c r="S468" s="238"/>
      <c r="T468" s="236"/>
      <c r="U468" s="237"/>
      <c r="V468" s="209"/>
    </row>
    <row r="469" spans="2:22">
      <c r="B469" s="208">
        <f>Algandmed!AE505</f>
        <v>0</v>
      </c>
      <c r="C469" s="165">
        <f>SUM(Algandmed!AE505:AH505)</f>
        <v>0</v>
      </c>
      <c r="D469" s="165">
        <f>C469+Algandmed!AI505+Algandmed!AJ505+Algandmed!AK505</f>
        <v>0</v>
      </c>
      <c r="E469" s="165">
        <f>Algandmed!AM505</f>
        <v>0</v>
      </c>
      <c r="F469" s="236" t="e">
        <f>SUM(Algandmed!AE505:AL505)/Algandmed!AM505</f>
        <v>#DIV/0!</v>
      </c>
      <c r="G469" s="237" t="e">
        <f>(($F$292*Algandmed!AE505)+($F$293*Algandmed!AF505)+($F$294*Algandmed!AG505)+($F$295*Algandmed!AH505)+($F$296*Algandmed!AI505)+($F$297*Algandmed!AJ505)+($F$298*Algandmed!AK505)+($F$299*Algandmed!AL505)+((Algandmed!AM505-SUM(Algandmed!AE505:AL505))*Settings!$F$300))/SQRT(Algandmed!AM505)</f>
        <v>#DIV/0!</v>
      </c>
      <c r="H469" s="165"/>
      <c r="I469" s="238">
        <f>Algandmed!AN505</f>
        <v>0</v>
      </c>
      <c r="J469" s="238">
        <f>SUM(Algandmed!AN505:AQ505)</f>
        <v>0</v>
      </c>
      <c r="K469" s="238">
        <f>J469+Algandmed!AR505+Algandmed!AS505+Algandmed!AT505</f>
        <v>0</v>
      </c>
      <c r="L469" s="238">
        <f>Algandmed!AV505</f>
        <v>0</v>
      </c>
      <c r="M469" s="236" t="e">
        <f>SUM(Algandmed!AN505:'Algandmed'!AU505)/Algandmed!AV505</f>
        <v>#DIV/0!</v>
      </c>
      <c r="N469" s="237" t="e">
        <f>(($F$292*Algandmed!AN505)+($F$293*Algandmed!AO505)+($F$294*Algandmed!AP505)+($F$295*Algandmed!AQ505)+($F$296*Algandmed!AR505)+($F$297*Algandmed!AS505)+($F$298*Algandmed!AT505)+($F$299*Algandmed!AU505)+((Algandmed!AV505-SUM(Algandmed!AN505:AU505))*Settings!$F$300))/SQRT(Algandmed!AV505)</f>
        <v>#DIV/0!</v>
      </c>
      <c r="O469" s="165"/>
      <c r="P469" s="238">
        <f>Algandmed!AW505</f>
        <v>0</v>
      </c>
      <c r="Q469" s="238">
        <f>SUM(Algandmed!AW505:AZ505)</f>
        <v>0</v>
      </c>
      <c r="R469" s="238">
        <f>Q469+Algandmed!BA505+Algandmed!BB505+Algandmed!BC505</f>
        <v>0</v>
      </c>
      <c r="S469" s="238">
        <f>Algandmed!BE505</f>
        <v>0</v>
      </c>
      <c r="T469" s="236" t="e">
        <f>SUM(Algandmed!AW505:BD505)/Algandmed!BE505</f>
        <v>#DIV/0!</v>
      </c>
      <c r="U469" s="237" t="e">
        <f>(($F$292*Algandmed!AW505)+($F$293*Algandmed!AX505)+($F$294*Algandmed!AY505)+($F$295*Algandmed!AZ505)+($F$296*Algandmed!BA505)+($F$297*Algandmed!BB505)+($F$298*Algandmed!BC505)+($F$299*Algandmed!BD505)+((Algandmed!BE505-SUM(Algandmed!AW505:BD505))*Settings!$F$300))/SQRT(Algandmed!BE505)</f>
        <v>#DIV/0!</v>
      </c>
      <c r="V469" s="209"/>
    </row>
    <row r="470" spans="2:22">
      <c r="B470" s="208"/>
      <c r="C470" s="165"/>
      <c r="D470" s="165"/>
      <c r="E470" s="165"/>
      <c r="F470" s="236"/>
      <c r="G470" s="237"/>
      <c r="H470" s="165"/>
      <c r="I470" s="238"/>
      <c r="J470" s="238"/>
      <c r="K470" s="238"/>
      <c r="L470" s="238"/>
      <c r="M470" s="236"/>
      <c r="N470" s="237"/>
      <c r="O470" s="165"/>
      <c r="P470" s="238"/>
      <c r="Q470" s="238"/>
      <c r="R470" s="238"/>
      <c r="S470" s="238"/>
      <c r="T470" s="236"/>
      <c r="U470" s="237"/>
      <c r="V470" s="209"/>
    </row>
    <row r="471" spans="2:22">
      <c r="B471" s="212"/>
      <c r="C471" s="213"/>
      <c r="D471" s="213"/>
      <c r="E471" s="213"/>
      <c r="F471" s="240"/>
      <c r="G471" s="241"/>
      <c r="H471" s="213"/>
      <c r="I471" s="213"/>
      <c r="J471" s="213"/>
      <c r="K471" s="213"/>
      <c r="L471" s="213"/>
      <c r="M471" s="213"/>
      <c r="N471" s="213"/>
      <c r="O471" s="213"/>
      <c r="P471" s="213"/>
      <c r="Q471" s="213"/>
      <c r="R471" s="213"/>
      <c r="S471" s="213"/>
      <c r="T471" s="213"/>
      <c r="U471" s="213"/>
      <c r="V471" s="214"/>
    </row>
    <row r="472" spans="2:22">
      <c r="B472" s="165"/>
      <c r="C472" s="165"/>
      <c r="D472" s="165"/>
      <c r="E472" s="165"/>
      <c r="F472" s="236"/>
      <c r="G472" s="237"/>
      <c r="H472" s="165"/>
      <c r="I472" s="165"/>
      <c r="J472" s="165"/>
      <c r="K472" s="165"/>
      <c r="L472" s="165"/>
      <c r="M472" s="165"/>
      <c r="N472" s="165"/>
      <c r="O472" s="165"/>
      <c r="P472" s="165"/>
      <c r="Q472" s="165"/>
      <c r="R472" s="165"/>
      <c r="S472" s="165"/>
      <c r="T472" s="165"/>
      <c r="U472" s="165"/>
      <c r="V472" s="165"/>
    </row>
    <row r="473" spans="2:22">
      <c r="B473" s="165"/>
      <c r="C473" s="165"/>
      <c r="D473" s="165"/>
      <c r="E473" s="165"/>
      <c r="F473" s="236"/>
      <c r="G473" s="237"/>
    </row>
    <row r="474" spans="2:22">
      <c r="B474" s="205"/>
      <c r="C474" s="206"/>
      <c r="D474" s="206"/>
      <c r="E474" s="206"/>
      <c r="F474" s="206"/>
      <c r="G474" s="388" t="s">
        <v>385</v>
      </c>
      <c r="H474" s="388"/>
      <c r="I474" s="388"/>
      <c r="J474" s="388"/>
      <c r="K474" s="388"/>
      <c r="L474" s="388"/>
      <c r="M474" s="388"/>
      <c r="N474" s="206"/>
      <c r="O474" s="206"/>
      <c r="P474" s="206"/>
      <c r="Q474" s="206"/>
      <c r="R474" s="206"/>
      <c r="S474" s="206"/>
      <c r="T474" s="206"/>
      <c r="U474" s="206"/>
      <c r="V474" s="207"/>
    </row>
    <row r="475" spans="2:22">
      <c r="B475" s="208" t="s">
        <v>354</v>
      </c>
      <c r="C475" s="165"/>
      <c r="D475" s="165"/>
      <c r="E475" s="165"/>
      <c r="F475" s="165"/>
      <c r="G475" s="389"/>
      <c r="H475" s="389"/>
      <c r="I475" s="389"/>
      <c r="J475" s="389"/>
      <c r="K475" s="389"/>
      <c r="L475" s="389"/>
      <c r="M475" s="389"/>
      <c r="N475" s="165"/>
      <c r="O475" s="165"/>
      <c r="P475" s="392" t="s">
        <v>391</v>
      </c>
      <c r="Q475" s="392"/>
      <c r="R475" s="393"/>
      <c r="S475" s="165"/>
      <c r="T475" s="165"/>
      <c r="U475" s="165"/>
      <c r="V475" s="209"/>
    </row>
    <row r="476" spans="2:22">
      <c r="B476" s="208" t="s">
        <v>355</v>
      </c>
      <c r="C476" s="165"/>
      <c r="D476" s="165"/>
      <c r="E476" s="165"/>
      <c r="F476" s="165"/>
      <c r="G476" s="165"/>
      <c r="H476" s="165"/>
      <c r="I476" s="165"/>
      <c r="J476" s="165"/>
      <c r="K476" s="165"/>
      <c r="L476" s="165"/>
      <c r="M476" s="165"/>
      <c r="N476" s="165"/>
      <c r="O476" s="165"/>
      <c r="P476" s="390"/>
      <c r="Q476" s="390"/>
      <c r="R476" s="391"/>
      <c r="S476" s="165"/>
      <c r="T476" s="165"/>
      <c r="U476" s="165"/>
      <c r="V476" s="209"/>
    </row>
    <row r="477" spans="2:22">
      <c r="B477" s="208" t="s">
        <v>356</v>
      </c>
      <c r="C477" s="165"/>
      <c r="D477" s="165"/>
      <c r="E477" s="165"/>
      <c r="F477" s="165"/>
      <c r="G477" s="165"/>
      <c r="H477" s="165"/>
      <c r="I477" s="165"/>
      <c r="J477" s="165"/>
      <c r="K477" s="165"/>
      <c r="L477" s="165"/>
      <c r="M477" s="165"/>
      <c r="N477" s="165"/>
      <c r="O477" s="165"/>
      <c r="P477" s="390"/>
      <c r="Q477" s="390"/>
      <c r="R477" s="391"/>
      <c r="S477" s="165"/>
      <c r="T477" s="165"/>
      <c r="U477" s="165"/>
      <c r="V477" s="209"/>
    </row>
    <row r="478" spans="2:22">
      <c r="B478" s="208" t="s">
        <v>357</v>
      </c>
      <c r="C478" s="165"/>
      <c r="D478" s="165"/>
      <c r="E478" s="165"/>
      <c r="F478" s="165"/>
      <c r="G478" s="165"/>
      <c r="H478" s="165"/>
      <c r="I478" s="165"/>
      <c r="J478" s="165"/>
      <c r="K478" s="165"/>
      <c r="L478" s="165"/>
      <c r="M478" s="165"/>
      <c r="N478" s="165"/>
      <c r="O478" s="165"/>
      <c r="P478" s="390"/>
      <c r="Q478" s="390"/>
      <c r="R478" s="391"/>
      <c r="S478" s="165"/>
      <c r="T478" s="165"/>
      <c r="U478" s="165"/>
      <c r="V478" s="209"/>
    </row>
    <row r="479" spans="2:22">
      <c r="B479" s="208"/>
      <c r="C479" s="165"/>
      <c r="D479" s="165"/>
      <c r="E479" s="165"/>
      <c r="F479" s="165"/>
      <c r="G479" s="165"/>
      <c r="H479" s="165"/>
      <c r="I479" s="165"/>
      <c r="J479" s="165"/>
      <c r="K479" s="165"/>
      <c r="L479" s="165"/>
      <c r="M479" s="165"/>
      <c r="N479" s="165"/>
      <c r="O479" s="165"/>
      <c r="P479" s="165"/>
      <c r="Q479" s="165"/>
      <c r="R479" s="165"/>
      <c r="S479" s="165"/>
      <c r="T479" s="165"/>
      <c r="U479" s="165"/>
      <c r="V479" s="209"/>
    </row>
    <row r="480" spans="2:22">
      <c r="B480" s="208" t="s">
        <v>359</v>
      </c>
      <c r="C480" s="229"/>
      <c r="D480" s="165"/>
      <c r="E480" s="165" t="s">
        <v>347</v>
      </c>
      <c r="F480" s="165" t="s">
        <v>2</v>
      </c>
      <c r="G480" s="165" t="s">
        <v>6</v>
      </c>
      <c r="H480" s="165"/>
      <c r="I480" s="165"/>
      <c r="J480" s="165"/>
      <c r="K480" s="165"/>
      <c r="L480" s="165"/>
      <c r="M480" s="165"/>
      <c r="N480" s="165"/>
      <c r="O480" s="165"/>
      <c r="P480" s="165"/>
      <c r="Q480" s="165"/>
      <c r="R480" s="165"/>
      <c r="S480" s="165"/>
      <c r="T480" s="165"/>
      <c r="U480" s="165"/>
      <c r="V480" s="209"/>
    </row>
    <row r="481" spans="2:22">
      <c r="B481" s="208" t="s">
        <v>360</v>
      </c>
      <c r="C481" s="230"/>
      <c r="D481" s="165"/>
      <c r="E481" s="165" t="s">
        <v>703</v>
      </c>
      <c r="F481" s="165">
        <v>100</v>
      </c>
      <c r="G481" s="165">
        <v>-100</v>
      </c>
      <c r="H481" s="165"/>
      <c r="I481" s="165"/>
      <c r="J481" s="165"/>
      <c r="K481" s="165"/>
      <c r="L481" s="165"/>
      <c r="M481" s="165"/>
      <c r="N481" s="165"/>
      <c r="O481" s="165"/>
      <c r="P481" s="165"/>
      <c r="Q481" s="165"/>
      <c r="R481" s="165"/>
      <c r="S481" s="165"/>
      <c r="T481" s="165"/>
      <c r="U481" s="165"/>
      <c r="V481" s="209"/>
    </row>
    <row r="482" spans="2:22">
      <c r="B482" s="208" t="s">
        <v>361</v>
      </c>
      <c r="C482" s="231"/>
      <c r="D482" s="165"/>
      <c r="E482" s="165" t="s">
        <v>9</v>
      </c>
      <c r="F482" s="165">
        <v>12</v>
      </c>
      <c r="G482" s="165">
        <v>-12</v>
      </c>
      <c r="H482" s="165"/>
      <c r="I482" s="165"/>
      <c r="J482" s="165"/>
      <c r="K482" s="165"/>
      <c r="L482" s="165"/>
      <c r="M482" s="165"/>
      <c r="N482" s="165"/>
      <c r="O482" s="165"/>
      <c r="P482" s="165"/>
      <c r="Q482" s="165"/>
      <c r="R482" s="165"/>
      <c r="S482" s="165"/>
      <c r="T482" s="165"/>
      <c r="U482" s="165"/>
      <c r="V482" s="209"/>
    </row>
    <row r="483" spans="2:22">
      <c r="B483" s="208" t="s">
        <v>362</v>
      </c>
      <c r="C483" s="232"/>
      <c r="D483" s="165"/>
      <c r="E483" s="161" t="s">
        <v>8</v>
      </c>
      <c r="F483" s="165">
        <v>10</v>
      </c>
      <c r="G483" s="165">
        <v>-10</v>
      </c>
      <c r="H483" s="165"/>
      <c r="I483" s="165"/>
      <c r="J483" s="165"/>
      <c r="K483" s="165"/>
      <c r="L483" s="165"/>
      <c r="M483" s="165"/>
      <c r="N483" s="165"/>
      <c r="O483" s="165"/>
      <c r="P483" s="165"/>
      <c r="Q483" s="165"/>
      <c r="R483" s="165"/>
      <c r="S483" s="165"/>
      <c r="T483" s="165"/>
      <c r="U483" s="165"/>
      <c r="V483" s="209"/>
    </row>
    <row r="484" spans="2:22">
      <c r="B484" s="208" t="s">
        <v>363</v>
      </c>
      <c r="C484" s="233"/>
      <c r="D484" s="165"/>
      <c r="E484" s="161" t="s">
        <v>19</v>
      </c>
      <c r="F484" s="161">
        <v>8</v>
      </c>
      <c r="G484" s="161">
        <v>-8</v>
      </c>
      <c r="H484" s="165"/>
      <c r="I484" s="165"/>
      <c r="J484" s="165"/>
      <c r="K484" s="165"/>
      <c r="L484" s="165"/>
      <c r="M484" s="165"/>
      <c r="N484" s="165"/>
      <c r="O484" s="165"/>
      <c r="P484" s="165"/>
      <c r="Q484" s="165"/>
      <c r="R484" s="165"/>
      <c r="S484" s="165"/>
      <c r="T484" s="165"/>
      <c r="U484" s="165"/>
      <c r="V484" s="209"/>
    </row>
    <row r="485" spans="2:22">
      <c r="B485" s="208" t="s">
        <v>358</v>
      </c>
      <c r="C485" s="234"/>
      <c r="D485" s="165"/>
      <c r="E485" s="161" t="s">
        <v>7</v>
      </c>
      <c r="F485" s="161">
        <v>6</v>
      </c>
      <c r="G485" s="161">
        <v>-6</v>
      </c>
      <c r="H485" s="165"/>
      <c r="I485" s="165"/>
      <c r="J485" s="165"/>
      <c r="K485" s="165"/>
      <c r="L485" s="165"/>
      <c r="M485" s="165"/>
      <c r="N485" s="165"/>
      <c r="O485" s="165"/>
      <c r="P485" s="165"/>
      <c r="Q485" s="165"/>
      <c r="R485" s="165"/>
      <c r="S485" s="165"/>
      <c r="T485" s="165"/>
      <c r="U485" s="165"/>
      <c r="V485" s="209"/>
    </row>
    <row r="486" spans="2:22">
      <c r="B486" s="208"/>
      <c r="C486" s="165"/>
      <c r="D486" s="165"/>
      <c r="E486" s="161" t="s">
        <v>163</v>
      </c>
      <c r="F486" s="161">
        <v>4</v>
      </c>
      <c r="G486" s="161">
        <v>-4</v>
      </c>
      <c r="H486" s="165"/>
      <c r="I486" s="165"/>
      <c r="J486" s="165"/>
      <c r="K486" s="165"/>
      <c r="L486" s="165"/>
      <c r="M486" s="165"/>
      <c r="N486" s="165"/>
      <c r="O486" s="165"/>
      <c r="P486" s="165"/>
      <c r="Q486" s="165"/>
      <c r="R486" s="165"/>
      <c r="S486" s="165"/>
      <c r="T486" s="165"/>
      <c r="U486" s="165"/>
      <c r="V486" s="209"/>
    </row>
    <row r="487" spans="2:22">
      <c r="B487" s="208"/>
      <c r="C487" s="165"/>
      <c r="D487" s="165"/>
      <c r="E487" s="161" t="s">
        <v>310</v>
      </c>
      <c r="F487" s="161">
        <v>2</v>
      </c>
      <c r="G487" s="161">
        <v>-2</v>
      </c>
      <c r="H487" s="165"/>
      <c r="I487" s="165"/>
      <c r="J487" s="165"/>
      <c r="K487" s="165"/>
      <c r="L487" s="165"/>
      <c r="M487" s="165"/>
      <c r="N487" s="165"/>
      <c r="O487" s="165"/>
      <c r="P487" s="165"/>
      <c r="Q487" s="165"/>
      <c r="R487" s="165"/>
      <c r="S487" s="165"/>
      <c r="T487" s="165"/>
      <c r="U487" s="165"/>
      <c r="V487" s="209"/>
    </row>
    <row r="488" spans="2:22">
      <c r="B488" s="208"/>
      <c r="C488" s="165" t="s">
        <v>440</v>
      </c>
      <c r="D488" s="165"/>
      <c r="E488" s="161" t="s">
        <v>156</v>
      </c>
      <c r="F488" s="161">
        <v>1</v>
      </c>
      <c r="G488" s="161">
        <v>-1</v>
      </c>
      <c r="H488" s="165"/>
      <c r="I488" s="165"/>
      <c r="J488" s="165"/>
      <c r="K488" s="165"/>
      <c r="L488" s="165"/>
      <c r="M488" s="165"/>
      <c r="N488" s="165"/>
      <c r="O488" s="165"/>
      <c r="P488" s="165"/>
      <c r="Q488" s="165"/>
      <c r="R488" s="165"/>
      <c r="S488" s="165"/>
      <c r="T488" s="165"/>
      <c r="U488" s="165"/>
      <c r="V488" s="209"/>
    </row>
    <row r="489" spans="2:22">
      <c r="B489" s="208"/>
      <c r="C489" s="165"/>
      <c r="D489" s="165"/>
      <c r="E489" s="161" t="s">
        <v>3</v>
      </c>
      <c r="F489" s="161">
        <v>-2</v>
      </c>
      <c r="G489" s="161">
        <v>2</v>
      </c>
      <c r="H489" s="165"/>
      <c r="I489" s="165"/>
      <c r="J489" s="165"/>
      <c r="K489" s="165"/>
      <c r="L489" s="165"/>
      <c r="M489" s="165"/>
      <c r="N489" s="165"/>
      <c r="O489" s="165"/>
      <c r="P489" s="165"/>
      <c r="Q489" s="165"/>
      <c r="R489" s="165"/>
      <c r="S489" s="165"/>
      <c r="T489" s="165"/>
      <c r="U489" s="165"/>
      <c r="V489" s="209"/>
    </row>
    <row r="490" spans="2:22">
      <c r="B490" s="208"/>
      <c r="C490" s="165"/>
      <c r="D490" s="165"/>
      <c r="E490" s="165"/>
      <c r="F490" s="165"/>
      <c r="G490" s="165"/>
      <c r="H490" s="165"/>
      <c r="I490" s="165"/>
      <c r="J490" s="165"/>
      <c r="K490" s="165"/>
      <c r="L490" s="165"/>
      <c r="M490" s="165"/>
      <c r="N490" s="165"/>
      <c r="O490" s="165"/>
      <c r="P490" s="165"/>
      <c r="Q490" s="165"/>
      <c r="R490" s="165"/>
      <c r="S490" s="165"/>
      <c r="T490" s="165"/>
      <c r="U490" s="165"/>
      <c r="V490" s="209"/>
    </row>
    <row r="491" spans="2:22">
      <c r="B491" s="208" t="s">
        <v>311</v>
      </c>
      <c r="C491" s="165" t="s">
        <v>350</v>
      </c>
      <c r="D491" s="165" t="s">
        <v>351</v>
      </c>
      <c r="E491" s="165" t="s">
        <v>352</v>
      </c>
      <c r="F491" s="165" t="s">
        <v>353</v>
      </c>
      <c r="G491" s="235" t="s">
        <v>365</v>
      </c>
      <c r="H491" s="165"/>
      <c r="I491" s="165" t="s">
        <v>311</v>
      </c>
      <c r="J491" s="165" t="s">
        <v>350</v>
      </c>
      <c r="K491" s="165" t="s">
        <v>351</v>
      </c>
      <c r="L491" s="165" t="s">
        <v>352</v>
      </c>
      <c r="M491" s="165" t="s">
        <v>353</v>
      </c>
      <c r="N491" s="235" t="s">
        <v>365</v>
      </c>
      <c r="O491" s="165"/>
      <c r="P491" s="165" t="s">
        <v>311</v>
      </c>
      <c r="Q491" s="165" t="s">
        <v>350</v>
      </c>
      <c r="R491" s="165" t="s">
        <v>351</v>
      </c>
      <c r="S491" s="165" t="s">
        <v>352</v>
      </c>
      <c r="T491" s="165" t="s">
        <v>353</v>
      </c>
      <c r="U491" s="235" t="s">
        <v>365</v>
      </c>
      <c r="V491" s="209"/>
    </row>
    <row r="492" spans="2:22">
      <c r="B492" s="208">
        <f>Algandmed!AE492</f>
        <v>0</v>
      </c>
      <c r="C492" s="165">
        <f>SUM(Algandmed!AE492:AH492)</f>
        <v>0</v>
      </c>
      <c r="D492" s="165">
        <f>C492+Algandmed!AI492+Algandmed!AJ492+Algandmed!AK492</f>
        <v>0</v>
      </c>
      <c r="E492" s="165">
        <f>Algandmed!AM492</f>
        <v>0</v>
      </c>
      <c r="F492" s="236" t="e">
        <f>SUM(Algandmed!AE492:AL492)/Algandmed!AM492</f>
        <v>#DIV/0!</v>
      </c>
      <c r="G492" s="237" t="e">
        <f>(($G$292*Algandmed!AE492)+($G$293*Algandmed!AF492)+($G$294*Algandmed!AG492)+($G$295*Algandmed!AH492)+($G$296*Algandmed!AI492)+($G$297*Algandmed!AJ492)+($G$298*Algandmed!AK492)+($G$299*Algandmed!AL492)+((Algandmed!AM492-SUM(Algandmed!AE492:AL492))*Settings!$G$300))/SQRT(Algandmed!AM492)</f>
        <v>#DIV/0!</v>
      </c>
      <c r="H492" s="237"/>
      <c r="I492" s="238">
        <f>Algandmed!AN492</f>
        <v>0</v>
      </c>
      <c r="J492" s="238">
        <f>SUM(Algandmed!AN492:AQ492)</f>
        <v>0</v>
      </c>
      <c r="K492" s="238">
        <f>J492+Algandmed!AR492+Algandmed!AS492+Algandmed!AT492</f>
        <v>0</v>
      </c>
      <c r="L492" s="238">
        <f>Algandmed!AV492</f>
        <v>0</v>
      </c>
      <c r="M492" s="236" t="e">
        <f>SUM(Algandmed!AN492:'Algandmed'!AU492)/Algandmed!AV492</f>
        <v>#DIV/0!</v>
      </c>
      <c r="N492" s="237" t="e">
        <f>(($G$292*Algandmed!AN492)+($G$293*Algandmed!AO492)+($G$294*Algandmed!AP492)+($G$295*Algandmed!AQ492)+($G$296*Algandmed!AR492)+($G$297*Algandmed!AS492)+($G$298*Algandmed!AT492)+($G$299*Algandmed!AU492)+((Algandmed!AV492-SUM(Algandmed!AN492:AU492))*Settings!$G$300))/SQRT(Algandmed!AV492)</f>
        <v>#DIV/0!</v>
      </c>
      <c r="O492" s="165"/>
      <c r="P492" s="238">
        <f>Algandmed!AW492</f>
        <v>0</v>
      </c>
      <c r="Q492" s="238">
        <f>SUM(Algandmed!AW492:AZ492)</f>
        <v>0</v>
      </c>
      <c r="R492" s="238">
        <f>Q456+Algandmed!BA492+Algandmed!BB492+Algandmed!BC492</f>
        <v>0</v>
      </c>
      <c r="S492" s="238">
        <f>Algandmed!BE492</f>
        <v>0</v>
      </c>
      <c r="T492" s="236" t="e">
        <f>SUM(Algandmed!AW492:BD492)/Algandmed!BE492</f>
        <v>#DIV/0!</v>
      </c>
      <c r="U492" s="237" t="e">
        <f>(($G$292*Algandmed!AW492)+($G$293*Algandmed!AX492)+($G$294*Algandmed!AY492)+($G$295*Algandmed!AZ492)+($G$296*Algandmed!BA492)+($G$297*Algandmed!BB492)+($G$298*Algandmed!BC492)+($G$299*Algandmed!BD492)+((Algandmed!BE492-SUM(Algandmed!AW492:BD492))*Settings!$G$300))/SQRT(Algandmed!BE492)</f>
        <v>#DIV/0!</v>
      </c>
      <c r="V492" s="209"/>
    </row>
    <row r="493" spans="2:22">
      <c r="B493" s="208"/>
      <c r="C493" s="165"/>
      <c r="D493" s="165"/>
      <c r="E493" s="165"/>
      <c r="F493" s="236"/>
      <c r="G493" s="237"/>
      <c r="H493" s="237"/>
      <c r="I493" s="238"/>
      <c r="J493" s="238"/>
      <c r="K493" s="238"/>
      <c r="L493" s="238"/>
      <c r="M493" s="236"/>
      <c r="N493" s="237"/>
      <c r="O493" s="165"/>
      <c r="P493" s="238"/>
      <c r="Q493" s="238"/>
      <c r="R493" s="238"/>
      <c r="S493" s="238"/>
      <c r="T493" s="236"/>
      <c r="U493" s="237"/>
      <c r="V493" s="209"/>
    </row>
    <row r="494" spans="2:22">
      <c r="B494" s="208"/>
      <c r="C494" s="165"/>
      <c r="D494" s="165"/>
      <c r="E494" s="165"/>
      <c r="F494" s="236"/>
      <c r="G494" s="237"/>
      <c r="H494" s="237"/>
      <c r="I494" s="238">
        <f>Algandmed!AN494</f>
        <v>0</v>
      </c>
      <c r="J494" s="238">
        <f>SUM(Algandmed!AN494:AQ494)</f>
        <v>0</v>
      </c>
      <c r="K494" s="238">
        <f>J494+Algandmed!AR494+Algandmed!AS494+Algandmed!AT494</f>
        <v>0</v>
      </c>
      <c r="L494" s="238">
        <f>Algandmed!AV494</f>
        <v>0</v>
      </c>
      <c r="M494" s="236" t="e">
        <f>SUM(Algandmed!AN494:'Algandmed'!AU494)/Algandmed!AV494</f>
        <v>#DIV/0!</v>
      </c>
      <c r="N494" s="237" t="e">
        <f>(($G$292*Algandmed!AN494)+($G$293*Algandmed!AO494)+($G$294*Algandmed!AP494)+($G$295*Algandmed!AQ494)+($G$296*Algandmed!AR494)+($G$297*Algandmed!AS494)+($G$298*Algandmed!AT494)+($G$299*Algandmed!AU494)+((Algandmed!AV494-SUM(Algandmed!AN494:AU494))*Settings!$G$300))/SQRT(Algandmed!AV494)</f>
        <v>#DIV/0!</v>
      </c>
      <c r="O494" s="165"/>
      <c r="P494" s="238"/>
      <c r="Q494" s="238"/>
      <c r="R494" s="238"/>
      <c r="S494" s="238"/>
      <c r="T494" s="236"/>
      <c r="U494" s="237"/>
      <c r="V494" s="209"/>
    </row>
    <row r="495" spans="2:22">
      <c r="B495" s="208"/>
      <c r="C495" s="165"/>
      <c r="D495" s="165"/>
      <c r="E495" s="165"/>
      <c r="F495" s="236"/>
      <c r="G495" s="237"/>
      <c r="H495" s="237"/>
      <c r="I495" s="238"/>
      <c r="J495" s="238"/>
      <c r="K495" s="238"/>
      <c r="L495" s="238"/>
      <c r="M495" s="236"/>
      <c r="N495" s="237"/>
      <c r="O495" s="165"/>
      <c r="P495" s="238"/>
      <c r="Q495" s="238"/>
      <c r="R495" s="238"/>
      <c r="S495" s="238"/>
      <c r="T495" s="236"/>
      <c r="U495" s="237"/>
      <c r="V495" s="209"/>
    </row>
    <row r="496" spans="2:22">
      <c r="B496" s="208">
        <f>Algandmed!AE496</f>
        <v>0</v>
      </c>
      <c r="C496" s="165">
        <f>SUM(Algandmed!AE496:AH496)</f>
        <v>0</v>
      </c>
      <c r="D496" s="165">
        <f>C496+Algandmed!AI496+Algandmed!AJ496+Algandmed!AK496</f>
        <v>0</v>
      </c>
      <c r="E496" s="165">
        <f>Algandmed!AM496</f>
        <v>0</v>
      </c>
      <c r="F496" s="236" t="e">
        <f>SUM(Algandmed!AE496:AL496)/Algandmed!AM496</f>
        <v>#DIV/0!</v>
      </c>
      <c r="G496" s="237" t="e">
        <f>(($G$292*Algandmed!AE496)+($G$293*Algandmed!AF496)+($G$294*Algandmed!AG496)+($G$295*Algandmed!AH496)+($G$296*Algandmed!AI496)+($G$297*Algandmed!AJ496)+($G$298*Algandmed!AK496)+($G$299*Algandmed!AL496)+((Algandmed!AM496-SUM(Algandmed!AE496:AL496))*Settings!$G$300))/SQRT(Algandmed!AM496)</f>
        <v>#DIV/0!</v>
      </c>
      <c r="H496" s="237"/>
      <c r="I496" s="238">
        <f>Algandmed!AN496</f>
        <v>0</v>
      </c>
      <c r="J496" s="238">
        <f>SUM(Algandmed!AN496:AQ496)</f>
        <v>0</v>
      </c>
      <c r="K496" s="238">
        <f>J496+Algandmed!AR496+Algandmed!AS496+Algandmed!AT496</f>
        <v>0</v>
      </c>
      <c r="L496" s="238">
        <f>Algandmed!AV496</f>
        <v>0</v>
      </c>
      <c r="M496" s="236" t="e">
        <f>SUM(Algandmed!AN496:'Algandmed'!AU496)/Algandmed!AV496</f>
        <v>#DIV/0!</v>
      </c>
      <c r="N496" s="237" t="e">
        <f>(($G$292*Algandmed!AN496)+($G$293*Algandmed!AO496)+($G$294*Algandmed!AP496)+($G$295*Algandmed!AQ496)+($G$296*Algandmed!AR496)+($G$297*Algandmed!AS496)+($G$298*Algandmed!AT496)+($G$299*Algandmed!AU496)+((Algandmed!AV496-SUM(Algandmed!AN496:AU496))*Settings!$G$300))/SQRT(Algandmed!AV496)</f>
        <v>#DIV/0!</v>
      </c>
      <c r="O496" s="165"/>
      <c r="P496" s="238">
        <f>Algandmed!AW496</f>
        <v>0</v>
      </c>
      <c r="Q496" s="238">
        <f>SUM(Algandmed!AW496:AZ496)</f>
        <v>0</v>
      </c>
      <c r="R496" s="238">
        <f>Q460+Algandmed!BA496+Algandmed!BB496+Algandmed!BC496</f>
        <v>0</v>
      </c>
      <c r="S496" s="238">
        <f>Algandmed!BE496</f>
        <v>0</v>
      </c>
      <c r="T496" s="236" t="e">
        <f>SUM(Algandmed!AW496:BD496)/Algandmed!BE496</f>
        <v>#DIV/0!</v>
      </c>
      <c r="U496" s="237" t="e">
        <f>(($G$292*Algandmed!AW496)+($G$293*Algandmed!AX496)+($G$294*Algandmed!AY496)+($G$295*Algandmed!AZ496)+($G$296*Algandmed!BA496)+($G$297*Algandmed!BB496)+($G$298*Algandmed!BC496)+($G$299*Algandmed!BD496)+((Algandmed!BE496-SUM(Algandmed!AW496:BD496))*Settings!$G$300))/SQRT(Algandmed!BE496)</f>
        <v>#DIV/0!</v>
      </c>
      <c r="V496" s="209"/>
    </row>
    <row r="497" spans="1:22">
      <c r="B497" s="208"/>
      <c r="C497" s="165"/>
      <c r="D497" s="165"/>
      <c r="E497" s="165"/>
      <c r="F497" s="236"/>
      <c r="G497" s="237"/>
      <c r="H497" s="237"/>
      <c r="I497" s="238"/>
      <c r="J497" s="238"/>
      <c r="K497" s="238"/>
      <c r="L497" s="238"/>
      <c r="M497" s="236"/>
      <c r="N497" s="237"/>
      <c r="O497" s="165"/>
      <c r="P497" s="238"/>
      <c r="Q497" s="238"/>
      <c r="R497" s="238"/>
      <c r="S497" s="238"/>
      <c r="T497" s="236"/>
      <c r="U497" s="237"/>
      <c r="V497" s="209"/>
    </row>
    <row r="498" spans="1:22">
      <c r="B498" s="208">
        <f>Algandmed!AE498</f>
        <v>0</v>
      </c>
      <c r="C498" s="165">
        <f>SUM(Algandmed!AE498:AH498)</f>
        <v>0</v>
      </c>
      <c r="D498" s="165">
        <f>C498+Algandmed!AI498+Algandmed!AJ498+Algandmed!AK498</f>
        <v>0</v>
      </c>
      <c r="E498" s="165">
        <f>Algandmed!AM498</f>
        <v>0</v>
      </c>
      <c r="F498" s="236" t="e">
        <f>SUM(Algandmed!AE498:AL498)/Algandmed!AM498</f>
        <v>#DIV/0!</v>
      </c>
      <c r="G498" s="237" t="e">
        <f>(($G$292*Algandmed!AE498)+($G$293*Algandmed!AF498)+($G$294*Algandmed!AG498)+($G$295*Algandmed!AH498)+($G$296*Algandmed!AI498)+($G$297*Algandmed!AJ498)+($G$298*Algandmed!AK498)+($G$299*Algandmed!AL498)+((Algandmed!AM498-SUM(Algandmed!AE498:AL498))*Settings!$G$300))/SQRT(Algandmed!AM498)</f>
        <v>#DIV/0!</v>
      </c>
      <c r="H498" s="237"/>
      <c r="I498" s="238">
        <f>Algandmed!AN498</f>
        <v>0</v>
      </c>
      <c r="J498" s="238">
        <f>SUM(Algandmed!AN498:AQ498)</f>
        <v>0</v>
      </c>
      <c r="K498" s="238">
        <f>J498+Algandmed!AR498+Algandmed!AS498+Algandmed!AT498</f>
        <v>0</v>
      </c>
      <c r="L498" s="238">
        <f>Algandmed!AV498</f>
        <v>0</v>
      </c>
      <c r="M498" s="236" t="e">
        <f>SUM(Algandmed!AN498:'Algandmed'!AU498)/Algandmed!AV498</f>
        <v>#DIV/0!</v>
      </c>
      <c r="N498" s="237" t="e">
        <f>(($G$292*Algandmed!AN498)+($G$293*Algandmed!AO498)+($G$294*Algandmed!AP498)+($G$295*Algandmed!AQ498)+($G$296*Algandmed!AR498)+($G$297*Algandmed!AS498)+($G$298*Algandmed!AT498)+($G$299*Algandmed!AU498)+((Algandmed!AV498-SUM(Algandmed!AN498:AU498))*Settings!$G$300))/SQRT(Algandmed!AV498)</f>
        <v>#DIV/0!</v>
      </c>
      <c r="O498" s="165"/>
      <c r="P498" s="238">
        <f>Algandmed!AW498</f>
        <v>0</v>
      </c>
      <c r="Q498" s="238">
        <f>SUM(Algandmed!AW498:AZ498)</f>
        <v>0</v>
      </c>
      <c r="R498" s="238">
        <f>Q462+Algandmed!BA498+Algandmed!BB498+Algandmed!BC498</f>
        <v>0</v>
      </c>
      <c r="S498" s="238">
        <f>Algandmed!BE498</f>
        <v>0</v>
      </c>
      <c r="T498" s="236" t="e">
        <f>SUM(Algandmed!AW498:BD498)/Algandmed!BE498</f>
        <v>#DIV/0!</v>
      </c>
      <c r="U498" s="237" t="e">
        <f>(($G$292*Algandmed!AW498)+($G$293*Algandmed!AX498)+($G$294*Algandmed!AY498)+($G$295*Algandmed!AZ498)+($G$296*Algandmed!BA498)+($G$297*Algandmed!BB498)+($G$298*Algandmed!BC498)+($G$299*Algandmed!BD498)+((Algandmed!BE498-SUM(Algandmed!AW498:BD498))*Settings!$G$300))/SQRT(Algandmed!BE498)</f>
        <v>#DIV/0!</v>
      </c>
      <c r="V498" s="209"/>
    </row>
    <row r="499" spans="1:22">
      <c r="A499" t="s">
        <v>461</v>
      </c>
      <c r="B499" s="208"/>
      <c r="C499" s="165"/>
      <c r="D499" s="165"/>
      <c r="E499" s="165"/>
      <c r="F499" s="236"/>
      <c r="G499" s="237"/>
      <c r="H499" s="237"/>
      <c r="I499" s="238"/>
      <c r="J499" s="238"/>
      <c r="K499" s="238"/>
      <c r="L499" s="238"/>
      <c r="M499" s="236"/>
      <c r="N499" s="237"/>
      <c r="O499" s="165"/>
      <c r="P499" s="238"/>
      <c r="Q499" s="238"/>
      <c r="R499" s="238"/>
      <c r="S499" s="238"/>
      <c r="T499" s="236"/>
      <c r="U499" s="237"/>
      <c r="V499" s="209"/>
    </row>
    <row r="500" spans="1:22">
      <c r="A500" t="s">
        <v>462</v>
      </c>
      <c r="B500" s="208">
        <f>Algandmed!AE500</f>
        <v>0</v>
      </c>
      <c r="C500" s="165">
        <f>SUM(Algandmed!AE500:AH500)</f>
        <v>0</v>
      </c>
      <c r="D500" s="165">
        <f>C500+Algandmed!AI500+Algandmed!AJ500+Algandmed!AK500</f>
        <v>0</v>
      </c>
      <c r="E500" s="165">
        <f>Algandmed!AM500</f>
        <v>0</v>
      </c>
      <c r="F500" s="236" t="e">
        <f>SUM(Algandmed!AE500:AL500)/Algandmed!AM500</f>
        <v>#DIV/0!</v>
      </c>
      <c r="G500" s="237" t="e">
        <f>(($G$292*Algandmed!AE500)+($G$293*Algandmed!AF500)+($G$294*Algandmed!AG500)+($G$295*Algandmed!AH500)+($G$296*Algandmed!AI500)+($G$297*Algandmed!AJ500)+($G$298*Algandmed!AK500)+($G$299*Algandmed!AL500)+((Algandmed!AM500-SUM(Algandmed!AE500:AL500))*Settings!$G$300))/SQRT(Algandmed!AM500)</f>
        <v>#DIV/0!</v>
      </c>
      <c r="H500" s="237"/>
      <c r="I500" s="238">
        <f>Algandmed!AN500</f>
        <v>0</v>
      </c>
      <c r="J500" s="238">
        <f>SUM(Algandmed!AN500:AQ500)</f>
        <v>0</v>
      </c>
      <c r="K500" s="238">
        <f>J500+Algandmed!AR500+Algandmed!AS500+Algandmed!AT500</f>
        <v>0</v>
      </c>
      <c r="L500" s="238">
        <f>Algandmed!AV500</f>
        <v>0</v>
      </c>
      <c r="M500" s="236" t="e">
        <f>SUM(Algandmed!AN500:'Algandmed'!AU500)/Algandmed!AV500</f>
        <v>#DIV/0!</v>
      </c>
      <c r="N500" s="237" t="e">
        <f>(($G$292*Algandmed!AN500)+($G$293*Algandmed!AO500)+($G$294*Algandmed!AP500)+($G$295*Algandmed!AQ500)+($G$296*Algandmed!AR500)+($G$297*Algandmed!AS500)+($G$298*Algandmed!AT500)+($G$299*Algandmed!AU500)+((Algandmed!AV500-SUM(Algandmed!AN500:AU500))*Settings!$G$300))/SQRT(Algandmed!AV500)</f>
        <v>#DIV/0!</v>
      </c>
      <c r="O500" s="165"/>
      <c r="P500" s="238">
        <f>Algandmed!AW500</f>
        <v>0</v>
      </c>
      <c r="Q500" s="238">
        <f>SUM(Algandmed!AW500:AZ500)</f>
        <v>0</v>
      </c>
      <c r="R500" s="238">
        <f>Q464+Algandmed!BA500+Algandmed!BB500+Algandmed!BC500</f>
        <v>0</v>
      </c>
      <c r="S500" s="238">
        <f>Algandmed!BE500</f>
        <v>0</v>
      </c>
      <c r="T500" s="236" t="e">
        <f>SUM(Algandmed!AW500:BD500)/Algandmed!BE500</f>
        <v>#DIV/0!</v>
      </c>
      <c r="U500" s="237" t="e">
        <f>(($G$292*Algandmed!AW500)+($G$293*Algandmed!AX500)+($G$294*Algandmed!AY500)+($G$295*Algandmed!AZ500)+($G$296*Algandmed!BA500)+($G$297*Algandmed!BB500)+($G$298*Algandmed!BC500)+($G$299*Algandmed!BD500)+((Algandmed!BE500-SUM(Algandmed!AW500:BD500))*Settings!$G$300))/SQRT(Algandmed!BE500)</f>
        <v>#DIV/0!</v>
      </c>
      <c r="V500" s="209"/>
    </row>
    <row r="501" spans="1:22">
      <c r="A501" t="s">
        <v>457</v>
      </c>
      <c r="B501" s="208"/>
      <c r="C501" s="165"/>
      <c r="D501" s="165"/>
      <c r="E501" s="165"/>
      <c r="F501" s="236"/>
      <c r="G501" s="237"/>
      <c r="H501" s="237"/>
      <c r="I501" s="238"/>
      <c r="J501" s="238"/>
      <c r="K501" s="238"/>
      <c r="L501" s="238"/>
      <c r="M501" s="236"/>
      <c r="N501" s="237"/>
      <c r="O501" s="165"/>
      <c r="P501" s="238"/>
      <c r="Q501" s="238"/>
      <c r="R501" s="238"/>
      <c r="S501" s="238"/>
      <c r="T501" s="236"/>
      <c r="U501" s="237"/>
      <c r="V501" s="209"/>
    </row>
    <row r="502" spans="1:22">
      <c r="A502" t="s">
        <v>457</v>
      </c>
      <c r="B502" s="208">
        <f>Algandmed!AE502</f>
        <v>0</v>
      </c>
      <c r="C502" s="165">
        <f>SUM(Algandmed!AE502:AH502)</f>
        <v>0</v>
      </c>
      <c r="D502" s="165">
        <f>C502+Algandmed!AI502+Algandmed!AJ502+Algandmed!AK502</f>
        <v>0</v>
      </c>
      <c r="E502" s="165">
        <f>Algandmed!AM502</f>
        <v>0</v>
      </c>
      <c r="F502" s="236" t="e">
        <f>SUM(Algandmed!AE502:AL502)/Algandmed!AM502</f>
        <v>#DIV/0!</v>
      </c>
      <c r="G502" s="237" t="e">
        <f>(($G$292*Algandmed!AE502)+($G$293*Algandmed!AF502)+($G$294*Algandmed!AG502)+($G$295*Algandmed!AH502)+($G$296*Algandmed!AI502)+($G$297*Algandmed!AJ502)+($G$298*Algandmed!AK502)+($G$299*Algandmed!AL502)+((Algandmed!AM502-SUM(Algandmed!AE502:AL502))*Settings!$G$300))/SQRT(Algandmed!AM502)</f>
        <v>#DIV/0!</v>
      </c>
      <c r="H502" s="237"/>
      <c r="I502" s="238">
        <f>Algandmed!AN502</f>
        <v>0</v>
      </c>
      <c r="J502" s="238">
        <f>SUM(Algandmed!AN502:AQ502)</f>
        <v>0</v>
      </c>
      <c r="K502" s="238">
        <f>J502+Algandmed!AR502+Algandmed!AS502+Algandmed!AT502</f>
        <v>0</v>
      </c>
      <c r="L502" s="238">
        <f>Algandmed!AV502</f>
        <v>0</v>
      </c>
      <c r="M502" s="236" t="e">
        <f>SUM(Algandmed!AN502:'Algandmed'!AU502)/Algandmed!AV502</f>
        <v>#DIV/0!</v>
      </c>
      <c r="N502" s="237" t="e">
        <f>(($G$292*Algandmed!AN502)+($G$293*Algandmed!AO502)+($G$294*Algandmed!AP502)+($G$295*Algandmed!AQ502)+($G$296*Algandmed!AR502)+($G$297*Algandmed!AS502)+($G$298*Algandmed!AT502)+($G$299*Algandmed!AU502)+((Algandmed!AV502-SUM(Algandmed!AN502:AU502))*Settings!$G$300))/SQRT(Algandmed!AV502)</f>
        <v>#DIV/0!</v>
      </c>
      <c r="O502" s="165"/>
      <c r="P502" s="238">
        <f>Algandmed!AW502</f>
        <v>0</v>
      </c>
      <c r="Q502" s="238">
        <f>SUM(Algandmed!AW502:AZ502)</f>
        <v>0</v>
      </c>
      <c r="R502" s="238">
        <f>Q466+Algandmed!BA502+Algandmed!BB502+Algandmed!BC502</f>
        <v>0</v>
      </c>
      <c r="S502" s="238">
        <f>Algandmed!BE502</f>
        <v>0</v>
      </c>
      <c r="T502" s="236" t="e">
        <f>SUM(Algandmed!AW502:BD502)/Algandmed!BE502</f>
        <v>#DIV/0!</v>
      </c>
      <c r="U502" s="237" t="e">
        <f>(($G$292*Algandmed!AW502)+($G$293*Algandmed!AX502)+($G$294*Algandmed!AY502)+($G$295*Algandmed!AZ502)+($G$296*Algandmed!BA502)+($G$297*Algandmed!BB502)+($G$298*Algandmed!BC502)+($G$299*Algandmed!BD502)+((Algandmed!BE502-SUM(Algandmed!AW502:BD502))*Settings!$G$300))/SQRT(Algandmed!BE502)</f>
        <v>#DIV/0!</v>
      </c>
      <c r="V502" s="209"/>
    </row>
    <row r="503" spans="1:22">
      <c r="B503" s="208"/>
      <c r="C503" s="165"/>
      <c r="D503" s="165"/>
      <c r="E503" s="165"/>
      <c r="F503" s="236"/>
      <c r="G503" s="237"/>
      <c r="H503" s="237"/>
      <c r="I503" s="238"/>
      <c r="J503" s="238"/>
      <c r="K503" s="238"/>
      <c r="L503" s="238"/>
      <c r="M503" s="236"/>
      <c r="N503" s="237"/>
      <c r="O503" s="165"/>
      <c r="P503" s="238"/>
      <c r="Q503" s="238"/>
      <c r="R503" s="238"/>
      <c r="S503" s="238"/>
      <c r="T503" s="236"/>
      <c r="U503" s="237"/>
      <c r="V503" s="209"/>
    </row>
    <row r="504" spans="1:22">
      <c r="B504" s="208"/>
      <c r="C504" s="165"/>
      <c r="D504" s="165"/>
      <c r="E504" s="165"/>
      <c r="F504" s="236"/>
      <c r="G504" s="237"/>
      <c r="H504" s="237"/>
      <c r="I504" s="238">
        <f>Algandmed!AN504</f>
        <v>0</v>
      </c>
      <c r="J504" s="238">
        <f>SUM(Algandmed!AN504:AQ504)</f>
        <v>0</v>
      </c>
      <c r="K504" s="238">
        <f>J504+Algandmed!AR504+Algandmed!AS504+Algandmed!AT504</f>
        <v>0</v>
      </c>
      <c r="L504" s="238">
        <f>Algandmed!AV504</f>
        <v>0</v>
      </c>
      <c r="M504" s="236" t="e">
        <f>SUM(Algandmed!AN504:'Algandmed'!AU504)/Algandmed!AV504</f>
        <v>#DIV/0!</v>
      </c>
      <c r="N504" s="237" t="e">
        <f>(($G$292*Algandmed!AN504)+($G$293*Algandmed!AO504)+($G$294*Algandmed!AP504)+($G$295*Algandmed!AQ504)+($G$296*Algandmed!AR504)+($G$297*Algandmed!AS504)+($G$298*Algandmed!AT504)+($G$299*Algandmed!AU504)+((Algandmed!AV504-SUM(Algandmed!AN504:AU504))*Settings!$G$300))/SQRT(Algandmed!AV504)</f>
        <v>#DIV/0!</v>
      </c>
      <c r="O504" s="165"/>
      <c r="P504" s="238"/>
      <c r="Q504" s="238"/>
      <c r="R504" s="238"/>
      <c r="S504" s="238"/>
      <c r="T504" s="236"/>
      <c r="U504" s="237"/>
      <c r="V504" s="209"/>
    </row>
    <row r="505" spans="1:22">
      <c r="B505" s="208"/>
      <c r="C505" s="165"/>
      <c r="D505" s="165"/>
      <c r="E505" s="165"/>
      <c r="F505" s="236"/>
      <c r="G505" s="237"/>
      <c r="H505" s="237"/>
      <c r="I505" s="238"/>
      <c r="J505" s="238"/>
      <c r="K505" s="238"/>
      <c r="L505" s="238"/>
      <c r="M505" s="236"/>
      <c r="N505" s="237"/>
      <c r="O505" s="165"/>
      <c r="P505" s="238"/>
      <c r="Q505" s="238"/>
      <c r="R505" s="238"/>
      <c r="S505" s="238"/>
      <c r="T505" s="236"/>
      <c r="U505" s="237"/>
      <c r="V505" s="209"/>
    </row>
    <row r="506" spans="1:22">
      <c r="B506" s="208">
        <f>Algandmed!AE506</f>
        <v>0</v>
      </c>
      <c r="C506" s="165">
        <f>SUM(Algandmed!AE506:AH506)</f>
        <v>0</v>
      </c>
      <c r="D506" s="165">
        <f>C506+Algandmed!AI506+Algandmed!AJ506+Algandmed!AK506</f>
        <v>0</v>
      </c>
      <c r="E506" s="165">
        <f>Algandmed!AM506</f>
        <v>0</v>
      </c>
      <c r="F506" s="236" t="e">
        <f>SUM(Algandmed!AE506:AL506)/Algandmed!AM506</f>
        <v>#DIV/0!</v>
      </c>
      <c r="G506" s="237" t="e">
        <f>(($G$292*Algandmed!AE506)+($G$293*Algandmed!AF506)+($G$294*Algandmed!AG506)+($G$295*Algandmed!AH506)+($G$296*Algandmed!AI506)+($G$297*Algandmed!AJ506)+($G$298*Algandmed!AK506)+($G$299*Algandmed!AL506)+((Algandmed!AM506-SUM(Algandmed!AE506:AL506))*Settings!$G$300))/SQRT(Algandmed!AM506)</f>
        <v>#DIV/0!</v>
      </c>
      <c r="H506" s="237"/>
      <c r="I506" s="238">
        <f>Algandmed!AN506</f>
        <v>0</v>
      </c>
      <c r="J506" s="238">
        <f>SUM(Algandmed!AN506:AQ506)</f>
        <v>0</v>
      </c>
      <c r="K506" s="238">
        <f>J506+Algandmed!AR506+Algandmed!AS506+Algandmed!AT506</f>
        <v>0</v>
      </c>
      <c r="L506" s="238">
        <f>Algandmed!AV506</f>
        <v>0</v>
      </c>
      <c r="M506" s="236" t="e">
        <f>SUM(Algandmed!AN506:'Algandmed'!AU506)/Algandmed!AV506</f>
        <v>#DIV/0!</v>
      </c>
      <c r="N506" s="237" t="e">
        <f>(($G$292*Algandmed!AN506)+($G$293*Algandmed!AO506)+($G$294*Algandmed!AP506)+($G$295*Algandmed!AQ506)+($G$296*Algandmed!AR506)+($G$297*Algandmed!AS506)+($G$298*Algandmed!AT506)+($G$299*Algandmed!AU506)+((Algandmed!AV506-SUM(Algandmed!AN506:AU506))*Settings!$G$300))/SQRT(Algandmed!AV506)</f>
        <v>#DIV/0!</v>
      </c>
      <c r="O506" s="165"/>
      <c r="P506" s="238">
        <f>Algandmed!AW506</f>
        <v>0</v>
      </c>
      <c r="Q506" s="238">
        <f>SUM(Algandmed!AW506:AZ506)</f>
        <v>0</v>
      </c>
      <c r="R506" s="238">
        <f>Q470+Algandmed!BA506+Algandmed!BB506+Algandmed!BC506</f>
        <v>0</v>
      </c>
      <c r="S506" s="238">
        <f>Algandmed!BE506</f>
        <v>0</v>
      </c>
      <c r="T506" s="236" t="e">
        <f>SUM(Algandmed!AW506:BD506)/Algandmed!BE506</f>
        <v>#DIV/0!</v>
      </c>
      <c r="U506" s="237" t="e">
        <f>(($G$292*Algandmed!AW506)+($G$293*Algandmed!AX506)+($G$294*Algandmed!AY506)+($G$295*Algandmed!AZ506)+($G$296*Algandmed!BA506)+($G$297*Algandmed!BB506)+($G$298*Algandmed!BC506)+($G$299*Algandmed!BD506)+((Algandmed!BE506-SUM(Algandmed!AW506:BD506))*Settings!$G$300))/SQRT(Algandmed!BE506)</f>
        <v>#DIV/0!</v>
      </c>
      <c r="V506" s="209"/>
    </row>
    <row r="507" spans="1:22">
      <c r="B507" s="208"/>
      <c r="C507" s="165"/>
      <c r="D507" s="165"/>
      <c r="E507" s="165"/>
      <c r="F507" s="236"/>
      <c r="G507" s="237"/>
      <c r="H507" s="237"/>
      <c r="I507" s="238"/>
      <c r="J507" s="238"/>
      <c r="K507" s="238"/>
      <c r="L507" s="238"/>
      <c r="M507" s="236"/>
      <c r="N507" s="237"/>
      <c r="O507" s="165"/>
      <c r="P507" s="238"/>
      <c r="Q507" s="238"/>
      <c r="R507" s="238"/>
      <c r="S507" s="238"/>
      <c r="T507" s="236"/>
      <c r="U507" s="237"/>
      <c r="V507" s="209"/>
    </row>
    <row r="508" spans="1:22">
      <c r="B508" s="212"/>
      <c r="C508" s="213"/>
      <c r="D508" s="213"/>
      <c r="E508" s="213"/>
      <c r="F508" s="240"/>
      <c r="G508" s="241"/>
      <c r="H508" s="213"/>
      <c r="I508" s="213"/>
      <c r="J508" s="213"/>
      <c r="K508" s="213"/>
      <c r="L508" s="213"/>
      <c r="M508" s="213"/>
      <c r="N508" s="213"/>
      <c r="O508" s="213"/>
      <c r="P508" s="213"/>
      <c r="Q508" s="213"/>
      <c r="R508" s="213"/>
      <c r="S508" s="213"/>
      <c r="T508" s="213"/>
      <c r="U508" s="213"/>
      <c r="V508" s="214"/>
    </row>
    <row r="512" spans="1:22">
      <c r="B512" s="205" t="s">
        <v>444</v>
      </c>
      <c r="C512" s="206"/>
      <c r="D512" s="206"/>
      <c r="E512" s="206"/>
      <c r="F512" s="206"/>
      <c r="G512" s="388" t="s">
        <v>386</v>
      </c>
      <c r="H512" s="388"/>
      <c r="I512" s="388"/>
      <c r="J512" s="388"/>
      <c r="K512" s="388"/>
      <c r="L512" s="388"/>
      <c r="M512" s="388"/>
      <c r="N512" s="206"/>
      <c r="O512" s="206"/>
      <c r="P512" s="206"/>
      <c r="Q512" s="206"/>
      <c r="R512" s="206"/>
      <c r="S512" s="206"/>
      <c r="T512" s="206"/>
      <c r="U512" s="206"/>
      <c r="V512" s="207"/>
    </row>
    <row r="513" spans="2:22">
      <c r="B513" s="208" t="s">
        <v>354</v>
      </c>
      <c r="C513" s="165"/>
      <c r="D513" s="165"/>
      <c r="E513" s="165"/>
      <c r="F513" s="165"/>
      <c r="G513" s="389"/>
      <c r="H513" s="389"/>
      <c r="I513" s="389"/>
      <c r="J513" s="389"/>
      <c r="K513" s="389"/>
      <c r="L513" s="389"/>
      <c r="M513" s="389"/>
      <c r="N513" s="165"/>
      <c r="O513" s="165"/>
      <c r="P513" s="165"/>
      <c r="Q513" s="165"/>
      <c r="R513" s="165"/>
      <c r="S513" s="165"/>
      <c r="T513" s="165"/>
      <c r="U513" s="165"/>
      <c r="V513" s="209"/>
    </row>
    <row r="514" spans="2:22">
      <c r="B514" s="208" t="s">
        <v>355</v>
      </c>
      <c r="C514" s="165"/>
      <c r="D514" s="165"/>
      <c r="E514" s="165"/>
      <c r="F514" s="165"/>
      <c r="G514" s="165"/>
      <c r="H514" s="165"/>
      <c r="I514" s="165"/>
      <c r="J514" s="165"/>
      <c r="K514" s="165"/>
      <c r="L514" s="165"/>
      <c r="M514" s="165"/>
      <c r="N514" s="165"/>
      <c r="O514" s="165"/>
      <c r="P514" s="165"/>
      <c r="Q514" s="392" t="s">
        <v>392</v>
      </c>
      <c r="R514" s="392"/>
      <c r="S514" s="393"/>
      <c r="T514" s="165"/>
      <c r="U514" s="165"/>
      <c r="V514" s="209"/>
    </row>
    <row r="515" spans="2:22">
      <c r="B515" s="208" t="s">
        <v>356</v>
      </c>
      <c r="C515" s="165"/>
      <c r="D515" s="165"/>
      <c r="E515" s="165"/>
      <c r="F515" s="165"/>
      <c r="G515" s="165"/>
      <c r="H515" s="165"/>
      <c r="I515" s="165"/>
      <c r="J515" s="165"/>
      <c r="K515" s="165"/>
      <c r="L515" s="165"/>
      <c r="M515" s="165"/>
      <c r="N515" s="165"/>
      <c r="O515" s="165"/>
      <c r="P515" s="165"/>
      <c r="Q515" s="390"/>
      <c r="R515" s="390"/>
      <c r="S515" s="391"/>
      <c r="T515" s="165"/>
      <c r="U515" s="165"/>
      <c r="V515" s="209"/>
    </row>
    <row r="516" spans="2:22">
      <c r="B516" s="208" t="s">
        <v>357</v>
      </c>
      <c r="C516" s="165"/>
      <c r="D516" s="165"/>
      <c r="E516" s="165"/>
      <c r="F516" s="165"/>
      <c r="G516" s="165"/>
      <c r="H516" s="165"/>
      <c r="I516" s="165"/>
      <c r="J516" s="165"/>
      <c r="K516" s="165"/>
      <c r="L516" s="165"/>
      <c r="M516" s="165"/>
      <c r="N516" s="165"/>
      <c r="O516" s="165"/>
      <c r="P516" s="165"/>
      <c r="Q516" s="390"/>
      <c r="R516" s="390"/>
      <c r="S516" s="391"/>
      <c r="T516" s="165"/>
      <c r="U516" s="165"/>
      <c r="V516" s="209"/>
    </row>
    <row r="517" spans="2:22">
      <c r="B517" s="208"/>
      <c r="C517" s="165"/>
      <c r="D517" s="165"/>
      <c r="E517" s="165"/>
      <c r="F517" s="165"/>
      <c r="G517" s="165"/>
      <c r="H517" s="165"/>
      <c r="I517" s="165"/>
      <c r="J517" s="165"/>
      <c r="K517" s="165"/>
      <c r="L517" s="165"/>
      <c r="M517" s="165"/>
      <c r="N517" s="165"/>
      <c r="O517" s="165"/>
      <c r="P517" s="165"/>
      <c r="Q517" s="390"/>
      <c r="R517" s="390"/>
      <c r="S517" s="391"/>
      <c r="T517" s="165"/>
      <c r="U517" s="165"/>
      <c r="V517" s="209"/>
    </row>
    <row r="518" spans="2:22">
      <c r="B518" s="208" t="s">
        <v>359</v>
      </c>
      <c r="C518" s="229"/>
      <c r="D518" s="165"/>
      <c r="E518" s="165" t="s">
        <v>347</v>
      </c>
      <c r="F518" s="165" t="s">
        <v>2</v>
      </c>
      <c r="G518" s="165" t="s">
        <v>6</v>
      </c>
      <c r="H518" s="165"/>
      <c r="I518" s="165"/>
      <c r="J518" s="165"/>
      <c r="K518" s="165"/>
      <c r="L518" s="165"/>
      <c r="M518" s="165"/>
      <c r="N518" s="165"/>
      <c r="O518" s="165"/>
      <c r="P518" s="165"/>
      <c r="Q518" s="165"/>
      <c r="R518" s="165"/>
      <c r="S518" s="165"/>
      <c r="T518" s="165"/>
      <c r="U518" s="165"/>
      <c r="V518" s="209"/>
    </row>
    <row r="519" spans="2:22">
      <c r="B519" s="208" t="s">
        <v>360</v>
      </c>
      <c r="C519" s="230"/>
      <c r="D519" s="165"/>
      <c r="E519" s="165" t="s">
        <v>703</v>
      </c>
      <c r="F519" s="165">
        <v>100</v>
      </c>
      <c r="G519" s="165">
        <v>-100</v>
      </c>
      <c r="H519" s="165"/>
      <c r="I519" s="165"/>
      <c r="J519" s="165"/>
      <c r="K519" s="165"/>
      <c r="L519" s="165"/>
      <c r="M519" s="165"/>
      <c r="N519" s="165"/>
      <c r="O519" s="165"/>
      <c r="P519" s="165"/>
      <c r="Q519" s="165"/>
      <c r="R519" s="165"/>
      <c r="S519" s="165"/>
      <c r="T519" s="165"/>
      <c r="U519" s="165"/>
      <c r="V519" s="209"/>
    </row>
    <row r="520" spans="2:22">
      <c r="B520" s="208" t="s">
        <v>361</v>
      </c>
      <c r="C520" s="231"/>
      <c r="D520" s="165"/>
      <c r="E520" s="165" t="s">
        <v>9</v>
      </c>
      <c r="F520" s="165">
        <v>12</v>
      </c>
      <c r="G520" s="165">
        <v>-12</v>
      </c>
      <c r="H520" s="165"/>
      <c r="I520" s="165"/>
      <c r="J520" s="165"/>
      <c r="K520" s="165"/>
      <c r="L520" s="165"/>
      <c r="M520" s="165"/>
      <c r="N520" s="165"/>
      <c r="O520" s="165"/>
      <c r="P520" s="165"/>
      <c r="Q520" s="165"/>
      <c r="R520" s="165"/>
      <c r="S520" s="165"/>
      <c r="T520" s="165"/>
      <c r="U520" s="165"/>
      <c r="V520" s="209"/>
    </row>
    <row r="521" spans="2:22">
      <c r="B521" s="208" t="s">
        <v>362</v>
      </c>
      <c r="C521" s="232"/>
      <c r="D521" s="165"/>
      <c r="E521" s="161" t="s">
        <v>8</v>
      </c>
      <c r="F521" s="165">
        <v>10</v>
      </c>
      <c r="G521" s="165">
        <v>-10</v>
      </c>
      <c r="H521" s="165"/>
      <c r="I521" s="165"/>
      <c r="J521" s="165"/>
      <c r="K521" s="165"/>
      <c r="L521" s="165"/>
      <c r="M521" s="165"/>
      <c r="N521" s="165"/>
      <c r="O521" s="165"/>
      <c r="P521" s="165"/>
      <c r="Q521" s="165"/>
      <c r="R521" s="165"/>
      <c r="S521" s="165"/>
      <c r="T521" s="165"/>
      <c r="U521" s="165"/>
      <c r="V521" s="209"/>
    </row>
    <row r="522" spans="2:22">
      <c r="B522" s="208" t="s">
        <v>363</v>
      </c>
      <c r="C522" s="233"/>
      <c r="D522" s="165"/>
      <c r="E522" s="161" t="s">
        <v>19</v>
      </c>
      <c r="F522" s="161">
        <v>8</v>
      </c>
      <c r="G522" s="161">
        <v>-8</v>
      </c>
      <c r="H522" s="165"/>
      <c r="I522" s="165"/>
      <c r="J522" s="165"/>
      <c r="K522" s="165"/>
      <c r="L522" s="165"/>
      <c r="M522" s="165"/>
      <c r="N522" s="165"/>
      <c r="O522" s="165"/>
      <c r="P522" s="165"/>
      <c r="Q522" s="165"/>
      <c r="R522" s="165"/>
      <c r="S522" s="165"/>
      <c r="T522" s="165"/>
      <c r="U522" s="165"/>
      <c r="V522" s="209"/>
    </row>
    <row r="523" spans="2:22">
      <c r="B523" s="208" t="s">
        <v>358</v>
      </c>
      <c r="C523" s="234"/>
      <c r="D523" s="165"/>
      <c r="E523" s="161" t="s">
        <v>7</v>
      </c>
      <c r="F523" s="161">
        <v>6</v>
      </c>
      <c r="G523" s="161">
        <v>-6</v>
      </c>
      <c r="H523" s="165"/>
      <c r="I523" s="165"/>
      <c r="J523" s="165"/>
      <c r="K523" s="165"/>
      <c r="L523" s="165"/>
      <c r="M523" s="165"/>
      <c r="N523" s="165"/>
      <c r="O523" s="165"/>
      <c r="P523" s="165"/>
      <c r="Q523" s="165"/>
      <c r="R523" s="165"/>
      <c r="S523" s="165"/>
      <c r="T523" s="165"/>
      <c r="U523" s="165"/>
      <c r="V523" s="209"/>
    </row>
    <row r="524" spans="2:22">
      <c r="B524" s="208"/>
      <c r="C524" s="165"/>
      <c r="D524" s="165"/>
      <c r="E524" s="161" t="s">
        <v>163</v>
      </c>
      <c r="F524" s="161">
        <v>4</v>
      </c>
      <c r="G524" s="161">
        <v>-4</v>
      </c>
      <c r="H524" s="165"/>
      <c r="I524" s="165"/>
      <c r="J524" s="165"/>
      <c r="K524" s="165"/>
      <c r="L524" s="165"/>
      <c r="M524" s="165"/>
      <c r="N524" s="165"/>
      <c r="O524" s="165"/>
      <c r="P524" s="165"/>
      <c r="Q524" s="165"/>
      <c r="R524" s="165"/>
      <c r="S524" s="165"/>
      <c r="T524" s="165"/>
      <c r="U524" s="165"/>
      <c r="V524" s="209"/>
    </row>
    <row r="525" spans="2:22">
      <c r="B525" s="208"/>
      <c r="C525" s="165"/>
      <c r="D525" s="165"/>
      <c r="E525" s="161" t="s">
        <v>310</v>
      </c>
      <c r="F525" s="161">
        <v>2</v>
      </c>
      <c r="G525" s="161">
        <v>-2</v>
      </c>
      <c r="H525" s="165"/>
      <c r="I525" s="165"/>
      <c r="J525" s="165"/>
      <c r="K525" s="165"/>
      <c r="L525" s="165"/>
      <c r="M525" s="165"/>
      <c r="N525" s="165"/>
      <c r="O525" s="165"/>
      <c r="P525" s="165"/>
      <c r="Q525" s="165"/>
      <c r="R525" s="165"/>
      <c r="S525" s="165"/>
      <c r="T525" s="165"/>
      <c r="U525" s="165"/>
      <c r="V525" s="209"/>
    </row>
    <row r="526" spans="2:22">
      <c r="B526" s="208" t="s">
        <v>440</v>
      </c>
      <c r="C526" s="165"/>
      <c r="D526" s="165"/>
      <c r="E526" s="161" t="s">
        <v>156</v>
      </c>
      <c r="F526" s="161">
        <v>1</v>
      </c>
      <c r="G526" s="161">
        <v>-1</v>
      </c>
      <c r="H526" s="165"/>
      <c r="I526" s="165"/>
      <c r="J526" s="165"/>
      <c r="K526" s="165"/>
      <c r="L526" s="165"/>
      <c r="M526" s="165"/>
      <c r="N526" s="165"/>
      <c r="O526" s="165"/>
      <c r="P526" s="165"/>
      <c r="Q526" s="165"/>
      <c r="R526" s="165"/>
      <c r="S526" s="165"/>
      <c r="T526" s="165"/>
      <c r="U526" s="165"/>
      <c r="V526" s="209"/>
    </row>
    <row r="527" spans="2:22">
      <c r="B527" s="208"/>
      <c r="C527" s="165"/>
      <c r="D527" s="165"/>
      <c r="E527" s="161" t="s">
        <v>3</v>
      </c>
      <c r="F527" s="161">
        <v>-2</v>
      </c>
      <c r="G527" s="161">
        <v>2</v>
      </c>
      <c r="H527" s="165"/>
      <c r="I527" s="165"/>
      <c r="J527" s="165"/>
      <c r="K527" s="165"/>
      <c r="L527" s="165"/>
      <c r="M527" s="165"/>
      <c r="N527" s="165"/>
      <c r="O527" s="165"/>
      <c r="P527" s="165"/>
      <c r="Q527" s="165"/>
      <c r="R527" s="165"/>
      <c r="S527" s="165"/>
      <c r="T527" s="165"/>
      <c r="U527" s="165"/>
      <c r="V527" s="209"/>
    </row>
    <row r="528" spans="2:22">
      <c r="B528" s="208"/>
      <c r="C528" s="165"/>
      <c r="D528" s="165"/>
      <c r="E528" s="165"/>
      <c r="F528" s="165"/>
      <c r="G528" s="165"/>
      <c r="H528" s="165"/>
      <c r="I528" s="165"/>
      <c r="J528" s="165"/>
      <c r="K528" s="165"/>
      <c r="L528" s="165"/>
      <c r="M528" s="165"/>
      <c r="N528" s="165"/>
      <c r="O528" s="165"/>
      <c r="P528" s="165"/>
      <c r="Q528" s="165"/>
      <c r="R528" s="165"/>
      <c r="S528" s="165"/>
      <c r="T528" s="165"/>
      <c r="U528" s="165"/>
      <c r="V528" s="209"/>
    </row>
    <row r="529" spans="2:22">
      <c r="B529" s="208" t="s">
        <v>311</v>
      </c>
      <c r="C529" s="165" t="s">
        <v>350</v>
      </c>
      <c r="D529" s="165" t="s">
        <v>351</v>
      </c>
      <c r="E529" s="165" t="s">
        <v>352</v>
      </c>
      <c r="F529" s="165" t="s">
        <v>353</v>
      </c>
      <c r="G529" s="235" t="s">
        <v>365</v>
      </c>
      <c r="H529" s="165"/>
      <c r="I529" s="165" t="s">
        <v>311</v>
      </c>
      <c r="J529" s="165" t="s">
        <v>350</v>
      </c>
      <c r="K529" s="165" t="s">
        <v>351</v>
      </c>
      <c r="L529" s="165" t="s">
        <v>352</v>
      </c>
      <c r="M529" s="165" t="s">
        <v>353</v>
      </c>
      <c r="N529" s="235" t="s">
        <v>365</v>
      </c>
      <c r="O529" s="165"/>
      <c r="P529" s="165" t="s">
        <v>311</v>
      </c>
      <c r="Q529" s="165" t="s">
        <v>350</v>
      </c>
      <c r="R529" s="165" t="s">
        <v>351</v>
      </c>
      <c r="S529" s="165" t="s">
        <v>352</v>
      </c>
      <c r="T529" s="165" t="s">
        <v>353</v>
      </c>
      <c r="U529" s="235" t="s">
        <v>365</v>
      </c>
      <c r="V529" s="209"/>
    </row>
    <row r="530" spans="2:22">
      <c r="B530" s="208">
        <f>Algandmed!AE513</f>
        <v>0</v>
      </c>
      <c r="C530" s="165">
        <f>SUM(Algandmed!AE513:AH513)</f>
        <v>0</v>
      </c>
      <c r="D530" s="165">
        <f>C530+Algandmed!AI513+Algandmed!AJ513+Algandmed!AK513</f>
        <v>0</v>
      </c>
      <c r="E530" s="165">
        <f>Algandmed!AM513</f>
        <v>0</v>
      </c>
      <c r="F530" s="236" t="e">
        <f>SUM(Algandmed!AE513:AL513)/Algandmed!AM513</f>
        <v>#DIV/0!</v>
      </c>
      <c r="G530" s="237" t="e">
        <f>(($F$292*Algandmed!AE513)+($F$293*Algandmed!AF513)+($F$294*Algandmed!AG513)+($F$295*Algandmed!AH513)+($F$296*Algandmed!AI513)+($F$297*Algandmed!AJ513)+($F$298*Algandmed!AK513)+($F$299*Algandmed!AL513)+((Algandmed!AM513-SUM(Algandmed!AE513:AL513))*Settings!$F$300))/SQRT(Algandmed!AM513)</f>
        <v>#DIV/0!</v>
      </c>
      <c r="H530" s="237"/>
      <c r="I530" s="238">
        <f>Algandmed!AN513</f>
        <v>0</v>
      </c>
      <c r="J530" s="238">
        <f>SUM(Algandmed!AN513:AQ513)</f>
        <v>0</v>
      </c>
      <c r="K530" s="238">
        <f>J530+Algandmed!AR513+Algandmed!AS513+Algandmed!AT513</f>
        <v>0</v>
      </c>
      <c r="L530" s="238">
        <f>Algandmed!AV513</f>
        <v>0</v>
      </c>
      <c r="M530" s="236" t="e">
        <f>SUM(Algandmed!AN513:'Algandmed'!AU513)/Algandmed!AV513</f>
        <v>#DIV/0!</v>
      </c>
      <c r="N530" s="237" t="e">
        <f>(($F$292*Algandmed!AN513)+($F$293*Algandmed!AO513)+($F$294*Algandmed!AP513)+($F$295*Algandmed!AQ513)+($F$296*Algandmed!AR513)+($F$297*Algandmed!AS513)+($F$298*Algandmed!AT513)+($F$299*Algandmed!AU513)+((Algandmed!AV513-SUM(Algandmed!AN513:AU513))*Settings!$F$300))/SQRT(Algandmed!AV513)</f>
        <v>#DIV/0!</v>
      </c>
      <c r="O530" s="165"/>
      <c r="P530" s="238">
        <f>Algandmed!AW513</f>
        <v>0</v>
      </c>
      <c r="Q530" s="238">
        <f>SUM(Algandmed!AW513:AZ513)</f>
        <v>0</v>
      </c>
      <c r="R530" s="238">
        <f>Q530+Algandmed!BA513+Algandmed!BB513+Algandmed!BC513</f>
        <v>0</v>
      </c>
      <c r="S530" s="238">
        <f>Algandmed!BE513</f>
        <v>0</v>
      </c>
      <c r="T530" s="236" t="e">
        <f>SUM(Algandmed!AW513:BD513)/Algandmed!BE513</f>
        <v>#DIV/0!</v>
      </c>
      <c r="U530" s="237" t="e">
        <f>(($F$292*Algandmed!AW513)+($F$293*Algandmed!AX513)+($F$294*Algandmed!AY513)+($F$295*Algandmed!AZ513)+($F$296*Algandmed!BA513)+($F$297*Algandmed!BB513)+($F$298*Algandmed!BC513)+($F$299*Algandmed!BD513)+((Algandmed!BE513-SUM(Algandmed!AW513:BD513))*Settings!$F$300))/SQRT(Algandmed!BE513)</f>
        <v>#DIV/0!</v>
      </c>
      <c r="V530" s="209"/>
    </row>
    <row r="531" spans="2:22">
      <c r="B531" s="208"/>
      <c r="C531" s="165"/>
      <c r="D531" s="165"/>
      <c r="E531" s="165"/>
      <c r="F531" s="236"/>
      <c r="G531" s="237"/>
      <c r="H531" s="237"/>
      <c r="I531" s="238"/>
      <c r="J531" s="238"/>
      <c r="K531" s="238"/>
      <c r="L531" s="238"/>
      <c r="M531" s="236"/>
      <c r="N531" s="237"/>
      <c r="O531" s="165"/>
      <c r="P531" s="238"/>
      <c r="Q531" s="238"/>
      <c r="R531" s="238"/>
      <c r="S531" s="238"/>
      <c r="T531" s="236"/>
      <c r="U531" s="237"/>
      <c r="V531" s="209"/>
    </row>
    <row r="532" spans="2:22">
      <c r="B532" s="208"/>
      <c r="C532" s="165"/>
      <c r="D532" s="165"/>
      <c r="E532" s="165"/>
      <c r="F532" s="236"/>
      <c r="G532" s="237"/>
      <c r="H532" s="237"/>
      <c r="I532" s="238">
        <f>Algandmed!AN515</f>
        <v>0</v>
      </c>
      <c r="J532" s="238">
        <f>SUM(Algandmed!AN515:AQ515)</f>
        <v>0</v>
      </c>
      <c r="K532" s="238">
        <f>J532+Algandmed!AR515+Algandmed!AS515+Algandmed!AT515</f>
        <v>0</v>
      </c>
      <c r="L532" s="238">
        <f>Algandmed!AV515</f>
        <v>0</v>
      </c>
      <c r="M532" s="236" t="e">
        <f>SUM(Algandmed!AN515:'Algandmed'!AU515)/Algandmed!AV515</f>
        <v>#DIV/0!</v>
      </c>
      <c r="N532" s="237" t="e">
        <f>(($F$292*Algandmed!AN515)+($F$293*Algandmed!AO515)+($F$294*Algandmed!AP515)+($F$295*Algandmed!AQ515)+($F$296*Algandmed!AR515)+($F$297*Algandmed!AS515)+($F$298*Algandmed!AT515)+($F$299*Algandmed!AU515)+((Algandmed!AV515-SUM(Algandmed!AN515:AU515))*Settings!$F$300))/SQRT(Algandmed!AV515)</f>
        <v>#DIV/0!</v>
      </c>
      <c r="O532" s="165"/>
      <c r="P532" s="238"/>
      <c r="Q532" s="238"/>
      <c r="R532" s="238"/>
      <c r="S532" s="238"/>
      <c r="T532" s="236"/>
      <c r="U532" s="237"/>
      <c r="V532" s="209"/>
    </row>
    <row r="533" spans="2:22">
      <c r="B533" s="208"/>
      <c r="C533" s="165"/>
      <c r="D533" s="165"/>
      <c r="E533" s="165"/>
      <c r="F533" s="236"/>
      <c r="G533" s="237"/>
      <c r="H533" s="237"/>
      <c r="I533" s="238"/>
      <c r="J533" s="238"/>
      <c r="K533" s="238"/>
      <c r="L533" s="238"/>
      <c r="M533" s="236"/>
      <c r="N533" s="237"/>
      <c r="O533" s="165"/>
      <c r="P533" s="238"/>
      <c r="Q533" s="238"/>
      <c r="R533" s="238"/>
      <c r="S533" s="238"/>
      <c r="T533" s="236"/>
      <c r="U533" s="237"/>
      <c r="V533" s="209"/>
    </row>
    <row r="534" spans="2:22">
      <c r="B534" s="208">
        <f>Algandmed!AE517</f>
        <v>0</v>
      </c>
      <c r="C534" s="165">
        <f>SUM(Algandmed!AE517:AH517)</f>
        <v>0</v>
      </c>
      <c r="D534" s="165">
        <f>C534+Algandmed!AI517+Algandmed!AJ517+Algandmed!AK517</f>
        <v>0</v>
      </c>
      <c r="E534" s="165">
        <f>Algandmed!AM517</f>
        <v>0</v>
      </c>
      <c r="F534" s="236" t="e">
        <f>SUM(Algandmed!AE517:AL517)/Algandmed!AM517</f>
        <v>#DIV/0!</v>
      </c>
      <c r="G534" s="237" t="e">
        <f>(($F$292*Algandmed!AE517)+($F$293*Algandmed!AF517)+($F$294*Algandmed!AG517)+($F$295*Algandmed!AH517)+($F$296*Algandmed!AI517)+($F$297*Algandmed!AJ517)+($F$298*Algandmed!AK517)+($F$299*Algandmed!AL517)+((Algandmed!AM517-SUM(Algandmed!AE517:AL517))*Settings!$F$300))/SQRT(Algandmed!AM517)</f>
        <v>#DIV/0!</v>
      </c>
      <c r="H534" s="237"/>
      <c r="I534" s="238">
        <f>Algandmed!AN517</f>
        <v>0</v>
      </c>
      <c r="J534" s="238">
        <f>SUM(Algandmed!AN517:AQ517)</f>
        <v>0</v>
      </c>
      <c r="K534" s="238">
        <f>J534+Algandmed!AR517+Algandmed!AS517+Algandmed!AT517</f>
        <v>0</v>
      </c>
      <c r="L534" s="238">
        <f>Algandmed!AV517</f>
        <v>0</v>
      </c>
      <c r="M534" s="236" t="e">
        <f>SUM(Algandmed!AN517:'Algandmed'!AU517)/Algandmed!AV517</f>
        <v>#DIV/0!</v>
      </c>
      <c r="N534" s="237" t="e">
        <f>(($F$292*Algandmed!AN517)+($F$293*Algandmed!AO517)+($F$294*Algandmed!AP517)+($F$295*Algandmed!AQ517)+($F$296*Algandmed!AR517)+($F$297*Algandmed!AS517)+($F$298*Algandmed!AT517)+($F$299*Algandmed!AU517)+((Algandmed!AV517-SUM(Algandmed!AN517:AU517))*Settings!$F$300))/SQRT(Algandmed!AV517)</f>
        <v>#DIV/0!</v>
      </c>
      <c r="O534" s="165"/>
      <c r="P534" s="238">
        <f>Algandmed!AW517</f>
        <v>0</v>
      </c>
      <c r="Q534" s="238">
        <f>SUM(Algandmed!AW517:AZ517)</f>
        <v>0</v>
      </c>
      <c r="R534" s="238">
        <f>Q534+Algandmed!BA517+Algandmed!BB517+Algandmed!BC517</f>
        <v>0</v>
      </c>
      <c r="S534" s="238">
        <f>Algandmed!BE517</f>
        <v>0</v>
      </c>
      <c r="T534" s="236" t="e">
        <f>SUM(Algandmed!AW517:BD517)/Algandmed!BE517</f>
        <v>#DIV/0!</v>
      </c>
      <c r="U534" s="237" t="e">
        <f>(($F$292*Algandmed!AW517)+($F$293*Algandmed!AX517)+($F$294*Algandmed!AY517)+($F$295*Algandmed!AZ517)+($F$296*Algandmed!BA517)+($F$297*Algandmed!BB517)+($F$298*Algandmed!BC517)+($F$299*Algandmed!BD517)+((Algandmed!BE517-SUM(Algandmed!AW517:BD517))*Settings!$F$300))/SQRT(Algandmed!BE517)</f>
        <v>#DIV/0!</v>
      </c>
      <c r="V534" s="209"/>
    </row>
    <row r="535" spans="2:22">
      <c r="B535" s="208"/>
      <c r="C535" s="165"/>
      <c r="D535" s="165"/>
      <c r="E535" s="165"/>
      <c r="F535" s="236"/>
      <c r="G535" s="237"/>
      <c r="H535" s="237"/>
      <c r="I535" s="238"/>
      <c r="J535" s="238"/>
      <c r="K535" s="238"/>
      <c r="L535" s="238"/>
      <c r="M535" s="236"/>
      <c r="N535" s="237"/>
      <c r="O535" s="165"/>
      <c r="P535" s="238"/>
      <c r="Q535" s="238"/>
      <c r="R535" s="238"/>
      <c r="S535" s="238"/>
      <c r="T535" s="236"/>
      <c r="U535" s="237"/>
      <c r="V535" s="209"/>
    </row>
    <row r="536" spans="2:22">
      <c r="B536" s="208">
        <f>Algandmed!AE519</f>
        <v>0</v>
      </c>
      <c r="C536" s="165">
        <f>SUM(Algandmed!AE519:AH519)</f>
        <v>0</v>
      </c>
      <c r="D536" s="165">
        <f>C536+Algandmed!AI519+Algandmed!AJ519+Algandmed!AK519</f>
        <v>0</v>
      </c>
      <c r="E536" s="165">
        <f>Algandmed!AM519</f>
        <v>0</v>
      </c>
      <c r="F536" s="236" t="e">
        <f>SUM(Algandmed!AE519:AL519)/Algandmed!AM519</f>
        <v>#DIV/0!</v>
      </c>
      <c r="G536" s="237" t="e">
        <f>(($F$292*Algandmed!AE519)+($F$293*Algandmed!AF519)+($F$294*Algandmed!AG519)+($F$295*Algandmed!AH519)+($F$296*Algandmed!AI519)+($F$297*Algandmed!AJ519)+($F$298*Algandmed!AK519)+($F$299*Algandmed!AL519)+((Algandmed!AM519-SUM(Algandmed!AE519:AL519))*Settings!$F$300))/SQRT(Algandmed!AM519)</f>
        <v>#DIV/0!</v>
      </c>
      <c r="H536" s="237"/>
      <c r="I536" s="238">
        <f>Algandmed!AN519</f>
        <v>0</v>
      </c>
      <c r="J536" s="238">
        <f>SUM(Algandmed!AN519:AQ519)</f>
        <v>0</v>
      </c>
      <c r="K536" s="238">
        <f>J536+Algandmed!AR519+Algandmed!AS519+Algandmed!AT519</f>
        <v>0</v>
      </c>
      <c r="L536" s="238">
        <f>Algandmed!AV519</f>
        <v>0</v>
      </c>
      <c r="M536" s="236" t="e">
        <f>SUM(Algandmed!AN519:'Algandmed'!AU519)/Algandmed!AV519</f>
        <v>#DIV/0!</v>
      </c>
      <c r="N536" s="237" t="e">
        <f>(($F$292*Algandmed!AN519)+($F$293*Algandmed!AO519)+($F$294*Algandmed!AP519)+($F$295*Algandmed!AQ519)+($F$296*Algandmed!AR519)+($F$297*Algandmed!AS519)+($F$298*Algandmed!AT519)+($F$299*Algandmed!AU519)+((Algandmed!AV519-SUM(Algandmed!AN519:AU519))*Settings!$F$300))/SQRT(Algandmed!AV519)</f>
        <v>#DIV/0!</v>
      </c>
      <c r="O536" s="165"/>
      <c r="P536" s="238">
        <f>Algandmed!AW519</f>
        <v>0</v>
      </c>
      <c r="Q536" s="238">
        <f>SUM(Algandmed!AW519:AZ519)</f>
        <v>0</v>
      </c>
      <c r="R536" s="238">
        <f>Q536+Algandmed!BA519+Algandmed!BB519+Algandmed!BC519</f>
        <v>0</v>
      </c>
      <c r="S536" s="238">
        <f>Algandmed!BE519</f>
        <v>0</v>
      </c>
      <c r="T536" s="236" t="e">
        <f>SUM(Algandmed!AW519:BD519)/Algandmed!BE519</f>
        <v>#DIV/0!</v>
      </c>
      <c r="U536" s="237" t="e">
        <f>(($F$292*Algandmed!AW519)+($F$293*Algandmed!AX519)+($F$294*Algandmed!AY519)+($F$295*Algandmed!AZ519)+($F$296*Algandmed!BA519)+($F$297*Algandmed!BB519)+($F$298*Algandmed!BC519)+($F$299*Algandmed!BD519)+((Algandmed!BE519-SUM(Algandmed!AW519:BD519))*Settings!$F$300))/SQRT(Algandmed!BE519)</f>
        <v>#DIV/0!</v>
      </c>
      <c r="V536" s="209"/>
    </row>
    <row r="537" spans="2:22">
      <c r="B537" s="208"/>
      <c r="C537" s="165"/>
      <c r="D537" s="165"/>
      <c r="E537" s="165"/>
      <c r="F537" s="236"/>
      <c r="G537" s="237"/>
      <c r="H537" s="237"/>
      <c r="I537" s="238"/>
      <c r="J537" s="238"/>
      <c r="K537" s="238"/>
      <c r="L537" s="238"/>
      <c r="M537" s="236"/>
      <c r="N537" s="237"/>
      <c r="O537" s="165"/>
      <c r="P537" s="238"/>
      <c r="Q537" s="238"/>
      <c r="R537" s="238"/>
      <c r="S537" s="238"/>
      <c r="T537" s="236"/>
      <c r="U537" s="237"/>
      <c r="V537" s="209"/>
    </row>
    <row r="538" spans="2:22">
      <c r="B538" s="208">
        <f>Algandmed!AE521</f>
        <v>0</v>
      </c>
      <c r="C538" s="165">
        <f>SUM(Algandmed!AE521:AH521)</f>
        <v>0</v>
      </c>
      <c r="D538" s="165">
        <f>C538+Algandmed!AI521+Algandmed!AJ521+Algandmed!AK521</f>
        <v>0</v>
      </c>
      <c r="E538" s="165">
        <f>Algandmed!AM521</f>
        <v>0</v>
      </c>
      <c r="F538" s="236" t="e">
        <f>SUM(Algandmed!AE521:AL521)/Algandmed!AM521</f>
        <v>#DIV/0!</v>
      </c>
      <c r="G538" s="237" t="e">
        <f>(($F$292*Algandmed!AE521)+($F$293*Algandmed!AF521)+($F$294*Algandmed!AG521)+($F$295*Algandmed!AH521)+($F$296*Algandmed!AI521)+($F$297*Algandmed!AJ521)+($F$298*Algandmed!AK521)+($F$299*Algandmed!AL521)+((Algandmed!AM521-SUM(Algandmed!AE521:AL521))*Settings!$F$300))/SQRT(Algandmed!AM521)</f>
        <v>#DIV/0!</v>
      </c>
      <c r="H538" s="237"/>
      <c r="I538" s="238">
        <f>Algandmed!AN521</f>
        <v>0</v>
      </c>
      <c r="J538" s="238">
        <f>SUM(Algandmed!AN521:AQ521)</f>
        <v>0</v>
      </c>
      <c r="K538" s="238">
        <f>J538+Algandmed!AR521+Algandmed!AS521+Algandmed!AT521</f>
        <v>0</v>
      </c>
      <c r="L538" s="238">
        <f>Algandmed!AV521</f>
        <v>0</v>
      </c>
      <c r="M538" s="236" t="e">
        <f>SUM(Algandmed!AN521:'Algandmed'!AU521)/Algandmed!AV521</f>
        <v>#DIV/0!</v>
      </c>
      <c r="N538" s="237" t="e">
        <f>(($F$292*Algandmed!AN521)+($F$293*Algandmed!AO521)+($F$294*Algandmed!AP521)+($F$295*Algandmed!AQ521)+($F$296*Algandmed!AR521)+($F$297*Algandmed!AS521)+($F$298*Algandmed!AT521)+($F$299*Algandmed!AU521)+((Algandmed!AV521-SUM(Algandmed!AN521:AU521))*Settings!$F$300))/SQRT(Algandmed!AV521)</f>
        <v>#DIV/0!</v>
      </c>
      <c r="O538" s="165"/>
      <c r="P538" s="238">
        <f>Algandmed!AW521</f>
        <v>0</v>
      </c>
      <c r="Q538" s="238">
        <f>SUM(Algandmed!AW521:AZ521)</f>
        <v>0</v>
      </c>
      <c r="R538" s="238">
        <f>Q538+Algandmed!BA521+Algandmed!BB521+Algandmed!BC521</f>
        <v>0</v>
      </c>
      <c r="S538" s="238">
        <f>Algandmed!BE521</f>
        <v>0</v>
      </c>
      <c r="T538" s="236" t="e">
        <f>SUM(Algandmed!AW521:BD521)/Algandmed!BE521</f>
        <v>#DIV/0!</v>
      </c>
      <c r="U538" s="237" t="e">
        <f>(($F$292*Algandmed!AW521)+($F$293*Algandmed!AX521)+($F$294*Algandmed!AY521)+($F$295*Algandmed!AZ521)+($F$296*Algandmed!BA521)+($F$297*Algandmed!BB521)+($F$298*Algandmed!BC521)+($F$299*Algandmed!BD521)+((Algandmed!BE521-SUM(Algandmed!AW521:BD521))*Settings!$F$300))/SQRT(Algandmed!BE521)</f>
        <v>#DIV/0!</v>
      </c>
      <c r="V538" s="209"/>
    </row>
    <row r="539" spans="2:22">
      <c r="B539" s="208"/>
      <c r="C539" s="165"/>
      <c r="D539" s="165"/>
      <c r="E539" s="165"/>
      <c r="F539" s="236"/>
      <c r="G539" s="237"/>
      <c r="H539" s="237"/>
      <c r="I539" s="238"/>
      <c r="J539" s="238"/>
      <c r="K539" s="238"/>
      <c r="L539" s="238"/>
      <c r="M539" s="236"/>
      <c r="N539" s="237"/>
      <c r="O539" s="165"/>
      <c r="P539" s="238"/>
      <c r="Q539" s="238"/>
      <c r="R539" s="238"/>
      <c r="S539" s="238"/>
      <c r="T539" s="236"/>
      <c r="U539" s="237"/>
      <c r="V539" s="209"/>
    </row>
    <row r="540" spans="2:22">
      <c r="B540" s="208">
        <f>Algandmed!AE523</f>
        <v>0</v>
      </c>
      <c r="C540" s="165">
        <f>SUM(Algandmed!AE523:AH523)</f>
        <v>0</v>
      </c>
      <c r="D540" s="165">
        <f>C540+Algandmed!AI523+Algandmed!AJ523+Algandmed!AK523</f>
        <v>0</v>
      </c>
      <c r="E540" s="165">
        <f>Algandmed!AM523</f>
        <v>0</v>
      </c>
      <c r="F540" s="236" t="e">
        <f>SUM(Algandmed!AE523:AL523)/Algandmed!AM523</f>
        <v>#DIV/0!</v>
      </c>
      <c r="G540" s="237" t="e">
        <f>(($F$292*Algandmed!AE523)+($F$293*Algandmed!AF523)+($F$294*Algandmed!AG523)+($F$295*Algandmed!AH523)+($F$296*Algandmed!AI523)+($F$297*Algandmed!AJ523)+($F$298*Algandmed!AK523)+($F$299*Algandmed!AL523)+((Algandmed!AM523-SUM(Algandmed!AE523:AL523))*Settings!$F$300))/SQRT(Algandmed!AM523)</f>
        <v>#DIV/0!</v>
      </c>
      <c r="H540" s="237"/>
      <c r="I540" s="238">
        <f>Algandmed!AN523</f>
        <v>0</v>
      </c>
      <c r="J540" s="238">
        <f>SUM(Algandmed!AN523:AQ523)</f>
        <v>0</v>
      </c>
      <c r="K540" s="238">
        <f>J540+Algandmed!AR523+Algandmed!AS523+Algandmed!AT523</f>
        <v>0</v>
      </c>
      <c r="L540" s="238">
        <f>Algandmed!AV523</f>
        <v>0</v>
      </c>
      <c r="M540" s="236" t="e">
        <f>SUM(Algandmed!AN523:'Algandmed'!AU523)/Algandmed!AV523</f>
        <v>#DIV/0!</v>
      </c>
      <c r="N540" s="237" t="e">
        <f>(($F$292*Algandmed!AN523)+($F$293*Algandmed!AO523)+($F$294*Algandmed!AP523)+($F$295*Algandmed!AQ523)+($F$296*Algandmed!AR523)+($F$297*Algandmed!AS523)+($F$298*Algandmed!AT523)+($F$299*Algandmed!AU523)+((Algandmed!AV523-SUM(Algandmed!AN523:AU523))*Settings!$F$300))/SQRT(Algandmed!AV523)</f>
        <v>#DIV/0!</v>
      </c>
      <c r="O540" s="165"/>
      <c r="P540" s="238">
        <f>Algandmed!AW523</f>
        <v>0</v>
      </c>
      <c r="Q540" s="238">
        <f>SUM(Algandmed!AW523:AZ523)</f>
        <v>0</v>
      </c>
      <c r="R540" s="238">
        <f>Q540+Algandmed!BA523+Algandmed!BB523+Algandmed!BC523</f>
        <v>0</v>
      </c>
      <c r="S540" s="238">
        <f>Algandmed!BE523</f>
        <v>0</v>
      </c>
      <c r="T540" s="236" t="e">
        <f>SUM(Algandmed!AW523:BD523)/Algandmed!BE523</f>
        <v>#DIV/0!</v>
      </c>
      <c r="U540" s="237" t="e">
        <f>(($F$292*Algandmed!AW523)+($F$293*Algandmed!AX523)+($F$294*Algandmed!AY523)+($F$295*Algandmed!AZ523)+($F$296*Algandmed!BA523)+($F$297*Algandmed!BB523)+($F$298*Algandmed!BC523)+($F$299*Algandmed!BD523)+((Algandmed!BE523-SUM(Algandmed!AW523:BD523))*Settings!$F$300))/SQRT(Algandmed!BE523)</f>
        <v>#DIV/0!</v>
      </c>
      <c r="V540" s="209"/>
    </row>
    <row r="541" spans="2:22">
      <c r="B541" s="208"/>
      <c r="C541" s="165"/>
      <c r="D541" s="165"/>
      <c r="E541" s="165"/>
      <c r="F541" s="236"/>
      <c r="G541" s="237"/>
      <c r="H541" s="237"/>
      <c r="I541" s="238"/>
      <c r="J541" s="238"/>
      <c r="K541" s="238"/>
      <c r="L541" s="238"/>
      <c r="M541" s="236"/>
      <c r="N541" s="237"/>
      <c r="O541" s="165"/>
      <c r="P541" s="238"/>
      <c r="Q541" s="238"/>
      <c r="R541" s="238"/>
      <c r="S541" s="238"/>
      <c r="T541" s="236"/>
      <c r="U541" s="237"/>
      <c r="V541" s="209"/>
    </row>
    <row r="542" spans="2:22">
      <c r="B542" s="208"/>
      <c r="C542" s="165"/>
      <c r="D542" s="165"/>
      <c r="E542" s="165"/>
      <c r="F542" s="236"/>
      <c r="G542" s="237"/>
      <c r="H542" s="237"/>
      <c r="I542" s="238">
        <f>Algandmed!AN525</f>
        <v>0</v>
      </c>
      <c r="J542" s="238">
        <f>SUM(Algandmed!AN525:AQ525)</f>
        <v>0</v>
      </c>
      <c r="K542" s="238">
        <f>J542+Algandmed!AR525+Algandmed!AS525+Algandmed!AT525</f>
        <v>0</v>
      </c>
      <c r="L542" s="238">
        <f>Algandmed!AV525</f>
        <v>0</v>
      </c>
      <c r="M542" s="236" t="e">
        <f>SUM(Algandmed!AN525:'Algandmed'!AU525)/Algandmed!AV525</f>
        <v>#DIV/0!</v>
      </c>
      <c r="N542" s="237" t="e">
        <f>(($F$292*Algandmed!AN525)+($F$293*Algandmed!AO525)+($F$294*Algandmed!AP525)+($F$295*Algandmed!AQ525)+($F$296*Algandmed!AR525)+($F$297*Algandmed!AS525)+($F$298*Algandmed!AT525)+($F$299*Algandmed!AU525)+((Algandmed!AV525-SUM(Algandmed!AN525:AU525))*Settings!$F$300))/SQRT(Algandmed!AV525)</f>
        <v>#DIV/0!</v>
      </c>
      <c r="O542" s="165"/>
      <c r="P542" s="238"/>
      <c r="Q542" s="238"/>
      <c r="R542" s="238"/>
      <c r="S542" s="238"/>
      <c r="T542" s="236"/>
      <c r="U542" s="237"/>
      <c r="V542" s="209"/>
    </row>
    <row r="543" spans="2:22">
      <c r="B543" s="208"/>
      <c r="C543" s="165"/>
      <c r="D543" s="165"/>
      <c r="E543" s="165"/>
      <c r="F543" s="236"/>
      <c r="G543" s="237"/>
      <c r="H543" s="237"/>
      <c r="I543" s="238"/>
      <c r="J543" s="238"/>
      <c r="K543" s="238"/>
      <c r="L543" s="238"/>
      <c r="M543" s="236"/>
      <c r="N543" s="237"/>
      <c r="O543" s="165"/>
      <c r="P543" s="238"/>
      <c r="Q543" s="238"/>
      <c r="R543" s="238"/>
      <c r="S543" s="238"/>
      <c r="T543" s="236"/>
      <c r="U543" s="237"/>
      <c r="V543" s="209"/>
    </row>
    <row r="544" spans="2:22">
      <c r="B544" s="208">
        <f>Algandmed!AE527</f>
        <v>0</v>
      </c>
      <c r="C544" s="165">
        <f>SUM(Algandmed!AE527:AH527)</f>
        <v>0</v>
      </c>
      <c r="D544" s="165">
        <f>C544+Algandmed!AI527+Algandmed!AJ527+Algandmed!AK527</f>
        <v>0</v>
      </c>
      <c r="E544" s="165">
        <f>Algandmed!AM527</f>
        <v>0</v>
      </c>
      <c r="F544" s="236" t="e">
        <f>SUM(Algandmed!AE527:AL527)/Algandmed!AM527</f>
        <v>#DIV/0!</v>
      </c>
      <c r="G544" s="237" t="e">
        <f>(($F$292*Algandmed!AE527)+($F$293*Algandmed!AF527)+($F$294*Algandmed!AG527)+($F$295*Algandmed!AH527)+($F$296*Algandmed!AI527)+($F$297*Algandmed!AJ527)+($F$298*Algandmed!AK527)+($F$299*Algandmed!AL527)+((Algandmed!AM527-SUM(Algandmed!AE527:AL527))*Settings!$F$300))/SQRT(Algandmed!AM527)</f>
        <v>#DIV/0!</v>
      </c>
      <c r="H544" s="237"/>
      <c r="I544" s="238">
        <f>Algandmed!AN527</f>
        <v>0</v>
      </c>
      <c r="J544" s="238">
        <f>SUM(Algandmed!AN527:AQ527)</f>
        <v>0</v>
      </c>
      <c r="K544" s="238">
        <f>J544+Algandmed!AR527+Algandmed!AS527+Algandmed!AT527</f>
        <v>0</v>
      </c>
      <c r="L544" s="238">
        <f>Algandmed!AV527</f>
        <v>0</v>
      </c>
      <c r="M544" s="236" t="e">
        <f>SUM(Algandmed!AN527:'Algandmed'!AU527)/Algandmed!AV527</f>
        <v>#DIV/0!</v>
      </c>
      <c r="N544" s="237" t="e">
        <f>(($F$292*Algandmed!AN527)+($F$293*Algandmed!AO527)+($F$294*Algandmed!AP527)+($F$295*Algandmed!AQ527)+($F$296*Algandmed!AR527)+($F$297*Algandmed!AS527)+($F$298*Algandmed!AT527)+($F$299*Algandmed!AU527)+((Algandmed!AV527-SUM(Algandmed!AN527:AU527))*Settings!$F$300))/SQRT(Algandmed!AV527)</f>
        <v>#DIV/0!</v>
      </c>
      <c r="O544" s="165"/>
      <c r="P544" s="238">
        <f>Algandmed!AW527</f>
        <v>0</v>
      </c>
      <c r="Q544" s="238">
        <f>SUM(Algandmed!AW527:AZ527)</f>
        <v>0</v>
      </c>
      <c r="R544" s="238">
        <f>Q544+Algandmed!BA527+Algandmed!BB527+Algandmed!BC527</f>
        <v>0</v>
      </c>
      <c r="S544" s="238">
        <f>Algandmed!BE527</f>
        <v>0</v>
      </c>
      <c r="T544" s="236" t="e">
        <f>SUM(Algandmed!AW527:BD527)/Algandmed!BE527</f>
        <v>#DIV/0!</v>
      </c>
      <c r="U544" s="237" t="e">
        <f>(($F$292*Algandmed!AW527)+($F$293*Algandmed!AX527)+($F$294*Algandmed!AY527)+($F$295*Algandmed!AZ527)+($F$296*Algandmed!BA527)+($F$297*Algandmed!BB527)+($F$298*Algandmed!BC527)+($F$299*Algandmed!BD527)+((Algandmed!BE527-SUM(Algandmed!AW527:BD527))*Settings!$F$300))/SQRT(Algandmed!BE527)</f>
        <v>#DIV/0!</v>
      </c>
      <c r="V544" s="209"/>
    </row>
    <row r="545" spans="2:22">
      <c r="B545" s="208"/>
      <c r="C545" s="165"/>
      <c r="D545" s="165"/>
      <c r="E545" s="165"/>
      <c r="F545" s="236"/>
      <c r="G545" s="237"/>
      <c r="H545" s="237"/>
      <c r="I545" s="238"/>
      <c r="J545" s="238"/>
      <c r="K545" s="238"/>
      <c r="L545" s="238"/>
      <c r="M545" s="236"/>
      <c r="N545" s="237"/>
      <c r="O545" s="165"/>
      <c r="P545" s="238"/>
      <c r="Q545" s="238"/>
      <c r="R545" s="238"/>
      <c r="S545" s="238"/>
      <c r="T545" s="236"/>
      <c r="U545" s="237"/>
      <c r="V545" s="209"/>
    </row>
    <row r="546" spans="2:22">
      <c r="B546" s="212"/>
      <c r="C546" s="213"/>
      <c r="D546" s="213"/>
      <c r="E546" s="213"/>
      <c r="F546" s="240"/>
      <c r="G546" s="241"/>
      <c r="H546" s="213"/>
      <c r="I546" s="213"/>
      <c r="J546" s="213"/>
      <c r="K546" s="213"/>
      <c r="L546" s="213"/>
      <c r="M546" s="213"/>
      <c r="N546" s="213"/>
      <c r="O546" s="213"/>
      <c r="P546" s="213"/>
      <c r="Q546" s="213"/>
      <c r="R546" s="213"/>
      <c r="S546" s="213"/>
      <c r="T546" s="213"/>
      <c r="U546" s="213"/>
      <c r="V546" s="214"/>
    </row>
    <row r="547" spans="2:22">
      <c r="B547" s="165"/>
      <c r="C547" s="165"/>
      <c r="D547" s="165"/>
      <c r="E547" s="165"/>
      <c r="F547" s="236"/>
      <c r="G547" s="237"/>
      <c r="H547" s="165"/>
      <c r="I547" s="165"/>
      <c r="J547" s="165"/>
      <c r="K547" s="165"/>
      <c r="L547" s="165"/>
      <c r="M547" s="165"/>
      <c r="N547" s="165"/>
      <c r="O547" s="165"/>
      <c r="P547" s="165"/>
      <c r="Q547" s="165"/>
      <c r="R547" s="165"/>
      <c r="S547" s="165"/>
      <c r="T547" s="165"/>
      <c r="U547" s="165"/>
      <c r="V547" s="165"/>
    </row>
    <row r="548" spans="2:22">
      <c r="B548" s="165"/>
      <c r="C548" s="165"/>
      <c r="D548" s="165"/>
      <c r="E548" s="165"/>
      <c r="F548" s="236"/>
      <c r="G548" s="237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</row>
    <row r="549" spans="2:22">
      <c r="B549" s="205"/>
      <c r="C549" s="206"/>
      <c r="D549" s="206"/>
      <c r="E549" s="206"/>
      <c r="F549" s="206"/>
      <c r="G549" s="388" t="s">
        <v>387</v>
      </c>
      <c r="H549" s="388"/>
      <c r="I549" s="388"/>
      <c r="J549" s="388"/>
      <c r="K549" s="388"/>
      <c r="L549" s="388"/>
      <c r="M549" s="388"/>
      <c r="N549" s="206"/>
      <c r="O549" s="206"/>
      <c r="P549" s="206"/>
      <c r="Q549" s="206"/>
      <c r="R549" s="206"/>
      <c r="S549" s="206"/>
      <c r="T549" s="206"/>
      <c r="U549" s="206"/>
      <c r="V549" s="207"/>
    </row>
    <row r="550" spans="2:22">
      <c r="B550" s="208" t="s">
        <v>354</v>
      </c>
      <c r="C550" s="165"/>
      <c r="D550" s="165"/>
      <c r="E550" s="165"/>
      <c r="F550" s="165"/>
      <c r="G550" s="389"/>
      <c r="H550" s="389"/>
      <c r="I550" s="389"/>
      <c r="J550" s="389"/>
      <c r="K550" s="389"/>
      <c r="L550" s="389"/>
      <c r="M550" s="389"/>
      <c r="N550" s="165"/>
      <c r="O550" s="165"/>
      <c r="P550" s="165"/>
      <c r="Q550" s="165"/>
      <c r="R550" s="165"/>
      <c r="S550" s="165"/>
      <c r="T550" s="165"/>
      <c r="U550" s="165"/>
      <c r="V550" s="209"/>
    </row>
    <row r="551" spans="2:22">
      <c r="B551" s="208" t="s">
        <v>355</v>
      </c>
      <c r="C551" s="165"/>
      <c r="D551" s="165"/>
      <c r="E551" s="165"/>
      <c r="F551" s="165"/>
      <c r="G551" s="165"/>
      <c r="H551" s="165"/>
      <c r="I551" s="165"/>
      <c r="J551" s="165"/>
      <c r="K551" s="165"/>
      <c r="L551" s="165"/>
      <c r="M551" s="165"/>
      <c r="N551" s="165"/>
      <c r="O551" s="165"/>
      <c r="P551" s="165"/>
      <c r="Q551" s="392" t="s">
        <v>393</v>
      </c>
      <c r="R551" s="392"/>
      <c r="S551" s="393"/>
      <c r="T551" s="165"/>
      <c r="U551" s="165"/>
      <c r="V551" s="209"/>
    </row>
    <row r="552" spans="2:22">
      <c r="B552" s="208" t="s">
        <v>356</v>
      </c>
      <c r="C552" s="165"/>
      <c r="D552" s="165"/>
      <c r="E552" s="165"/>
      <c r="F552" s="165"/>
      <c r="G552" s="165"/>
      <c r="H552" s="165"/>
      <c r="I552" s="165"/>
      <c r="J552" s="165"/>
      <c r="K552" s="165"/>
      <c r="L552" s="165"/>
      <c r="M552" s="165"/>
      <c r="N552" s="165"/>
      <c r="O552" s="165"/>
      <c r="P552" s="165"/>
      <c r="Q552" s="390"/>
      <c r="R552" s="390"/>
      <c r="S552" s="391"/>
      <c r="T552" s="165"/>
      <c r="U552" s="165"/>
      <c r="V552" s="209"/>
    </row>
    <row r="553" spans="2:22">
      <c r="B553" s="208" t="s">
        <v>357</v>
      </c>
      <c r="C553" s="165"/>
      <c r="D553" s="165"/>
      <c r="E553" s="165"/>
      <c r="F553" s="165"/>
      <c r="G553" s="165"/>
      <c r="H553" s="165"/>
      <c r="I553" s="165"/>
      <c r="J553" s="165"/>
      <c r="K553" s="165"/>
      <c r="L553" s="165"/>
      <c r="M553" s="165"/>
      <c r="N553" s="165"/>
      <c r="O553" s="165"/>
      <c r="P553" s="165"/>
      <c r="Q553" s="390"/>
      <c r="R553" s="390"/>
      <c r="S553" s="391"/>
      <c r="T553" s="165"/>
      <c r="U553" s="165"/>
      <c r="V553" s="209"/>
    </row>
    <row r="554" spans="2:22">
      <c r="B554" s="208"/>
      <c r="C554" s="165"/>
      <c r="D554" s="165"/>
      <c r="E554" s="165"/>
      <c r="F554" s="165"/>
      <c r="G554" s="165"/>
      <c r="H554" s="165"/>
      <c r="I554" s="165"/>
      <c r="J554" s="165"/>
      <c r="K554" s="165"/>
      <c r="L554" s="165"/>
      <c r="M554" s="165"/>
      <c r="N554" s="165"/>
      <c r="O554" s="165"/>
      <c r="P554" s="165"/>
      <c r="Q554" s="390"/>
      <c r="R554" s="390"/>
      <c r="S554" s="391"/>
      <c r="T554" s="165"/>
      <c r="U554" s="165"/>
      <c r="V554" s="209"/>
    </row>
    <row r="555" spans="2:22">
      <c r="B555" s="208" t="s">
        <v>359</v>
      </c>
      <c r="C555" s="229"/>
      <c r="D555" s="165"/>
      <c r="E555" s="165" t="s">
        <v>347</v>
      </c>
      <c r="F555" s="165" t="s">
        <v>2</v>
      </c>
      <c r="G555" s="165" t="s">
        <v>6</v>
      </c>
      <c r="H555" s="165"/>
      <c r="I555" s="165"/>
      <c r="J555" s="165"/>
      <c r="K555" s="165"/>
      <c r="L555" s="165"/>
      <c r="M555" s="165"/>
      <c r="N555" s="165"/>
      <c r="O555" s="165"/>
      <c r="P555" s="165"/>
      <c r="Q555" s="165"/>
      <c r="R555" s="165"/>
      <c r="S555" s="165"/>
      <c r="T555" s="165"/>
      <c r="U555" s="165"/>
      <c r="V555" s="209"/>
    </row>
    <row r="556" spans="2:22">
      <c r="B556" s="208" t="s">
        <v>360</v>
      </c>
      <c r="C556" s="230"/>
      <c r="D556" s="165"/>
      <c r="E556" s="165" t="s">
        <v>703</v>
      </c>
      <c r="F556" s="165">
        <v>100</v>
      </c>
      <c r="G556" s="165">
        <v>-100</v>
      </c>
      <c r="H556" s="165"/>
      <c r="I556" s="165"/>
      <c r="J556" s="165"/>
      <c r="K556" s="165"/>
      <c r="L556" s="165"/>
      <c r="M556" s="165"/>
      <c r="N556" s="165"/>
      <c r="O556" s="165"/>
      <c r="P556" s="165"/>
      <c r="Q556" s="165"/>
      <c r="R556" s="165"/>
      <c r="S556" s="165"/>
      <c r="T556" s="165"/>
      <c r="U556" s="165"/>
      <c r="V556" s="209"/>
    </row>
    <row r="557" spans="2:22">
      <c r="B557" s="208" t="s">
        <v>361</v>
      </c>
      <c r="C557" s="231"/>
      <c r="D557" s="165"/>
      <c r="E557" s="165" t="s">
        <v>9</v>
      </c>
      <c r="F557" s="165">
        <v>12</v>
      </c>
      <c r="G557" s="165">
        <v>-12</v>
      </c>
      <c r="H557" s="165"/>
      <c r="I557" s="165"/>
      <c r="J557" s="165"/>
      <c r="K557" s="165"/>
      <c r="L557" s="165"/>
      <c r="M557" s="165"/>
      <c r="N557" s="165"/>
      <c r="O557" s="165"/>
      <c r="P557" s="165"/>
      <c r="Q557" s="165"/>
      <c r="R557" s="165"/>
      <c r="S557" s="165"/>
      <c r="T557" s="165"/>
      <c r="U557" s="165"/>
      <c r="V557" s="209"/>
    </row>
    <row r="558" spans="2:22">
      <c r="B558" s="208" t="s">
        <v>362</v>
      </c>
      <c r="C558" s="232"/>
      <c r="D558" s="165"/>
      <c r="E558" s="161" t="s">
        <v>8</v>
      </c>
      <c r="F558" s="165">
        <v>10</v>
      </c>
      <c r="G558" s="165">
        <v>-10</v>
      </c>
      <c r="H558" s="165"/>
      <c r="I558" s="165"/>
      <c r="J558" s="165"/>
      <c r="K558" s="165"/>
      <c r="L558" s="165"/>
      <c r="M558" s="165"/>
      <c r="N558" s="165"/>
      <c r="O558" s="165"/>
      <c r="P558" s="165"/>
      <c r="Q558" s="165"/>
      <c r="R558" s="165"/>
      <c r="S558" s="165"/>
      <c r="T558" s="165"/>
      <c r="U558" s="165"/>
      <c r="V558" s="209"/>
    </row>
    <row r="559" spans="2:22">
      <c r="B559" s="208" t="s">
        <v>363</v>
      </c>
      <c r="C559" s="233"/>
      <c r="D559" s="165"/>
      <c r="E559" s="161" t="s">
        <v>19</v>
      </c>
      <c r="F559" s="161">
        <v>8</v>
      </c>
      <c r="G559" s="161">
        <v>-8</v>
      </c>
      <c r="H559" s="165"/>
      <c r="I559" s="165"/>
      <c r="J559" s="165"/>
      <c r="K559" s="165"/>
      <c r="L559" s="165"/>
      <c r="M559" s="165"/>
      <c r="N559" s="165"/>
      <c r="O559" s="165"/>
      <c r="P559" s="165"/>
      <c r="Q559" s="165"/>
      <c r="R559" s="165"/>
      <c r="S559" s="165"/>
      <c r="T559" s="165"/>
      <c r="U559" s="165"/>
      <c r="V559" s="209"/>
    </row>
    <row r="560" spans="2:22">
      <c r="B560" s="208" t="s">
        <v>358</v>
      </c>
      <c r="C560" s="234"/>
      <c r="D560" s="165"/>
      <c r="E560" s="161" t="s">
        <v>7</v>
      </c>
      <c r="F560" s="161">
        <v>6</v>
      </c>
      <c r="G560" s="161">
        <v>-6</v>
      </c>
      <c r="H560" s="165"/>
      <c r="I560" s="165"/>
      <c r="J560" s="165"/>
      <c r="K560" s="165"/>
      <c r="L560" s="165"/>
      <c r="M560" s="165"/>
      <c r="N560" s="165"/>
      <c r="O560" s="165"/>
      <c r="P560" s="165"/>
      <c r="Q560" s="165"/>
      <c r="R560" s="165"/>
      <c r="S560" s="165"/>
      <c r="T560" s="165"/>
      <c r="U560" s="165"/>
      <c r="V560" s="209"/>
    </row>
    <row r="561" spans="2:22">
      <c r="B561" s="208"/>
      <c r="C561" s="165"/>
      <c r="D561" s="165"/>
      <c r="E561" s="161" t="s">
        <v>163</v>
      </c>
      <c r="F561" s="161">
        <v>4</v>
      </c>
      <c r="G561" s="161">
        <v>-4</v>
      </c>
      <c r="H561" s="165"/>
      <c r="I561" s="165"/>
      <c r="J561" s="165"/>
      <c r="K561" s="165"/>
      <c r="L561" s="165"/>
      <c r="M561" s="165"/>
      <c r="N561" s="165"/>
      <c r="O561" s="165"/>
      <c r="P561" s="165"/>
      <c r="Q561" s="165"/>
      <c r="R561" s="165"/>
      <c r="S561" s="165"/>
      <c r="T561" s="165"/>
      <c r="U561" s="165"/>
      <c r="V561" s="209"/>
    </row>
    <row r="562" spans="2:22">
      <c r="B562" s="208" t="s">
        <v>440</v>
      </c>
      <c r="C562" s="165"/>
      <c r="D562" s="165"/>
      <c r="E562" s="161" t="s">
        <v>310</v>
      </c>
      <c r="F562" s="161">
        <v>2</v>
      </c>
      <c r="G562" s="161">
        <v>-2</v>
      </c>
      <c r="H562" s="165"/>
      <c r="I562" s="165"/>
      <c r="J562" s="165"/>
      <c r="K562" s="165"/>
      <c r="L562" s="165"/>
      <c r="M562" s="165"/>
      <c r="N562" s="165"/>
      <c r="O562" s="165"/>
      <c r="P562" s="165"/>
      <c r="Q562" s="165"/>
      <c r="R562" s="165"/>
      <c r="S562" s="165"/>
      <c r="T562" s="165"/>
      <c r="U562" s="165"/>
      <c r="V562" s="209"/>
    </row>
    <row r="563" spans="2:22">
      <c r="B563" s="208"/>
      <c r="C563" s="165"/>
      <c r="D563" s="165"/>
      <c r="E563" s="161" t="s">
        <v>156</v>
      </c>
      <c r="F563" s="161">
        <v>1</v>
      </c>
      <c r="G563" s="161">
        <v>-1</v>
      </c>
      <c r="H563" s="165"/>
      <c r="I563" s="165"/>
      <c r="J563" s="165"/>
      <c r="K563" s="165"/>
      <c r="L563" s="165"/>
      <c r="M563" s="165"/>
      <c r="N563" s="165"/>
      <c r="O563" s="165"/>
      <c r="P563" s="165"/>
      <c r="Q563" s="165"/>
      <c r="R563" s="165"/>
      <c r="S563" s="165"/>
      <c r="T563" s="165"/>
      <c r="U563" s="165"/>
      <c r="V563" s="209"/>
    </row>
    <row r="564" spans="2:22">
      <c r="B564" s="208"/>
      <c r="C564" s="165"/>
      <c r="D564" s="165"/>
      <c r="E564" s="161" t="s">
        <v>3</v>
      </c>
      <c r="F564" s="161">
        <v>-2</v>
      </c>
      <c r="G564" s="161">
        <v>2</v>
      </c>
      <c r="H564" s="165"/>
      <c r="I564" s="165"/>
      <c r="J564" s="165"/>
      <c r="K564" s="165"/>
      <c r="L564" s="165"/>
      <c r="M564" s="165"/>
      <c r="N564" s="165"/>
      <c r="O564" s="165"/>
      <c r="P564" s="165"/>
      <c r="Q564" s="165"/>
      <c r="R564" s="165"/>
      <c r="S564" s="165"/>
      <c r="T564" s="165"/>
      <c r="U564" s="165"/>
      <c r="V564" s="209"/>
    </row>
    <row r="565" spans="2:22">
      <c r="B565" s="208"/>
      <c r="C565" s="165"/>
      <c r="D565" s="165"/>
      <c r="E565" s="165"/>
      <c r="F565" s="165"/>
      <c r="G565" s="165"/>
      <c r="H565" s="165"/>
      <c r="I565" s="165"/>
      <c r="J565" s="165"/>
      <c r="K565" s="165"/>
      <c r="L565" s="165"/>
      <c r="M565" s="165"/>
      <c r="N565" s="165"/>
      <c r="O565" s="165"/>
      <c r="P565" s="165"/>
      <c r="Q565" s="165"/>
      <c r="R565" s="165"/>
      <c r="S565" s="165"/>
      <c r="T565" s="165"/>
      <c r="U565" s="165"/>
      <c r="V565" s="209"/>
    </row>
    <row r="566" spans="2:22">
      <c r="B566" s="208" t="s">
        <v>311</v>
      </c>
      <c r="C566" s="165" t="s">
        <v>350</v>
      </c>
      <c r="D566" s="165" t="s">
        <v>351</v>
      </c>
      <c r="E566" s="165" t="s">
        <v>352</v>
      </c>
      <c r="F566" s="165" t="s">
        <v>353</v>
      </c>
      <c r="G566" s="235" t="s">
        <v>365</v>
      </c>
      <c r="H566" s="165"/>
      <c r="I566" s="165" t="s">
        <v>311</v>
      </c>
      <c r="J566" s="165" t="s">
        <v>350</v>
      </c>
      <c r="K566" s="165" t="s">
        <v>351</v>
      </c>
      <c r="L566" s="165" t="s">
        <v>352</v>
      </c>
      <c r="M566" s="165" t="s">
        <v>353</v>
      </c>
      <c r="N566" s="235" t="s">
        <v>365</v>
      </c>
      <c r="O566" s="165"/>
      <c r="P566" s="165" t="s">
        <v>311</v>
      </c>
      <c r="Q566" s="165" t="s">
        <v>350</v>
      </c>
      <c r="R566" s="165" t="s">
        <v>351</v>
      </c>
      <c r="S566" s="165" t="s">
        <v>352</v>
      </c>
      <c r="T566" s="165" t="s">
        <v>353</v>
      </c>
      <c r="U566" s="235" t="s">
        <v>365</v>
      </c>
      <c r="V566" s="209"/>
    </row>
    <row r="567" spans="2:22">
      <c r="B567" s="208">
        <f>Algandmed!AE514</f>
        <v>0</v>
      </c>
      <c r="C567" s="165">
        <f>SUM(Algandmed!AE514:AH514)</f>
        <v>0</v>
      </c>
      <c r="D567" s="165">
        <f>C567+Algandmed!AI514+Algandmed!AJ514+Algandmed!AK514</f>
        <v>0</v>
      </c>
      <c r="E567" s="165">
        <f>Algandmed!AM514</f>
        <v>0</v>
      </c>
      <c r="F567" s="236" t="e">
        <f>SUM(Algandmed!AE514:AL514)/Algandmed!AM514</f>
        <v>#DIV/0!</v>
      </c>
      <c r="G567" s="237" t="e">
        <f>(($G$292*Algandmed!AE514)+($G$293*Algandmed!AF514)+($G$294*Algandmed!AG514)+($G$295*Algandmed!AH514)+($G$296*Algandmed!AI514)+($G$297*Algandmed!AJ514)+($G$298*Algandmed!AK514)+($G$299*Algandmed!AL514)+((Algandmed!AM514-SUM(Algandmed!AE514:AL514))*Settings!$G$300))/SQRT(Algandmed!AM514)</f>
        <v>#DIV/0!</v>
      </c>
      <c r="H567" s="237"/>
      <c r="I567" s="238">
        <f>Algandmed!AN514</f>
        <v>0</v>
      </c>
      <c r="J567" s="238">
        <f>SUM(Algandmed!AN514:AQ514)</f>
        <v>0</v>
      </c>
      <c r="K567" s="238">
        <f>J567+Algandmed!AR514+Algandmed!AS514+Algandmed!AT514</f>
        <v>0</v>
      </c>
      <c r="L567" s="238">
        <f>Algandmed!AV514</f>
        <v>0</v>
      </c>
      <c r="M567" s="236" t="e">
        <f>SUM(Algandmed!AN514:'Algandmed'!AU514)/Algandmed!AV514</f>
        <v>#DIV/0!</v>
      </c>
      <c r="N567" s="237" t="e">
        <f>(($G$292*Algandmed!AN514)+($G$293*Algandmed!AO514)+($G$294*Algandmed!AP514)+($G$295*Algandmed!AQ514)+($G$296*Algandmed!AR514)+($G$297*Algandmed!AS514)+($G$298*Algandmed!AT514)+($G$299*Algandmed!AU514)+((Algandmed!AV514-SUM(Algandmed!AN514:AU514))*Settings!$G$300))/SQRT(Algandmed!AV514)</f>
        <v>#DIV/0!</v>
      </c>
      <c r="O567" s="165"/>
      <c r="P567" s="238">
        <f>Algandmed!AW514</f>
        <v>0</v>
      </c>
      <c r="Q567" s="238">
        <f>SUM(Algandmed!AW514:AZ514)</f>
        <v>0</v>
      </c>
      <c r="R567" s="238">
        <f>Q567+Algandmed!BA514+Algandmed!BB514+Algandmed!BC514</f>
        <v>0</v>
      </c>
      <c r="S567" s="238">
        <f>Algandmed!BE514</f>
        <v>0</v>
      </c>
      <c r="T567" s="236" t="e">
        <f>SUM(Algandmed!AW514:BD514)/Algandmed!BE514</f>
        <v>#DIV/0!</v>
      </c>
      <c r="U567" s="237" t="e">
        <f>(($G$292*Algandmed!AW514)+($G$293*Algandmed!AX514)+($G$294*Algandmed!AY514)+($G$295*Algandmed!AZ514)+($G$296*Algandmed!BA514)+($G$297*Algandmed!BB514)+($G$298*Algandmed!BC514)+($G$299*Algandmed!BD514)+((Algandmed!BE514-SUM(Algandmed!AW514:BD514))*Settings!$G$300))/SQRT(Algandmed!BE514)</f>
        <v>#DIV/0!</v>
      </c>
      <c r="V567" s="209"/>
    </row>
    <row r="568" spans="2:22">
      <c r="B568" s="208"/>
      <c r="C568" s="165"/>
      <c r="D568" s="165"/>
      <c r="E568" s="165"/>
      <c r="F568" s="236"/>
      <c r="G568" s="237"/>
      <c r="H568" s="237"/>
      <c r="I568" s="238"/>
      <c r="J568" s="238"/>
      <c r="K568" s="238"/>
      <c r="L568" s="238"/>
      <c r="M568" s="236"/>
      <c r="N568" s="237"/>
      <c r="O568" s="165"/>
      <c r="P568" s="238"/>
      <c r="Q568" s="238"/>
      <c r="R568" s="238"/>
      <c r="S568" s="238"/>
      <c r="T568" s="236"/>
      <c r="U568" s="237"/>
      <c r="V568" s="209"/>
    </row>
    <row r="569" spans="2:22">
      <c r="B569" s="208"/>
      <c r="C569" s="165"/>
      <c r="D569" s="165"/>
      <c r="E569" s="165"/>
      <c r="F569" s="236"/>
      <c r="G569" s="237"/>
      <c r="H569" s="237"/>
      <c r="I569" s="238">
        <f>Algandmed!AN516</f>
        <v>0</v>
      </c>
      <c r="J569" s="238">
        <f>SUM(Algandmed!AN516:AQ516)</f>
        <v>0</v>
      </c>
      <c r="K569" s="238">
        <f>J569+Algandmed!AR516+Algandmed!AS516+Algandmed!AT516</f>
        <v>0</v>
      </c>
      <c r="L569" s="238">
        <f>Algandmed!AV516</f>
        <v>0</v>
      </c>
      <c r="M569" s="236" t="e">
        <f>SUM(Algandmed!AN516:'Algandmed'!AU516)/Algandmed!AV516</f>
        <v>#DIV/0!</v>
      </c>
      <c r="N569" s="237" t="e">
        <f>(($G$292*Algandmed!AN516)+($G$293*Algandmed!AO516)+($G$294*Algandmed!AP516)+($G$295*Algandmed!AQ516)+($G$296*Algandmed!AR516)+($G$297*Algandmed!AS516)+($G$298*Algandmed!AT516)+($G$299*Algandmed!AU516)+((Algandmed!AV516-SUM(Algandmed!AN516:AU516))*Settings!$G$300))/SQRT(Algandmed!AV516)</f>
        <v>#DIV/0!</v>
      </c>
      <c r="O569" s="165"/>
      <c r="P569" s="238"/>
      <c r="Q569" s="238"/>
      <c r="R569" s="238"/>
      <c r="S569" s="238"/>
      <c r="T569" s="236"/>
      <c r="U569" s="237"/>
      <c r="V569" s="209"/>
    </row>
    <row r="570" spans="2:22">
      <c r="B570" s="208"/>
      <c r="C570" s="165"/>
      <c r="D570" s="165"/>
      <c r="E570" s="165"/>
      <c r="F570" s="236"/>
      <c r="G570" s="237"/>
      <c r="H570" s="237"/>
      <c r="I570" s="238"/>
      <c r="J570" s="238"/>
      <c r="K570" s="238"/>
      <c r="L570" s="238"/>
      <c r="M570" s="236"/>
      <c r="N570" s="237"/>
      <c r="O570" s="165"/>
      <c r="P570" s="238"/>
      <c r="Q570" s="238"/>
      <c r="R570" s="238"/>
      <c r="S570" s="238"/>
      <c r="T570" s="236"/>
      <c r="U570" s="237"/>
      <c r="V570" s="209"/>
    </row>
    <row r="571" spans="2:22">
      <c r="B571" s="208">
        <f>Algandmed!AE518</f>
        <v>0</v>
      </c>
      <c r="C571" s="165">
        <f>SUM(Algandmed!AE518:AH518)</f>
        <v>0</v>
      </c>
      <c r="D571" s="165">
        <f>C571+Algandmed!AI518+Algandmed!AJ518+Algandmed!AK518</f>
        <v>0</v>
      </c>
      <c r="E571" s="165">
        <f>Algandmed!AM518</f>
        <v>0</v>
      </c>
      <c r="F571" s="236" t="e">
        <f>SUM(Algandmed!AE518:AL518)/Algandmed!AM518</f>
        <v>#DIV/0!</v>
      </c>
      <c r="G571" s="237" t="e">
        <f>(($G$292*Algandmed!AE518)+($G$293*Algandmed!AF518)+($G$294*Algandmed!AG518)+($G$295*Algandmed!AH518)+($G$296*Algandmed!AI518)+($G$297*Algandmed!AJ518)+($G$298*Algandmed!AK518)+($G$299*Algandmed!AL518)+((Algandmed!AM518-SUM(Algandmed!AE518:AL518))*Settings!$G$300))/SQRT(Algandmed!AM518)</f>
        <v>#DIV/0!</v>
      </c>
      <c r="H571" s="237"/>
      <c r="I571" s="238">
        <f>Algandmed!AN518</f>
        <v>0</v>
      </c>
      <c r="J571" s="238">
        <f>SUM(Algandmed!AN518:AQ518)</f>
        <v>0</v>
      </c>
      <c r="K571" s="238">
        <f>J571+Algandmed!AR518+Algandmed!AS518+Algandmed!AT518</f>
        <v>0</v>
      </c>
      <c r="L571" s="238">
        <f>Algandmed!AV518</f>
        <v>0</v>
      </c>
      <c r="M571" s="236" t="e">
        <f>SUM(Algandmed!AN518:'Algandmed'!AU518)/Algandmed!AV518</f>
        <v>#DIV/0!</v>
      </c>
      <c r="N571" s="237" t="e">
        <f>(($G$292*Algandmed!AN518)+($G$293*Algandmed!AO518)+($G$294*Algandmed!AP518)+($G$295*Algandmed!AQ518)+($G$296*Algandmed!AR518)+($G$297*Algandmed!AS518)+($G$298*Algandmed!AT518)+($G$299*Algandmed!AU518)+((Algandmed!AV518-SUM(Algandmed!AN518:AU518))*Settings!$G$300))/SQRT(Algandmed!AV518)</f>
        <v>#DIV/0!</v>
      </c>
      <c r="O571" s="165"/>
      <c r="P571" s="238">
        <f>Algandmed!AW518</f>
        <v>0</v>
      </c>
      <c r="Q571" s="238">
        <f>SUM(Algandmed!AW518:AZ518)</f>
        <v>0</v>
      </c>
      <c r="R571" s="238">
        <f>Q571+Algandmed!BA518+Algandmed!BB518+Algandmed!BC518</f>
        <v>0</v>
      </c>
      <c r="S571" s="238">
        <f>Algandmed!BE518</f>
        <v>0</v>
      </c>
      <c r="T571" s="236" t="e">
        <f>SUM(Algandmed!AW518:BD518)/Algandmed!BE518</f>
        <v>#DIV/0!</v>
      </c>
      <c r="U571" s="237" t="e">
        <f>(($G$292*Algandmed!AW518)+($G$293*Algandmed!AX518)+($G$294*Algandmed!AY518)+($G$295*Algandmed!AZ518)+($G$296*Algandmed!BA518)+($G$297*Algandmed!BB518)+($G$298*Algandmed!BC518)+($G$299*Algandmed!BD518)+((Algandmed!BE518-SUM(Algandmed!AW518:BD518))*Settings!$G$300))/SQRT(Algandmed!BE518)</f>
        <v>#DIV/0!</v>
      </c>
      <c r="V571" s="209"/>
    </row>
    <row r="572" spans="2:22">
      <c r="H572" s="237"/>
      <c r="I572" s="238"/>
      <c r="J572" s="238"/>
      <c r="K572" s="238"/>
      <c r="L572" s="238"/>
      <c r="M572" s="236"/>
      <c r="N572" s="237"/>
      <c r="O572" s="165"/>
      <c r="P572" s="238"/>
      <c r="Q572" s="238"/>
      <c r="R572" s="238"/>
      <c r="S572" s="238"/>
      <c r="T572" s="236"/>
      <c r="U572" s="237"/>
      <c r="V572" s="209"/>
    </row>
    <row r="573" spans="2:22">
      <c r="B573" s="208">
        <f>Algandmed!AE520</f>
        <v>0</v>
      </c>
      <c r="C573" s="165">
        <f>SUM(Algandmed!AE520:AH520)</f>
        <v>0</v>
      </c>
      <c r="D573" s="165">
        <f>C573+Algandmed!AI520+Algandmed!AJ520+Algandmed!AK520</f>
        <v>0</v>
      </c>
      <c r="E573" s="165">
        <f>Algandmed!AM520</f>
        <v>0</v>
      </c>
      <c r="F573" s="236" t="e">
        <f>SUM(Algandmed!AE520:AL520)/Algandmed!AM520</f>
        <v>#DIV/0!</v>
      </c>
      <c r="G573" s="237" t="e">
        <f>(($G$292*Algandmed!AE520)+($G$293*Algandmed!AF520)+($G$294*Algandmed!AG520)+($G$295*Algandmed!AH520)+($G$296*Algandmed!AI520)+($G$297*Algandmed!AJ520)+($G$298*Algandmed!AK520)+($G$299*Algandmed!AL520)+((Algandmed!AM520-SUM(Algandmed!AE520:AL520))*Settings!$G$300))/SQRT(Algandmed!AM520)</f>
        <v>#DIV/0!</v>
      </c>
      <c r="H573" s="237"/>
      <c r="I573" s="238">
        <f>Algandmed!AN520</f>
        <v>0</v>
      </c>
      <c r="J573" s="238">
        <f>SUM(Algandmed!AN520:AQ520)</f>
        <v>0</v>
      </c>
      <c r="K573" s="238">
        <f>J573+Algandmed!AR520+Algandmed!AS520+Algandmed!AT520</f>
        <v>0</v>
      </c>
      <c r="L573" s="238">
        <f>Algandmed!AV520</f>
        <v>0</v>
      </c>
      <c r="M573" s="236" t="e">
        <f>SUM(Algandmed!AN520:'Algandmed'!AU520)/Algandmed!AV520</f>
        <v>#DIV/0!</v>
      </c>
      <c r="N573" s="237" t="e">
        <f>(($G$292*Algandmed!AN520)+($G$293*Algandmed!AO520)+($G$294*Algandmed!AP520)+($G$295*Algandmed!AQ520)+($G$296*Algandmed!AR520)+($G$297*Algandmed!AS520)+($G$298*Algandmed!AT520)+($G$299*Algandmed!AU520)+((Algandmed!AV520-SUM(Algandmed!AN520:AU520))*Settings!$G$300))/SQRT(Algandmed!AV520)</f>
        <v>#DIV/0!</v>
      </c>
      <c r="O573" s="165"/>
      <c r="P573" s="238">
        <f>Algandmed!AW520</f>
        <v>0</v>
      </c>
      <c r="Q573" s="238">
        <f>SUM(Algandmed!AW520:AZ520)</f>
        <v>0</v>
      </c>
      <c r="R573" s="238">
        <f>Q573+Algandmed!BA520+Algandmed!BB520+Algandmed!BC520</f>
        <v>0</v>
      </c>
      <c r="S573" s="238">
        <f>Algandmed!BE520</f>
        <v>0</v>
      </c>
      <c r="T573" s="236" t="e">
        <f>SUM(Algandmed!AW520:BD520)/Algandmed!BE520</f>
        <v>#DIV/0!</v>
      </c>
      <c r="U573" s="237" t="e">
        <f>(($G$292*Algandmed!AW520)+($G$293*Algandmed!AX520)+($G$294*Algandmed!AY520)+($G$295*Algandmed!AZ520)+($G$296*Algandmed!BA520)+($G$297*Algandmed!BB520)+($G$298*Algandmed!BC520)+($G$299*Algandmed!BD520)+((Algandmed!BE520-SUM(Algandmed!AW520:BD520))*Settings!$G$300))/SQRT(Algandmed!BE520)</f>
        <v>#DIV/0!</v>
      </c>
      <c r="V573" s="209"/>
    </row>
    <row r="574" spans="2:22">
      <c r="B574" s="208"/>
      <c r="C574" s="165"/>
      <c r="D574" s="165"/>
      <c r="E574" s="165"/>
      <c r="F574" s="236"/>
      <c r="G574" s="237"/>
      <c r="H574" s="237"/>
      <c r="I574" s="238"/>
      <c r="J574" s="238"/>
      <c r="K574" s="238"/>
      <c r="L574" s="238"/>
      <c r="M574" s="236"/>
      <c r="N574" s="237"/>
      <c r="O574" s="165"/>
      <c r="P574" s="238"/>
      <c r="Q574" s="238"/>
      <c r="R574" s="238"/>
      <c r="S574" s="238"/>
      <c r="T574" s="236"/>
      <c r="U574" s="237"/>
      <c r="V574" s="209"/>
    </row>
    <row r="575" spans="2:22">
      <c r="B575" s="208">
        <f>Algandmed!AE522</f>
        <v>0</v>
      </c>
      <c r="C575" s="165">
        <f>SUM(Algandmed!AE522:AH522)</f>
        <v>0</v>
      </c>
      <c r="D575" s="165">
        <f>C575+Algandmed!AI522+Algandmed!AJ522+Algandmed!AK522</f>
        <v>0</v>
      </c>
      <c r="E575" s="165">
        <f>Algandmed!AM522</f>
        <v>0</v>
      </c>
      <c r="F575" s="236" t="e">
        <f>SUM(Algandmed!AE522:AL522)/Algandmed!AM522</f>
        <v>#DIV/0!</v>
      </c>
      <c r="G575" s="237" t="e">
        <f>(($G$292*Algandmed!AE522)+($G$293*Algandmed!AF522)+($G$294*Algandmed!AG522)+($G$295*Algandmed!AH522)+($G$296*Algandmed!AI522)+($G$297*Algandmed!AJ522)+($G$298*Algandmed!AK522)+($G$299*Algandmed!AL522)+((Algandmed!AM522-SUM(Algandmed!AE522:AL522))*Settings!$G$300))/SQRT(Algandmed!AM522)</f>
        <v>#DIV/0!</v>
      </c>
      <c r="H575" s="237"/>
      <c r="I575" s="238">
        <f>Algandmed!AN522</f>
        <v>0</v>
      </c>
      <c r="J575" s="238">
        <f>SUM(Algandmed!AN522:AQ522)</f>
        <v>0</v>
      </c>
      <c r="K575" s="238">
        <f>J575+Algandmed!AR522+Algandmed!AS522+Algandmed!AT522</f>
        <v>0</v>
      </c>
      <c r="L575" s="238">
        <f>Algandmed!AV522</f>
        <v>0</v>
      </c>
      <c r="M575" s="236" t="e">
        <f>SUM(Algandmed!AN522:'Algandmed'!AU522)/Algandmed!AV522</f>
        <v>#DIV/0!</v>
      </c>
      <c r="N575" s="237" t="e">
        <f>(($G$292*Algandmed!AN522)+($G$293*Algandmed!AO522)+($G$294*Algandmed!AP522)+($G$295*Algandmed!AQ522)+($G$296*Algandmed!AR522)+($G$297*Algandmed!AS522)+($G$298*Algandmed!AT522)+($G$299*Algandmed!AU522)+((Algandmed!AV522-SUM(Algandmed!AN522:AU522))*Settings!$G$300))/SQRT(Algandmed!AV522)</f>
        <v>#DIV/0!</v>
      </c>
      <c r="O575" s="165"/>
      <c r="P575" s="238">
        <f>Algandmed!AW522</f>
        <v>0</v>
      </c>
      <c r="Q575" s="238">
        <f>SUM(Algandmed!AW522:AZ522)</f>
        <v>0</v>
      </c>
      <c r="R575" s="238">
        <f>Q575+Algandmed!BA522+Algandmed!BB522+Algandmed!BC522</f>
        <v>0</v>
      </c>
      <c r="S575" s="238">
        <f>Algandmed!BE522</f>
        <v>0</v>
      </c>
      <c r="T575" s="236" t="e">
        <f>SUM(Algandmed!AW522:BD522)/Algandmed!BE522</f>
        <v>#DIV/0!</v>
      </c>
      <c r="U575" s="237" t="e">
        <f>(($G$292*Algandmed!AW522)+($G$293*Algandmed!AX522)+($G$294*Algandmed!AY522)+($G$295*Algandmed!AZ522)+($G$296*Algandmed!BA522)+($G$297*Algandmed!BB522)+($G$298*Algandmed!BC522)+($G$299*Algandmed!BD522)+((Algandmed!BE522-SUM(Algandmed!AW522:BD522))*Settings!$G$300))/SQRT(Algandmed!BE522)</f>
        <v>#DIV/0!</v>
      </c>
      <c r="V575" s="209"/>
    </row>
    <row r="576" spans="2:22">
      <c r="B576" s="208"/>
      <c r="C576" s="165"/>
      <c r="D576" s="165"/>
      <c r="E576" s="165"/>
      <c r="F576" s="236"/>
      <c r="G576" s="237"/>
      <c r="H576" s="237"/>
      <c r="I576" s="238"/>
      <c r="J576" s="238"/>
      <c r="K576" s="238"/>
      <c r="L576" s="238"/>
      <c r="M576" s="236"/>
      <c r="N576" s="237"/>
      <c r="O576" s="165"/>
      <c r="P576" s="238"/>
      <c r="Q576" s="238"/>
      <c r="R576" s="238"/>
      <c r="S576" s="238"/>
      <c r="T576" s="236"/>
      <c r="U576" s="237"/>
      <c r="V576" s="209"/>
    </row>
    <row r="577" spans="2:22">
      <c r="B577" s="208">
        <f>Algandmed!AE524</f>
        <v>0</v>
      </c>
      <c r="C577" s="165">
        <f>SUM(Algandmed!AE524:AH524)</f>
        <v>0</v>
      </c>
      <c r="D577" s="165">
        <f>C577+Algandmed!AI524+Algandmed!AJ524+Algandmed!AK524</f>
        <v>0</v>
      </c>
      <c r="E577" s="165">
        <f>Algandmed!AM524</f>
        <v>0</v>
      </c>
      <c r="F577" s="236" t="e">
        <f>SUM(Algandmed!AE524:AL524)/Algandmed!AM524</f>
        <v>#DIV/0!</v>
      </c>
      <c r="G577" s="237" t="e">
        <f>(($G$292*Algandmed!AE524)+($G$293*Algandmed!AF524)+($G$294*Algandmed!AG524)+($G$295*Algandmed!AH524)+($G$296*Algandmed!AI524)+($G$297*Algandmed!AJ524)+($G$298*Algandmed!AK524)+($G$299*Algandmed!AL524)+((Algandmed!AM524-SUM(Algandmed!AE524:AL524))*Settings!$G$300))/SQRT(Algandmed!AM524)</f>
        <v>#DIV/0!</v>
      </c>
      <c r="H577" s="237"/>
      <c r="I577" s="238">
        <f>Algandmed!AN524</f>
        <v>0</v>
      </c>
      <c r="J577" s="238">
        <f>SUM(Algandmed!AN524:AQ524)</f>
        <v>0</v>
      </c>
      <c r="K577" s="238">
        <f>J577+Algandmed!AR524+Algandmed!AS524+Algandmed!AT524</f>
        <v>0</v>
      </c>
      <c r="L577" s="238">
        <f>Algandmed!AV524</f>
        <v>0</v>
      </c>
      <c r="M577" s="236" t="e">
        <f>SUM(Algandmed!AN524:'Algandmed'!AU524)/Algandmed!AV524</f>
        <v>#DIV/0!</v>
      </c>
      <c r="N577" s="237" t="e">
        <f>(($G$292*Algandmed!AN524)+($G$293*Algandmed!AO524)+($G$294*Algandmed!AP524)+($G$295*Algandmed!AQ524)+($G$296*Algandmed!AR524)+($G$297*Algandmed!AS524)+($G$298*Algandmed!AT524)+($G$299*Algandmed!AU524)+((Algandmed!AV524-SUM(Algandmed!AN524:AU524))*Settings!$G$300))/SQRT(Algandmed!AV524)</f>
        <v>#DIV/0!</v>
      </c>
      <c r="O577" s="165"/>
      <c r="P577" s="238">
        <f>Algandmed!AW524</f>
        <v>0</v>
      </c>
      <c r="Q577" s="238">
        <f>SUM(Algandmed!AW524:AZ524)</f>
        <v>0</v>
      </c>
      <c r="R577" s="238">
        <f>Q577+Algandmed!BA524+Algandmed!BB524+Algandmed!BC524</f>
        <v>0</v>
      </c>
      <c r="S577" s="238">
        <f>Algandmed!BE524</f>
        <v>0</v>
      </c>
      <c r="T577" s="236" t="e">
        <f>SUM(Algandmed!AW524:BD524)/Algandmed!BE524</f>
        <v>#DIV/0!</v>
      </c>
      <c r="U577" s="237" t="e">
        <f>(($G$292*Algandmed!AW524)+($G$293*Algandmed!AX524)+($G$294*Algandmed!AY524)+($G$295*Algandmed!AZ524)+($G$296*Algandmed!BA524)+($G$297*Algandmed!BB524)+($G$298*Algandmed!BC524)+($G$299*Algandmed!BD524)+((Algandmed!BE524-SUM(Algandmed!AW524:BD524))*Settings!$G$300))/SQRT(Algandmed!BE524)</f>
        <v>#DIV/0!</v>
      </c>
      <c r="V577" s="209"/>
    </row>
    <row r="578" spans="2:22">
      <c r="B578" s="208"/>
      <c r="C578" s="165"/>
      <c r="D578" s="165"/>
      <c r="E578" s="165"/>
      <c r="F578" s="236"/>
      <c r="G578" s="237"/>
      <c r="H578" s="237"/>
      <c r="I578" s="238"/>
      <c r="J578" s="238"/>
      <c r="K578" s="238"/>
      <c r="L578" s="238"/>
      <c r="M578" s="236"/>
      <c r="N578" s="237"/>
      <c r="O578" s="165"/>
      <c r="P578" s="238"/>
      <c r="Q578" s="238"/>
      <c r="R578" s="238"/>
      <c r="S578" s="238"/>
      <c r="T578" s="236"/>
      <c r="U578" s="237"/>
      <c r="V578" s="209"/>
    </row>
    <row r="579" spans="2:22">
      <c r="B579" s="208"/>
      <c r="C579" s="165"/>
      <c r="D579" s="165"/>
      <c r="E579" s="165"/>
      <c r="F579" s="236"/>
      <c r="G579" s="237"/>
      <c r="H579" s="237"/>
      <c r="I579" s="238">
        <f>Algandmed!AN526</f>
        <v>0</v>
      </c>
      <c r="J579" s="238">
        <f>SUM(Algandmed!AN526:AQ526)</f>
        <v>0</v>
      </c>
      <c r="K579" s="238">
        <f>J579+Algandmed!AR526+Algandmed!AS526+Algandmed!AT526</f>
        <v>0</v>
      </c>
      <c r="L579" s="238">
        <f>Algandmed!AV526</f>
        <v>0</v>
      </c>
      <c r="M579" s="236" t="e">
        <f>SUM(Algandmed!AN526:'Algandmed'!AU526)/Algandmed!AV526</f>
        <v>#DIV/0!</v>
      </c>
      <c r="N579" s="237" t="e">
        <f>(($G$292*Algandmed!AN526)+($G$293*Algandmed!AO526)+($G$294*Algandmed!AP526)+($G$295*Algandmed!AQ526)+($G$296*Algandmed!AR526)+($G$297*Algandmed!AS526)+($G$298*Algandmed!AT526)+($G$299*Algandmed!AU526)+((Algandmed!AV526-SUM(Algandmed!AN526:AU526))*Settings!$G$300))/SQRT(Algandmed!AV526)</f>
        <v>#DIV/0!</v>
      </c>
      <c r="O579" s="165"/>
      <c r="P579" s="238"/>
      <c r="Q579" s="238"/>
      <c r="R579" s="238"/>
      <c r="S579" s="238"/>
      <c r="T579" s="236"/>
      <c r="U579" s="237"/>
      <c r="V579" s="209"/>
    </row>
    <row r="580" spans="2:22">
      <c r="B580" s="208"/>
      <c r="C580" s="165"/>
      <c r="D580" s="165"/>
      <c r="E580" s="165"/>
      <c r="F580" s="236"/>
      <c r="G580" s="237"/>
      <c r="H580" s="237"/>
      <c r="I580" s="238"/>
      <c r="J580" s="238"/>
      <c r="K580" s="238"/>
      <c r="L580" s="238"/>
      <c r="M580" s="236"/>
      <c r="N580" s="237"/>
      <c r="O580" s="165"/>
      <c r="P580" s="238"/>
      <c r="Q580" s="238"/>
      <c r="R580" s="238"/>
      <c r="S580" s="238"/>
      <c r="T580" s="236"/>
      <c r="U580" s="237"/>
      <c r="V580" s="209"/>
    </row>
    <row r="581" spans="2:22">
      <c r="B581" s="208">
        <f>Algandmed!AE528</f>
        <v>0</v>
      </c>
      <c r="C581" s="165">
        <f>SUM(Algandmed!AE528:AH528)</f>
        <v>0</v>
      </c>
      <c r="D581" s="165">
        <f>C581+Algandmed!AI528+Algandmed!AJ528+Algandmed!AK528</f>
        <v>0</v>
      </c>
      <c r="E581" s="165">
        <f>Algandmed!AM528</f>
        <v>0</v>
      </c>
      <c r="F581" s="236" t="e">
        <f>SUM(Algandmed!AE528:AL528)/Algandmed!AM528</f>
        <v>#DIV/0!</v>
      </c>
      <c r="G581" s="237" t="e">
        <f>(($G$292*Algandmed!AE528)+($G$293*Algandmed!AF528)+($G$294*Algandmed!AG528)+($G$295*Algandmed!AH528)+($G$296*Algandmed!AI528)+($G$297*Algandmed!AJ528)+($G$298*Algandmed!AK528)+($G$299*Algandmed!AL528)+((Algandmed!AM528-SUM(Algandmed!AE528:AL528))*Settings!$G$300))/SQRT(Algandmed!AM528)</f>
        <v>#DIV/0!</v>
      </c>
      <c r="H581" s="237"/>
      <c r="I581" s="238">
        <f>Algandmed!AN528</f>
        <v>0</v>
      </c>
      <c r="J581" s="238">
        <f>SUM(Algandmed!AN528:AQ528)</f>
        <v>0</v>
      </c>
      <c r="K581" s="238">
        <f>J581+Algandmed!AR528+Algandmed!AS528+Algandmed!AT528</f>
        <v>0</v>
      </c>
      <c r="L581" s="238">
        <f>Algandmed!AV528</f>
        <v>0</v>
      </c>
      <c r="M581" s="236" t="e">
        <f>SUM(Algandmed!AN528:'Algandmed'!AU528)/Algandmed!AV528</f>
        <v>#DIV/0!</v>
      </c>
      <c r="N581" s="237" t="e">
        <f>(($G$292*Algandmed!AN528)+($G$293*Algandmed!AO528)+($G$294*Algandmed!AP528)+($G$295*Algandmed!AQ528)+($G$296*Algandmed!AR528)+($G$297*Algandmed!AS528)+($G$298*Algandmed!AT528)+($G$299*Algandmed!AU528)+((Algandmed!AV528-SUM(Algandmed!AN528:AU528))*Settings!$G$300))/SQRT(Algandmed!AV528)</f>
        <v>#DIV/0!</v>
      </c>
      <c r="O581" s="165"/>
      <c r="P581" s="238">
        <f>Algandmed!AW528</f>
        <v>0</v>
      </c>
      <c r="Q581" s="238">
        <f>SUM(Algandmed!AW528:AZ528)</f>
        <v>0</v>
      </c>
      <c r="R581" s="238">
        <f>Q581+Algandmed!BA528+Algandmed!BB528+Algandmed!BC528</f>
        <v>0</v>
      </c>
      <c r="S581" s="238">
        <f>Algandmed!BE528</f>
        <v>0</v>
      </c>
      <c r="T581" s="236" t="e">
        <f>SUM(Algandmed!AW528:BD528)/Algandmed!BE528</f>
        <v>#DIV/0!</v>
      </c>
      <c r="U581" s="237" t="e">
        <f>(($G$292*Algandmed!AW528)+($G$293*Algandmed!AX528)+($G$294*Algandmed!AY528)+($G$295*Algandmed!AZ528)+($G$296*Algandmed!BA528)+($G$297*Algandmed!BB528)+($G$298*Algandmed!BC528)+($G$299*Algandmed!BD528)+((Algandmed!BE528-SUM(Algandmed!AW528:BD528))*Settings!$G$300))/SQRT(Algandmed!BE528)</f>
        <v>#DIV/0!</v>
      </c>
      <c r="V581" s="209"/>
    </row>
    <row r="582" spans="2:22">
      <c r="B582" s="208"/>
      <c r="C582" s="165"/>
      <c r="D582" s="165"/>
      <c r="E582" s="165"/>
      <c r="F582" s="236"/>
      <c r="G582" s="237"/>
      <c r="H582" s="237"/>
      <c r="I582" s="238"/>
      <c r="J582" s="238"/>
      <c r="K582" s="238"/>
      <c r="L582" s="238"/>
      <c r="M582" s="236"/>
      <c r="N582" s="237"/>
      <c r="O582" s="165"/>
      <c r="P582" s="238"/>
      <c r="Q582" s="238"/>
      <c r="R582" s="238"/>
      <c r="S582" s="238"/>
      <c r="T582" s="236"/>
      <c r="U582" s="237"/>
      <c r="V582" s="209"/>
    </row>
    <row r="583" spans="2:22">
      <c r="B583" s="212"/>
      <c r="C583" s="213"/>
      <c r="D583" s="213"/>
      <c r="E583" s="213"/>
      <c r="F583" s="240"/>
      <c r="G583" s="241"/>
      <c r="H583" s="213"/>
      <c r="I583" s="213"/>
      <c r="J583" s="213"/>
      <c r="K583" s="213"/>
      <c r="L583" s="213"/>
      <c r="M583" s="213"/>
      <c r="N583" s="213"/>
      <c r="O583" s="213"/>
      <c r="P583" s="213"/>
      <c r="Q583" s="213"/>
      <c r="R583" s="213"/>
      <c r="S583" s="213"/>
      <c r="T583" s="213"/>
      <c r="U583" s="213"/>
      <c r="V583" s="214"/>
    </row>
    <row r="587" spans="2:22">
      <c r="B587" s="205"/>
      <c r="C587" s="206"/>
      <c r="D587" s="206"/>
      <c r="E587" s="206"/>
      <c r="F587" s="206"/>
      <c r="G587" s="388" t="s">
        <v>388</v>
      </c>
      <c r="H587" s="388"/>
      <c r="I587" s="388"/>
      <c r="J587" s="388"/>
      <c r="K587" s="388"/>
      <c r="L587" s="388"/>
      <c r="M587" s="388"/>
      <c r="N587" s="206"/>
      <c r="O587" s="206"/>
      <c r="P587" s="206"/>
      <c r="Q587" s="206"/>
      <c r="R587" s="206"/>
      <c r="S587" s="206"/>
      <c r="T587" s="206"/>
      <c r="U587" s="206"/>
      <c r="V587" s="207"/>
    </row>
    <row r="588" spans="2:22">
      <c r="B588" s="208" t="s">
        <v>354</v>
      </c>
      <c r="C588" s="165"/>
      <c r="D588" s="165"/>
      <c r="E588" s="165"/>
      <c r="F588" s="165"/>
      <c r="G588" s="389"/>
      <c r="H588" s="389"/>
      <c r="I588" s="389"/>
      <c r="J588" s="389"/>
      <c r="K588" s="389"/>
      <c r="L588" s="389"/>
      <c r="M588" s="389"/>
      <c r="N588" s="165"/>
      <c r="O588" s="165"/>
      <c r="P588" s="165"/>
      <c r="Q588" s="165"/>
      <c r="R588" s="165"/>
      <c r="S588" s="165"/>
      <c r="T588" s="165"/>
      <c r="U588" s="165"/>
      <c r="V588" s="209"/>
    </row>
    <row r="589" spans="2:22">
      <c r="B589" s="208" t="s">
        <v>355</v>
      </c>
      <c r="C589" s="165"/>
      <c r="D589" s="165"/>
      <c r="E589" s="165"/>
      <c r="F589" s="165"/>
      <c r="G589" s="165"/>
      <c r="H589" s="165"/>
      <c r="I589" s="165"/>
      <c r="J589" s="165"/>
      <c r="K589" s="165"/>
      <c r="L589" s="165"/>
      <c r="M589" s="165"/>
      <c r="N589" s="165"/>
      <c r="O589" s="165"/>
      <c r="P589" s="165"/>
      <c r="Q589" s="165"/>
      <c r="R589" s="392" t="s">
        <v>394</v>
      </c>
      <c r="S589" s="392"/>
      <c r="T589" s="393"/>
      <c r="U589" s="165"/>
      <c r="V589" s="209"/>
    </row>
    <row r="590" spans="2:22">
      <c r="B590" s="208" t="s">
        <v>356</v>
      </c>
      <c r="C590" s="165"/>
      <c r="D590" s="165"/>
      <c r="E590" s="165"/>
      <c r="F590" s="165"/>
      <c r="G590" s="165"/>
      <c r="H590" s="165"/>
      <c r="I590" s="165"/>
      <c r="J590" s="165"/>
      <c r="K590" s="165"/>
      <c r="L590" s="165"/>
      <c r="M590" s="165"/>
      <c r="N590" s="165"/>
      <c r="O590" s="165"/>
      <c r="P590" s="165"/>
      <c r="Q590" s="165"/>
      <c r="R590" s="390"/>
      <c r="S590" s="390"/>
      <c r="T590" s="391"/>
      <c r="U590" s="165"/>
      <c r="V590" s="209"/>
    </row>
    <row r="591" spans="2:22">
      <c r="B591" s="208" t="s">
        <v>357</v>
      </c>
      <c r="C591" s="165"/>
      <c r="D591" s="165"/>
      <c r="E591" s="165"/>
      <c r="F591" s="165"/>
      <c r="G591" s="165"/>
      <c r="H591" s="165"/>
      <c r="I591" s="165"/>
      <c r="J591" s="165"/>
      <c r="K591" s="165"/>
      <c r="L591" s="165"/>
      <c r="M591" s="165"/>
      <c r="N591" s="165"/>
      <c r="O591" s="165"/>
      <c r="P591" s="165"/>
      <c r="Q591" s="165"/>
      <c r="R591" s="390"/>
      <c r="S591" s="390"/>
      <c r="T591" s="391"/>
      <c r="U591" s="165"/>
      <c r="V591" s="209"/>
    </row>
    <row r="592" spans="2:22">
      <c r="B592" s="208"/>
      <c r="C592" s="165"/>
      <c r="D592" s="165"/>
      <c r="E592" s="165"/>
      <c r="F592" s="165"/>
      <c r="G592" s="165"/>
      <c r="H592" s="165"/>
      <c r="I592" s="165"/>
      <c r="J592" s="165"/>
      <c r="K592" s="165"/>
      <c r="L592" s="165"/>
      <c r="M592" s="165"/>
      <c r="N592" s="165"/>
      <c r="O592" s="165"/>
      <c r="P592" s="165"/>
      <c r="Q592" s="165"/>
      <c r="R592" s="390"/>
      <c r="S592" s="390"/>
      <c r="T592" s="391"/>
      <c r="U592" s="165"/>
      <c r="V592" s="209"/>
    </row>
    <row r="593" spans="2:22">
      <c r="B593" s="208" t="s">
        <v>359</v>
      </c>
      <c r="C593" s="229"/>
      <c r="D593" s="165"/>
      <c r="E593" s="165" t="s">
        <v>347</v>
      </c>
      <c r="F593" s="165" t="s">
        <v>2</v>
      </c>
      <c r="G593" s="165" t="s">
        <v>6</v>
      </c>
      <c r="H593" s="165"/>
      <c r="I593" s="165"/>
      <c r="J593" s="165"/>
      <c r="K593" s="165"/>
      <c r="L593" s="165"/>
      <c r="M593" s="165"/>
      <c r="N593" s="165"/>
      <c r="O593" s="165"/>
      <c r="P593" s="165"/>
      <c r="Q593" s="165"/>
      <c r="R593" s="165"/>
      <c r="S593" s="165"/>
      <c r="T593" s="165"/>
      <c r="U593" s="165"/>
      <c r="V593" s="209"/>
    </row>
    <row r="594" spans="2:22">
      <c r="B594" s="208" t="s">
        <v>360</v>
      </c>
      <c r="C594" s="230"/>
      <c r="D594" s="165"/>
      <c r="E594" s="165" t="s">
        <v>703</v>
      </c>
      <c r="F594" s="165">
        <v>100</v>
      </c>
      <c r="G594" s="165">
        <v>-100</v>
      </c>
      <c r="H594" s="165"/>
      <c r="I594" s="165"/>
      <c r="J594" s="165"/>
      <c r="K594" s="165"/>
      <c r="L594" s="165"/>
      <c r="M594" s="165"/>
      <c r="N594" s="165"/>
      <c r="O594" s="165"/>
      <c r="P594" s="165"/>
      <c r="Q594" s="165"/>
      <c r="R594" s="165"/>
      <c r="S594" s="165"/>
      <c r="T594" s="165"/>
      <c r="U594" s="165"/>
      <c r="V594" s="209"/>
    </row>
    <row r="595" spans="2:22">
      <c r="B595" s="208" t="s">
        <v>361</v>
      </c>
      <c r="C595" s="231"/>
      <c r="D595" s="165"/>
      <c r="E595" s="165" t="s">
        <v>9</v>
      </c>
      <c r="F595" s="165">
        <v>12</v>
      </c>
      <c r="G595" s="165">
        <v>-12</v>
      </c>
      <c r="H595" s="165"/>
      <c r="I595" s="165"/>
      <c r="J595" s="165"/>
      <c r="K595" s="165"/>
      <c r="L595" s="165"/>
      <c r="M595" s="165"/>
      <c r="N595" s="165"/>
      <c r="O595" s="165"/>
      <c r="P595" s="165"/>
      <c r="Q595" s="165"/>
      <c r="R595" s="165"/>
      <c r="S595" s="165"/>
      <c r="T595" s="165"/>
      <c r="U595" s="165"/>
      <c r="V595" s="209"/>
    </row>
    <row r="596" spans="2:22">
      <c r="B596" s="208" t="s">
        <v>362</v>
      </c>
      <c r="C596" s="232"/>
      <c r="D596" s="165"/>
      <c r="E596" s="161" t="s">
        <v>8</v>
      </c>
      <c r="F596" s="165">
        <v>10</v>
      </c>
      <c r="G596" s="165">
        <v>-10</v>
      </c>
      <c r="H596" s="165"/>
      <c r="I596" s="165"/>
      <c r="J596" s="165"/>
      <c r="K596" s="165"/>
      <c r="L596" s="165"/>
      <c r="M596" s="165"/>
      <c r="N596" s="165"/>
      <c r="O596" s="165"/>
      <c r="P596" s="165"/>
      <c r="Q596" s="165"/>
      <c r="R596" s="165"/>
      <c r="S596" s="165"/>
      <c r="T596" s="165"/>
      <c r="U596" s="165"/>
      <c r="V596" s="209"/>
    </row>
    <row r="597" spans="2:22">
      <c r="B597" s="208" t="s">
        <v>363</v>
      </c>
      <c r="C597" s="233"/>
      <c r="D597" s="165"/>
      <c r="E597" s="161" t="s">
        <v>19</v>
      </c>
      <c r="F597" s="161">
        <v>8</v>
      </c>
      <c r="G597" s="161">
        <v>-8</v>
      </c>
      <c r="H597" s="165"/>
      <c r="I597" s="165"/>
      <c r="J597" s="165"/>
      <c r="K597" s="165"/>
      <c r="L597" s="165"/>
      <c r="M597" s="165"/>
      <c r="N597" s="165"/>
      <c r="O597" s="165"/>
      <c r="P597" s="165"/>
      <c r="Q597" s="165"/>
      <c r="R597" s="165"/>
      <c r="S597" s="165"/>
      <c r="T597" s="165"/>
      <c r="U597" s="165"/>
      <c r="V597" s="209"/>
    </row>
    <row r="598" spans="2:22">
      <c r="B598" s="208" t="s">
        <v>358</v>
      </c>
      <c r="C598" s="234"/>
      <c r="D598" s="165"/>
      <c r="E598" s="161" t="s">
        <v>7</v>
      </c>
      <c r="F598" s="161">
        <v>6</v>
      </c>
      <c r="G598" s="161">
        <v>-6</v>
      </c>
      <c r="H598" s="165"/>
      <c r="I598" s="165"/>
      <c r="J598" s="165"/>
      <c r="K598" s="165"/>
      <c r="L598" s="165"/>
      <c r="M598" s="165"/>
      <c r="N598" s="165"/>
      <c r="O598" s="165"/>
      <c r="P598" s="165"/>
      <c r="Q598" s="165"/>
      <c r="R598" s="165"/>
      <c r="S598" s="165"/>
      <c r="T598" s="165"/>
      <c r="U598" s="165"/>
      <c r="V598" s="209"/>
    </row>
    <row r="599" spans="2:22">
      <c r="B599" s="208"/>
      <c r="C599" s="165"/>
      <c r="D599" s="165"/>
      <c r="E599" s="161" t="s">
        <v>163</v>
      </c>
      <c r="F599" s="161">
        <v>4</v>
      </c>
      <c r="G599" s="161">
        <v>-4</v>
      </c>
      <c r="H599" s="165"/>
      <c r="I599" s="165"/>
      <c r="J599" s="165"/>
      <c r="K599" s="165"/>
      <c r="L599" s="165"/>
      <c r="M599" s="165"/>
      <c r="N599" s="165"/>
      <c r="O599" s="165"/>
      <c r="P599" s="165"/>
      <c r="Q599" s="165"/>
      <c r="R599" s="165"/>
      <c r="S599" s="165"/>
      <c r="T599" s="165"/>
      <c r="U599" s="165"/>
      <c r="V599" s="209"/>
    </row>
    <row r="600" spans="2:22">
      <c r="B600" s="208"/>
      <c r="C600" s="165"/>
      <c r="D600" s="165"/>
      <c r="E600" s="161" t="s">
        <v>310</v>
      </c>
      <c r="F600" s="161">
        <v>2</v>
      </c>
      <c r="G600" s="161">
        <v>-2</v>
      </c>
      <c r="H600" s="165"/>
      <c r="I600" s="165"/>
      <c r="J600" s="165"/>
      <c r="K600" s="165"/>
      <c r="L600" s="165"/>
      <c r="M600" s="165"/>
      <c r="N600" s="165"/>
      <c r="O600" s="165"/>
      <c r="P600" s="165"/>
      <c r="Q600" s="165"/>
      <c r="R600" s="165"/>
      <c r="S600" s="165"/>
      <c r="T600" s="165"/>
      <c r="U600" s="165"/>
      <c r="V600" s="209"/>
    </row>
    <row r="601" spans="2:22">
      <c r="B601" s="208"/>
      <c r="C601" s="165"/>
      <c r="D601" s="165"/>
      <c r="E601" s="161" t="s">
        <v>156</v>
      </c>
      <c r="F601" s="161">
        <v>1</v>
      </c>
      <c r="G601" s="161">
        <v>-1</v>
      </c>
      <c r="H601" s="165"/>
      <c r="I601" s="165"/>
      <c r="J601" s="165"/>
      <c r="K601" s="165"/>
      <c r="L601" s="165"/>
      <c r="M601" s="165"/>
      <c r="N601" s="165"/>
      <c r="O601" s="165"/>
      <c r="P601" s="165"/>
      <c r="Q601" s="165"/>
      <c r="R601" s="165"/>
      <c r="S601" s="165"/>
      <c r="T601" s="165"/>
      <c r="U601" s="165"/>
      <c r="V601" s="209"/>
    </row>
    <row r="602" spans="2:22">
      <c r="B602" s="208" t="s">
        <v>440</v>
      </c>
      <c r="C602" s="165"/>
      <c r="D602" s="165"/>
      <c r="E602" s="161" t="s">
        <v>3</v>
      </c>
      <c r="F602" s="161">
        <v>-2</v>
      </c>
      <c r="G602" s="161">
        <v>2</v>
      </c>
      <c r="H602" s="165"/>
      <c r="I602" s="165"/>
      <c r="J602" s="165"/>
      <c r="K602" s="165"/>
      <c r="L602" s="165"/>
      <c r="M602" s="165"/>
      <c r="N602" s="165"/>
      <c r="O602" s="165"/>
      <c r="P602" s="165"/>
      <c r="Q602" s="165"/>
      <c r="R602" s="165"/>
      <c r="S602" s="165"/>
      <c r="T602" s="165"/>
      <c r="U602" s="165"/>
      <c r="V602" s="209"/>
    </row>
    <row r="603" spans="2:22">
      <c r="B603" s="208"/>
      <c r="C603" s="165"/>
      <c r="D603" s="165"/>
      <c r="E603" s="165"/>
      <c r="F603" s="165"/>
      <c r="G603" s="165"/>
      <c r="H603" s="165"/>
      <c r="I603" s="165"/>
      <c r="J603" s="165"/>
      <c r="K603" s="165"/>
      <c r="L603" s="165"/>
      <c r="M603" s="165"/>
      <c r="N603" s="165"/>
      <c r="O603" s="165"/>
      <c r="P603" s="165"/>
      <c r="Q603" s="165"/>
      <c r="R603" s="165"/>
      <c r="S603" s="165"/>
      <c r="T603" s="165"/>
      <c r="U603" s="165"/>
      <c r="V603" s="209"/>
    </row>
    <row r="604" spans="2:22">
      <c r="B604" s="208" t="s">
        <v>311</v>
      </c>
      <c r="C604" s="165" t="s">
        <v>350</v>
      </c>
      <c r="D604" s="165" t="s">
        <v>351</v>
      </c>
      <c r="E604" s="165" t="s">
        <v>352</v>
      </c>
      <c r="F604" s="165" t="s">
        <v>353</v>
      </c>
      <c r="G604" s="235" t="s">
        <v>365</v>
      </c>
      <c r="H604" s="165"/>
      <c r="I604" s="165" t="s">
        <v>311</v>
      </c>
      <c r="J604" s="165" t="s">
        <v>350</v>
      </c>
      <c r="K604" s="165" t="s">
        <v>351</v>
      </c>
      <c r="L604" s="165" t="s">
        <v>352</v>
      </c>
      <c r="M604" s="165" t="s">
        <v>353</v>
      </c>
      <c r="N604" s="235" t="s">
        <v>365</v>
      </c>
      <c r="O604" s="165"/>
      <c r="P604" s="165" t="s">
        <v>311</v>
      </c>
      <c r="Q604" s="165" t="s">
        <v>350</v>
      </c>
      <c r="R604" s="165" t="s">
        <v>351</v>
      </c>
      <c r="S604" s="165" t="s">
        <v>352</v>
      </c>
      <c r="T604" s="165" t="s">
        <v>353</v>
      </c>
      <c r="U604" s="235" t="s">
        <v>365</v>
      </c>
      <c r="V604" s="209"/>
    </row>
    <row r="605" spans="2:22">
      <c r="B605" s="208">
        <f>Algandmed!AE534</f>
        <v>0</v>
      </c>
      <c r="C605" s="165">
        <f>SUM(Algandmed!AE534:AH534)</f>
        <v>0</v>
      </c>
      <c r="D605" s="165">
        <f>C605+Algandmed!AI534+Algandmed!AJ534+Algandmed!AK534</f>
        <v>0</v>
      </c>
      <c r="E605" s="165">
        <f>Algandmed!AM534</f>
        <v>0</v>
      </c>
      <c r="F605" s="236" t="e">
        <f>SUM(Algandmed!AE534:AL534)/Algandmed!AM534</f>
        <v>#DIV/0!</v>
      </c>
      <c r="G605" s="237" t="e">
        <f>(($F$292*Algandmed!AE534)+($F$293*Algandmed!AF534)+($F$294*Algandmed!AG534)+($F$295*Algandmed!AH534)+($F$296*Algandmed!AI534)+($F$297*Algandmed!AJ534)+($F$298*Algandmed!AK534)+($F$299*Algandmed!AL534)+((Algandmed!AM534-SUM(Algandmed!AE534:AL534))*Settings!$F$300))/SQRT(Algandmed!AM534)</f>
        <v>#DIV/0!</v>
      </c>
      <c r="H605" s="237"/>
      <c r="I605" s="238">
        <f>Algandmed!AN534</f>
        <v>0</v>
      </c>
      <c r="J605" s="238">
        <f>SUM(Algandmed!AN534:AQ534)</f>
        <v>0</v>
      </c>
      <c r="K605" s="238">
        <f>J605+Algandmed!AR534+Algandmed!AS534+Algandmed!AT534</f>
        <v>0</v>
      </c>
      <c r="L605" s="238">
        <f>Algandmed!AV534</f>
        <v>0</v>
      </c>
      <c r="M605" s="236" t="e">
        <f>SUM(Algandmed!AN534:'Algandmed'!AU534)/Algandmed!AV534</f>
        <v>#DIV/0!</v>
      </c>
      <c r="N605" s="237" t="e">
        <f>(($F$292*Algandmed!AN534)+($F$293*Algandmed!AO534)+($F$294*Algandmed!AP534)+($F$295*Algandmed!AQ534)+($F$296*Algandmed!AR534)+($F$297*Algandmed!AS534)+($F$298*Algandmed!AT534)+($F$299*Algandmed!AU534)+((Algandmed!AV534-SUM(Algandmed!AN534:AU534))*Settings!$F$300))/SQRT(Algandmed!AV534)</f>
        <v>#DIV/0!</v>
      </c>
      <c r="O605" s="165"/>
      <c r="P605" s="238">
        <f>Algandmed!AW534</f>
        <v>0</v>
      </c>
      <c r="Q605" s="238">
        <f>SUM(Algandmed!AW534:AZ534)</f>
        <v>0</v>
      </c>
      <c r="R605" s="238">
        <f>Q605+Algandmed!BA534+Algandmed!BB534+Algandmed!BC534</f>
        <v>0</v>
      </c>
      <c r="S605" s="238">
        <f>Algandmed!BE534</f>
        <v>0</v>
      </c>
      <c r="T605" s="236" t="e">
        <f>SUM(Algandmed!AW534:BD534)/Algandmed!BE534</f>
        <v>#DIV/0!</v>
      </c>
      <c r="U605" s="237" t="e">
        <f>(($F$292*Algandmed!AW534)+($F$293*Algandmed!AX534)+($F$294*Algandmed!AY534)+($F$295*Algandmed!AZ534)+($F$296*Algandmed!BA534)+($F$297*Algandmed!BB534)+($F$298*Algandmed!BC534)+($F$299*Algandmed!BD534)+((Algandmed!BE534-SUM(Algandmed!AW534:BD534))*Settings!$F$300))/SQRT(Algandmed!BE534)</f>
        <v>#DIV/0!</v>
      </c>
      <c r="V605" s="209"/>
    </row>
    <row r="606" spans="2:22">
      <c r="B606" s="208"/>
      <c r="C606" s="165"/>
      <c r="D606" s="165"/>
      <c r="E606" s="165"/>
      <c r="F606" s="236"/>
      <c r="G606" s="237"/>
      <c r="H606" s="237"/>
      <c r="I606" s="238"/>
      <c r="J606" s="238"/>
      <c r="K606" s="238"/>
      <c r="L606" s="238"/>
      <c r="M606" s="236"/>
      <c r="N606" s="237"/>
      <c r="O606" s="165"/>
      <c r="P606" s="238"/>
      <c r="Q606" s="238"/>
      <c r="R606" s="238"/>
      <c r="S606" s="238"/>
      <c r="T606" s="236"/>
      <c r="U606" s="237"/>
      <c r="V606" s="209"/>
    </row>
    <row r="607" spans="2:22">
      <c r="B607" s="208"/>
      <c r="C607" s="165"/>
      <c r="D607" s="165"/>
      <c r="E607" s="165"/>
      <c r="F607" s="236"/>
      <c r="G607" s="237"/>
      <c r="H607" s="237"/>
      <c r="I607" s="238">
        <f>Algandmed!AN536</f>
        <v>0</v>
      </c>
      <c r="J607" s="238">
        <f>SUM(Algandmed!AN536:AQ536)</f>
        <v>0</v>
      </c>
      <c r="K607" s="238">
        <f>J607+Algandmed!AR536+Algandmed!AS536+Algandmed!AT536</f>
        <v>0</v>
      </c>
      <c r="L607" s="238">
        <f>Algandmed!AV536</f>
        <v>0</v>
      </c>
      <c r="M607" s="236" t="e">
        <f>SUM(Algandmed!AN536:'Algandmed'!AU536)/Algandmed!AV536</f>
        <v>#DIV/0!</v>
      </c>
      <c r="N607" s="237" t="e">
        <f>(($F$292*Algandmed!AN536)+($F$293*Algandmed!AO536)+($F$294*Algandmed!AP536)+($F$295*Algandmed!AQ536)+($F$296*Algandmed!AR536)+($F$297*Algandmed!AS536)+($F$298*Algandmed!AT536)+($F$299*Algandmed!AU536)+((Algandmed!AV536-SUM(Algandmed!AN536:AU536))*Settings!$F$300))/SQRT(Algandmed!AV536)</f>
        <v>#DIV/0!</v>
      </c>
      <c r="O607" s="165"/>
      <c r="P607" s="238"/>
      <c r="Q607" s="238"/>
      <c r="R607" s="238"/>
      <c r="S607" s="238"/>
      <c r="T607" s="236"/>
      <c r="U607" s="237"/>
      <c r="V607" s="209"/>
    </row>
    <row r="608" spans="2:22">
      <c r="B608" s="208"/>
      <c r="C608" s="165"/>
      <c r="D608" s="165"/>
      <c r="E608" s="165"/>
      <c r="F608" s="236"/>
      <c r="G608" s="237"/>
      <c r="H608" s="237"/>
      <c r="I608" s="238"/>
      <c r="J608" s="238"/>
      <c r="K608" s="238"/>
      <c r="L608" s="238"/>
      <c r="M608" s="236"/>
      <c r="N608" s="237"/>
      <c r="O608" s="165"/>
      <c r="P608" s="238"/>
      <c r="Q608" s="238"/>
      <c r="R608" s="238"/>
      <c r="S608" s="238"/>
      <c r="T608" s="236"/>
      <c r="U608" s="237"/>
      <c r="V608" s="209"/>
    </row>
    <row r="609" spans="1:22">
      <c r="B609" s="208">
        <f>Algandmed!AE538</f>
        <v>0</v>
      </c>
      <c r="C609" s="165">
        <f>SUM(Algandmed!AE538:AH538)</f>
        <v>0</v>
      </c>
      <c r="D609" s="165">
        <f>C609+Algandmed!AI538+Algandmed!AJ538+Algandmed!AK538</f>
        <v>0</v>
      </c>
      <c r="E609" s="165">
        <f>Algandmed!AM538</f>
        <v>0</v>
      </c>
      <c r="F609" s="236" t="e">
        <f>SUM(Algandmed!AE538:AL538)/Algandmed!AM538</f>
        <v>#DIV/0!</v>
      </c>
      <c r="G609" s="237" t="e">
        <f>(($F$292*Algandmed!AE538)+($F$293*Algandmed!AF538)+($F$294*Algandmed!AG538)+($F$295*Algandmed!AH538)+($F$296*Algandmed!AI538)+($F$297*Algandmed!AJ538)+($F$298*Algandmed!AK538)+($F$299*Algandmed!AL538)+((Algandmed!AM538-SUM(Algandmed!AE538:AL538))*Settings!$F$300))/SQRT(Algandmed!AM538)</f>
        <v>#DIV/0!</v>
      </c>
      <c r="H609" s="237"/>
      <c r="I609" s="238">
        <f>Algandmed!AN538</f>
        <v>0</v>
      </c>
      <c r="J609" s="238">
        <f>SUM(Algandmed!AN538:AQ538)</f>
        <v>0</v>
      </c>
      <c r="K609" s="238">
        <f>J609+Algandmed!AR538+Algandmed!AS538+Algandmed!AT538</f>
        <v>0</v>
      </c>
      <c r="L609" s="238">
        <f>Algandmed!AV538</f>
        <v>0</v>
      </c>
      <c r="M609" s="236" t="e">
        <f>SUM(Algandmed!AN538:'Algandmed'!AU538)/Algandmed!AV538</f>
        <v>#DIV/0!</v>
      </c>
      <c r="N609" s="237" t="e">
        <f>(($F$292*Algandmed!AN538)+($F$293*Algandmed!AO538)+($F$294*Algandmed!AP538)+($F$295*Algandmed!AQ538)+($F$296*Algandmed!AR538)+($F$297*Algandmed!AS538)+($F$298*Algandmed!AT538)+($F$299*Algandmed!AU538)+((Algandmed!AV538-SUM(Algandmed!AN538:AU538))*Settings!$F$300))/SQRT(Algandmed!AV538)</f>
        <v>#DIV/0!</v>
      </c>
      <c r="O609" s="165"/>
      <c r="P609" s="238">
        <f>Algandmed!AW538</f>
        <v>0</v>
      </c>
      <c r="Q609" s="238">
        <f>SUM(Algandmed!AW538:AZ538)</f>
        <v>0</v>
      </c>
      <c r="R609" s="238">
        <f>Q609+Algandmed!BA538+Algandmed!BB538+Algandmed!BC538</f>
        <v>0</v>
      </c>
      <c r="S609" s="238">
        <f>Algandmed!BE538</f>
        <v>0</v>
      </c>
      <c r="T609" s="236" t="e">
        <f>SUM(Algandmed!AW538:BD538)/Algandmed!BE538</f>
        <v>#DIV/0!</v>
      </c>
      <c r="U609" s="237" t="e">
        <f>(($F$292*Algandmed!AW538)+($F$293*Algandmed!AX538)+($F$294*Algandmed!AY538)+($F$295*Algandmed!AZ538)+($F$296*Algandmed!BA538)+($F$297*Algandmed!BB538)+($F$298*Algandmed!BC538)+($F$299*Algandmed!BD538)+((Algandmed!BE538-SUM(Algandmed!AW538:BD538))*Settings!$F$300))/SQRT(Algandmed!BE538)</f>
        <v>#DIV/0!</v>
      </c>
      <c r="V609" s="209"/>
    </row>
    <row r="610" spans="1:22">
      <c r="B610" s="208"/>
      <c r="C610" s="165"/>
      <c r="D610" s="165"/>
      <c r="E610" s="165"/>
      <c r="F610" s="236"/>
      <c r="G610" s="237"/>
      <c r="H610" s="237"/>
      <c r="I610" s="238"/>
      <c r="J610" s="238"/>
      <c r="K610" s="238"/>
      <c r="L610" s="238"/>
      <c r="M610" s="236"/>
      <c r="N610" s="237"/>
      <c r="O610" s="165"/>
      <c r="P610" s="238"/>
      <c r="Q610" s="238"/>
      <c r="R610" s="238"/>
      <c r="S610" s="238"/>
      <c r="T610" s="236"/>
      <c r="U610" s="237"/>
      <c r="V610" s="209"/>
    </row>
    <row r="611" spans="1:22">
      <c r="A611" t="s">
        <v>457</v>
      </c>
      <c r="B611" s="208">
        <f>Algandmed!AE540</f>
        <v>0</v>
      </c>
      <c r="C611" s="165">
        <f>SUM(Algandmed!AE540:AH540)</f>
        <v>0</v>
      </c>
      <c r="D611" s="165">
        <f>C611+Algandmed!AI540+Algandmed!AJ540+Algandmed!AK540</f>
        <v>0</v>
      </c>
      <c r="E611" s="165">
        <f>Algandmed!AM540</f>
        <v>0</v>
      </c>
      <c r="F611" s="236" t="e">
        <f>SUM(Algandmed!AE540:AL540)/Algandmed!AM540</f>
        <v>#DIV/0!</v>
      </c>
      <c r="G611" s="237" t="e">
        <f>(($F$292*Algandmed!AE540)+($F$293*Algandmed!AF540)+($F$294*Algandmed!AG540)+($F$295*Algandmed!AH540)+($F$296*Algandmed!AI540)+($F$297*Algandmed!AJ540)+($F$298*Algandmed!AK540)+($F$299*Algandmed!AL540)+((Algandmed!AM540-SUM(Algandmed!AE540:AL540))*Settings!$F$300))/SQRT(Algandmed!AM540)</f>
        <v>#DIV/0!</v>
      </c>
      <c r="H611" s="237"/>
      <c r="I611" s="238">
        <f>Algandmed!AN540</f>
        <v>0</v>
      </c>
      <c r="J611" s="238">
        <f>SUM(Algandmed!AN540:AQ540)</f>
        <v>0</v>
      </c>
      <c r="K611" s="238">
        <f>J611+Algandmed!AR540+Algandmed!AS540+Algandmed!AT540</f>
        <v>0</v>
      </c>
      <c r="L611" s="238">
        <f>Algandmed!AV540</f>
        <v>0</v>
      </c>
      <c r="M611" s="236" t="e">
        <f>SUM(Algandmed!AN540:'Algandmed'!AU540)/Algandmed!AV540</f>
        <v>#DIV/0!</v>
      </c>
      <c r="N611" s="237" t="e">
        <f>(($F$292*Algandmed!AN540)+($F$293*Algandmed!AO540)+($F$294*Algandmed!AP540)+($F$295*Algandmed!AQ540)+($F$296*Algandmed!AR540)+($F$297*Algandmed!AS540)+($F$298*Algandmed!AT540)+($F$299*Algandmed!AU540)+((Algandmed!AV540-SUM(Algandmed!AN540:AU540))*Settings!$F$300))/SQRT(Algandmed!AV540)</f>
        <v>#DIV/0!</v>
      </c>
      <c r="O611" s="165"/>
      <c r="P611" s="238">
        <f>Algandmed!AW540</f>
        <v>0</v>
      </c>
      <c r="Q611" s="238">
        <f>SUM(Algandmed!AW540:AZ540)</f>
        <v>0</v>
      </c>
      <c r="R611" s="238">
        <f>Q611+Algandmed!BA540+Algandmed!BB540+Algandmed!BC540</f>
        <v>0</v>
      </c>
      <c r="S611" s="238">
        <f>Algandmed!BE540</f>
        <v>0</v>
      </c>
      <c r="T611" s="236" t="e">
        <f>SUM(Algandmed!AW540:BD540)/Algandmed!BE540</f>
        <v>#DIV/0!</v>
      </c>
      <c r="U611" s="237" t="e">
        <f>(($F$292*Algandmed!AW540)+($F$293*Algandmed!AX540)+($F$294*Algandmed!AY540)+($F$295*Algandmed!AZ540)+($F$296*Algandmed!BA540)+($F$297*Algandmed!BB540)+($F$298*Algandmed!BC540)+($F$299*Algandmed!BD540)+((Algandmed!BE540-SUM(Algandmed!AW540:BD540))*Settings!$F$300))/SQRT(Algandmed!BE540)</f>
        <v>#DIV/0!</v>
      </c>
      <c r="V611" s="209"/>
    </row>
    <row r="612" spans="1:22">
      <c r="B612" s="208"/>
      <c r="C612" s="165"/>
      <c r="D612" s="165"/>
      <c r="E612" s="165"/>
      <c r="F612" s="236"/>
      <c r="G612" s="237"/>
      <c r="H612" s="237"/>
      <c r="I612" s="238"/>
      <c r="J612" s="238"/>
      <c r="K612" s="238"/>
      <c r="L612" s="238"/>
      <c r="M612" s="236"/>
      <c r="N612" s="237"/>
      <c r="O612" s="165"/>
      <c r="P612" s="238"/>
      <c r="Q612" s="238"/>
      <c r="R612" s="238"/>
      <c r="S612" s="238"/>
      <c r="T612" s="236"/>
      <c r="U612" s="237"/>
      <c r="V612" s="209"/>
    </row>
    <row r="613" spans="1:22">
      <c r="B613" s="208">
        <f>Algandmed!AE542</f>
        <v>0</v>
      </c>
      <c r="C613" s="165">
        <f>SUM(Algandmed!AE542:AH542)</f>
        <v>0</v>
      </c>
      <c r="D613" s="165">
        <f>C613+Algandmed!AI542+Algandmed!AJ542+Algandmed!AK542</f>
        <v>0</v>
      </c>
      <c r="E613" s="165">
        <f>Algandmed!AM542</f>
        <v>0</v>
      </c>
      <c r="F613" s="236" t="e">
        <f>SUM(Algandmed!AE542:AL542)/Algandmed!AM542</f>
        <v>#DIV/0!</v>
      </c>
      <c r="G613" s="237" t="e">
        <f>(($F$292*Algandmed!AE542)+($F$293*Algandmed!AF542)+($F$294*Algandmed!AG542)+($F$295*Algandmed!AH542)+($F$296*Algandmed!AI542)+($F$297*Algandmed!AJ542)+($F$298*Algandmed!AK542)+($F$299*Algandmed!AL542)+((Algandmed!AM542-SUM(Algandmed!AE542:AL542))*Settings!$F$300))/SQRT(Algandmed!AM542)</f>
        <v>#DIV/0!</v>
      </c>
      <c r="H613" s="237"/>
      <c r="I613" s="238">
        <f>Algandmed!AN542</f>
        <v>0</v>
      </c>
      <c r="J613" s="238">
        <f>SUM(Algandmed!AN542:AQ542)</f>
        <v>0</v>
      </c>
      <c r="K613" s="238">
        <f>J613+Algandmed!AR542+Algandmed!AS542+Algandmed!AT542</f>
        <v>0</v>
      </c>
      <c r="L613" s="238">
        <f>Algandmed!AV542</f>
        <v>0</v>
      </c>
      <c r="M613" s="236" t="e">
        <f>SUM(Algandmed!AN542:'Algandmed'!AU542)/Algandmed!AV542</f>
        <v>#DIV/0!</v>
      </c>
      <c r="N613" s="237" t="e">
        <f>(($F$292*Algandmed!AN542)+($F$293*Algandmed!AO542)+($F$294*Algandmed!AP542)+($F$295*Algandmed!AQ542)+($F$296*Algandmed!AR542)+($F$297*Algandmed!AS542)+($F$298*Algandmed!AT542)+($F$299*Algandmed!AU542)+((Algandmed!AV542-SUM(Algandmed!AN542:AU542))*Settings!$F$300))/SQRT(Algandmed!AV542)</f>
        <v>#DIV/0!</v>
      </c>
      <c r="O613" s="165"/>
      <c r="P613" s="238">
        <f>Algandmed!AW542</f>
        <v>0</v>
      </c>
      <c r="Q613" s="238">
        <f>SUM(Algandmed!AW542:AZ542)</f>
        <v>0</v>
      </c>
      <c r="R613" s="238">
        <f>Q613+Algandmed!BA542+Algandmed!BB542+Algandmed!BC542</f>
        <v>0</v>
      </c>
      <c r="S613" s="238">
        <f>Algandmed!BE542</f>
        <v>0</v>
      </c>
      <c r="T613" s="236" t="e">
        <f>SUM(Algandmed!AW542:BD542)/Algandmed!BE542</f>
        <v>#DIV/0!</v>
      </c>
      <c r="U613" s="237" t="e">
        <f>(($F$292*Algandmed!AW542)+($F$293*Algandmed!AX542)+($F$294*Algandmed!AY542)+($F$295*Algandmed!AZ542)+($F$296*Algandmed!BA542)+($F$297*Algandmed!BB542)+($F$298*Algandmed!BC542)+($F$299*Algandmed!BD542)+((Algandmed!BE542-SUM(Algandmed!AW542:BD542))*Settings!$F$300))/SQRT(Algandmed!BE542)</f>
        <v>#DIV/0!</v>
      </c>
      <c r="V613" s="209"/>
    </row>
    <row r="614" spans="1:22">
      <c r="B614" s="208"/>
      <c r="C614" s="165"/>
      <c r="D614" s="165"/>
      <c r="E614" s="165"/>
      <c r="F614" s="236"/>
      <c r="G614" s="237"/>
      <c r="H614" s="237"/>
      <c r="I614" s="238"/>
      <c r="J614" s="238"/>
      <c r="K614" s="238"/>
      <c r="L614" s="238"/>
      <c r="M614" s="236"/>
      <c r="N614" s="237"/>
      <c r="O614" s="165"/>
      <c r="P614" s="238"/>
      <c r="Q614" s="238"/>
      <c r="R614" s="238"/>
      <c r="S614" s="238"/>
      <c r="T614" s="236"/>
      <c r="U614" s="237"/>
      <c r="V614" s="209"/>
    </row>
    <row r="615" spans="1:22">
      <c r="B615" s="208">
        <f>Algandmed!AE544</f>
        <v>0</v>
      </c>
      <c r="C615" s="165">
        <f>SUM(Algandmed!AE544:AH544)</f>
        <v>0</v>
      </c>
      <c r="D615" s="165">
        <f>C615+Algandmed!AI544+Algandmed!AJ544+Algandmed!AK544</f>
        <v>0</v>
      </c>
      <c r="E615" s="165">
        <f>Algandmed!AM544</f>
        <v>0</v>
      </c>
      <c r="F615" s="236" t="e">
        <f>SUM(Algandmed!AE544:AL544)/Algandmed!AM544</f>
        <v>#DIV/0!</v>
      </c>
      <c r="G615" s="237" t="e">
        <f>(($F$292*Algandmed!AE544)+($F$293*Algandmed!AF544)+($F$294*Algandmed!AG544)+($F$295*Algandmed!AH544)+($F$296*Algandmed!AI544)+($F$297*Algandmed!AJ544)+($F$298*Algandmed!AK544)+($F$299*Algandmed!AL544)+((Algandmed!AM544-SUM(Algandmed!AE544:AL544))*Settings!$F$300))/SQRT(Algandmed!AM544)</f>
        <v>#DIV/0!</v>
      </c>
      <c r="H615" s="237"/>
      <c r="I615" s="238">
        <f>Algandmed!AN544</f>
        <v>0</v>
      </c>
      <c r="J615" s="238">
        <f>SUM(Algandmed!AN544:AQ544)</f>
        <v>0</v>
      </c>
      <c r="K615" s="238">
        <f>J615+Algandmed!AR544+Algandmed!AS544+Algandmed!AT544</f>
        <v>0</v>
      </c>
      <c r="L615" s="238">
        <f>Algandmed!AV544</f>
        <v>0</v>
      </c>
      <c r="M615" s="236" t="e">
        <f>SUM(Algandmed!AN544:'Algandmed'!AU544)/Algandmed!AV544</f>
        <v>#DIV/0!</v>
      </c>
      <c r="N615" s="237" t="e">
        <f>(($F$292*Algandmed!AN544)+($F$293*Algandmed!AO544)+($F$294*Algandmed!AP544)+($F$295*Algandmed!AQ544)+($F$296*Algandmed!AR544)+($F$297*Algandmed!AS544)+($F$298*Algandmed!AT544)+($F$299*Algandmed!AU544)+((Algandmed!AV544-SUM(Algandmed!AN544:AU544))*Settings!$F$300))/SQRT(Algandmed!AV544)</f>
        <v>#DIV/0!</v>
      </c>
      <c r="O615" s="165"/>
      <c r="P615" s="238">
        <f>Algandmed!AW544</f>
        <v>0</v>
      </c>
      <c r="Q615" s="238">
        <f>SUM(Algandmed!AW544:AZ544)</f>
        <v>0</v>
      </c>
      <c r="R615" s="238">
        <f>Q615+Algandmed!BA544+Algandmed!BB544+Algandmed!BC544</f>
        <v>0</v>
      </c>
      <c r="S615" s="238">
        <f>Algandmed!BE544</f>
        <v>0</v>
      </c>
      <c r="T615" s="236" t="e">
        <f>SUM(Algandmed!AW544:BD544)/Algandmed!BE544</f>
        <v>#DIV/0!</v>
      </c>
      <c r="U615" s="237" t="e">
        <f>(($F$292*Algandmed!AW544)+($F$293*Algandmed!AX544)+($F$294*Algandmed!AY544)+($F$295*Algandmed!AZ544)+($F$296*Algandmed!BA544)+($F$297*Algandmed!BB544)+($F$298*Algandmed!BC544)+($F$299*Algandmed!BD544)+((Algandmed!BE544-SUM(Algandmed!AW544:BD544))*Settings!$F$300))/SQRT(Algandmed!BE544)</f>
        <v>#DIV/0!</v>
      </c>
      <c r="V615" s="209"/>
    </row>
    <row r="616" spans="1:22">
      <c r="B616" s="208"/>
      <c r="C616" s="165"/>
      <c r="D616" s="165"/>
      <c r="E616" s="165"/>
      <c r="F616" s="236"/>
      <c r="G616" s="237"/>
      <c r="H616" s="237"/>
      <c r="I616" s="238"/>
      <c r="J616" s="238"/>
      <c r="K616" s="238"/>
      <c r="L616" s="238"/>
      <c r="M616" s="236"/>
      <c r="N616" s="237"/>
      <c r="O616" s="165"/>
      <c r="P616" s="238"/>
      <c r="Q616" s="238"/>
      <c r="R616" s="238"/>
      <c r="S616" s="238"/>
      <c r="T616" s="236"/>
      <c r="U616" s="237"/>
      <c r="V616" s="209"/>
    </row>
    <row r="617" spans="1:22">
      <c r="B617" s="208"/>
      <c r="C617" s="165"/>
      <c r="D617" s="165"/>
      <c r="E617" s="165"/>
      <c r="F617" s="236"/>
      <c r="G617" s="237"/>
      <c r="H617" s="237"/>
      <c r="I617" s="238">
        <f>Algandmed!AN546</f>
        <v>0</v>
      </c>
      <c r="J617" s="238">
        <f>SUM(Algandmed!AN546:AQ546)</f>
        <v>0</v>
      </c>
      <c r="K617" s="238">
        <f>J617+Algandmed!AR546+Algandmed!AS546+Algandmed!AT546</f>
        <v>0</v>
      </c>
      <c r="L617" s="238">
        <f>Algandmed!AV546</f>
        <v>0</v>
      </c>
      <c r="M617" s="236" t="e">
        <f>SUM(Algandmed!AN546:'Algandmed'!AU546)/Algandmed!AV546</f>
        <v>#DIV/0!</v>
      </c>
      <c r="N617" s="237" t="e">
        <f>(($F$292*Algandmed!AN546)+($F$293*Algandmed!AO546)+($F$294*Algandmed!AP546)+($F$295*Algandmed!AQ546)+($F$296*Algandmed!AR546)+($F$297*Algandmed!AS546)+($F$298*Algandmed!AT546)+($F$299*Algandmed!AU546)+((Algandmed!AV546-SUM(Algandmed!AN546:AU546))*Settings!$F$300))/SQRT(Algandmed!AV546)</f>
        <v>#DIV/0!</v>
      </c>
      <c r="O617" s="165"/>
      <c r="P617" s="238"/>
      <c r="Q617" s="238"/>
      <c r="R617" s="238"/>
      <c r="S617" s="238"/>
      <c r="T617" s="236"/>
      <c r="U617" s="237"/>
      <c r="V617" s="209"/>
    </row>
    <row r="618" spans="1:22">
      <c r="B618" s="208"/>
      <c r="C618" s="165"/>
      <c r="D618" s="165"/>
      <c r="E618" s="165"/>
      <c r="F618" s="236"/>
      <c r="G618" s="237"/>
      <c r="H618" s="237"/>
      <c r="I618" s="238"/>
      <c r="J618" s="238"/>
      <c r="K618" s="238"/>
      <c r="L618" s="238"/>
      <c r="M618" s="236"/>
      <c r="N618" s="237"/>
      <c r="O618" s="165"/>
      <c r="P618" s="238"/>
      <c r="Q618" s="238"/>
      <c r="R618" s="238"/>
      <c r="S618" s="238"/>
      <c r="T618" s="236"/>
      <c r="U618" s="237"/>
      <c r="V618" s="209"/>
    </row>
    <row r="619" spans="1:22">
      <c r="B619" s="208">
        <f>Algandmed!AE548</f>
        <v>0</v>
      </c>
      <c r="C619" s="165">
        <f>SUM(Algandmed!AE548:AH548)</f>
        <v>0</v>
      </c>
      <c r="D619" s="165">
        <f>C619+Algandmed!AI548+Algandmed!AJ548+Algandmed!AK548</f>
        <v>0</v>
      </c>
      <c r="E619" s="165">
        <f>Algandmed!AM548</f>
        <v>0</v>
      </c>
      <c r="F619" s="236" t="e">
        <f>SUM(Algandmed!AE548:AL548)/Algandmed!AM548</f>
        <v>#DIV/0!</v>
      </c>
      <c r="G619" s="237" t="e">
        <f>(($F$292*Algandmed!AE548)+($F$293*Algandmed!AF548)+($F$294*Algandmed!AG548)+($F$295*Algandmed!AH548)+($F$296*Algandmed!AI548)+($F$297*Algandmed!AJ548)+($F$298*Algandmed!AK548)+($F$299*Algandmed!AL548)+((Algandmed!AM548-SUM(Algandmed!AE548:AL548))*Settings!$F$300))/SQRT(Algandmed!AM548)</f>
        <v>#DIV/0!</v>
      </c>
      <c r="H619" s="237"/>
      <c r="I619" s="238">
        <f>Algandmed!AN548</f>
        <v>0</v>
      </c>
      <c r="J619" s="238">
        <f>SUM(Algandmed!AN548:AQ548)</f>
        <v>0</v>
      </c>
      <c r="K619" s="238">
        <f>J619+Algandmed!AR548+Algandmed!AS548+Algandmed!AT548</f>
        <v>0</v>
      </c>
      <c r="L619" s="238">
        <f>Algandmed!AV548</f>
        <v>0</v>
      </c>
      <c r="M619" s="236" t="e">
        <f>SUM(Algandmed!AN548:'Algandmed'!AU548)/Algandmed!AV548</f>
        <v>#DIV/0!</v>
      </c>
      <c r="N619" s="237" t="e">
        <f>(($F$292*Algandmed!AN548)+($F$293*Algandmed!AO548)+($F$294*Algandmed!AP548)+($F$295*Algandmed!AQ548)+($F$296*Algandmed!AR548)+($F$297*Algandmed!AS548)+($F$298*Algandmed!AT548)+($F$299*Algandmed!AU548)+((Algandmed!AV548-SUM(Algandmed!AN548:AU548))*Settings!$F$300))/SQRT(Algandmed!AV548)</f>
        <v>#DIV/0!</v>
      </c>
      <c r="O619" s="165"/>
      <c r="P619" s="238">
        <f>Algandmed!AW548</f>
        <v>0</v>
      </c>
      <c r="Q619" s="238">
        <f>SUM(Algandmed!AW548:AZ548)</f>
        <v>0</v>
      </c>
      <c r="R619" s="238">
        <f>Q619+Algandmed!BA548+Algandmed!BB548+Algandmed!BC548</f>
        <v>0</v>
      </c>
      <c r="S619" s="238">
        <f>Algandmed!BE548</f>
        <v>0</v>
      </c>
      <c r="T619" s="236" t="e">
        <f>SUM(Algandmed!AW548:BD548)/Algandmed!BE548</f>
        <v>#DIV/0!</v>
      </c>
      <c r="U619" s="237" t="e">
        <f>(($F$292*Algandmed!AW548)+($F$293*Algandmed!AX548)+($F$294*Algandmed!AY548)+($F$295*Algandmed!AZ548)+($F$296*Algandmed!BA548)+($F$297*Algandmed!BB548)+($F$298*Algandmed!BC548)+($F$299*Algandmed!BD548)+((Algandmed!BE548-SUM(Algandmed!AW548:BD548))*Settings!$F$300))/SQRT(Algandmed!BE548)</f>
        <v>#DIV/0!</v>
      </c>
      <c r="V619" s="209"/>
    </row>
    <row r="620" spans="1:22">
      <c r="B620" s="208"/>
      <c r="C620" s="165"/>
      <c r="D620" s="165"/>
      <c r="E620" s="165"/>
      <c r="F620" s="236"/>
      <c r="G620" s="237"/>
      <c r="H620" s="237"/>
      <c r="I620" s="238"/>
      <c r="J620" s="238"/>
      <c r="K620" s="238"/>
      <c r="L620" s="238"/>
      <c r="M620" s="236"/>
      <c r="N620" s="237"/>
      <c r="O620" s="165"/>
      <c r="P620" s="238"/>
      <c r="Q620" s="238"/>
      <c r="R620" s="238"/>
      <c r="S620" s="238"/>
      <c r="T620" s="236"/>
      <c r="U620" s="237"/>
      <c r="V620" s="209"/>
    </row>
    <row r="621" spans="1:22">
      <c r="B621" s="212"/>
      <c r="C621" s="213"/>
      <c r="D621" s="213"/>
      <c r="E621" s="213"/>
      <c r="F621" s="240"/>
      <c r="G621" s="241"/>
      <c r="H621" s="213"/>
      <c r="I621" s="213"/>
      <c r="J621" s="213"/>
      <c r="K621" s="213"/>
      <c r="L621" s="213"/>
      <c r="M621" s="213"/>
      <c r="N621" s="213"/>
      <c r="O621" s="213"/>
      <c r="P621" s="213"/>
      <c r="Q621" s="213"/>
      <c r="R621" s="213"/>
      <c r="S621" s="213"/>
      <c r="T621" s="213"/>
      <c r="U621" s="213"/>
      <c r="V621" s="214"/>
    </row>
    <row r="622" spans="1:22">
      <c r="B622" s="165"/>
      <c r="C622" s="165"/>
      <c r="D622" s="165"/>
      <c r="E622" s="165"/>
      <c r="F622" s="236"/>
      <c r="G622" s="237"/>
      <c r="H622" s="165"/>
      <c r="I622" s="165"/>
      <c r="J622" s="165"/>
      <c r="K622" s="165"/>
      <c r="L622" s="165"/>
      <c r="M622" s="165"/>
      <c r="N622" s="165"/>
      <c r="O622" s="165"/>
      <c r="P622" s="165"/>
      <c r="Q622" s="165"/>
      <c r="R622" s="165"/>
      <c r="S622" s="165"/>
      <c r="T622" s="165"/>
      <c r="U622" s="165"/>
      <c r="V622" s="165"/>
    </row>
    <row r="623" spans="1:22">
      <c r="B623" s="165"/>
      <c r="C623" s="165"/>
      <c r="D623" s="165"/>
      <c r="E623" s="165"/>
      <c r="F623" s="236"/>
      <c r="G623" s="237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</row>
    <row r="624" spans="1:22">
      <c r="B624" s="205"/>
      <c r="C624" s="206"/>
      <c r="D624" s="206"/>
      <c r="E624" s="206"/>
      <c r="F624" s="206"/>
      <c r="G624" s="388" t="s">
        <v>389</v>
      </c>
      <c r="H624" s="388"/>
      <c r="I624" s="388"/>
      <c r="J624" s="388"/>
      <c r="K624" s="388"/>
      <c r="L624" s="388"/>
      <c r="M624" s="388"/>
      <c r="N624" s="206"/>
      <c r="O624" s="206"/>
      <c r="P624" s="206"/>
      <c r="Q624" s="206"/>
      <c r="R624" s="206"/>
      <c r="S624" s="206"/>
      <c r="T624" s="206"/>
      <c r="U624" s="206"/>
      <c r="V624" s="207"/>
    </row>
    <row r="625" spans="2:22">
      <c r="B625" s="208" t="s">
        <v>354</v>
      </c>
      <c r="C625" s="165"/>
      <c r="D625" s="165"/>
      <c r="E625" s="165"/>
      <c r="F625" s="165"/>
      <c r="G625" s="389"/>
      <c r="H625" s="389"/>
      <c r="I625" s="389"/>
      <c r="J625" s="389"/>
      <c r="K625" s="389"/>
      <c r="L625" s="389"/>
      <c r="M625" s="389"/>
      <c r="N625" s="165"/>
      <c r="O625" s="165"/>
      <c r="P625" s="165"/>
      <c r="Q625" s="165"/>
      <c r="R625" s="165"/>
      <c r="S625" s="165"/>
      <c r="T625" s="165"/>
      <c r="U625" s="165"/>
      <c r="V625" s="209"/>
    </row>
    <row r="626" spans="2:22">
      <c r="B626" s="208" t="s">
        <v>355</v>
      </c>
      <c r="C626" s="165"/>
      <c r="D626" s="165"/>
      <c r="E626" s="165"/>
      <c r="F626" s="165"/>
      <c r="G626" s="165"/>
      <c r="H626" s="165"/>
      <c r="I626" s="165"/>
      <c r="J626" s="165"/>
      <c r="K626" s="165"/>
      <c r="L626" s="165"/>
      <c r="M626" s="165"/>
      <c r="N626" s="165"/>
      <c r="O626" s="165"/>
      <c r="P626" s="165"/>
      <c r="Q626" s="392" t="s">
        <v>395</v>
      </c>
      <c r="R626" s="392"/>
      <c r="S626" s="393"/>
      <c r="T626" s="165"/>
      <c r="U626" s="165"/>
      <c r="V626" s="209"/>
    </row>
    <row r="627" spans="2:22">
      <c r="B627" s="208" t="s">
        <v>356</v>
      </c>
      <c r="C627" s="165"/>
      <c r="D627" s="165"/>
      <c r="E627" s="165"/>
      <c r="F627" s="165"/>
      <c r="G627" s="165"/>
      <c r="H627" s="165"/>
      <c r="I627" s="165"/>
      <c r="J627" s="165"/>
      <c r="K627" s="165"/>
      <c r="L627" s="165"/>
      <c r="M627" s="165"/>
      <c r="N627" s="165"/>
      <c r="O627" s="165"/>
      <c r="P627" s="165"/>
      <c r="Q627" s="390"/>
      <c r="R627" s="390"/>
      <c r="S627" s="391"/>
      <c r="T627" s="165"/>
      <c r="U627" s="165"/>
      <c r="V627" s="209"/>
    </row>
    <row r="628" spans="2:22">
      <c r="B628" s="208" t="s">
        <v>357</v>
      </c>
      <c r="C628" s="165"/>
      <c r="D628" s="165"/>
      <c r="E628" s="165"/>
      <c r="F628" s="165"/>
      <c r="G628" s="165"/>
      <c r="H628" s="165"/>
      <c r="I628" s="165"/>
      <c r="J628" s="165"/>
      <c r="K628" s="165"/>
      <c r="L628" s="165"/>
      <c r="M628" s="165"/>
      <c r="N628" s="165"/>
      <c r="O628" s="165"/>
      <c r="P628" s="165"/>
      <c r="Q628" s="390"/>
      <c r="R628" s="390"/>
      <c r="S628" s="391"/>
      <c r="T628" s="165"/>
      <c r="U628" s="165"/>
      <c r="V628" s="209"/>
    </row>
    <row r="629" spans="2:22">
      <c r="B629" s="243"/>
      <c r="C629" s="243"/>
      <c r="D629" s="165"/>
      <c r="E629" s="165"/>
      <c r="F629" s="165"/>
      <c r="G629" s="165"/>
      <c r="H629" s="165"/>
      <c r="I629" s="165"/>
      <c r="J629" s="165"/>
      <c r="K629" s="165"/>
      <c r="L629" s="165"/>
      <c r="M629" s="165"/>
      <c r="N629" s="165"/>
      <c r="O629" s="165"/>
      <c r="P629" s="165"/>
      <c r="Q629" s="390"/>
      <c r="R629" s="390"/>
      <c r="S629" s="391"/>
      <c r="T629" s="165"/>
      <c r="U629" s="165"/>
      <c r="V629" s="209"/>
    </row>
    <row r="630" spans="2:22">
      <c r="B630" s="208" t="s">
        <v>359</v>
      </c>
      <c r="C630" s="229"/>
      <c r="D630" s="165"/>
      <c r="E630" s="165" t="s">
        <v>347</v>
      </c>
      <c r="F630" s="165" t="s">
        <v>2</v>
      </c>
      <c r="G630" s="165" t="s">
        <v>6</v>
      </c>
      <c r="H630" s="165"/>
      <c r="I630" s="165"/>
      <c r="J630" s="165"/>
      <c r="K630" s="165"/>
      <c r="L630" s="165"/>
      <c r="M630" s="165"/>
      <c r="N630" s="165"/>
      <c r="O630" s="165"/>
      <c r="P630" s="165"/>
      <c r="Q630" s="165"/>
      <c r="R630" s="165"/>
      <c r="S630" s="165"/>
      <c r="T630" s="165"/>
      <c r="U630" s="165"/>
      <c r="V630" s="209"/>
    </row>
    <row r="631" spans="2:22">
      <c r="B631" s="208" t="s">
        <v>360</v>
      </c>
      <c r="C631" s="230"/>
      <c r="D631" s="165"/>
      <c r="E631" s="165" t="s">
        <v>703</v>
      </c>
      <c r="F631" s="165">
        <v>100</v>
      </c>
      <c r="G631" s="165">
        <v>-100</v>
      </c>
      <c r="H631" s="165"/>
      <c r="I631" s="165"/>
      <c r="J631" s="165"/>
      <c r="K631" s="165"/>
      <c r="L631" s="165"/>
      <c r="M631" s="165"/>
      <c r="N631" s="165"/>
      <c r="O631" s="165"/>
      <c r="P631" s="165"/>
      <c r="Q631" s="165"/>
      <c r="R631" s="165"/>
      <c r="S631" s="165"/>
      <c r="T631" s="165"/>
      <c r="U631" s="165"/>
      <c r="V631" s="209"/>
    </row>
    <row r="632" spans="2:22">
      <c r="B632" s="208" t="s">
        <v>361</v>
      </c>
      <c r="C632" s="231"/>
      <c r="D632" s="165"/>
      <c r="E632" s="165" t="s">
        <v>9</v>
      </c>
      <c r="F632" s="165">
        <v>12</v>
      </c>
      <c r="G632" s="165">
        <v>-12</v>
      </c>
      <c r="H632" s="165"/>
      <c r="I632" s="165"/>
      <c r="J632" s="165"/>
      <c r="K632" s="165"/>
      <c r="L632" s="165"/>
      <c r="M632" s="165"/>
      <c r="N632" s="165"/>
      <c r="O632" s="165"/>
      <c r="P632" s="165"/>
      <c r="Q632" s="165"/>
      <c r="R632" s="165"/>
      <c r="S632" s="165"/>
      <c r="T632" s="165"/>
      <c r="U632" s="165"/>
      <c r="V632" s="209"/>
    </row>
    <row r="633" spans="2:22">
      <c r="B633" s="208" t="s">
        <v>362</v>
      </c>
      <c r="C633" s="232"/>
      <c r="D633" s="165"/>
      <c r="E633" s="161" t="s">
        <v>8</v>
      </c>
      <c r="F633" s="165">
        <v>10</v>
      </c>
      <c r="G633" s="165">
        <v>-10</v>
      </c>
      <c r="H633" s="165"/>
      <c r="I633" s="165"/>
      <c r="J633" s="165"/>
      <c r="K633" s="165"/>
      <c r="L633" s="165"/>
      <c r="M633" s="165"/>
      <c r="N633" s="165"/>
      <c r="O633" s="165"/>
      <c r="P633" s="165"/>
      <c r="Q633" s="165"/>
      <c r="R633" s="165"/>
      <c r="S633" s="165"/>
      <c r="T633" s="165"/>
      <c r="U633" s="165"/>
      <c r="V633" s="209"/>
    </row>
    <row r="634" spans="2:22">
      <c r="B634" s="208" t="s">
        <v>363</v>
      </c>
      <c r="C634" s="233"/>
      <c r="D634" s="165"/>
      <c r="E634" s="161" t="s">
        <v>19</v>
      </c>
      <c r="F634" s="161">
        <v>8</v>
      </c>
      <c r="G634" s="161">
        <v>-8</v>
      </c>
      <c r="H634" s="165"/>
      <c r="I634" s="165"/>
      <c r="J634" s="165"/>
      <c r="K634" s="165"/>
      <c r="L634" s="165"/>
      <c r="M634" s="165"/>
      <c r="N634" s="165"/>
      <c r="O634" s="165"/>
      <c r="P634" s="165"/>
      <c r="Q634" s="165"/>
      <c r="R634" s="165"/>
      <c r="S634" s="165"/>
      <c r="T634" s="165"/>
      <c r="U634" s="165"/>
      <c r="V634" s="209"/>
    </row>
    <row r="635" spans="2:22">
      <c r="B635" s="208" t="s">
        <v>358</v>
      </c>
      <c r="C635" s="234"/>
      <c r="D635" s="165"/>
      <c r="E635" s="161" t="s">
        <v>7</v>
      </c>
      <c r="F635" s="161">
        <v>6</v>
      </c>
      <c r="G635" s="161">
        <v>-6</v>
      </c>
      <c r="H635" s="165"/>
      <c r="I635" s="165"/>
      <c r="J635" s="165"/>
      <c r="K635" s="165"/>
      <c r="L635" s="165"/>
      <c r="M635" s="165"/>
      <c r="N635" s="165"/>
      <c r="O635" s="165"/>
      <c r="P635" s="165"/>
      <c r="Q635" s="165"/>
      <c r="R635" s="165"/>
      <c r="S635" s="165"/>
      <c r="T635" s="165"/>
      <c r="U635" s="165"/>
      <c r="V635" s="209"/>
    </row>
    <row r="636" spans="2:22">
      <c r="B636" s="208"/>
      <c r="C636" s="165"/>
      <c r="D636" s="165"/>
      <c r="E636" s="161" t="s">
        <v>163</v>
      </c>
      <c r="F636" s="161">
        <v>4</v>
      </c>
      <c r="G636" s="161">
        <v>-4</v>
      </c>
      <c r="H636" s="165"/>
      <c r="I636" s="165"/>
      <c r="J636" s="165"/>
      <c r="K636" s="165"/>
      <c r="L636" s="165"/>
      <c r="M636" s="165"/>
      <c r="N636" s="165"/>
      <c r="O636" s="165"/>
      <c r="P636" s="165"/>
      <c r="Q636" s="165"/>
      <c r="R636" s="165"/>
      <c r="S636" s="165"/>
      <c r="T636" s="165"/>
      <c r="U636" s="165"/>
      <c r="V636" s="209"/>
    </row>
    <row r="637" spans="2:22">
      <c r="B637" s="208"/>
      <c r="C637" s="165"/>
      <c r="D637" s="165"/>
      <c r="E637" s="161" t="s">
        <v>310</v>
      </c>
      <c r="F637" s="161">
        <v>2</v>
      </c>
      <c r="G637" s="161">
        <v>-2</v>
      </c>
      <c r="H637" s="165"/>
      <c r="I637" s="165"/>
      <c r="J637" s="165"/>
      <c r="K637" s="165"/>
      <c r="L637" s="165"/>
      <c r="M637" s="165"/>
      <c r="N637" s="165"/>
      <c r="O637" s="165"/>
      <c r="P637" s="165"/>
      <c r="Q637" s="165"/>
      <c r="R637" s="165"/>
      <c r="S637" s="165"/>
      <c r="T637" s="165"/>
      <c r="U637" s="165"/>
      <c r="V637" s="209"/>
    </row>
    <row r="638" spans="2:22">
      <c r="B638" s="208"/>
      <c r="C638" s="165"/>
      <c r="D638" s="165"/>
      <c r="E638" s="161" t="s">
        <v>156</v>
      </c>
      <c r="F638" s="161">
        <v>1</v>
      </c>
      <c r="G638" s="161">
        <v>-1</v>
      </c>
      <c r="H638" s="165"/>
      <c r="I638" s="165"/>
      <c r="J638" s="165"/>
      <c r="K638" s="165"/>
      <c r="L638" s="165"/>
      <c r="M638" s="165"/>
      <c r="N638" s="165"/>
      <c r="O638" s="165"/>
      <c r="P638" s="165"/>
      <c r="Q638" s="165"/>
      <c r="R638" s="165"/>
      <c r="S638" s="165"/>
      <c r="T638" s="165"/>
      <c r="U638" s="165"/>
      <c r="V638" s="209"/>
    </row>
    <row r="639" spans="2:22">
      <c r="B639" s="208" t="s">
        <v>441</v>
      </c>
      <c r="C639" s="165"/>
      <c r="D639" s="165"/>
      <c r="E639" s="161" t="s">
        <v>3</v>
      </c>
      <c r="F639" s="161">
        <v>-2</v>
      </c>
      <c r="G639" s="161">
        <v>2</v>
      </c>
      <c r="H639" s="165"/>
      <c r="I639" s="165"/>
      <c r="J639" s="165"/>
      <c r="K639" s="165"/>
      <c r="L639" s="165"/>
      <c r="M639" s="165"/>
      <c r="N639" s="165"/>
      <c r="O639" s="165"/>
      <c r="P639" s="165"/>
      <c r="Q639" s="165"/>
      <c r="R639" s="165"/>
      <c r="S639" s="165"/>
      <c r="T639" s="165"/>
      <c r="U639" s="165"/>
      <c r="V639" s="209"/>
    </row>
    <row r="640" spans="2:22">
      <c r="B640" s="208"/>
      <c r="C640" s="165"/>
      <c r="D640" s="165"/>
      <c r="E640" s="165"/>
      <c r="F640" s="165"/>
      <c r="G640" s="165"/>
      <c r="H640" s="165"/>
      <c r="I640" s="165"/>
      <c r="J640" s="165"/>
      <c r="K640" s="165"/>
      <c r="L640" s="165"/>
      <c r="M640" s="165"/>
      <c r="N640" s="165"/>
      <c r="O640" s="165"/>
      <c r="P640" s="165"/>
      <c r="Q640" s="165"/>
      <c r="R640" s="165"/>
      <c r="S640" s="165"/>
      <c r="T640" s="165"/>
      <c r="U640" s="165"/>
      <c r="V640" s="209"/>
    </row>
    <row r="641" spans="2:22">
      <c r="B641" s="208" t="s">
        <v>311</v>
      </c>
      <c r="C641" s="165" t="s">
        <v>350</v>
      </c>
      <c r="D641" s="165" t="s">
        <v>351</v>
      </c>
      <c r="E641" s="165" t="s">
        <v>352</v>
      </c>
      <c r="F641" s="165" t="s">
        <v>353</v>
      </c>
      <c r="G641" s="235" t="s">
        <v>365</v>
      </c>
      <c r="H641" s="165"/>
      <c r="I641" s="165" t="s">
        <v>311</v>
      </c>
      <c r="J641" s="165" t="s">
        <v>350</v>
      </c>
      <c r="K641" s="165" t="s">
        <v>351</v>
      </c>
      <c r="L641" s="165" t="s">
        <v>352</v>
      </c>
      <c r="M641" s="165" t="s">
        <v>353</v>
      </c>
      <c r="N641" s="235" t="s">
        <v>365</v>
      </c>
      <c r="O641" s="165"/>
      <c r="P641" s="165" t="s">
        <v>311</v>
      </c>
      <c r="Q641" s="165" t="s">
        <v>350</v>
      </c>
      <c r="R641" s="165" t="s">
        <v>351</v>
      </c>
      <c r="S641" s="165" t="s">
        <v>352</v>
      </c>
      <c r="T641" s="165" t="s">
        <v>353</v>
      </c>
      <c r="U641" s="235" t="s">
        <v>365</v>
      </c>
      <c r="V641" s="209"/>
    </row>
    <row r="642" spans="2:22">
      <c r="B642" s="208">
        <f>Algandmed!AE535</f>
        <v>0</v>
      </c>
      <c r="C642" s="165">
        <f>SUM(Algandmed!AE535:AH535)</f>
        <v>0</v>
      </c>
      <c r="D642" s="165">
        <f>C642+Algandmed!AI535+Algandmed!AJ535+Algandmed!AK535</f>
        <v>0</v>
      </c>
      <c r="E642" s="165">
        <f>Algandmed!AM535</f>
        <v>0</v>
      </c>
      <c r="F642" s="236" t="e">
        <f>SUM(Algandmed!AE535:AL535)/Algandmed!AM535</f>
        <v>#DIV/0!</v>
      </c>
      <c r="G642" s="237" t="e">
        <f>(($G$292*Algandmed!AE535)+($G$293*Algandmed!AF535)+($G$294*Algandmed!AG535)+($G$295*Algandmed!AH535)+($G$296*Algandmed!AI535)+($G$297*Algandmed!AJ535)+($G$298*Algandmed!AK535)+($G$299*Algandmed!AL535)+((Algandmed!AM535-SUM(Algandmed!AE535:AL535))*Settings!$G$300))/SQRT(Algandmed!AM535)</f>
        <v>#DIV/0!</v>
      </c>
      <c r="H642" s="237"/>
      <c r="I642" s="238">
        <f>Algandmed!AN535</f>
        <v>0</v>
      </c>
      <c r="J642" s="238">
        <f>SUM(Algandmed!AN535:AQ535)</f>
        <v>0</v>
      </c>
      <c r="K642" s="238">
        <f>J642+Algandmed!AR535+Algandmed!AS535+Algandmed!AT535</f>
        <v>0</v>
      </c>
      <c r="L642" s="238">
        <f>Algandmed!AV535</f>
        <v>0</v>
      </c>
      <c r="M642" s="236" t="e">
        <f>SUM(Algandmed!AN535:'Algandmed'!AU535)/Algandmed!AV535</f>
        <v>#DIV/0!</v>
      </c>
      <c r="N642" s="237" t="e">
        <f>(($G$292*Algandmed!AN535)+($G$293*Algandmed!AO535)+($G$294*Algandmed!AP535)+($G$295*Algandmed!AQ535)+($G$296*Algandmed!AR535)+($G$297*Algandmed!AS535)+($G$298*Algandmed!AT535)+($G$299*Algandmed!AU535)+((Algandmed!AV535-SUM(Algandmed!AN535:AU535))*Settings!$G$300))/SQRT(Algandmed!AV535)</f>
        <v>#DIV/0!</v>
      </c>
      <c r="O642" s="165"/>
      <c r="P642" s="238">
        <f>Algandmed!AW535</f>
        <v>0</v>
      </c>
      <c r="Q642" s="238">
        <f>SUM(Algandmed!AW535:AZ535)</f>
        <v>0</v>
      </c>
      <c r="R642" s="238">
        <f>Q642+Algandmed!BA535+Algandmed!BB535+Algandmed!BC535</f>
        <v>0</v>
      </c>
      <c r="S642" s="238">
        <f>Algandmed!BE535</f>
        <v>0</v>
      </c>
      <c r="T642" s="236" t="e">
        <f>SUM(Algandmed!AW535:BD535)/Algandmed!BE535</f>
        <v>#DIV/0!</v>
      </c>
      <c r="U642" s="237" t="e">
        <f>(($G$292*Algandmed!AW535)+($G$293*Algandmed!AX535)+($G$294*Algandmed!AY535)+($G$295*Algandmed!AZ535)+($G$296*Algandmed!BA535)+($G$297*Algandmed!BB535)+($G$298*Algandmed!BC535)+($G$299*Algandmed!BD535)+((Algandmed!BE535-SUM(Algandmed!AW535:BD535))*Settings!$G$300))/SQRT(Algandmed!BE535)</f>
        <v>#DIV/0!</v>
      </c>
      <c r="V642" s="209"/>
    </row>
    <row r="643" spans="2:22">
      <c r="B643" s="208"/>
      <c r="C643" s="165"/>
      <c r="D643" s="165"/>
      <c r="E643" s="165"/>
      <c r="F643" s="236"/>
      <c r="G643" s="237"/>
      <c r="H643" s="237"/>
      <c r="I643" s="238"/>
      <c r="J643" s="238"/>
      <c r="K643" s="238"/>
      <c r="L643" s="238"/>
      <c r="M643" s="236"/>
      <c r="N643" s="237"/>
      <c r="O643" s="165"/>
      <c r="P643" s="238"/>
      <c r="Q643" s="238"/>
      <c r="R643" s="238"/>
      <c r="S643" s="238"/>
      <c r="T643" s="236"/>
      <c r="U643" s="237"/>
      <c r="V643" s="209"/>
    </row>
    <row r="644" spans="2:22">
      <c r="B644" s="208"/>
      <c r="C644" s="165"/>
      <c r="D644" s="165"/>
      <c r="E644" s="165"/>
      <c r="F644" s="236"/>
      <c r="G644" s="237"/>
      <c r="H644" s="237"/>
      <c r="I644" s="238">
        <f>Algandmed!AN537</f>
        <v>0</v>
      </c>
      <c r="J644" s="238">
        <f>SUM(Algandmed!AN537:AQ537)</f>
        <v>0</v>
      </c>
      <c r="K644" s="238">
        <f>J644+Algandmed!AR537+Algandmed!AS537+Algandmed!AT537</f>
        <v>0</v>
      </c>
      <c r="L644" s="238">
        <f>Algandmed!AV537</f>
        <v>0</v>
      </c>
      <c r="M644" s="236" t="e">
        <f>SUM(Algandmed!AN537:'Algandmed'!AU537)/Algandmed!AV537</f>
        <v>#DIV/0!</v>
      </c>
      <c r="N644" s="237" t="e">
        <f>(($G$292*Algandmed!AN537)+($G$293*Algandmed!AO537)+($G$294*Algandmed!AP537)+($G$295*Algandmed!AQ537)+($G$296*Algandmed!AR537)+($G$297*Algandmed!AS537)+($G$298*Algandmed!AT537)+($G$299*Algandmed!AU537)+((Algandmed!AV537-SUM(Algandmed!AN537:AU537))*Settings!$G$300))/SQRT(Algandmed!AV537)</f>
        <v>#DIV/0!</v>
      </c>
      <c r="O644" s="165"/>
      <c r="P644" s="238"/>
      <c r="Q644" s="238"/>
      <c r="R644" s="238"/>
      <c r="S644" s="238"/>
      <c r="T644" s="236"/>
      <c r="U644" s="237"/>
      <c r="V644" s="209"/>
    </row>
    <row r="645" spans="2:22">
      <c r="B645" s="208"/>
      <c r="C645" s="165"/>
      <c r="D645" s="165"/>
      <c r="E645" s="165"/>
      <c r="F645" s="236"/>
      <c r="G645" s="237"/>
      <c r="H645" s="237"/>
      <c r="I645" s="238"/>
      <c r="J645" s="238"/>
      <c r="K645" s="238"/>
      <c r="L645" s="238"/>
      <c r="M645" s="236"/>
      <c r="N645" s="237"/>
      <c r="O645" s="165"/>
      <c r="P645" s="238"/>
      <c r="Q645" s="238"/>
      <c r="R645" s="238"/>
      <c r="S645" s="238"/>
      <c r="T645" s="236"/>
      <c r="U645" s="237"/>
      <c r="V645" s="209"/>
    </row>
    <row r="646" spans="2:22">
      <c r="B646" s="208">
        <f>Algandmed!AE539</f>
        <v>0</v>
      </c>
      <c r="C646" s="165">
        <f>SUM(Algandmed!AE539:AH539)</f>
        <v>0</v>
      </c>
      <c r="D646" s="165">
        <f>C646+Algandmed!AI539+Algandmed!AJ539+Algandmed!AK539</f>
        <v>0</v>
      </c>
      <c r="E646" s="165">
        <f>Algandmed!AM539</f>
        <v>0</v>
      </c>
      <c r="F646" s="236" t="e">
        <f>SUM(Algandmed!AE539:AL539)/Algandmed!AM539</f>
        <v>#DIV/0!</v>
      </c>
      <c r="G646" s="237" t="e">
        <f>(($G$292*Algandmed!AE539)+($G$293*Algandmed!AF539)+($G$294*Algandmed!AG539)+($G$295*Algandmed!AH539)+($G$296*Algandmed!AI539)+($G$297*Algandmed!AJ539)+($G$298*Algandmed!AK539)+($G$299*Algandmed!AL539)+((Algandmed!AM539-SUM(Algandmed!AE539:AL539))*Settings!$G$300))/SQRT(Algandmed!AM539)</f>
        <v>#DIV/0!</v>
      </c>
      <c r="H646" s="237"/>
      <c r="I646" s="238">
        <f>Algandmed!AN539</f>
        <v>0</v>
      </c>
      <c r="J646" s="238">
        <f>SUM(Algandmed!AN539:AQ539)</f>
        <v>0</v>
      </c>
      <c r="K646" s="238">
        <f>J646+Algandmed!AR539+Algandmed!AS539+Algandmed!AT539</f>
        <v>0</v>
      </c>
      <c r="L646" s="238">
        <f>Algandmed!AV539</f>
        <v>0</v>
      </c>
      <c r="M646" s="236" t="e">
        <f>SUM(Algandmed!AN539:'Algandmed'!AU539)/Algandmed!AV539</f>
        <v>#DIV/0!</v>
      </c>
      <c r="N646" s="237" t="e">
        <f>(($G$292*Algandmed!AN539)+($G$293*Algandmed!AO539)+($G$294*Algandmed!AP539)+($G$295*Algandmed!AQ539)+($G$296*Algandmed!AR539)+($G$297*Algandmed!AS539)+($G$298*Algandmed!AT539)+($G$299*Algandmed!AU539)+((Algandmed!AV539-SUM(Algandmed!AN539:AU539))*Settings!$G$300))/SQRT(Algandmed!AV539)</f>
        <v>#DIV/0!</v>
      </c>
      <c r="O646" s="165"/>
      <c r="P646" s="238">
        <f>Algandmed!AW539</f>
        <v>0</v>
      </c>
      <c r="Q646" s="238">
        <f>SUM(Algandmed!AW539:AZ539)</f>
        <v>0</v>
      </c>
      <c r="R646" s="238">
        <f>Q646+Algandmed!BA539+Algandmed!BB539+Algandmed!BC539</f>
        <v>0</v>
      </c>
      <c r="S646" s="238">
        <f>Algandmed!BE539</f>
        <v>0</v>
      </c>
      <c r="T646" s="236" t="e">
        <f>SUM(Algandmed!AW539:BD539)/Algandmed!BE539</f>
        <v>#DIV/0!</v>
      </c>
      <c r="U646" s="237" t="e">
        <f>(($G$292*Algandmed!AW539)+($G$293*Algandmed!AX539)+($G$294*Algandmed!AY539)+($G$295*Algandmed!AZ539)+($G$296*Algandmed!BA539)+($G$297*Algandmed!BB539)+($G$298*Algandmed!BC539)+($G$299*Algandmed!BD539)+((Algandmed!BE539-SUM(Algandmed!AW539:BD539))*Settings!$G$300))/SQRT(Algandmed!BE539)</f>
        <v>#DIV/0!</v>
      </c>
      <c r="V646" s="209"/>
    </row>
    <row r="647" spans="2:22">
      <c r="B647" s="208"/>
      <c r="C647" s="165"/>
      <c r="D647" s="165"/>
      <c r="E647" s="165"/>
      <c r="F647" s="236"/>
      <c r="G647" s="237"/>
      <c r="H647" s="237"/>
      <c r="I647" s="238"/>
      <c r="J647" s="238"/>
      <c r="K647" s="238"/>
      <c r="L647" s="238"/>
      <c r="M647" s="236"/>
      <c r="N647" s="237"/>
      <c r="O647" s="165"/>
      <c r="P647" s="238"/>
      <c r="Q647" s="238"/>
      <c r="R647" s="238"/>
      <c r="S647" s="238"/>
      <c r="T647" s="236"/>
      <c r="U647" s="237"/>
      <c r="V647" s="209"/>
    </row>
    <row r="648" spans="2:22">
      <c r="B648" s="208">
        <f>Algandmed!AE541</f>
        <v>0</v>
      </c>
      <c r="C648" s="165">
        <f>SUM(Algandmed!AE541:AH541)</f>
        <v>0</v>
      </c>
      <c r="D648" s="165">
        <f>C648+Algandmed!AI541+Algandmed!AJ541+Algandmed!AK541</f>
        <v>0</v>
      </c>
      <c r="E648" s="165">
        <f>Algandmed!AM541</f>
        <v>0</v>
      </c>
      <c r="F648" s="236" t="e">
        <f>SUM(Algandmed!AE541:AL541)/Algandmed!AM541</f>
        <v>#DIV/0!</v>
      </c>
      <c r="G648" s="237" t="e">
        <f>(($G$292*Algandmed!AE541)+($G$293*Algandmed!AF541)+($G$294*Algandmed!AG541)+($G$295*Algandmed!AH541)+($G$296*Algandmed!AI541)+($G$297*Algandmed!AJ541)+($G$298*Algandmed!AK541)+($G$299*Algandmed!AL541)+((Algandmed!AM541-SUM(Algandmed!AE541:AL541))*Settings!$G$300))/SQRT(Algandmed!AM541)</f>
        <v>#DIV/0!</v>
      </c>
      <c r="H648" s="237"/>
      <c r="I648" s="238">
        <f>Algandmed!AN541</f>
        <v>0</v>
      </c>
      <c r="J648" s="238">
        <f>SUM(Algandmed!AN541:AQ541)</f>
        <v>0</v>
      </c>
      <c r="K648" s="238">
        <f>J648+Algandmed!AR541+Algandmed!AS541+Algandmed!AT541</f>
        <v>0</v>
      </c>
      <c r="L648" s="238">
        <f>Algandmed!AV541</f>
        <v>0</v>
      </c>
      <c r="M648" s="236" t="e">
        <f>SUM(Algandmed!AN541:'Algandmed'!AU541)/Algandmed!AV541</f>
        <v>#DIV/0!</v>
      </c>
      <c r="N648" s="237" t="e">
        <f>(($G$292*Algandmed!AN541)+($G$293*Algandmed!AO541)+($G$294*Algandmed!AP541)+($G$295*Algandmed!AQ541)+($G$296*Algandmed!AR541)+($G$297*Algandmed!AS541)+($G$298*Algandmed!AT541)+($G$299*Algandmed!AU541)+((Algandmed!AV541-SUM(Algandmed!AN541:AU541))*Settings!$G$300))/SQRT(Algandmed!AV541)</f>
        <v>#DIV/0!</v>
      </c>
      <c r="O648" s="165"/>
      <c r="P648" s="238">
        <f>Algandmed!AW541</f>
        <v>0</v>
      </c>
      <c r="Q648" s="238">
        <f>SUM(Algandmed!AW541:AZ541)</f>
        <v>0</v>
      </c>
      <c r="R648" s="238">
        <f>Q648+Algandmed!BA541+Algandmed!BB541+Algandmed!BC541</f>
        <v>0</v>
      </c>
      <c r="S648" s="238">
        <f>Algandmed!BE541</f>
        <v>0</v>
      </c>
      <c r="T648" s="236" t="e">
        <f>SUM(Algandmed!AW541:BD541)/Algandmed!BE541</f>
        <v>#DIV/0!</v>
      </c>
      <c r="U648" s="237" t="e">
        <f>(($G$292*Algandmed!AW541)+($G$293*Algandmed!AX541)+($G$294*Algandmed!AY541)+($G$295*Algandmed!AZ541)+($G$296*Algandmed!BA541)+($G$297*Algandmed!BB541)+($G$298*Algandmed!BC541)+($G$299*Algandmed!BD541)+((Algandmed!BE541-SUM(Algandmed!AW541:BD541))*Settings!$G$300))/SQRT(Algandmed!BE541)</f>
        <v>#DIV/0!</v>
      </c>
      <c r="V648" s="209"/>
    </row>
    <row r="649" spans="2:22">
      <c r="B649" s="208"/>
      <c r="C649" s="165"/>
      <c r="D649" s="165"/>
      <c r="E649" s="165"/>
      <c r="F649" s="236"/>
      <c r="G649" s="237"/>
      <c r="H649" s="237"/>
      <c r="I649" s="238"/>
      <c r="J649" s="238"/>
      <c r="K649" s="238"/>
      <c r="L649" s="238"/>
      <c r="M649" s="236"/>
      <c r="N649" s="237"/>
      <c r="O649" s="165"/>
      <c r="P649" s="238"/>
      <c r="Q649" s="238"/>
      <c r="R649" s="238"/>
      <c r="S649" s="238"/>
      <c r="T649" s="236"/>
      <c r="U649" s="237"/>
      <c r="V649" s="209"/>
    </row>
    <row r="650" spans="2:22">
      <c r="B650" s="208">
        <f>Algandmed!AE543</f>
        <v>0</v>
      </c>
      <c r="C650" s="165">
        <f>SUM(Algandmed!AE543:AH543)</f>
        <v>0</v>
      </c>
      <c r="D650" s="165">
        <f>C650+Algandmed!AI543+Algandmed!AJ543+Algandmed!AK543</f>
        <v>0</v>
      </c>
      <c r="E650" s="165">
        <f>Algandmed!AM543</f>
        <v>0</v>
      </c>
      <c r="F650" s="236" t="e">
        <f>SUM(Algandmed!AE543:AL543)/Algandmed!AM543</f>
        <v>#DIV/0!</v>
      </c>
      <c r="G650" s="237" t="e">
        <f>(($G$292*Algandmed!AE543)+($G$293*Algandmed!AF543)+($G$294*Algandmed!AG543)+($G$295*Algandmed!AH543)+($G$296*Algandmed!AI543)+($G$297*Algandmed!AJ543)+($G$298*Algandmed!AK543)+($G$299*Algandmed!AL543)+((Algandmed!AM543-SUM(Algandmed!AE543:AL543))*Settings!$G$300))/SQRT(Algandmed!AM543)</f>
        <v>#DIV/0!</v>
      </c>
      <c r="H650" s="237"/>
      <c r="I650" s="238">
        <f>Algandmed!AN543</f>
        <v>0</v>
      </c>
      <c r="J650" s="238">
        <f>SUM(Algandmed!AN543:AQ543)</f>
        <v>0</v>
      </c>
      <c r="K650" s="238">
        <f>J650+Algandmed!AR543+Algandmed!AS543+Algandmed!AT543</f>
        <v>0</v>
      </c>
      <c r="L650" s="238">
        <f>Algandmed!AV543</f>
        <v>0</v>
      </c>
      <c r="M650" s="236" t="e">
        <f>SUM(Algandmed!AN543:'Algandmed'!AU543)/Algandmed!AV543</f>
        <v>#DIV/0!</v>
      </c>
      <c r="N650" s="237" t="e">
        <f>(($G$292*Algandmed!AN543)+($G$293*Algandmed!AO543)+($G$294*Algandmed!AP543)+($G$295*Algandmed!AQ543)+($G$296*Algandmed!AR543)+($G$297*Algandmed!AS543)+($G$298*Algandmed!AT543)+($G$299*Algandmed!AU543)+((Algandmed!AV543-SUM(Algandmed!AN543:AU543))*Settings!$G$300))/SQRT(Algandmed!AV543)</f>
        <v>#DIV/0!</v>
      </c>
      <c r="O650" s="165"/>
      <c r="P650" s="238">
        <f>Algandmed!AW543</f>
        <v>0</v>
      </c>
      <c r="Q650" s="238">
        <f>SUM(Algandmed!AW543:AZ543)</f>
        <v>0</v>
      </c>
      <c r="R650" s="238">
        <f>Q650+Algandmed!BA543+Algandmed!BB543+Algandmed!BC543</f>
        <v>0</v>
      </c>
      <c r="S650" s="238">
        <f>Algandmed!BE543</f>
        <v>0</v>
      </c>
      <c r="T650" s="236" t="e">
        <f>SUM(Algandmed!AW543:BD543)/Algandmed!BE543</f>
        <v>#DIV/0!</v>
      </c>
      <c r="U650" s="237" t="e">
        <f>(($G$292*Algandmed!AW543)+($G$293*Algandmed!AX543)+($G$294*Algandmed!AY543)+($G$295*Algandmed!AZ543)+($G$296*Algandmed!BA543)+($G$297*Algandmed!BB543)+($G$298*Algandmed!BC543)+($G$299*Algandmed!BD543)+((Algandmed!BE543-SUM(Algandmed!AW543:BD543))*Settings!$G$300))/SQRT(Algandmed!BE543)</f>
        <v>#DIV/0!</v>
      </c>
      <c r="V650" s="209"/>
    </row>
    <row r="651" spans="2:22">
      <c r="B651" s="208"/>
      <c r="C651" s="165"/>
      <c r="D651" s="165"/>
      <c r="E651" s="165"/>
      <c r="F651" s="236"/>
      <c r="G651" s="237"/>
      <c r="H651" s="237"/>
      <c r="I651" s="238"/>
      <c r="J651" s="238"/>
      <c r="K651" s="238"/>
      <c r="L651" s="238"/>
      <c r="M651" s="236"/>
      <c r="N651" s="237"/>
      <c r="O651" s="165"/>
      <c r="P651" s="238"/>
      <c r="Q651" s="238"/>
      <c r="R651" s="238"/>
      <c r="S651" s="238"/>
      <c r="T651" s="236"/>
      <c r="U651" s="237"/>
      <c r="V651" s="209"/>
    </row>
    <row r="652" spans="2:22">
      <c r="B652" s="208">
        <f>Algandmed!AE545</f>
        <v>0</v>
      </c>
      <c r="C652" s="165">
        <f>SUM(Algandmed!AE545:AH545)</f>
        <v>0</v>
      </c>
      <c r="D652" s="165">
        <f>C652+Algandmed!AI545+Algandmed!AJ545+Algandmed!AK545</f>
        <v>0</v>
      </c>
      <c r="E652" s="165">
        <f>Algandmed!AM545</f>
        <v>0</v>
      </c>
      <c r="F652" s="236" t="e">
        <f>SUM(Algandmed!AE545:AL545)/Algandmed!AM545</f>
        <v>#DIV/0!</v>
      </c>
      <c r="G652" s="237" t="e">
        <f>(($G$292*Algandmed!AE545)+($G$293*Algandmed!AF545)+($G$294*Algandmed!AG545)+($G$295*Algandmed!AH545)+($G$296*Algandmed!AI545)+($G$297*Algandmed!AJ545)+($G$298*Algandmed!AK545)+($G$299*Algandmed!AL545)+((Algandmed!AM545-SUM(Algandmed!AE545:AL545))*Settings!$G$300))/SQRT(Algandmed!AM545)</f>
        <v>#DIV/0!</v>
      </c>
      <c r="H652" s="237"/>
      <c r="I652" s="238">
        <f>Algandmed!AN545</f>
        <v>0</v>
      </c>
      <c r="J652" s="238">
        <f>SUM(Algandmed!AN545:AQ545)</f>
        <v>0</v>
      </c>
      <c r="K652" s="238">
        <f>J652+Algandmed!AR545+Algandmed!AS545+Algandmed!AT545</f>
        <v>0</v>
      </c>
      <c r="L652" s="238">
        <f>Algandmed!AV545</f>
        <v>0</v>
      </c>
      <c r="M652" s="236" t="e">
        <f>SUM(Algandmed!AN545:'Algandmed'!AU545)/Algandmed!AV545</f>
        <v>#DIV/0!</v>
      </c>
      <c r="N652" s="237" t="e">
        <f>(($G$292*Algandmed!AN545)+($G$293*Algandmed!AO545)+($G$294*Algandmed!AP545)+($G$295*Algandmed!AQ545)+($G$296*Algandmed!AR545)+($G$297*Algandmed!AS545)+($G$298*Algandmed!AT545)+($G$299*Algandmed!AU545)+((Algandmed!AV545-SUM(Algandmed!AN545:AU545))*Settings!$G$300))/SQRT(Algandmed!AV545)</f>
        <v>#DIV/0!</v>
      </c>
      <c r="O652" s="165"/>
      <c r="P652" s="238">
        <f>Algandmed!AW545</f>
        <v>0</v>
      </c>
      <c r="Q652" s="238">
        <f>SUM(Algandmed!AW545:AZ545)</f>
        <v>0</v>
      </c>
      <c r="R652" s="238">
        <f>Q652+Algandmed!BA545+Algandmed!BB545+Algandmed!BC545</f>
        <v>0</v>
      </c>
      <c r="S652" s="238">
        <f>Algandmed!BE545</f>
        <v>0</v>
      </c>
      <c r="T652" s="236" t="e">
        <f>SUM(Algandmed!AW545:BD545)/Algandmed!BE545</f>
        <v>#DIV/0!</v>
      </c>
      <c r="U652" s="237" t="e">
        <f>(($G$292*Algandmed!AW545)+($G$293*Algandmed!AX545)+($G$294*Algandmed!AY545)+($G$295*Algandmed!AZ545)+($G$296*Algandmed!BA545)+($G$297*Algandmed!BB545)+($G$298*Algandmed!BC545)+($G$299*Algandmed!BD545)+((Algandmed!BE545-SUM(Algandmed!AW545:BD545))*Settings!$G$300))/SQRT(Algandmed!BE545)</f>
        <v>#DIV/0!</v>
      </c>
      <c r="V652" s="209"/>
    </row>
    <row r="653" spans="2:22">
      <c r="B653" s="208"/>
      <c r="C653" s="165"/>
      <c r="D653" s="165"/>
      <c r="E653" s="165"/>
      <c r="F653" s="236"/>
      <c r="G653" s="237"/>
      <c r="H653" s="237"/>
      <c r="I653" s="238"/>
      <c r="J653" s="238"/>
      <c r="K653" s="238"/>
      <c r="L653" s="238"/>
      <c r="M653" s="236"/>
      <c r="N653" s="237"/>
      <c r="O653" s="165"/>
      <c r="P653" s="238"/>
      <c r="Q653" s="238"/>
      <c r="R653" s="238"/>
      <c r="S653" s="238"/>
      <c r="T653" s="236"/>
      <c r="U653" s="237"/>
      <c r="V653" s="209"/>
    </row>
    <row r="654" spans="2:22">
      <c r="B654" s="208"/>
      <c r="C654" s="165"/>
      <c r="D654" s="165"/>
      <c r="E654" s="165"/>
      <c r="F654" s="236"/>
      <c r="G654" s="237"/>
      <c r="H654" s="237"/>
      <c r="I654" s="238">
        <f>Algandmed!AN547</f>
        <v>0</v>
      </c>
      <c r="J654" s="238">
        <f>SUM(Algandmed!AN547:AQ547)</f>
        <v>0</v>
      </c>
      <c r="K654" s="238">
        <f>J654+Algandmed!AR547+Algandmed!AS547+Algandmed!AT547</f>
        <v>0</v>
      </c>
      <c r="L654" s="238">
        <f>Algandmed!AV547</f>
        <v>0</v>
      </c>
      <c r="M654" s="236" t="e">
        <f>SUM(Algandmed!AN547:'Algandmed'!AU547)/Algandmed!AV547</f>
        <v>#DIV/0!</v>
      </c>
      <c r="N654" s="237" t="e">
        <f>(($G$292*Algandmed!AN547)+($G$293*Algandmed!AO547)+($G$294*Algandmed!AP547)+($G$295*Algandmed!AQ547)+($G$296*Algandmed!AR547)+($G$297*Algandmed!AS547)+($G$298*Algandmed!AT547)+($G$299*Algandmed!AU547)+((Algandmed!AV547-SUM(Algandmed!AN547:AU547))*Settings!$G$300))/SQRT(Algandmed!AV547)</f>
        <v>#DIV/0!</v>
      </c>
      <c r="O654" s="165"/>
      <c r="P654" s="238"/>
      <c r="Q654" s="238"/>
      <c r="R654" s="238"/>
      <c r="S654" s="238"/>
      <c r="T654" s="236"/>
      <c r="U654" s="237"/>
      <c r="V654" s="209"/>
    </row>
    <row r="655" spans="2:22">
      <c r="B655" s="208"/>
      <c r="C655" s="165"/>
      <c r="D655" s="165"/>
      <c r="E655" s="165"/>
      <c r="F655" s="236"/>
      <c r="G655" s="237"/>
      <c r="H655" s="237"/>
      <c r="I655" s="238"/>
      <c r="J655" s="238"/>
      <c r="K655" s="238"/>
      <c r="L655" s="238"/>
      <c r="M655" s="236"/>
      <c r="N655" s="237"/>
      <c r="O655" s="165"/>
      <c r="P655" s="238"/>
      <c r="Q655" s="238"/>
      <c r="R655" s="238"/>
      <c r="S655" s="238"/>
      <c r="T655" s="236"/>
      <c r="U655" s="237"/>
      <c r="V655" s="209"/>
    </row>
    <row r="656" spans="2:22">
      <c r="B656" s="208">
        <f>Algandmed!AE549</f>
        <v>0</v>
      </c>
      <c r="C656" s="165">
        <f>SUM(Algandmed!AE549:AH549)</f>
        <v>0</v>
      </c>
      <c r="D656" s="165">
        <f>C656+Algandmed!AI549+Algandmed!AJ549+Algandmed!AK549</f>
        <v>0</v>
      </c>
      <c r="E656" s="165">
        <f>Algandmed!AM549</f>
        <v>0</v>
      </c>
      <c r="F656" s="236" t="e">
        <f>SUM(Algandmed!AE549:AL549)/Algandmed!AM549</f>
        <v>#DIV/0!</v>
      </c>
      <c r="G656" s="237" t="e">
        <f>(($G$292*Algandmed!AE549)+($G$293*Algandmed!AF549)+($G$294*Algandmed!AG549)+($G$295*Algandmed!AH549)+($G$296*Algandmed!AI549)+($G$297*Algandmed!AJ549)+($G$298*Algandmed!AK549)+($G$299*Algandmed!AL549)+((Algandmed!AM549-SUM(Algandmed!AE549:AL549))*Settings!$G$300))/SQRT(Algandmed!AM549)</f>
        <v>#DIV/0!</v>
      </c>
      <c r="H656" s="237"/>
      <c r="I656" s="238">
        <f>Algandmed!AN549</f>
        <v>0</v>
      </c>
      <c r="J656" s="238">
        <f>SUM(Algandmed!AN549:AQ549)</f>
        <v>0</v>
      </c>
      <c r="K656" s="238">
        <f>J656+Algandmed!AR549+Algandmed!AS549+Algandmed!AT549</f>
        <v>0</v>
      </c>
      <c r="L656" s="238">
        <f>Algandmed!AV549</f>
        <v>0</v>
      </c>
      <c r="M656" s="236" t="e">
        <f>SUM(Algandmed!AN549:'Algandmed'!AU549)/Algandmed!AV549</f>
        <v>#DIV/0!</v>
      </c>
      <c r="N656" s="237" t="e">
        <f>(($G$292*Algandmed!AN549)+($G$293*Algandmed!AO549)+($G$294*Algandmed!AP549)+($G$295*Algandmed!AQ549)+($G$296*Algandmed!AR549)+($G$297*Algandmed!AS549)+($G$298*Algandmed!AT549)+($G$299*Algandmed!AU549)+((Algandmed!AV549-SUM(Algandmed!AN549:AU549))*Settings!$G$300))/SQRT(Algandmed!AV549)</f>
        <v>#DIV/0!</v>
      </c>
      <c r="O656" s="165"/>
      <c r="P656" s="238">
        <f>Algandmed!AW549</f>
        <v>0</v>
      </c>
      <c r="Q656" s="238">
        <f>SUM(Algandmed!AW549:AZ549)</f>
        <v>0</v>
      </c>
      <c r="R656" s="238">
        <f>Q656+Algandmed!BA549+Algandmed!BB549+Algandmed!BC549</f>
        <v>0</v>
      </c>
      <c r="S656" s="238">
        <f>Algandmed!BE549</f>
        <v>0</v>
      </c>
      <c r="T656" s="236" t="e">
        <f>SUM(Algandmed!AW549:BD549)/Algandmed!BE549</f>
        <v>#DIV/0!</v>
      </c>
      <c r="U656" s="237" t="e">
        <f>(($G$292*Algandmed!AW549)+($G$293*Algandmed!AX549)+($G$294*Algandmed!AY549)+($G$295*Algandmed!AZ549)+($G$296*Algandmed!BA549)+($G$297*Algandmed!BB549)+($G$298*Algandmed!BC549)+($G$299*Algandmed!BD549)+((Algandmed!BE549-SUM(Algandmed!AW549:BD549))*Settings!$G$300))/SQRT(Algandmed!BE549)</f>
        <v>#DIV/0!</v>
      </c>
      <c r="V656" s="209"/>
    </row>
    <row r="657" spans="1:22">
      <c r="B657" s="208"/>
      <c r="C657" s="165"/>
      <c r="D657" s="165"/>
      <c r="E657" s="165"/>
      <c r="F657" s="236"/>
      <c r="G657" s="237"/>
      <c r="H657" s="237"/>
      <c r="I657" s="238"/>
      <c r="J657" s="238"/>
      <c r="K657" s="238"/>
      <c r="L657" s="238"/>
      <c r="M657" s="236"/>
      <c r="N657" s="237"/>
      <c r="O657" s="165"/>
      <c r="P657" s="238"/>
      <c r="Q657" s="238"/>
      <c r="R657" s="238"/>
      <c r="S657" s="238"/>
      <c r="T657" s="236"/>
      <c r="U657" s="237"/>
      <c r="V657" s="209"/>
    </row>
    <row r="658" spans="1:22">
      <c r="B658" s="212"/>
      <c r="C658" s="213"/>
      <c r="D658" s="213"/>
      <c r="E658" s="213"/>
      <c r="F658" s="240"/>
      <c r="G658" s="241"/>
      <c r="H658" s="213"/>
      <c r="I658" s="213"/>
      <c r="J658" s="213"/>
      <c r="K658" s="213"/>
      <c r="L658" s="213"/>
      <c r="M658" s="213"/>
      <c r="N658" s="213"/>
      <c r="O658" s="213"/>
      <c r="P658" s="213"/>
      <c r="Q658" s="213"/>
      <c r="R658" s="213"/>
      <c r="S658" s="213"/>
      <c r="T658" s="213"/>
      <c r="U658" s="213"/>
      <c r="V658" s="214"/>
    </row>
    <row r="661" spans="1:22">
      <c r="A661" t="s">
        <v>440</v>
      </c>
      <c r="B661" s="205"/>
      <c r="C661" s="206"/>
      <c r="D661" s="206"/>
      <c r="E661" s="206"/>
      <c r="F661" s="206"/>
      <c r="G661" s="206"/>
      <c r="H661" s="206"/>
      <c r="I661" s="206"/>
      <c r="J661" s="206"/>
      <c r="K661" s="206"/>
      <c r="L661" s="206"/>
      <c r="M661" s="206"/>
      <c r="N661" s="206"/>
      <c r="O661" s="206"/>
      <c r="P661" s="206"/>
      <c r="Q661" s="206"/>
      <c r="R661" s="206"/>
      <c r="S661" s="207"/>
      <c r="T661" s="165"/>
      <c r="U661" s="165"/>
      <c r="V661" s="165"/>
    </row>
    <row r="662" spans="1:22">
      <c r="B662" s="244" t="s">
        <v>397</v>
      </c>
      <c r="C662" s="245" t="s">
        <v>398</v>
      </c>
      <c r="D662" s="165" t="s">
        <v>5</v>
      </c>
      <c r="E662" s="165" t="s">
        <v>1</v>
      </c>
      <c r="F662" s="165"/>
      <c r="G662" s="165"/>
      <c r="H662" s="165"/>
      <c r="I662" s="165"/>
      <c r="J662" s="165"/>
      <c r="K662" s="165"/>
      <c r="L662" s="165"/>
      <c r="M662" s="165"/>
      <c r="N662" s="165"/>
      <c r="O662" s="165"/>
      <c r="P662" s="165"/>
      <c r="Q662" s="165"/>
      <c r="R662" s="165"/>
      <c r="S662" s="209"/>
      <c r="T662" s="165"/>
      <c r="U662" s="165"/>
      <c r="V662" s="165"/>
    </row>
    <row r="663" spans="1:22">
      <c r="A663" s="208" t="s">
        <v>731</v>
      </c>
      <c r="B663">
        <v>1</v>
      </c>
      <c r="C663" s="165">
        <v>999</v>
      </c>
      <c r="D663" s="226"/>
      <c r="E663" s="227"/>
      <c r="F663" s="165"/>
      <c r="G663" s="165" t="s">
        <v>332</v>
      </c>
      <c r="H663" s="165"/>
      <c r="I663" s="165"/>
      <c r="J663" s="165"/>
      <c r="K663" s="165"/>
      <c r="L663" s="165"/>
      <c r="M663" s="165"/>
      <c r="N663" s="165"/>
      <c r="O663" s="165"/>
      <c r="P663" s="390" t="s">
        <v>396</v>
      </c>
      <c r="Q663" s="390"/>
      <c r="R663" s="390"/>
      <c r="S663" s="209"/>
      <c r="T663" s="165"/>
      <c r="U663" s="165"/>
      <c r="V663" s="165"/>
    </row>
    <row r="664" spans="1:22">
      <c r="A664" s="208"/>
      <c r="B664">
        <v>0.5</v>
      </c>
      <c r="C664" s="165">
        <v>0.99</v>
      </c>
      <c r="D664" s="165"/>
      <c r="E664" s="165"/>
      <c r="F664" s="165"/>
      <c r="G664" s="165"/>
      <c r="H664" s="165"/>
      <c r="I664" s="165"/>
      <c r="J664" s="165"/>
      <c r="K664" s="165"/>
      <c r="L664" s="165"/>
      <c r="M664" s="165"/>
      <c r="N664" s="165"/>
      <c r="O664" s="165"/>
      <c r="P664" s="390"/>
      <c r="Q664" s="390"/>
      <c r="R664" s="390"/>
      <c r="S664" s="209"/>
      <c r="T664" s="165"/>
      <c r="U664" s="165"/>
      <c r="V664" s="165"/>
    </row>
    <row r="665" spans="1:22">
      <c r="A665" s="208"/>
      <c r="B665">
        <v>-999</v>
      </c>
      <c r="C665" s="165">
        <v>0.49</v>
      </c>
      <c r="D665" s="227"/>
      <c r="E665" s="226"/>
      <c r="F665" s="165"/>
      <c r="G665" s="165"/>
      <c r="H665" s="165"/>
      <c r="I665" s="165"/>
      <c r="J665" s="165"/>
      <c r="K665" s="165"/>
      <c r="L665" s="165"/>
      <c r="M665" s="165"/>
      <c r="N665" s="165"/>
      <c r="O665" s="165"/>
      <c r="P665" s="390"/>
      <c r="Q665" s="390"/>
      <c r="R665" s="390"/>
      <c r="S665" s="209"/>
      <c r="T665" s="165"/>
      <c r="U665" s="165"/>
      <c r="V665" s="165"/>
    </row>
    <row r="666" spans="1:22">
      <c r="A666" s="208"/>
      <c r="C666" s="165"/>
      <c r="D666" s="165"/>
      <c r="E666" s="165"/>
      <c r="F666" s="165"/>
      <c r="G666" s="165" t="s">
        <v>343</v>
      </c>
      <c r="H666" s="165"/>
      <c r="I666" s="165"/>
      <c r="J666" s="165"/>
      <c r="K666" s="165"/>
      <c r="L666" s="165"/>
      <c r="M666" s="165"/>
      <c r="N666" s="165"/>
      <c r="O666" s="165"/>
      <c r="P666" s="390"/>
      <c r="Q666" s="390"/>
      <c r="R666" s="390"/>
      <c r="S666" s="209"/>
      <c r="T666" s="165"/>
      <c r="U666" s="165"/>
      <c r="V666" s="165"/>
    </row>
    <row r="667" spans="1:22">
      <c r="A667" s="208" t="s">
        <v>322</v>
      </c>
      <c r="B667">
        <v>8</v>
      </c>
      <c r="C667" s="165">
        <v>999</v>
      </c>
      <c r="D667" s="226"/>
      <c r="E667" s="227"/>
      <c r="F667" s="165"/>
      <c r="G667" s="165"/>
      <c r="H667" s="165"/>
      <c r="I667" s="165"/>
      <c r="J667" s="165"/>
      <c r="K667" s="165"/>
      <c r="L667" s="165"/>
      <c r="M667" s="165"/>
      <c r="N667" s="165"/>
      <c r="O667" s="165"/>
      <c r="P667" s="165"/>
      <c r="Q667" s="165"/>
      <c r="R667" s="165"/>
      <c r="S667" s="209"/>
      <c r="T667" s="165"/>
      <c r="U667" s="165"/>
      <c r="V667" s="165"/>
    </row>
    <row r="668" spans="1:22">
      <c r="A668" s="208"/>
      <c r="B668">
        <v>5.0999999999999996</v>
      </c>
      <c r="C668" s="165">
        <v>7.9</v>
      </c>
      <c r="D668" s="165"/>
      <c r="E668" s="165"/>
      <c r="F668" s="165"/>
      <c r="G668" s="165"/>
      <c r="H668" s="165"/>
      <c r="I668" s="165"/>
      <c r="J668" s="165"/>
      <c r="K668" s="165"/>
      <c r="L668" s="165"/>
      <c r="M668" s="165"/>
      <c r="N668" s="165"/>
      <c r="O668" s="165"/>
      <c r="P668" s="165"/>
      <c r="Q668" s="165"/>
      <c r="R668" s="165"/>
      <c r="S668" s="209"/>
      <c r="T668" s="165"/>
      <c r="U668" s="165"/>
      <c r="V668" s="165"/>
    </row>
    <row r="669" spans="1:22">
      <c r="A669" s="208"/>
      <c r="B669">
        <v>-9999</v>
      </c>
      <c r="C669" s="165">
        <v>5</v>
      </c>
      <c r="D669" s="227"/>
      <c r="E669" s="226"/>
      <c r="F669" s="165"/>
      <c r="G669" s="165"/>
      <c r="H669" s="165"/>
      <c r="I669" s="165"/>
      <c r="J669" s="165"/>
      <c r="K669" s="165"/>
      <c r="L669" s="165"/>
      <c r="M669" s="165"/>
      <c r="N669" s="165"/>
      <c r="O669" s="165"/>
      <c r="P669" s="165"/>
      <c r="Q669" s="165"/>
      <c r="R669" s="165"/>
      <c r="S669" s="209"/>
      <c r="T669" s="165"/>
      <c r="U669" s="165"/>
      <c r="V669" s="165"/>
    </row>
    <row r="670" spans="1:22">
      <c r="B670" s="208"/>
      <c r="C670" s="165"/>
      <c r="D670" s="165"/>
      <c r="E670" s="165"/>
      <c r="F670" s="165"/>
      <c r="G670" s="165"/>
      <c r="H670" s="165"/>
      <c r="I670" s="165"/>
      <c r="J670" s="165"/>
      <c r="K670" s="165"/>
      <c r="L670" s="165"/>
      <c r="M670" s="165"/>
      <c r="N670" s="165"/>
      <c r="O670" s="165"/>
      <c r="P670" s="165"/>
      <c r="Q670" s="165"/>
      <c r="R670" s="165"/>
      <c r="S670" s="209"/>
      <c r="T670" s="165"/>
      <c r="U670" s="165"/>
      <c r="V670" s="165"/>
    </row>
    <row r="671" spans="1:22">
      <c r="B671" s="208" t="s">
        <v>323</v>
      </c>
      <c r="C671" s="165"/>
      <c r="D671" s="165"/>
      <c r="E671" s="226"/>
      <c r="F671" s="165"/>
      <c r="G671" s="165"/>
      <c r="H671" s="165"/>
      <c r="I671" s="165"/>
      <c r="J671" s="165"/>
      <c r="K671" s="165"/>
      <c r="L671" s="165"/>
      <c r="M671" s="165"/>
      <c r="N671" s="165"/>
      <c r="O671" s="165"/>
      <c r="P671" s="165"/>
      <c r="Q671" s="165"/>
      <c r="R671" s="165"/>
      <c r="S671" s="209"/>
      <c r="T671" s="165"/>
      <c r="U671" s="165"/>
      <c r="V671" s="165"/>
    </row>
    <row r="672" spans="1:22">
      <c r="B672" s="208" t="s">
        <v>324</v>
      </c>
      <c r="C672" s="165"/>
      <c r="D672" s="165"/>
      <c r="E672" s="227"/>
      <c r="F672" s="165"/>
      <c r="G672" s="165"/>
      <c r="H672" s="165"/>
      <c r="I672" s="165"/>
      <c r="J672" s="165"/>
      <c r="K672" s="165"/>
      <c r="L672" s="165"/>
      <c r="M672" s="165"/>
      <c r="N672" s="165"/>
      <c r="O672" s="165"/>
      <c r="P672" s="165"/>
      <c r="Q672" s="165"/>
      <c r="R672" s="165"/>
      <c r="S672" s="209"/>
      <c r="T672" s="165"/>
      <c r="U672" s="165"/>
      <c r="V672" s="165"/>
    </row>
    <row r="673" spans="1:22">
      <c r="A673" t="s">
        <v>457</v>
      </c>
      <c r="B673" s="208"/>
      <c r="C673" s="165"/>
      <c r="D673" s="165"/>
      <c r="E673" s="165"/>
      <c r="F673" s="165"/>
      <c r="G673" s="165"/>
      <c r="H673" s="165"/>
      <c r="I673" s="165"/>
      <c r="J673" s="165"/>
      <c r="K673" s="165"/>
      <c r="L673" s="165"/>
      <c r="M673" s="165"/>
      <c r="N673" s="165"/>
      <c r="O673" s="165"/>
      <c r="P673" s="165"/>
      <c r="Q673" s="165"/>
      <c r="R673" s="165"/>
      <c r="S673" s="209"/>
      <c r="T673" s="165"/>
      <c r="U673" s="165"/>
      <c r="V673" s="165"/>
    </row>
    <row r="674" spans="1:22">
      <c r="B674" s="208"/>
      <c r="C674" s="165"/>
      <c r="D674" s="165"/>
      <c r="E674" s="165"/>
      <c r="F674" s="165"/>
      <c r="G674" s="165"/>
      <c r="H674" s="165"/>
      <c r="I674" s="165"/>
      <c r="J674" s="165"/>
      <c r="K674" s="165"/>
      <c r="L674" s="165"/>
      <c r="M674" s="165"/>
      <c r="N674" s="165"/>
      <c r="O674" s="165"/>
      <c r="P674" s="165"/>
      <c r="Q674" s="165"/>
      <c r="R674" s="165"/>
      <c r="S674" s="209"/>
      <c r="T674" s="165"/>
      <c r="U674" s="165"/>
      <c r="V674" s="165"/>
    </row>
    <row r="675" spans="1:22">
      <c r="B675" s="208" t="s">
        <v>399</v>
      </c>
      <c r="C675" s="165"/>
      <c r="D675" s="165"/>
      <c r="E675" s="165"/>
      <c r="F675" s="165"/>
      <c r="G675" s="165"/>
      <c r="H675" s="165"/>
      <c r="I675" s="165"/>
      <c r="J675" s="165"/>
      <c r="K675" s="165"/>
      <c r="L675" s="165"/>
      <c r="M675" s="165"/>
      <c r="N675" s="165"/>
      <c r="O675" s="165"/>
      <c r="P675" s="165"/>
      <c r="Q675" s="165"/>
      <c r="R675" s="165"/>
      <c r="S675" s="209"/>
      <c r="T675" s="165"/>
      <c r="U675" s="165"/>
      <c r="V675" s="165"/>
    </row>
    <row r="676" spans="1:22">
      <c r="B676" s="208"/>
      <c r="C676" s="165"/>
      <c r="D676" s="165"/>
      <c r="E676" s="165"/>
      <c r="F676" s="165"/>
      <c r="G676" s="165"/>
      <c r="H676" s="165"/>
      <c r="I676" s="165"/>
      <c r="J676" s="165"/>
      <c r="K676" s="165"/>
      <c r="L676" s="165"/>
      <c r="M676" s="165"/>
      <c r="N676" s="165"/>
      <c r="O676" s="165"/>
      <c r="P676" s="165"/>
      <c r="Q676" s="165"/>
      <c r="R676" s="165"/>
      <c r="S676" s="209"/>
      <c r="T676" s="165"/>
      <c r="U676" s="165"/>
      <c r="V676" s="165"/>
    </row>
    <row r="677" spans="1:22">
      <c r="B677" s="208"/>
      <c r="C677" s="165"/>
      <c r="D677" s="165"/>
      <c r="E677" s="165"/>
      <c r="F677" s="165"/>
      <c r="G677" s="165"/>
      <c r="H677" s="165"/>
      <c r="I677" s="165"/>
      <c r="J677" s="165"/>
      <c r="K677" s="165"/>
      <c r="L677" s="165"/>
      <c r="M677" s="165"/>
      <c r="N677" s="165"/>
      <c r="O677" s="165"/>
      <c r="P677" s="165"/>
      <c r="Q677" s="165"/>
      <c r="R677" s="165"/>
      <c r="S677" s="209"/>
      <c r="T677" s="165"/>
      <c r="U677" s="165"/>
      <c r="V677" s="165"/>
    </row>
    <row r="678" spans="1:22">
      <c r="B678" s="208"/>
      <c r="C678" s="165"/>
      <c r="D678" s="165"/>
      <c r="E678" s="165"/>
      <c r="F678" s="165"/>
      <c r="G678" s="165"/>
      <c r="H678" s="165"/>
      <c r="I678" s="165"/>
      <c r="J678" s="165"/>
      <c r="K678" s="165"/>
      <c r="L678" s="165"/>
      <c r="M678" s="165"/>
      <c r="N678" s="165"/>
      <c r="O678" s="165"/>
      <c r="P678" s="165"/>
      <c r="Q678" s="165"/>
      <c r="R678" s="165"/>
      <c r="S678" s="209"/>
      <c r="T678" s="165"/>
      <c r="U678" s="165"/>
      <c r="V678" s="165"/>
    </row>
    <row r="679" spans="1:22">
      <c r="B679" s="208"/>
      <c r="C679" s="165"/>
      <c r="D679" s="165"/>
      <c r="E679" s="165"/>
      <c r="F679" s="165"/>
      <c r="G679" s="165"/>
      <c r="H679" s="165"/>
      <c r="I679" s="165"/>
      <c r="J679" s="165"/>
      <c r="K679" s="165"/>
      <c r="L679" s="165"/>
      <c r="M679" s="165"/>
      <c r="N679" s="165"/>
      <c r="O679" s="165"/>
      <c r="P679" s="165"/>
      <c r="Q679" s="165"/>
      <c r="R679" s="165"/>
      <c r="S679" s="209"/>
      <c r="T679" s="165"/>
      <c r="U679" s="165"/>
      <c r="V679" s="165"/>
    </row>
    <row r="680" spans="1:22">
      <c r="B680" s="212"/>
      <c r="C680" s="213"/>
      <c r="D680" s="213"/>
      <c r="E680" s="213"/>
      <c r="F680" s="213"/>
      <c r="G680" s="213"/>
      <c r="H680" s="213"/>
      <c r="I680" s="213"/>
      <c r="J680" s="213"/>
      <c r="K680" s="213"/>
      <c r="L680" s="213"/>
      <c r="M680" s="213"/>
      <c r="N680" s="213"/>
      <c r="O680" s="213"/>
      <c r="P680" s="213"/>
      <c r="Q680" s="213"/>
      <c r="R680" s="213"/>
      <c r="S680" s="214"/>
      <c r="T680" s="165"/>
      <c r="U680" s="165"/>
      <c r="V680" s="165"/>
    </row>
    <row r="681" spans="1:22">
      <c r="B681" s="165"/>
      <c r="C681" s="165"/>
      <c r="D681" s="165"/>
      <c r="E681" s="165"/>
      <c r="F681" s="165"/>
      <c r="G681" s="165"/>
      <c r="H681" s="165"/>
      <c r="I681" s="165"/>
      <c r="J681" s="165"/>
      <c r="K681" s="165"/>
      <c r="L681" s="165"/>
      <c r="M681" s="165"/>
      <c r="N681" s="165"/>
      <c r="O681" s="165"/>
      <c r="P681" s="165"/>
      <c r="Q681" s="165"/>
      <c r="R681" s="165"/>
      <c r="S681" s="165"/>
      <c r="T681" s="165"/>
      <c r="U681" s="165"/>
      <c r="V681" s="165"/>
    </row>
    <row r="682" spans="1:22">
      <c r="A682" t="s">
        <v>437</v>
      </c>
      <c r="B682" s="165"/>
      <c r="C682" s="165"/>
      <c r="D682" s="165"/>
      <c r="E682" s="165"/>
      <c r="F682" s="165"/>
      <c r="G682" s="165"/>
      <c r="H682" s="165"/>
      <c r="I682" s="165"/>
      <c r="J682" s="165"/>
      <c r="K682" s="165"/>
      <c r="L682" s="165"/>
      <c r="M682" s="165"/>
      <c r="N682" s="165"/>
      <c r="O682" s="165"/>
      <c r="P682" s="165"/>
      <c r="Q682" s="165"/>
      <c r="R682" s="165"/>
      <c r="S682" s="165"/>
      <c r="T682" s="165"/>
      <c r="U682" s="165"/>
      <c r="V682" s="165"/>
    </row>
    <row r="683" spans="1:22">
      <c r="B683" s="205"/>
      <c r="C683" s="206"/>
      <c r="D683" s="206"/>
      <c r="E683" s="206"/>
      <c r="F683" s="206"/>
      <c r="G683" s="206"/>
      <c r="H683" s="206"/>
      <c r="I683" s="206"/>
      <c r="J683" s="206"/>
      <c r="K683" s="206"/>
      <c r="L683" s="206"/>
      <c r="M683" s="206"/>
      <c r="N683" s="206"/>
      <c r="O683" s="206"/>
      <c r="P683" s="206"/>
      <c r="Q683" s="206"/>
      <c r="R683" s="206"/>
      <c r="S683" s="207"/>
      <c r="T683" s="165"/>
      <c r="U683" s="165"/>
      <c r="V683" s="165"/>
    </row>
    <row r="684" spans="1:22">
      <c r="A684" s="244" t="s">
        <v>397</v>
      </c>
      <c r="C684" s="245" t="s">
        <v>398</v>
      </c>
      <c r="D684" s="165" t="s">
        <v>5</v>
      </c>
      <c r="E684" s="165" t="s">
        <v>1</v>
      </c>
      <c r="F684" s="165"/>
      <c r="G684" s="165"/>
      <c r="H684" s="165"/>
      <c r="I684" s="165"/>
      <c r="J684" s="165"/>
      <c r="K684" s="165"/>
      <c r="L684" s="165"/>
      <c r="M684" s="165"/>
      <c r="N684" s="165"/>
      <c r="O684" s="165"/>
      <c r="P684" s="165"/>
      <c r="Q684" s="165"/>
      <c r="R684" s="165"/>
      <c r="S684" s="209"/>
      <c r="T684" s="165"/>
      <c r="U684" s="165"/>
      <c r="V684" s="165"/>
    </row>
    <row r="685" spans="1:22">
      <c r="A685" s="208" t="s">
        <v>731</v>
      </c>
      <c r="B685">
        <v>1</v>
      </c>
      <c r="C685" s="165">
        <v>999</v>
      </c>
      <c r="D685" s="226"/>
      <c r="E685" s="227"/>
      <c r="F685" s="165"/>
      <c r="G685" s="165" t="s">
        <v>332</v>
      </c>
      <c r="H685" s="165"/>
      <c r="I685" s="165"/>
      <c r="J685" s="165"/>
      <c r="K685" s="165"/>
      <c r="L685" s="165"/>
      <c r="M685" s="165"/>
      <c r="N685" s="165"/>
      <c r="O685" s="165"/>
      <c r="P685" s="390" t="s">
        <v>406</v>
      </c>
      <c r="Q685" s="390"/>
      <c r="R685" s="390"/>
      <c r="S685" s="209"/>
      <c r="T685" s="165"/>
      <c r="U685" s="165"/>
      <c r="V685" s="165"/>
    </row>
    <row r="686" spans="1:22">
      <c r="A686" s="208"/>
      <c r="B686">
        <v>0.5</v>
      </c>
      <c r="C686" s="165">
        <v>0.99</v>
      </c>
      <c r="D686" s="165"/>
      <c r="E686" s="165"/>
      <c r="F686" s="165"/>
      <c r="G686" s="165"/>
      <c r="H686" s="165"/>
      <c r="I686" s="165"/>
      <c r="J686" s="165"/>
      <c r="K686" s="165"/>
      <c r="L686" s="165"/>
      <c r="M686" s="165"/>
      <c r="N686" s="165"/>
      <c r="O686" s="165"/>
      <c r="P686" s="390"/>
      <c r="Q686" s="390"/>
      <c r="R686" s="390"/>
      <c r="S686" s="209"/>
      <c r="T686" s="165"/>
      <c r="U686" s="165"/>
      <c r="V686" s="165"/>
    </row>
    <row r="687" spans="1:22">
      <c r="A687" s="208"/>
      <c r="B687">
        <v>-999</v>
      </c>
      <c r="C687" s="165">
        <v>0.49</v>
      </c>
      <c r="D687" s="227"/>
      <c r="E687" s="226"/>
      <c r="F687" s="165"/>
      <c r="G687" s="165"/>
      <c r="H687" s="165"/>
      <c r="I687" s="165"/>
      <c r="J687" s="165"/>
      <c r="K687" s="165"/>
      <c r="L687" s="165"/>
      <c r="M687" s="165"/>
      <c r="N687" s="165"/>
      <c r="O687" s="165"/>
      <c r="P687" s="390"/>
      <c r="Q687" s="390"/>
      <c r="R687" s="390"/>
      <c r="S687" s="209"/>
      <c r="T687" s="165"/>
      <c r="U687" s="165"/>
      <c r="V687" s="165"/>
    </row>
    <row r="688" spans="1:22">
      <c r="A688" s="208"/>
      <c r="C688" s="165"/>
      <c r="D688" s="165"/>
      <c r="E688" s="165"/>
      <c r="F688" s="165"/>
      <c r="G688" s="165" t="s">
        <v>343</v>
      </c>
      <c r="H688" s="165"/>
      <c r="I688" s="165"/>
      <c r="J688" s="165"/>
      <c r="K688" s="165"/>
      <c r="L688" s="165"/>
      <c r="M688" s="165"/>
      <c r="N688" s="165"/>
      <c r="O688" s="165"/>
      <c r="P688" s="390"/>
      <c r="Q688" s="390"/>
      <c r="R688" s="390"/>
      <c r="S688" s="209"/>
      <c r="T688" s="165"/>
      <c r="U688" s="165"/>
      <c r="V688" s="165"/>
    </row>
    <row r="689" spans="1:22">
      <c r="A689" s="208" t="s">
        <v>322</v>
      </c>
      <c r="B689">
        <v>8</v>
      </c>
      <c r="C689" s="165">
        <v>999</v>
      </c>
      <c r="D689" s="226"/>
      <c r="E689" s="227"/>
      <c r="F689" s="165"/>
      <c r="G689" s="165"/>
      <c r="H689" s="165"/>
      <c r="I689" s="165"/>
      <c r="J689" s="165"/>
      <c r="K689" s="165"/>
      <c r="L689" s="165"/>
      <c r="M689" s="165"/>
      <c r="N689" s="165"/>
      <c r="O689" s="165"/>
      <c r="P689" s="165"/>
      <c r="Q689" s="165"/>
      <c r="R689" s="165"/>
      <c r="S689" s="209"/>
      <c r="T689" s="165"/>
      <c r="U689" s="165"/>
      <c r="V689" s="165"/>
    </row>
    <row r="690" spans="1:22">
      <c r="A690" s="208"/>
      <c r="B690">
        <v>5.0999999999999996</v>
      </c>
      <c r="C690" s="165">
        <v>7.9</v>
      </c>
      <c r="D690" s="165"/>
      <c r="E690" s="165"/>
      <c r="F690" s="165"/>
      <c r="G690" s="165"/>
      <c r="H690" s="165"/>
      <c r="I690" s="165"/>
      <c r="J690" s="165"/>
      <c r="K690" s="165"/>
      <c r="L690" s="165"/>
      <c r="M690" s="165"/>
      <c r="N690" s="165"/>
      <c r="O690" s="165"/>
      <c r="P690" s="165"/>
      <c r="Q690" s="165"/>
      <c r="R690" s="165"/>
      <c r="S690" s="209"/>
      <c r="T690" s="165"/>
      <c r="U690" s="165"/>
      <c r="V690" s="165"/>
    </row>
    <row r="691" spans="1:22">
      <c r="A691" s="208"/>
      <c r="B691">
        <v>-999</v>
      </c>
      <c r="C691" s="165">
        <v>5</v>
      </c>
      <c r="D691" s="227"/>
      <c r="E691" s="226"/>
      <c r="F691" s="165"/>
      <c r="G691" s="165"/>
      <c r="H691" s="165"/>
      <c r="I691" s="165"/>
      <c r="J691" s="165"/>
      <c r="K691" s="165"/>
      <c r="L691" s="165"/>
      <c r="M691" s="165"/>
      <c r="N691" s="165"/>
      <c r="O691" s="165"/>
      <c r="P691" s="165"/>
      <c r="Q691" s="165"/>
      <c r="R691" s="165"/>
      <c r="S691" s="209"/>
      <c r="T691" s="165"/>
      <c r="U691" s="165"/>
      <c r="V691" s="165"/>
    </row>
    <row r="692" spans="1:22">
      <c r="B692" s="208"/>
      <c r="C692" s="165"/>
      <c r="D692" s="165"/>
      <c r="E692" s="165"/>
      <c r="F692" s="165"/>
      <c r="G692" s="165"/>
      <c r="H692" s="165"/>
      <c r="I692" s="165"/>
      <c r="J692" s="165"/>
      <c r="K692" s="165"/>
      <c r="L692" s="165"/>
      <c r="M692" s="165"/>
      <c r="N692" s="165"/>
      <c r="O692" s="165"/>
      <c r="P692" s="165"/>
      <c r="Q692" s="165"/>
      <c r="R692" s="165"/>
      <c r="S692" s="209"/>
      <c r="T692" s="165"/>
      <c r="U692" s="165"/>
      <c r="V692" s="165"/>
    </row>
    <row r="693" spans="1:22">
      <c r="B693" s="208" t="s">
        <v>323</v>
      </c>
      <c r="C693" s="165"/>
      <c r="D693" s="165"/>
      <c r="E693" s="226"/>
      <c r="F693" s="165"/>
      <c r="G693" s="165"/>
      <c r="H693" s="165"/>
      <c r="I693" s="165"/>
      <c r="J693" s="165"/>
      <c r="K693" s="165"/>
      <c r="L693" s="165"/>
      <c r="M693" s="165"/>
      <c r="N693" s="165"/>
      <c r="O693" s="165"/>
      <c r="P693" s="165"/>
      <c r="Q693" s="165"/>
      <c r="R693" s="165"/>
      <c r="S693" s="209"/>
      <c r="T693" s="165"/>
      <c r="U693" s="165"/>
      <c r="V693" s="165"/>
    </row>
    <row r="694" spans="1:22">
      <c r="B694" s="208" t="s">
        <v>324</v>
      </c>
      <c r="C694" s="165"/>
      <c r="D694" s="165"/>
      <c r="E694" s="227"/>
      <c r="F694" s="165"/>
      <c r="G694" s="165"/>
      <c r="H694" s="165"/>
      <c r="I694" s="165"/>
      <c r="J694" s="165"/>
      <c r="K694" s="165"/>
      <c r="L694" s="165"/>
      <c r="M694" s="165"/>
      <c r="N694" s="165"/>
      <c r="O694" s="165"/>
      <c r="P694" s="165"/>
      <c r="Q694" s="165"/>
      <c r="R694" s="165"/>
      <c r="S694" s="209"/>
      <c r="T694" s="165"/>
      <c r="U694" s="165"/>
      <c r="V694" s="165"/>
    </row>
    <row r="695" spans="1:22">
      <c r="B695" s="208"/>
      <c r="C695" s="165"/>
      <c r="D695" s="165"/>
      <c r="E695" s="165"/>
      <c r="F695" s="165"/>
      <c r="G695" s="165"/>
      <c r="H695" s="165"/>
      <c r="I695" s="165"/>
      <c r="J695" s="165"/>
      <c r="K695" s="165"/>
      <c r="L695" s="165"/>
      <c r="M695" s="165"/>
      <c r="N695" s="165"/>
      <c r="O695" s="165"/>
      <c r="P695" s="165"/>
      <c r="Q695" s="165"/>
      <c r="R695" s="165"/>
      <c r="S695" s="209"/>
      <c r="T695" s="165"/>
      <c r="U695" s="165"/>
      <c r="V695" s="165"/>
    </row>
    <row r="696" spans="1:22">
      <c r="B696" s="208"/>
      <c r="C696" s="165"/>
      <c r="D696" s="165"/>
      <c r="E696" s="165"/>
      <c r="F696" s="165"/>
      <c r="G696" s="165"/>
      <c r="H696" s="165"/>
      <c r="I696" s="165"/>
      <c r="J696" s="165"/>
      <c r="K696" s="165"/>
      <c r="L696" s="165"/>
      <c r="M696" s="165"/>
      <c r="N696" s="165"/>
      <c r="O696" s="165"/>
      <c r="P696" s="165"/>
      <c r="Q696" s="165"/>
      <c r="R696" s="165"/>
      <c r="S696" s="209"/>
      <c r="T696" s="165"/>
      <c r="U696" s="165"/>
      <c r="V696" s="165"/>
    </row>
    <row r="697" spans="1:22">
      <c r="B697" s="208" t="s">
        <v>399</v>
      </c>
      <c r="C697" s="165"/>
      <c r="D697" s="165"/>
      <c r="E697" s="165"/>
      <c r="F697" s="165"/>
      <c r="G697" s="165"/>
      <c r="H697" s="165"/>
      <c r="I697" s="165"/>
      <c r="J697" s="165"/>
      <c r="K697" s="165"/>
      <c r="L697" s="165"/>
      <c r="M697" s="165"/>
      <c r="N697" s="165"/>
      <c r="O697" s="165"/>
      <c r="P697" s="165"/>
      <c r="Q697" s="165"/>
      <c r="R697" s="165"/>
      <c r="S697" s="209"/>
      <c r="T697" s="165"/>
      <c r="U697" s="165"/>
      <c r="V697" s="165"/>
    </row>
    <row r="698" spans="1:22">
      <c r="B698" s="208"/>
      <c r="C698" s="165"/>
      <c r="D698" s="165"/>
      <c r="E698" s="165"/>
      <c r="F698" s="165"/>
      <c r="G698" s="165"/>
      <c r="H698" s="165"/>
      <c r="I698" s="165"/>
      <c r="J698" s="165"/>
      <c r="K698" s="165"/>
      <c r="L698" s="165"/>
      <c r="M698" s="165"/>
      <c r="N698" s="165"/>
      <c r="O698" s="165"/>
      <c r="P698" s="165"/>
      <c r="Q698" s="165"/>
      <c r="R698" s="165"/>
      <c r="S698" s="209"/>
      <c r="T698" s="165"/>
      <c r="U698" s="165"/>
      <c r="V698" s="165"/>
    </row>
    <row r="699" spans="1:22">
      <c r="B699" s="208"/>
      <c r="C699" s="165"/>
      <c r="D699" s="165"/>
      <c r="E699" s="165"/>
      <c r="F699" s="165"/>
      <c r="G699" s="165"/>
      <c r="H699" s="165"/>
      <c r="I699" s="165"/>
      <c r="J699" s="165"/>
      <c r="K699" s="165"/>
      <c r="L699" s="165"/>
      <c r="M699" s="165"/>
      <c r="N699" s="165"/>
      <c r="O699" s="165"/>
      <c r="P699" s="165"/>
      <c r="Q699" s="165"/>
      <c r="R699" s="165"/>
      <c r="S699" s="209"/>
      <c r="T699" s="165"/>
      <c r="U699" s="165"/>
      <c r="V699" s="165"/>
    </row>
    <row r="700" spans="1:22">
      <c r="B700" s="208"/>
      <c r="C700" s="165"/>
      <c r="D700" s="165"/>
      <c r="E700" s="165"/>
      <c r="F700" s="165"/>
      <c r="G700" s="165"/>
      <c r="H700" s="165"/>
      <c r="I700" s="165"/>
      <c r="J700" s="165"/>
      <c r="K700" s="165"/>
      <c r="L700" s="165"/>
      <c r="M700" s="165"/>
      <c r="N700" s="165"/>
      <c r="O700" s="165"/>
      <c r="P700" s="165"/>
      <c r="Q700" s="165"/>
      <c r="R700" s="165"/>
      <c r="S700" s="209"/>
      <c r="T700" s="165"/>
      <c r="U700" s="165"/>
      <c r="V700" s="165"/>
    </row>
    <row r="701" spans="1:22">
      <c r="B701" s="208"/>
      <c r="C701" s="165"/>
      <c r="D701" s="165"/>
      <c r="E701" s="165"/>
      <c r="F701" s="165"/>
      <c r="G701" s="165"/>
      <c r="H701" s="165"/>
      <c r="I701" s="165"/>
      <c r="J701" s="165"/>
      <c r="K701" s="165"/>
      <c r="L701" s="165"/>
      <c r="M701" s="165"/>
      <c r="N701" s="165"/>
      <c r="O701" s="165"/>
      <c r="P701" s="165"/>
      <c r="Q701" s="165"/>
      <c r="R701" s="165"/>
      <c r="S701" s="209"/>
      <c r="T701" s="165"/>
      <c r="U701" s="165"/>
      <c r="V701" s="165"/>
    </row>
    <row r="702" spans="1:22">
      <c r="B702" s="212"/>
      <c r="C702" s="213"/>
      <c r="D702" s="213"/>
      <c r="E702" s="213"/>
      <c r="F702" s="213"/>
      <c r="G702" s="213"/>
      <c r="H702" s="213"/>
      <c r="I702" s="213"/>
      <c r="J702" s="213"/>
      <c r="K702" s="213"/>
      <c r="L702" s="213"/>
      <c r="M702" s="213"/>
      <c r="N702" s="213"/>
      <c r="O702" s="213"/>
      <c r="P702" s="213"/>
      <c r="Q702" s="213"/>
      <c r="R702" s="213"/>
      <c r="S702" s="214"/>
      <c r="T702" s="165"/>
      <c r="U702" s="165"/>
      <c r="V702" s="165"/>
    </row>
    <row r="703" spans="1:22">
      <c r="B703" s="165"/>
      <c r="C703" s="165"/>
      <c r="D703" s="165"/>
      <c r="E703" s="165"/>
      <c r="F703" s="165"/>
      <c r="G703" s="165"/>
      <c r="H703" s="165"/>
      <c r="I703" s="165"/>
      <c r="J703" s="165"/>
      <c r="K703" s="165"/>
      <c r="L703" s="165"/>
      <c r="M703" s="165"/>
      <c r="N703" s="165"/>
      <c r="O703" s="165"/>
      <c r="P703" s="165"/>
      <c r="Q703" s="165"/>
      <c r="R703" s="165"/>
      <c r="S703" s="165"/>
      <c r="T703" s="165"/>
      <c r="U703" s="165"/>
      <c r="V703" s="165"/>
    </row>
    <row r="704" spans="1:22">
      <c r="B704" s="165"/>
      <c r="C704" s="165"/>
      <c r="D704" s="165"/>
      <c r="E704" s="165"/>
      <c r="F704" s="165"/>
      <c r="G704" s="165"/>
      <c r="H704" s="165"/>
      <c r="I704" s="165"/>
      <c r="J704" s="165"/>
      <c r="K704" s="165"/>
      <c r="L704" s="165"/>
      <c r="M704" s="165"/>
      <c r="N704" s="165"/>
      <c r="O704" s="165"/>
      <c r="P704" s="165"/>
      <c r="Q704" s="165"/>
      <c r="R704" s="165"/>
      <c r="S704" s="165"/>
      <c r="T704" s="165"/>
      <c r="U704" s="165"/>
      <c r="V704" s="165"/>
    </row>
    <row r="705" spans="1:22">
      <c r="A705" t="s">
        <v>445</v>
      </c>
      <c r="B705" s="205"/>
      <c r="C705" s="206"/>
      <c r="D705" s="206"/>
      <c r="E705" s="206"/>
      <c r="F705" s="206"/>
      <c r="G705" s="206"/>
      <c r="H705" s="206"/>
      <c r="I705" s="206"/>
      <c r="J705" s="206"/>
      <c r="K705" s="206"/>
      <c r="L705" s="206"/>
      <c r="M705" s="206"/>
      <c r="N705" s="206"/>
      <c r="O705" s="206"/>
      <c r="P705" s="206"/>
      <c r="Q705" s="206"/>
      <c r="R705" s="206"/>
      <c r="S705" s="207"/>
      <c r="T705" s="165"/>
      <c r="U705" s="165"/>
      <c r="V705" s="165"/>
    </row>
    <row r="706" spans="1:22">
      <c r="A706" s="244" t="s">
        <v>397</v>
      </c>
      <c r="C706" s="245" t="s">
        <v>398</v>
      </c>
      <c r="D706" s="165" t="s">
        <v>5</v>
      </c>
      <c r="E706" s="165" t="s">
        <v>1</v>
      </c>
      <c r="F706" s="165"/>
      <c r="G706" s="165"/>
      <c r="H706" s="165"/>
      <c r="I706" s="165"/>
      <c r="J706" s="165"/>
      <c r="K706" s="165"/>
      <c r="L706" s="165"/>
      <c r="M706" s="165"/>
      <c r="N706" s="165"/>
      <c r="O706" s="165"/>
      <c r="P706" s="165"/>
      <c r="Q706" s="165"/>
      <c r="R706" s="165"/>
      <c r="S706" s="209"/>
      <c r="T706" s="165"/>
      <c r="U706" s="165"/>
      <c r="V706" s="165"/>
    </row>
    <row r="707" spans="1:22">
      <c r="A707" s="208" t="s">
        <v>731</v>
      </c>
      <c r="B707">
        <v>1</v>
      </c>
      <c r="C707" s="165">
        <v>999</v>
      </c>
      <c r="D707" s="226"/>
      <c r="E707" s="227"/>
      <c r="F707" s="165"/>
      <c r="G707" s="165" t="s">
        <v>332</v>
      </c>
      <c r="H707" s="165"/>
      <c r="I707" s="165"/>
      <c r="J707" s="165"/>
      <c r="K707" s="165"/>
      <c r="L707" s="165"/>
      <c r="M707" s="165"/>
      <c r="N707" s="165"/>
      <c r="O707" s="165"/>
      <c r="P707" s="390" t="s">
        <v>407</v>
      </c>
      <c r="Q707" s="390"/>
      <c r="R707" s="390"/>
      <c r="S707" s="209"/>
      <c r="T707" s="165"/>
      <c r="U707" s="165"/>
      <c r="V707" s="165"/>
    </row>
    <row r="708" spans="1:22">
      <c r="A708" s="208"/>
      <c r="B708">
        <v>0.5</v>
      </c>
      <c r="C708" s="165">
        <v>0.99</v>
      </c>
      <c r="D708" s="165"/>
      <c r="E708" s="165"/>
      <c r="F708" s="165"/>
      <c r="G708" s="165"/>
      <c r="H708" s="165"/>
      <c r="I708" s="165"/>
      <c r="J708" s="165"/>
      <c r="K708" s="165"/>
      <c r="L708" s="165"/>
      <c r="M708" s="165"/>
      <c r="N708" s="165"/>
      <c r="O708" s="165"/>
      <c r="P708" s="390"/>
      <c r="Q708" s="390"/>
      <c r="R708" s="390"/>
      <c r="S708" s="209"/>
      <c r="T708" s="165"/>
      <c r="U708" s="165"/>
      <c r="V708" s="165"/>
    </row>
    <row r="709" spans="1:22">
      <c r="A709" s="208"/>
      <c r="B709">
        <v>-999</v>
      </c>
      <c r="C709" s="165">
        <v>0.49</v>
      </c>
      <c r="D709" s="227"/>
      <c r="E709" s="226"/>
      <c r="F709" s="165"/>
      <c r="G709" s="165"/>
      <c r="H709" s="165"/>
      <c r="I709" s="165"/>
      <c r="J709" s="165"/>
      <c r="K709" s="165"/>
      <c r="L709" s="165"/>
      <c r="M709" s="165"/>
      <c r="N709" s="165"/>
      <c r="O709" s="165"/>
      <c r="P709" s="390"/>
      <c r="Q709" s="390"/>
      <c r="R709" s="390"/>
      <c r="S709" s="209"/>
      <c r="T709" s="165"/>
      <c r="U709" s="165"/>
      <c r="V709" s="165"/>
    </row>
    <row r="710" spans="1:22">
      <c r="A710" s="208"/>
      <c r="C710" s="165"/>
      <c r="D710" s="165"/>
      <c r="E710" s="165"/>
      <c r="F710" s="165"/>
      <c r="G710" s="165" t="s">
        <v>343</v>
      </c>
      <c r="H710" s="165"/>
      <c r="I710" s="165"/>
      <c r="J710" s="165"/>
      <c r="K710" s="165"/>
      <c r="L710" s="165"/>
      <c r="M710" s="165"/>
      <c r="N710" s="165"/>
      <c r="O710" s="165"/>
      <c r="P710" s="390"/>
      <c r="Q710" s="390"/>
      <c r="R710" s="390"/>
      <c r="S710" s="209"/>
      <c r="T710" s="165"/>
      <c r="U710" s="165"/>
      <c r="V710" s="165"/>
    </row>
    <row r="711" spans="1:22">
      <c r="A711" s="208" t="s">
        <v>322</v>
      </c>
      <c r="B711">
        <v>8</v>
      </c>
      <c r="C711" s="165">
        <v>999</v>
      </c>
      <c r="D711" s="226"/>
      <c r="E711" s="227"/>
      <c r="F711" s="165"/>
      <c r="G711" s="165"/>
      <c r="H711" s="165"/>
      <c r="I711" s="165"/>
      <c r="J711" s="165"/>
      <c r="K711" s="165"/>
      <c r="L711" s="165"/>
      <c r="M711" s="165"/>
      <c r="N711" s="165"/>
      <c r="O711" s="165"/>
      <c r="P711" s="165"/>
      <c r="Q711" s="165"/>
      <c r="R711" s="165"/>
      <c r="S711" s="209"/>
      <c r="T711" s="165"/>
      <c r="U711" s="165"/>
      <c r="V711" s="165"/>
    </row>
    <row r="712" spans="1:22">
      <c r="A712" s="208"/>
      <c r="B712">
        <v>5.0999999999999996</v>
      </c>
      <c r="C712" s="165">
        <v>7.9</v>
      </c>
      <c r="D712" s="165"/>
      <c r="E712" s="165"/>
      <c r="F712" s="165"/>
      <c r="G712" s="165"/>
      <c r="H712" s="165"/>
      <c r="I712" s="165"/>
      <c r="J712" s="165"/>
      <c r="K712" s="165"/>
      <c r="L712" s="165"/>
      <c r="M712" s="165"/>
      <c r="N712" s="165"/>
      <c r="O712" s="165"/>
      <c r="P712" s="165"/>
      <c r="Q712" s="165"/>
      <c r="R712" s="165"/>
      <c r="S712" s="209"/>
      <c r="T712" s="165"/>
      <c r="U712" s="165"/>
      <c r="V712" s="165"/>
    </row>
    <row r="713" spans="1:22">
      <c r="A713" s="208"/>
      <c r="B713">
        <v>-999</v>
      </c>
      <c r="C713" s="165">
        <v>5</v>
      </c>
      <c r="D713" s="227"/>
      <c r="E713" s="226"/>
      <c r="F713" s="165"/>
      <c r="G713" s="165"/>
      <c r="H713" s="165"/>
      <c r="I713" s="165"/>
      <c r="J713" s="165"/>
      <c r="K713" s="165"/>
      <c r="L713" s="165"/>
      <c r="M713" s="165"/>
      <c r="N713" s="165"/>
      <c r="O713" s="165"/>
      <c r="P713" s="165"/>
      <c r="Q713" s="165"/>
      <c r="R713" s="165"/>
      <c r="S713" s="209"/>
    </row>
    <row r="714" spans="1:22">
      <c r="B714" s="208"/>
      <c r="C714" s="165"/>
      <c r="D714" s="165"/>
      <c r="E714" s="165"/>
      <c r="F714" s="165"/>
      <c r="G714" s="165"/>
      <c r="H714" s="165"/>
      <c r="I714" s="165"/>
      <c r="J714" s="165"/>
      <c r="K714" s="165"/>
      <c r="L714" s="165"/>
      <c r="M714" s="165"/>
      <c r="N714" s="165"/>
      <c r="O714" s="165"/>
      <c r="P714" s="165"/>
      <c r="Q714" s="165"/>
      <c r="R714" s="165"/>
      <c r="S714" s="209"/>
    </row>
    <row r="715" spans="1:22">
      <c r="B715" s="208" t="s">
        <v>323</v>
      </c>
      <c r="C715" s="165"/>
      <c r="D715" s="165"/>
      <c r="E715" s="226"/>
      <c r="F715" s="165"/>
      <c r="G715" s="165"/>
      <c r="H715" s="165"/>
      <c r="I715" s="165"/>
      <c r="J715" s="165"/>
      <c r="K715" s="165"/>
      <c r="L715" s="165"/>
      <c r="M715" s="165"/>
      <c r="N715" s="165"/>
      <c r="O715" s="165"/>
      <c r="P715" s="165"/>
      <c r="Q715" s="165"/>
      <c r="R715" s="165"/>
      <c r="S715" s="209"/>
    </row>
    <row r="716" spans="1:22">
      <c r="B716" s="208" t="s">
        <v>324</v>
      </c>
      <c r="C716" s="165"/>
      <c r="D716" s="165"/>
      <c r="E716" s="227"/>
      <c r="F716" s="165"/>
      <c r="G716" s="165"/>
      <c r="H716" s="165"/>
      <c r="I716" s="165"/>
      <c r="J716" s="165"/>
      <c r="K716" s="165"/>
      <c r="L716" s="165"/>
      <c r="M716" s="165"/>
      <c r="N716" s="165"/>
      <c r="O716" s="165"/>
      <c r="P716" s="165"/>
      <c r="Q716" s="165"/>
      <c r="R716" s="165"/>
      <c r="S716" s="209"/>
    </row>
    <row r="717" spans="1:22">
      <c r="B717" s="208"/>
      <c r="C717" s="165"/>
      <c r="D717" s="165"/>
      <c r="E717" s="165"/>
      <c r="F717" s="165"/>
      <c r="G717" s="165"/>
      <c r="H717" s="165"/>
      <c r="I717" s="165"/>
      <c r="J717" s="165"/>
      <c r="K717" s="165"/>
      <c r="L717" s="165"/>
      <c r="M717" s="165"/>
      <c r="N717" s="165"/>
      <c r="O717" s="165"/>
      <c r="P717" s="165"/>
      <c r="Q717" s="165"/>
      <c r="R717" s="165"/>
      <c r="S717" s="209"/>
    </row>
    <row r="718" spans="1:22">
      <c r="B718" s="208"/>
      <c r="C718" s="165"/>
      <c r="D718" s="165"/>
      <c r="E718" s="165"/>
      <c r="F718" s="165"/>
      <c r="G718" s="165"/>
      <c r="H718" s="165"/>
      <c r="I718" s="165"/>
      <c r="J718" s="165"/>
      <c r="K718" s="165"/>
      <c r="L718" s="165"/>
      <c r="M718" s="165"/>
      <c r="N718" s="165"/>
      <c r="O718" s="165"/>
      <c r="P718" s="165"/>
      <c r="Q718" s="165"/>
      <c r="R718" s="165"/>
      <c r="S718" s="209"/>
    </row>
    <row r="719" spans="1:22">
      <c r="B719" s="208" t="s">
        <v>399</v>
      </c>
      <c r="C719" s="165"/>
      <c r="D719" s="165"/>
      <c r="E719" s="165"/>
      <c r="F719" s="165"/>
      <c r="G719" s="165"/>
      <c r="H719" s="165"/>
      <c r="I719" s="165"/>
      <c r="J719" s="165"/>
      <c r="K719" s="165"/>
      <c r="L719" s="165"/>
      <c r="M719" s="165"/>
      <c r="N719" s="165"/>
      <c r="O719" s="165"/>
      <c r="P719" s="165"/>
      <c r="Q719" s="165"/>
      <c r="R719" s="165"/>
      <c r="S719" s="209"/>
    </row>
    <row r="720" spans="1:22">
      <c r="B720" s="208"/>
      <c r="C720" s="165"/>
      <c r="D720" s="165"/>
      <c r="E720" s="165"/>
      <c r="F720" s="165"/>
      <c r="G720" s="165"/>
      <c r="H720" s="165"/>
      <c r="I720" s="165"/>
      <c r="J720" s="165"/>
      <c r="K720" s="165"/>
      <c r="L720" s="165"/>
      <c r="M720" s="165"/>
      <c r="N720" s="165"/>
      <c r="O720" s="165"/>
      <c r="P720" s="165"/>
      <c r="Q720" s="165"/>
      <c r="R720" s="165"/>
      <c r="S720" s="209"/>
    </row>
    <row r="721" spans="2:19">
      <c r="B721" s="208"/>
      <c r="C721" s="165"/>
      <c r="D721" s="165"/>
      <c r="E721" s="165"/>
      <c r="F721" s="165"/>
      <c r="G721" s="165"/>
      <c r="H721" s="165"/>
      <c r="I721" s="165"/>
      <c r="J721" s="165"/>
      <c r="K721" s="165"/>
      <c r="L721" s="165"/>
      <c r="M721" s="165"/>
      <c r="N721" s="165"/>
      <c r="O721" s="165"/>
      <c r="P721" s="165"/>
      <c r="Q721" s="165"/>
      <c r="R721" s="165"/>
      <c r="S721" s="209"/>
    </row>
    <row r="722" spans="2:19">
      <c r="B722" s="208"/>
      <c r="C722" s="165"/>
      <c r="D722" s="165"/>
      <c r="E722" s="165"/>
      <c r="F722" s="165"/>
      <c r="G722" s="165"/>
      <c r="H722" s="165"/>
      <c r="I722" s="165"/>
      <c r="J722" s="165"/>
      <c r="K722" s="165"/>
      <c r="L722" s="165"/>
      <c r="M722" s="165"/>
      <c r="N722" s="165"/>
      <c r="O722" s="165"/>
      <c r="P722" s="165"/>
      <c r="Q722" s="165"/>
      <c r="R722" s="165"/>
      <c r="S722" s="209"/>
    </row>
    <row r="723" spans="2:19">
      <c r="B723" s="208"/>
      <c r="C723" s="165"/>
      <c r="D723" s="165"/>
      <c r="E723" s="165"/>
      <c r="F723" s="165"/>
      <c r="G723" s="165"/>
      <c r="H723" s="165"/>
      <c r="I723" s="165"/>
      <c r="J723" s="165"/>
      <c r="K723" s="165"/>
      <c r="L723" s="165"/>
      <c r="M723" s="165"/>
      <c r="N723" s="165"/>
      <c r="O723" s="165"/>
      <c r="P723" s="165"/>
      <c r="Q723" s="165"/>
      <c r="R723" s="165"/>
      <c r="S723" s="209"/>
    </row>
    <row r="724" spans="2:19">
      <c r="B724" s="212"/>
      <c r="C724" s="213"/>
      <c r="D724" s="213"/>
      <c r="E724" s="213"/>
      <c r="F724" s="213"/>
      <c r="G724" s="213"/>
      <c r="H724" s="213"/>
      <c r="I724" s="213"/>
      <c r="J724" s="213"/>
      <c r="K724" s="213"/>
      <c r="L724" s="213"/>
      <c r="M724" s="213"/>
      <c r="N724" s="213"/>
      <c r="O724" s="213"/>
      <c r="P724" s="213"/>
      <c r="Q724" s="213"/>
      <c r="R724" s="213"/>
      <c r="S724" s="214"/>
    </row>
    <row r="727" spans="2:19">
      <c r="B727" s="205"/>
      <c r="C727" s="206"/>
      <c r="D727" s="206"/>
      <c r="E727" s="206"/>
      <c r="F727" s="206"/>
      <c r="G727" s="206"/>
      <c r="H727" s="206"/>
      <c r="I727" s="206"/>
      <c r="J727" s="206"/>
      <c r="K727" s="206"/>
      <c r="L727" s="206"/>
      <c r="M727" s="206"/>
      <c r="N727" s="206"/>
      <c r="O727" s="405" t="s">
        <v>408</v>
      </c>
      <c r="P727" s="405"/>
      <c r="Q727" s="405"/>
      <c r="R727" s="206"/>
      <c r="S727" s="207"/>
    </row>
    <row r="728" spans="2:19">
      <c r="B728" s="208"/>
      <c r="C728" s="165"/>
      <c r="D728" s="165"/>
      <c r="E728" s="165"/>
      <c r="F728" s="165"/>
      <c r="G728" s="165"/>
      <c r="H728" s="165"/>
      <c r="I728" s="165"/>
      <c r="J728" s="165"/>
      <c r="K728" s="165"/>
      <c r="L728" s="165"/>
      <c r="M728" s="165"/>
      <c r="N728" s="165"/>
      <c r="O728" s="406"/>
      <c r="P728" s="406"/>
      <c r="Q728" s="406"/>
      <c r="R728" s="165"/>
      <c r="S728" s="209"/>
    </row>
    <row r="729" spans="2:19">
      <c r="B729" s="208"/>
      <c r="C729" s="165"/>
      <c r="D729" s="165"/>
      <c r="E729" s="165"/>
      <c r="F729" s="165"/>
      <c r="G729" s="165"/>
      <c r="H729" s="165"/>
      <c r="I729" s="165"/>
      <c r="J729" s="165"/>
      <c r="K729" s="165"/>
      <c r="L729" s="165"/>
      <c r="M729" s="165"/>
      <c r="N729" s="165"/>
      <c r="O729" s="406"/>
      <c r="P729" s="406"/>
      <c r="Q729" s="406"/>
      <c r="R729" s="165"/>
      <c r="S729" s="209"/>
    </row>
    <row r="730" spans="2:19">
      <c r="B730" s="208"/>
      <c r="C730" s="165"/>
      <c r="D730" s="407" t="s">
        <v>410</v>
      </c>
      <c r="E730" s="407"/>
      <c r="F730" s="407"/>
      <c r="G730" s="407"/>
      <c r="H730" s="407"/>
      <c r="I730" s="407"/>
      <c r="J730" s="407"/>
      <c r="K730" s="407"/>
      <c r="L730" s="407"/>
      <c r="M730" s="165"/>
      <c r="N730" s="165"/>
      <c r="O730" s="406"/>
      <c r="P730" s="406"/>
      <c r="Q730" s="406"/>
      <c r="R730" s="165"/>
      <c r="S730" s="209"/>
    </row>
    <row r="731" spans="2:19">
      <c r="B731" s="208"/>
      <c r="C731" s="165"/>
      <c r="D731" s="407"/>
      <c r="E731" s="407"/>
      <c r="F731" s="407"/>
      <c r="G731" s="407"/>
      <c r="H731" s="407"/>
      <c r="I731" s="407"/>
      <c r="J731" s="407"/>
      <c r="K731" s="407"/>
      <c r="L731" s="407"/>
      <c r="M731" s="165"/>
      <c r="N731" s="165"/>
      <c r="O731" s="165"/>
      <c r="P731" s="165"/>
      <c r="Q731" s="165"/>
      <c r="R731" s="165"/>
      <c r="S731" s="209"/>
    </row>
    <row r="732" spans="2:19">
      <c r="B732" s="208"/>
      <c r="C732" s="165"/>
      <c r="D732" s="407"/>
      <c r="E732" s="407"/>
      <c r="F732" s="407"/>
      <c r="G732" s="407"/>
      <c r="H732" s="407"/>
      <c r="I732" s="407"/>
      <c r="J732" s="407"/>
      <c r="K732" s="407"/>
      <c r="L732" s="407"/>
      <c r="M732" s="165"/>
      <c r="N732" s="165"/>
      <c r="O732" s="165"/>
      <c r="P732" s="165"/>
      <c r="Q732" s="165"/>
      <c r="R732" s="165"/>
      <c r="S732" s="209"/>
    </row>
    <row r="733" spans="2:19">
      <c r="B733" s="208"/>
      <c r="C733" s="165"/>
      <c r="D733" s="407"/>
      <c r="E733" s="407"/>
      <c r="F733" s="407"/>
      <c r="G733" s="407"/>
      <c r="H733" s="407"/>
      <c r="I733" s="407"/>
      <c r="J733" s="407"/>
      <c r="K733" s="407"/>
      <c r="L733" s="407"/>
      <c r="M733" s="165"/>
      <c r="N733" s="165"/>
      <c r="O733" s="165"/>
      <c r="P733" s="165"/>
      <c r="Q733" s="165"/>
      <c r="R733" s="165"/>
      <c r="S733" s="209"/>
    </row>
    <row r="734" spans="2:19">
      <c r="B734" s="208"/>
      <c r="C734" s="165"/>
      <c r="D734" s="407"/>
      <c r="E734" s="407"/>
      <c r="F734" s="407"/>
      <c r="G734" s="407"/>
      <c r="H734" s="407"/>
      <c r="I734" s="407"/>
      <c r="J734" s="407"/>
      <c r="K734" s="407"/>
      <c r="L734" s="407"/>
      <c r="M734" s="165"/>
      <c r="N734" s="165"/>
      <c r="O734" s="406" t="s">
        <v>409</v>
      </c>
      <c r="P734" s="406"/>
      <c r="Q734" s="406"/>
      <c r="R734" s="165"/>
      <c r="S734" s="209"/>
    </row>
    <row r="735" spans="2:19">
      <c r="B735" s="208"/>
      <c r="C735" s="165"/>
      <c r="D735" s="165"/>
      <c r="E735" s="165"/>
      <c r="F735" s="165"/>
      <c r="G735" s="165"/>
      <c r="H735" s="165"/>
      <c r="I735" s="165"/>
      <c r="J735" s="165"/>
      <c r="K735" s="165"/>
      <c r="L735" s="165"/>
      <c r="M735" s="165"/>
      <c r="N735" s="165"/>
      <c r="O735" s="406"/>
      <c r="P735" s="406"/>
      <c r="Q735" s="406"/>
      <c r="R735" s="165"/>
      <c r="S735" s="209"/>
    </row>
    <row r="736" spans="2:19">
      <c r="B736" s="208"/>
      <c r="C736" s="165"/>
      <c r="D736" s="165"/>
      <c r="E736" s="165"/>
      <c r="F736" s="165"/>
      <c r="G736" s="165"/>
      <c r="H736" s="165"/>
      <c r="I736" s="165"/>
      <c r="J736" s="165"/>
      <c r="K736" s="165"/>
      <c r="L736" s="165"/>
      <c r="M736" s="165"/>
      <c r="N736" s="165"/>
      <c r="O736" s="406"/>
      <c r="P736" s="406"/>
      <c r="Q736" s="406"/>
      <c r="R736" s="165"/>
      <c r="S736" s="209"/>
    </row>
    <row r="737" spans="1:22">
      <c r="B737" s="208"/>
      <c r="C737" s="165"/>
      <c r="D737" s="165"/>
      <c r="E737" s="165"/>
      <c r="F737" s="165"/>
      <c r="G737" s="165"/>
      <c r="H737" s="165"/>
      <c r="I737" s="165"/>
      <c r="J737" s="165"/>
      <c r="K737" s="165"/>
      <c r="L737" s="165"/>
      <c r="M737" s="165"/>
      <c r="N737" s="165"/>
      <c r="O737" s="406"/>
      <c r="P737" s="406"/>
      <c r="Q737" s="406"/>
      <c r="R737" s="165"/>
      <c r="S737" s="209"/>
    </row>
    <row r="738" spans="1:22">
      <c r="B738" s="208"/>
      <c r="C738" s="165"/>
      <c r="D738" s="165"/>
      <c r="E738" s="165"/>
      <c r="F738" s="165"/>
      <c r="G738" s="165"/>
      <c r="H738" s="165"/>
      <c r="I738" s="165"/>
      <c r="J738" s="165"/>
      <c r="K738" s="165"/>
      <c r="L738" s="165"/>
      <c r="M738" s="165"/>
      <c r="N738" s="165"/>
      <c r="O738" s="165"/>
      <c r="P738" s="165"/>
      <c r="Q738" s="165"/>
      <c r="R738" s="165"/>
      <c r="S738" s="209"/>
    </row>
    <row r="739" spans="1:22">
      <c r="B739" s="212"/>
      <c r="C739" s="213"/>
      <c r="D739" s="213"/>
      <c r="E739" s="213"/>
      <c r="F739" s="213"/>
      <c r="G739" s="213"/>
      <c r="H739" s="213"/>
      <c r="I739" s="213"/>
      <c r="J739" s="213"/>
      <c r="K739" s="213"/>
      <c r="L739" s="213"/>
      <c r="M739" s="213"/>
      <c r="N739" s="213"/>
      <c r="O739" s="213"/>
      <c r="P739" s="213"/>
      <c r="Q739" s="213"/>
      <c r="R739" s="213"/>
      <c r="S739" s="214"/>
    </row>
    <row r="742" spans="1:22">
      <c r="B742" s="205"/>
      <c r="C742" s="206"/>
      <c r="D742" s="206"/>
      <c r="E742" s="206"/>
      <c r="F742" s="206"/>
      <c r="G742" s="388" t="s">
        <v>414</v>
      </c>
      <c r="H742" s="388"/>
      <c r="I742" s="388"/>
      <c r="J742" s="388"/>
      <c r="K742" s="388"/>
      <c r="L742" s="388"/>
      <c r="M742" s="388"/>
      <c r="N742" s="206"/>
      <c r="O742" s="206"/>
      <c r="P742" s="206"/>
      <c r="Q742" s="206"/>
      <c r="R742" s="206"/>
      <c r="S742" s="206"/>
      <c r="T742" s="206"/>
      <c r="U742" s="206"/>
      <c r="V742" s="207"/>
    </row>
    <row r="743" spans="1:22">
      <c r="B743" s="208" t="s">
        <v>354</v>
      </c>
      <c r="C743" s="165"/>
      <c r="D743" s="165"/>
      <c r="E743" s="165"/>
      <c r="F743" s="165"/>
      <c r="G743" s="389"/>
      <c r="H743" s="389"/>
      <c r="I743" s="389"/>
      <c r="J743" s="389"/>
      <c r="K743" s="389"/>
      <c r="L743" s="389"/>
      <c r="M743" s="389"/>
      <c r="N743" s="165"/>
      <c r="O743" s="165"/>
      <c r="P743" s="165"/>
      <c r="Q743" s="165"/>
      <c r="R743" s="165"/>
      <c r="S743" s="165"/>
      <c r="T743" s="165"/>
      <c r="U743" s="165"/>
      <c r="V743" s="209"/>
    </row>
    <row r="744" spans="1:22">
      <c r="B744" s="208" t="s">
        <v>355</v>
      </c>
      <c r="C744" s="165"/>
      <c r="D744" s="165"/>
      <c r="E744" s="165"/>
      <c r="F744" s="165"/>
      <c r="G744" s="165"/>
      <c r="H744" s="165"/>
      <c r="I744" s="165"/>
      <c r="J744" s="165"/>
      <c r="K744" s="165"/>
      <c r="L744" s="165"/>
      <c r="M744" s="165"/>
      <c r="N744" s="165"/>
      <c r="O744" s="165"/>
      <c r="P744" s="165"/>
      <c r="Q744" s="165"/>
      <c r="R744" s="392" t="s">
        <v>411</v>
      </c>
      <c r="S744" s="392"/>
      <c r="T744" s="393"/>
      <c r="U744" s="165"/>
      <c r="V744" s="209"/>
    </row>
    <row r="745" spans="1:22">
      <c r="B745" s="208" t="s">
        <v>356</v>
      </c>
      <c r="C745" s="165"/>
      <c r="D745" s="165"/>
      <c r="E745" s="165"/>
      <c r="F745" s="165"/>
      <c r="G745" s="165"/>
      <c r="H745" s="165"/>
      <c r="I745" s="165"/>
      <c r="J745" s="165"/>
      <c r="K745" s="165"/>
      <c r="L745" s="165"/>
      <c r="M745" s="165"/>
      <c r="N745" s="165"/>
      <c r="O745" s="165"/>
      <c r="P745" s="165"/>
      <c r="Q745" s="165"/>
      <c r="R745" s="390"/>
      <c r="S745" s="390"/>
      <c r="T745" s="391"/>
      <c r="U745" s="165"/>
      <c r="V745" s="209"/>
    </row>
    <row r="746" spans="1:22">
      <c r="B746" s="208" t="s">
        <v>357</v>
      </c>
      <c r="C746" s="165"/>
      <c r="D746" s="165"/>
      <c r="E746" s="165"/>
      <c r="F746" s="165"/>
      <c r="G746" s="165"/>
      <c r="H746" s="165"/>
      <c r="I746" s="165"/>
      <c r="J746" s="165"/>
      <c r="K746" s="165"/>
      <c r="L746" s="165"/>
      <c r="M746" s="165"/>
      <c r="N746" s="165"/>
      <c r="O746" s="165"/>
      <c r="P746" s="165"/>
      <c r="Q746" s="165"/>
      <c r="R746" s="390"/>
      <c r="S746" s="390"/>
      <c r="T746" s="391"/>
      <c r="U746" s="165"/>
      <c r="V746" s="209"/>
    </row>
    <row r="747" spans="1:22">
      <c r="B747" s="208"/>
      <c r="C747" s="165"/>
      <c r="D747" s="165"/>
      <c r="E747" s="165"/>
      <c r="F747" s="165"/>
      <c r="G747" s="165"/>
      <c r="H747" s="165"/>
      <c r="I747" s="165"/>
      <c r="J747" s="165"/>
      <c r="K747" s="165"/>
      <c r="L747" s="165"/>
      <c r="M747" s="165"/>
      <c r="N747" s="165"/>
      <c r="O747" s="165"/>
      <c r="P747" s="165"/>
      <c r="Q747" s="165"/>
      <c r="R747" s="390"/>
      <c r="S747" s="390"/>
      <c r="T747" s="391"/>
      <c r="U747" s="165"/>
      <c r="V747" s="209"/>
    </row>
    <row r="748" spans="1:22">
      <c r="A748" s="260">
        <v>0</v>
      </c>
      <c r="B748" s="340">
        <v>0.19</v>
      </c>
      <c r="C748" s="229"/>
      <c r="D748" s="165"/>
      <c r="E748" s="165" t="s">
        <v>347</v>
      </c>
      <c r="F748" s="165" t="s">
        <v>2</v>
      </c>
      <c r="G748" s="165" t="s">
        <v>6</v>
      </c>
      <c r="H748" s="165"/>
      <c r="I748" s="165"/>
      <c r="J748" s="165"/>
      <c r="K748" s="165"/>
      <c r="L748" s="165"/>
      <c r="M748" s="165"/>
      <c r="N748" s="165"/>
      <c r="O748" s="165"/>
      <c r="P748" s="165"/>
      <c r="Q748" s="165"/>
      <c r="R748" s="165"/>
      <c r="S748" s="165"/>
      <c r="T748" s="165"/>
      <c r="U748" s="165"/>
      <c r="V748" s="209"/>
    </row>
    <row r="749" spans="1:22">
      <c r="A749" s="260">
        <v>0.2</v>
      </c>
      <c r="B749" s="340">
        <v>0.39</v>
      </c>
      <c r="C749" s="230"/>
      <c r="D749" s="165"/>
      <c r="E749" s="165" t="s">
        <v>703</v>
      </c>
      <c r="F749" s="165">
        <v>100</v>
      </c>
      <c r="G749" s="165">
        <v>-100</v>
      </c>
      <c r="H749" s="165"/>
      <c r="I749" s="165"/>
      <c r="J749" s="165"/>
      <c r="K749" s="165"/>
      <c r="L749" s="165"/>
      <c r="M749" s="165"/>
      <c r="N749" s="165"/>
      <c r="O749" s="165"/>
      <c r="P749" s="165"/>
      <c r="Q749" s="165"/>
      <c r="R749" s="165"/>
      <c r="S749" s="165"/>
      <c r="T749" s="165"/>
      <c r="U749" s="165"/>
      <c r="V749" s="209"/>
    </row>
    <row r="750" spans="1:22">
      <c r="A750" s="260">
        <v>0.4</v>
      </c>
      <c r="B750" s="340">
        <v>0.49</v>
      </c>
      <c r="C750" s="231"/>
      <c r="D750" s="165"/>
      <c r="E750" s="165" t="s">
        <v>9</v>
      </c>
      <c r="F750" s="165">
        <v>12</v>
      </c>
      <c r="G750" s="165">
        <v>-12</v>
      </c>
      <c r="H750" s="165"/>
      <c r="I750" s="165"/>
      <c r="J750" s="165"/>
      <c r="K750" s="165"/>
      <c r="L750" s="165"/>
      <c r="M750" s="165"/>
      <c r="N750" s="165"/>
      <c r="O750" s="165"/>
      <c r="P750" s="165"/>
      <c r="Q750" s="165"/>
      <c r="R750" s="165"/>
      <c r="S750" s="165"/>
      <c r="T750" s="165"/>
      <c r="U750" s="165"/>
      <c r="V750" s="209"/>
    </row>
    <row r="751" spans="1:22">
      <c r="A751" s="260">
        <v>0.5</v>
      </c>
      <c r="B751" s="340">
        <v>0.69</v>
      </c>
      <c r="C751" s="232"/>
      <c r="D751" s="165"/>
      <c r="E751" s="161" t="s">
        <v>8</v>
      </c>
      <c r="F751" s="165">
        <v>10</v>
      </c>
      <c r="G751" s="165">
        <v>-10</v>
      </c>
      <c r="H751" s="165"/>
      <c r="I751" s="165"/>
      <c r="J751" s="165"/>
      <c r="K751" s="165"/>
      <c r="L751" s="165"/>
      <c r="M751" s="165"/>
      <c r="N751" s="165"/>
      <c r="O751" s="165"/>
      <c r="P751" s="165"/>
      <c r="Q751" s="165"/>
      <c r="R751" s="165"/>
      <c r="S751" s="165"/>
      <c r="T751" s="165"/>
      <c r="U751" s="165"/>
      <c r="V751" s="209"/>
    </row>
    <row r="752" spans="1:22">
      <c r="A752" s="260">
        <v>0.7</v>
      </c>
      <c r="B752" s="340">
        <v>0.89</v>
      </c>
      <c r="C752" s="233"/>
      <c r="D752" s="165"/>
      <c r="E752" s="161" t="s">
        <v>19</v>
      </c>
      <c r="F752" s="161">
        <v>8</v>
      </c>
      <c r="G752" s="161">
        <v>-8</v>
      </c>
      <c r="H752" s="165"/>
      <c r="I752" s="165"/>
      <c r="J752" s="165"/>
      <c r="K752" s="165"/>
      <c r="L752" s="165"/>
      <c r="M752" s="165"/>
      <c r="N752" s="165"/>
      <c r="O752" s="165"/>
      <c r="P752" s="165"/>
      <c r="Q752" s="165"/>
      <c r="R752" s="165"/>
      <c r="S752" s="165"/>
      <c r="T752" s="165"/>
      <c r="U752" s="165"/>
      <c r="V752" s="209"/>
    </row>
    <row r="753" spans="1:22">
      <c r="A753" s="260">
        <v>0.9</v>
      </c>
      <c r="B753" s="340">
        <v>2</v>
      </c>
      <c r="C753" s="234"/>
      <c r="D753" s="165"/>
      <c r="E753" s="161" t="s">
        <v>7</v>
      </c>
      <c r="F753" s="161">
        <v>6</v>
      </c>
      <c r="G753" s="161">
        <v>-6</v>
      </c>
      <c r="H753" s="165"/>
      <c r="I753" s="165"/>
      <c r="J753" s="165"/>
      <c r="K753" s="165"/>
      <c r="L753" s="165"/>
      <c r="M753" s="165"/>
      <c r="N753" s="165"/>
      <c r="O753" s="165"/>
      <c r="P753" s="165"/>
      <c r="Q753" s="165"/>
      <c r="R753" s="165"/>
      <c r="S753" s="165"/>
      <c r="T753" s="165"/>
      <c r="U753" s="165"/>
      <c r="V753" s="209"/>
    </row>
    <row r="754" spans="1:22">
      <c r="B754" s="208"/>
      <c r="C754" s="165"/>
      <c r="D754" s="165"/>
      <c r="E754" s="161" t="s">
        <v>163</v>
      </c>
      <c r="F754" s="161">
        <v>4</v>
      </c>
      <c r="G754" s="161">
        <v>-4</v>
      </c>
      <c r="H754" s="165"/>
      <c r="I754" s="165"/>
      <c r="J754" s="165"/>
      <c r="K754" s="165"/>
      <c r="L754" s="165"/>
      <c r="M754" s="165"/>
      <c r="N754" s="165"/>
      <c r="O754" s="165"/>
      <c r="P754" s="165"/>
      <c r="Q754" s="165"/>
      <c r="R754" s="165"/>
      <c r="S754" s="165"/>
      <c r="T754" s="165"/>
      <c r="U754" s="165"/>
      <c r="V754" s="209"/>
    </row>
    <row r="755" spans="1:22">
      <c r="B755" s="208"/>
      <c r="C755" s="165"/>
      <c r="D755" s="165"/>
      <c r="E755" s="161" t="s">
        <v>310</v>
      </c>
      <c r="F755" s="161">
        <v>2</v>
      </c>
      <c r="G755" s="161">
        <v>-2</v>
      </c>
      <c r="H755" s="165"/>
      <c r="I755" s="165"/>
      <c r="J755" s="165"/>
      <c r="K755" s="165"/>
      <c r="L755" s="165"/>
      <c r="M755" s="165"/>
      <c r="N755" s="165"/>
      <c r="O755" s="165"/>
      <c r="P755" s="165"/>
      <c r="Q755" s="165"/>
      <c r="R755" s="165"/>
      <c r="S755" s="165"/>
      <c r="T755" s="165"/>
      <c r="U755" s="165"/>
      <c r="V755" s="209"/>
    </row>
    <row r="756" spans="1:22">
      <c r="B756" s="208"/>
      <c r="C756" s="165"/>
      <c r="D756" s="165"/>
      <c r="E756" s="161" t="s">
        <v>156</v>
      </c>
      <c r="F756" s="161">
        <v>1</v>
      </c>
      <c r="G756" s="161">
        <v>-1</v>
      </c>
      <c r="H756" s="165"/>
      <c r="I756" s="165"/>
      <c r="J756" s="165"/>
      <c r="K756" s="165"/>
      <c r="L756" s="165"/>
      <c r="M756" s="165"/>
      <c r="N756" s="165"/>
      <c r="O756" s="165"/>
      <c r="P756" s="165"/>
      <c r="Q756" s="165"/>
      <c r="R756" s="165"/>
      <c r="S756" s="165"/>
      <c r="T756" s="165"/>
      <c r="U756" s="165"/>
      <c r="V756" s="209"/>
    </row>
    <row r="757" spans="1:22">
      <c r="B757" s="208" t="s">
        <v>440</v>
      </c>
      <c r="C757" s="165"/>
      <c r="D757" s="165"/>
      <c r="E757" s="161" t="s">
        <v>3</v>
      </c>
      <c r="F757" s="161">
        <v>-2</v>
      </c>
      <c r="G757" s="161">
        <v>2</v>
      </c>
      <c r="H757" s="165"/>
      <c r="I757" s="165"/>
      <c r="J757" s="165"/>
      <c r="K757" s="165"/>
      <c r="L757" s="165"/>
      <c r="M757" s="165"/>
      <c r="N757" s="165"/>
      <c r="O757" s="165"/>
      <c r="P757" s="165"/>
      <c r="Q757" s="165"/>
      <c r="R757" s="165"/>
      <c r="S757" s="165"/>
      <c r="T757" s="165"/>
      <c r="U757" s="165"/>
      <c r="V757" s="209"/>
    </row>
    <row r="758" spans="1:22">
      <c r="B758" s="208"/>
      <c r="C758" s="165"/>
      <c r="D758" s="165"/>
      <c r="E758" s="165"/>
      <c r="F758" s="165"/>
      <c r="G758" s="165"/>
      <c r="H758" s="165"/>
      <c r="I758" s="165"/>
      <c r="J758" s="165"/>
      <c r="K758" s="165"/>
      <c r="L758" s="165"/>
      <c r="M758" s="165"/>
      <c r="N758" s="165"/>
      <c r="O758" s="165"/>
      <c r="P758" s="165"/>
      <c r="Q758" s="165"/>
      <c r="R758" s="165"/>
      <c r="S758" s="165"/>
      <c r="T758" s="165"/>
      <c r="U758" s="165"/>
      <c r="V758" s="209"/>
    </row>
    <row r="759" spans="1:22">
      <c r="B759" s="208" t="s">
        <v>311</v>
      </c>
      <c r="C759" s="165" t="s">
        <v>350</v>
      </c>
      <c r="D759" s="165" t="s">
        <v>413</v>
      </c>
      <c r="E759" s="165" t="s">
        <v>352</v>
      </c>
      <c r="F759" s="165" t="s">
        <v>353</v>
      </c>
      <c r="G759" s="235" t="s">
        <v>365</v>
      </c>
      <c r="H759" s="165"/>
      <c r="I759" s="165" t="s">
        <v>311</v>
      </c>
      <c r="J759" s="165" t="s">
        <v>350</v>
      </c>
      <c r="K759" s="165" t="s">
        <v>413</v>
      </c>
      <c r="L759" s="165" t="s">
        <v>352</v>
      </c>
      <c r="M759" s="165" t="s">
        <v>353</v>
      </c>
      <c r="N759" s="235" t="s">
        <v>365</v>
      </c>
      <c r="O759" s="165"/>
      <c r="P759" s="165"/>
      <c r="Q759" s="165"/>
      <c r="R759" s="165"/>
      <c r="S759" s="165"/>
      <c r="T759" s="165"/>
      <c r="U759" s="235"/>
      <c r="V759" s="209"/>
    </row>
    <row r="760" spans="1:22">
      <c r="B760" s="208">
        <f>Algandmed!AE448+Algandmed!AE450</f>
        <v>0</v>
      </c>
      <c r="C760" s="165">
        <f>SUM(Algandmed!AE448:AH448)+SUM(Algandmed!AE450:AH450)</f>
        <v>0</v>
      </c>
      <c r="D760" s="165">
        <f>Algandmed!AL448+Algandmed!AJ448+Algandmed!AK448+Algandmed!AL450+Algandmed!AJ450+Algandmed!AK450</f>
        <v>0</v>
      </c>
      <c r="E760" s="165">
        <f>Algandmed!AM448+Algandmed!AM450</f>
        <v>0</v>
      </c>
      <c r="F760" s="338" t="e">
        <f>SUM(Algandmed!AE448:AL448)/Algandmed!AM448</f>
        <v>#DIV/0!</v>
      </c>
      <c r="G760" s="338"/>
      <c r="H760" s="237"/>
      <c r="I760" s="238">
        <f>Algandmed!AP448</f>
        <v>0</v>
      </c>
      <c r="J760" s="238">
        <f>SUM(Algandmed!AP448:AS448)</f>
        <v>0</v>
      </c>
      <c r="K760" s="238">
        <f>Algandmed!AW448+Algandmed!AV448+Algandmed!AU448</f>
        <v>0</v>
      </c>
      <c r="L760" s="238">
        <f>Algandmed!AX448</f>
        <v>0</v>
      </c>
      <c r="M760" s="338" t="e">
        <f>SUM(Algandmed!AP448:AW448)/Algandmed!AX448</f>
        <v>#DIV/0!</v>
      </c>
      <c r="N760" s="338"/>
      <c r="O760" s="165"/>
      <c r="P760" s="238"/>
      <c r="Q760" s="238"/>
      <c r="R760" s="238"/>
      <c r="S760" s="238"/>
      <c r="T760" s="236"/>
      <c r="U760" s="237"/>
      <c r="V760" s="209"/>
    </row>
    <row r="761" spans="1:22">
      <c r="B761" s="208"/>
      <c r="C761" s="165"/>
      <c r="D761" s="165"/>
      <c r="E761" s="165"/>
      <c r="F761" s="338"/>
      <c r="G761" s="260"/>
      <c r="H761" s="237"/>
      <c r="I761" s="238"/>
      <c r="J761" s="238"/>
      <c r="K761" s="238"/>
      <c r="L761" s="238"/>
      <c r="M761" s="338"/>
      <c r="N761" s="260"/>
      <c r="O761" s="165"/>
      <c r="P761" s="238"/>
      <c r="Q761" s="238"/>
      <c r="R761" s="238"/>
      <c r="S761" s="238"/>
      <c r="T761" s="236"/>
      <c r="U761" s="237"/>
      <c r="V761" s="209"/>
    </row>
    <row r="762" spans="1:22">
      <c r="B762" s="208">
        <f>Algandmed!AE452</f>
        <v>0</v>
      </c>
      <c r="C762" s="165">
        <f>SUM(Algandmed!AE452:AH452)</f>
        <v>0</v>
      </c>
      <c r="D762" s="165">
        <f>Algandmed!AL452+Algandmed!AJ452+Algandmed!AK452</f>
        <v>0</v>
      </c>
      <c r="E762" s="165">
        <f>Algandmed!AM452</f>
        <v>0</v>
      </c>
      <c r="F762" s="338" t="e">
        <f>SUM(Algandmed!AE452:AL452)/Algandmed!AM452</f>
        <v>#DIV/0!</v>
      </c>
      <c r="G762" s="260"/>
      <c r="H762" s="237"/>
      <c r="I762" s="238">
        <f>Algandmed!AP452</f>
        <v>0</v>
      </c>
      <c r="J762" s="238">
        <f>SUM(Algandmed!AP452:AS452)</f>
        <v>0</v>
      </c>
      <c r="K762" s="238">
        <f>Algandmed!AW452+Algandmed!AV452+Algandmed!AU452</f>
        <v>0</v>
      </c>
      <c r="L762" s="238">
        <f>Algandmed!AX452</f>
        <v>0</v>
      </c>
      <c r="M762" s="338" t="e">
        <f>SUM(Algandmed!AP452:AW452)/Algandmed!AX452</f>
        <v>#DIV/0!</v>
      </c>
      <c r="N762" s="260"/>
      <c r="O762" s="165"/>
      <c r="P762" s="238"/>
      <c r="Q762" s="238"/>
      <c r="R762" s="238"/>
      <c r="S762" s="238"/>
      <c r="T762" s="236"/>
      <c r="U762" s="237"/>
      <c r="V762" s="209"/>
    </row>
    <row r="763" spans="1:22">
      <c r="B763" s="208"/>
      <c r="C763" s="165"/>
      <c r="D763" s="165"/>
      <c r="E763" s="165"/>
      <c r="F763" s="338"/>
      <c r="G763" s="338"/>
      <c r="H763" s="237"/>
      <c r="I763" s="238"/>
      <c r="J763" s="238"/>
      <c r="K763" s="238"/>
      <c r="L763" s="238"/>
      <c r="M763" s="338"/>
      <c r="N763" s="338"/>
      <c r="O763" s="165"/>
      <c r="P763" s="238"/>
      <c r="Q763" s="238"/>
      <c r="R763" s="238"/>
      <c r="S763" s="238"/>
      <c r="T763" s="236"/>
      <c r="U763" s="237"/>
      <c r="V763" s="209"/>
    </row>
    <row r="764" spans="1:22">
      <c r="B764" s="208">
        <f>Algandmed!AE454</f>
        <v>0</v>
      </c>
      <c r="C764" s="165">
        <f>SUM(Algandmed!AE454:AH454)</f>
        <v>0</v>
      </c>
      <c r="D764" s="165">
        <f>Algandmed!AL454+Algandmed!AJ454+Algandmed!AK454</f>
        <v>0</v>
      </c>
      <c r="E764" s="165">
        <f>Algandmed!AM454</f>
        <v>0</v>
      </c>
      <c r="F764" s="338" t="e">
        <f>SUM(Algandmed!AE454:AL454)/Algandmed!AM454</f>
        <v>#DIV/0!</v>
      </c>
      <c r="G764" s="338"/>
      <c r="H764" s="237"/>
      <c r="I764" s="238">
        <f>Algandmed!AP454</f>
        <v>0</v>
      </c>
      <c r="J764" s="238">
        <f>SUM(Algandmed!AP454:AS454)</f>
        <v>0</v>
      </c>
      <c r="K764" s="238">
        <f>Algandmed!AW454+Algandmed!AV454+Algandmed!AU454</f>
        <v>0</v>
      </c>
      <c r="L764" s="238">
        <f>Algandmed!AX454</f>
        <v>0</v>
      </c>
      <c r="M764" s="338" t="e">
        <f>SUM(Algandmed!AP454:AW454)/Algandmed!AX454</f>
        <v>#DIV/0!</v>
      </c>
      <c r="N764" s="338"/>
      <c r="O764" s="165"/>
      <c r="P764" s="238"/>
      <c r="Q764" s="238"/>
      <c r="R764" s="238"/>
      <c r="S764" s="238"/>
      <c r="T764" s="236"/>
      <c r="U764" s="237"/>
      <c r="V764" s="209"/>
    </row>
    <row r="765" spans="1:22">
      <c r="A765" t="s">
        <v>457</v>
      </c>
      <c r="B765" s="317">
        <f>SUM(B762,B764,B766,B768)</f>
        <v>0</v>
      </c>
      <c r="C765" s="317">
        <f t="shared" ref="C765:E765" si="8">SUM(C762,C764,C766,C768)</f>
        <v>0</v>
      </c>
      <c r="D765" s="317">
        <f t="shared" si="8"/>
        <v>0</v>
      </c>
      <c r="E765" s="317">
        <f t="shared" si="8"/>
        <v>0</v>
      </c>
      <c r="F765" s="339" t="e">
        <f>SUM(Algandmed!AE452:AL452,Algandmed!AE454:AL454,Algandmed!AE456:AL456,Algandmed!AE458:AL458)/SUM(Algandmed!AM452,Algandmed!AM454,Algandmed!AM456,Algandmed!AM458)</f>
        <v>#DIV/0!</v>
      </c>
      <c r="G765" s="339"/>
      <c r="H765" s="237"/>
      <c r="I765" s="320">
        <f>SUM(I762,I764,I766,I768)</f>
        <v>0</v>
      </c>
      <c r="J765" s="320">
        <f t="shared" ref="J765:L765" si="9">SUM(J762,J764,J766,J768)</f>
        <v>0</v>
      </c>
      <c r="K765" s="320">
        <f t="shared" si="9"/>
        <v>0</v>
      </c>
      <c r="L765" s="320">
        <f t="shared" si="9"/>
        <v>0</v>
      </c>
      <c r="M765" s="339" t="e">
        <f>SUM(Algandmed!AP452:AW452,Algandmed!AP454:AW454,Algandmed!AP456:AW456,Algandmed!AP458:AW458)/SUM(Algandmed!AX452,Algandmed!AX454,Algandmed!AX456,Algandmed!AX458)</f>
        <v>#DIV/0!</v>
      </c>
      <c r="N765" s="339"/>
      <c r="O765" s="165"/>
      <c r="P765" s="238"/>
      <c r="Q765" s="238"/>
      <c r="R765" s="238"/>
      <c r="S765" s="238"/>
      <c r="T765" s="236"/>
      <c r="U765" s="237"/>
      <c r="V765" s="209"/>
    </row>
    <row r="766" spans="1:22">
      <c r="B766" s="208">
        <f>Algandmed!AE456</f>
        <v>0</v>
      </c>
      <c r="C766" s="165">
        <f>SUM(Algandmed!AE456:AH456)</f>
        <v>0</v>
      </c>
      <c r="D766" s="165">
        <f>Algandmed!AL456+Algandmed!AJ456+Algandmed!AK456</f>
        <v>0</v>
      </c>
      <c r="E766" s="165">
        <f>Algandmed!AM456</f>
        <v>0</v>
      </c>
      <c r="F766" s="338" t="e">
        <f>SUM(Algandmed!AE456:AL456)/Algandmed!AM456</f>
        <v>#DIV/0!</v>
      </c>
      <c r="G766" s="338"/>
      <c r="H766" s="237"/>
      <c r="I766" s="238">
        <f>Algandmed!AP456</f>
        <v>0</v>
      </c>
      <c r="J766" s="238">
        <f>SUM(Algandmed!AP456:AS456)</f>
        <v>0</v>
      </c>
      <c r="K766" s="238">
        <f>Algandmed!AW456+Algandmed!AV456+Algandmed!AU456</f>
        <v>0</v>
      </c>
      <c r="L766" s="238">
        <f>Algandmed!AX456</f>
        <v>0</v>
      </c>
      <c r="M766" s="338" t="e">
        <f>SUM(Algandmed!AP456:AW456)/Algandmed!AX456</f>
        <v>#DIV/0!</v>
      </c>
      <c r="N766" s="338"/>
      <c r="O766" s="165"/>
      <c r="P766" s="238"/>
      <c r="Q766" s="238"/>
      <c r="R766" s="238"/>
      <c r="S766" s="238"/>
      <c r="T766" s="236"/>
      <c r="U766" s="237"/>
      <c r="V766" s="209"/>
    </row>
    <row r="767" spans="1:22">
      <c r="B767" s="208"/>
      <c r="C767" s="165"/>
      <c r="D767" s="165"/>
      <c r="E767" s="165"/>
      <c r="F767" s="338"/>
      <c r="G767" s="338"/>
      <c r="H767" s="237"/>
      <c r="I767" s="238"/>
      <c r="J767" s="238"/>
      <c r="K767" s="238"/>
      <c r="L767" s="238"/>
      <c r="M767" s="338"/>
      <c r="N767" s="338"/>
      <c r="O767" s="165"/>
      <c r="P767" s="238"/>
      <c r="Q767" s="238"/>
      <c r="R767" s="238"/>
      <c r="S767" s="238"/>
      <c r="T767" s="236"/>
      <c r="U767" s="237"/>
      <c r="V767" s="209"/>
    </row>
    <row r="768" spans="1:22">
      <c r="B768" s="208">
        <f>Algandmed!AE458</f>
        <v>0</v>
      </c>
      <c r="C768" s="165">
        <f>SUM(Algandmed!AE458:AH458)</f>
        <v>0</v>
      </c>
      <c r="D768" s="165">
        <f>Algandmed!AL458+Algandmed!AJ458+Algandmed!AK458</f>
        <v>0</v>
      </c>
      <c r="E768" s="165">
        <f>Algandmed!AM458</f>
        <v>0</v>
      </c>
      <c r="F768" s="338" t="e">
        <f>SUM(Algandmed!AE458:AL458)/Algandmed!AM458</f>
        <v>#DIV/0!</v>
      </c>
      <c r="G768" s="338"/>
      <c r="H768" s="237"/>
      <c r="I768" s="238">
        <f>Algandmed!AP458</f>
        <v>0</v>
      </c>
      <c r="J768" s="238">
        <f>SUM(Algandmed!AP458:AS458)</f>
        <v>0</v>
      </c>
      <c r="K768" s="238">
        <f>Algandmed!AW458+Algandmed!AV458+Algandmed!AU458</f>
        <v>0</v>
      </c>
      <c r="L768" s="238">
        <f>Algandmed!AX458</f>
        <v>0</v>
      </c>
      <c r="M768" s="338" t="e">
        <f>SUM(Algandmed!AP458:AW458)/Algandmed!AX458</f>
        <v>#DIV/0!</v>
      </c>
      <c r="N768" s="338"/>
      <c r="O768" s="165"/>
      <c r="P768" s="238"/>
      <c r="Q768" s="238"/>
      <c r="R768" s="238"/>
      <c r="S768" s="238"/>
      <c r="T768" s="236"/>
      <c r="U768" s="237"/>
      <c r="V768" s="209"/>
    </row>
    <row r="769" spans="1:22">
      <c r="B769" s="208"/>
      <c r="C769" s="165"/>
      <c r="D769" s="165"/>
      <c r="E769" s="165"/>
      <c r="F769" s="338"/>
      <c r="G769" s="338"/>
      <c r="H769" s="237"/>
      <c r="I769" s="238"/>
      <c r="J769" s="238"/>
      <c r="K769" s="238"/>
      <c r="L769" s="238"/>
      <c r="M769" s="338"/>
      <c r="N769" s="338"/>
      <c r="O769" s="165"/>
      <c r="P769" s="238"/>
      <c r="Q769" s="238"/>
      <c r="R769" s="238"/>
      <c r="S769" s="238"/>
      <c r="T769" s="236"/>
      <c r="U769" s="237"/>
      <c r="V769" s="209"/>
    </row>
    <row r="770" spans="1:22">
      <c r="B770" s="208">
        <f>Algandmed!AE462</f>
        <v>0</v>
      </c>
      <c r="C770" s="165">
        <f>SUM(Algandmed!AE462:AH462)</f>
        <v>0</v>
      </c>
      <c r="D770" s="165">
        <f>Algandmed!AL462+Algandmed!AJ462+Algandmed!AK462</f>
        <v>0</v>
      </c>
      <c r="E770" s="165">
        <f>Algandmed!AM462</f>
        <v>0</v>
      </c>
      <c r="F770" s="338" t="e">
        <f>SUM(Algandmed!AE462:AL462)/Algandmed!AM462</f>
        <v>#DIV/0!</v>
      </c>
      <c r="G770" s="338"/>
      <c r="H770" s="237"/>
      <c r="I770" s="238">
        <f>Algandmed!AP462</f>
        <v>0</v>
      </c>
      <c r="J770" s="238">
        <f>SUM(Algandmed!AP462:AS462)</f>
        <v>0</v>
      </c>
      <c r="K770" s="238">
        <f>Algandmed!AW462+Algandmed!AV462+Algandmed!AU462</f>
        <v>0</v>
      </c>
      <c r="L770" s="238">
        <f>Algandmed!AX462</f>
        <v>0</v>
      </c>
      <c r="M770" s="338" t="e">
        <f>SUM(Algandmed!AP462:AW462)/Algandmed!AX462</f>
        <v>#DIV/0!</v>
      </c>
      <c r="N770" s="338"/>
      <c r="O770" s="165"/>
      <c r="P770" s="238"/>
      <c r="Q770" s="238"/>
      <c r="R770" s="238"/>
      <c r="S770" s="238"/>
      <c r="T770" s="236"/>
      <c r="U770" s="237"/>
      <c r="V770" s="209"/>
    </row>
    <row r="771" spans="1:22">
      <c r="B771" s="212"/>
      <c r="C771" s="213"/>
      <c r="D771" s="213"/>
      <c r="E771" s="213"/>
      <c r="F771" s="240"/>
      <c r="G771" s="241"/>
      <c r="H771" s="213"/>
      <c r="I771" s="248"/>
      <c r="J771" s="248"/>
      <c r="K771" s="248"/>
      <c r="L771" s="248"/>
      <c r="M771" s="240"/>
      <c r="N771" s="241"/>
      <c r="O771" s="213"/>
      <c r="P771" s="213"/>
      <c r="Q771" s="213"/>
      <c r="R771" s="213"/>
      <c r="S771" s="213"/>
      <c r="T771" s="213"/>
      <c r="U771" s="213"/>
      <c r="V771" s="214"/>
    </row>
    <row r="772" spans="1:22">
      <c r="B772" s="165"/>
      <c r="C772" s="165"/>
      <c r="D772" s="165"/>
      <c r="E772" s="165"/>
      <c r="F772" s="236"/>
      <c r="G772" s="237"/>
      <c r="H772" s="165"/>
      <c r="I772" s="165"/>
      <c r="J772" s="165"/>
      <c r="K772" s="165"/>
      <c r="L772" s="165"/>
      <c r="M772" s="165"/>
      <c r="N772" s="165"/>
      <c r="O772" s="165"/>
      <c r="P772" s="165"/>
      <c r="Q772" s="165"/>
      <c r="R772" s="165"/>
      <c r="S772" s="165"/>
      <c r="T772" s="165"/>
      <c r="U772" s="165"/>
      <c r="V772" s="165"/>
    </row>
    <row r="773" spans="1:22">
      <c r="B773" s="165"/>
      <c r="C773" s="165"/>
      <c r="D773" s="165"/>
      <c r="E773" s="165"/>
      <c r="F773" s="236"/>
      <c r="G773" s="237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</row>
    <row r="774" spans="1:22">
      <c r="B774" s="205"/>
      <c r="C774" s="206"/>
      <c r="D774" s="206"/>
      <c r="E774" s="206"/>
      <c r="F774" s="206"/>
      <c r="G774" s="388" t="s">
        <v>415</v>
      </c>
      <c r="H774" s="388"/>
      <c r="I774" s="388"/>
      <c r="J774" s="388"/>
      <c r="K774" s="388"/>
      <c r="L774" s="388"/>
      <c r="M774" s="388"/>
      <c r="N774" s="206"/>
      <c r="O774" s="206"/>
      <c r="P774" s="206"/>
      <c r="Q774" s="206"/>
      <c r="R774" s="206"/>
      <c r="S774" s="206"/>
      <c r="T774" s="206"/>
      <c r="U774" s="206"/>
      <c r="V774" s="207"/>
    </row>
    <row r="775" spans="1:22">
      <c r="B775" s="208" t="s">
        <v>354</v>
      </c>
      <c r="C775" s="165"/>
      <c r="D775" s="165"/>
      <c r="E775" s="165"/>
      <c r="F775" s="165"/>
      <c r="G775" s="389"/>
      <c r="H775" s="389"/>
      <c r="I775" s="389"/>
      <c r="J775" s="389"/>
      <c r="K775" s="389"/>
      <c r="L775" s="389"/>
      <c r="M775" s="389"/>
      <c r="N775" s="165"/>
      <c r="O775" s="165"/>
      <c r="P775" s="165"/>
      <c r="Q775" s="165"/>
      <c r="R775" s="165"/>
      <c r="S775" s="165"/>
      <c r="T775" s="165"/>
      <c r="U775" s="165"/>
      <c r="V775" s="209"/>
    </row>
    <row r="776" spans="1:22">
      <c r="B776" s="208" t="s">
        <v>355</v>
      </c>
      <c r="C776" s="165"/>
      <c r="D776" s="165"/>
      <c r="E776" s="165"/>
      <c r="F776" s="165"/>
      <c r="G776" s="165"/>
      <c r="H776" s="165"/>
      <c r="I776" s="165"/>
      <c r="J776" s="165"/>
      <c r="K776" s="165"/>
      <c r="L776" s="165"/>
      <c r="M776" s="165"/>
      <c r="N776" s="165"/>
      <c r="O776" s="165"/>
      <c r="P776" s="165"/>
      <c r="Q776" s="392" t="s">
        <v>412</v>
      </c>
      <c r="R776" s="392"/>
      <c r="S776" s="393"/>
      <c r="T776" s="165"/>
      <c r="U776" s="165"/>
      <c r="V776" s="209"/>
    </row>
    <row r="777" spans="1:22">
      <c r="B777" s="208" t="s">
        <v>356</v>
      </c>
      <c r="C777" s="165"/>
      <c r="D777" s="165"/>
      <c r="E777" s="165"/>
      <c r="F777" s="165"/>
      <c r="G777" s="165"/>
      <c r="H777" s="165"/>
      <c r="I777" s="165"/>
      <c r="J777" s="165"/>
      <c r="K777" s="165"/>
      <c r="L777" s="165"/>
      <c r="M777" s="165"/>
      <c r="N777" s="165"/>
      <c r="O777" s="165"/>
      <c r="P777" s="165"/>
      <c r="Q777" s="390"/>
      <c r="R777" s="390"/>
      <c r="S777" s="391"/>
      <c r="T777" s="165"/>
      <c r="U777" s="165"/>
      <c r="V777" s="209"/>
    </row>
    <row r="778" spans="1:22">
      <c r="B778" s="208" t="s">
        <v>357</v>
      </c>
      <c r="C778" s="165"/>
      <c r="D778" s="165"/>
      <c r="E778" s="165"/>
      <c r="F778" s="165"/>
      <c r="G778" s="165"/>
      <c r="H778" s="165"/>
      <c r="I778" s="165"/>
      <c r="J778" s="165"/>
      <c r="K778" s="165"/>
      <c r="L778" s="165"/>
      <c r="M778" s="165"/>
      <c r="N778" s="165"/>
      <c r="O778" s="165"/>
      <c r="P778" s="165"/>
      <c r="Q778" s="390"/>
      <c r="R778" s="390"/>
      <c r="S778" s="391"/>
      <c r="T778" s="165"/>
      <c r="U778" s="165"/>
      <c r="V778" s="209"/>
    </row>
    <row r="779" spans="1:22">
      <c r="B779" s="243"/>
      <c r="C779" s="243"/>
      <c r="D779" s="165"/>
      <c r="E779" s="165"/>
      <c r="F779" s="165"/>
      <c r="G779" s="165"/>
      <c r="H779" s="165"/>
      <c r="I779" s="165"/>
      <c r="J779" s="165"/>
      <c r="K779" s="165"/>
      <c r="L779" s="165"/>
      <c r="M779" s="165"/>
      <c r="N779" s="165"/>
      <c r="O779" s="165"/>
      <c r="P779" s="165"/>
      <c r="Q779" s="390"/>
      <c r="R779" s="390"/>
      <c r="S779" s="391"/>
      <c r="T779" s="165"/>
      <c r="U779" s="165"/>
      <c r="V779" s="209"/>
    </row>
    <row r="780" spans="1:22">
      <c r="A780" s="260">
        <v>0.9</v>
      </c>
      <c r="B780" s="340">
        <v>2</v>
      </c>
      <c r="C780" s="229"/>
      <c r="D780" s="165"/>
      <c r="E780" s="165" t="s">
        <v>347</v>
      </c>
      <c r="F780" s="165" t="s">
        <v>2</v>
      </c>
      <c r="G780" s="165" t="s">
        <v>6</v>
      </c>
      <c r="H780" s="165"/>
      <c r="I780" s="165"/>
      <c r="J780" s="165"/>
      <c r="K780" s="165"/>
      <c r="L780" s="165"/>
      <c r="M780" s="165"/>
      <c r="N780" s="165"/>
      <c r="O780" s="165"/>
      <c r="P780" s="165"/>
      <c r="Q780" s="165"/>
      <c r="R780" s="165"/>
      <c r="S780" s="165"/>
      <c r="T780" s="165"/>
      <c r="U780" s="165"/>
      <c r="V780" s="209"/>
    </row>
    <row r="781" spans="1:22">
      <c r="A781" s="260">
        <v>0.7</v>
      </c>
      <c r="B781" s="340">
        <v>0.89</v>
      </c>
      <c r="C781" s="230"/>
      <c r="D781" s="165"/>
      <c r="E781" s="165" t="s">
        <v>703</v>
      </c>
      <c r="F781" s="165">
        <v>100</v>
      </c>
      <c r="G781" s="165">
        <v>-100</v>
      </c>
      <c r="H781" s="165"/>
      <c r="I781" s="165"/>
      <c r="J781" s="165"/>
      <c r="K781" s="165"/>
      <c r="L781" s="165"/>
      <c r="M781" s="165"/>
      <c r="N781" s="165"/>
      <c r="O781" s="165"/>
      <c r="P781" s="165"/>
      <c r="Q781" s="165"/>
      <c r="R781" s="165"/>
      <c r="S781" s="165"/>
      <c r="T781" s="165"/>
      <c r="U781" s="165"/>
      <c r="V781" s="209"/>
    </row>
    <row r="782" spans="1:22">
      <c r="A782" s="260">
        <v>0.5</v>
      </c>
      <c r="B782" s="340">
        <v>0.69</v>
      </c>
      <c r="C782" s="231"/>
      <c r="D782" s="165"/>
      <c r="E782" s="165" t="s">
        <v>9</v>
      </c>
      <c r="F782" s="165">
        <v>12</v>
      </c>
      <c r="G782" s="165">
        <v>-12</v>
      </c>
      <c r="H782" s="165"/>
      <c r="I782" s="165"/>
      <c r="J782" s="165"/>
      <c r="K782" s="165"/>
      <c r="L782" s="165"/>
      <c r="M782" s="165"/>
      <c r="N782" s="165"/>
      <c r="O782" s="165"/>
      <c r="P782" s="165"/>
      <c r="Q782" s="165"/>
      <c r="R782" s="165"/>
      <c r="S782" s="165"/>
      <c r="T782" s="165"/>
      <c r="U782" s="165"/>
      <c r="V782" s="209"/>
    </row>
    <row r="783" spans="1:22">
      <c r="A783" s="260">
        <v>0.4</v>
      </c>
      <c r="B783" s="340">
        <v>0.49</v>
      </c>
      <c r="C783" s="232"/>
      <c r="D783" s="165"/>
      <c r="E783" s="161" t="s">
        <v>8</v>
      </c>
      <c r="F783" s="165">
        <v>10</v>
      </c>
      <c r="G783" s="165">
        <v>-10</v>
      </c>
      <c r="H783" s="165"/>
      <c r="I783" s="165"/>
      <c r="J783" s="165"/>
      <c r="K783" s="165"/>
      <c r="L783" s="165"/>
      <c r="M783" s="165"/>
      <c r="N783" s="165"/>
      <c r="O783" s="165"/>
      <c r="P783" s="165"/>
      <c r="Q783" s="165"/>
      <c r="R783" s="165"/>
      <c r="S783" s="165"/>
      <c r="T783" s="165"/>
      <c r="U783" s="165"/>
      <c r="V783" s="209"/>
    </row>
    <row r="784" spans="1:22">
      <c r="A784" s="260">
        <v>0.2</v>
      </c>
      <c r="B784" s="340">
        <v>0.39</v>
      </c>
      <c r="C784" s="233"/>
      <c r="D784" s="165"/>
      <c r="E784" s="161" t="s">
        <v>19</v>
      </c>
      <c r="F784" s="161">
        <v>8</v>
      </c>
      <c r="G784" s="161">
        <v>-8</v>
      </c>
      <c r="H784" s="165"/>
      <c r="I784" s="165"/>
      <c r="J784" s="165"/>
      <c r="K784" s="165"/>
      <c r="L784" s="165"/>
      <c r="M784" s="165"/>
      <c r="N784" s="165"/>
      <c r="O784" s="165"/>
      <c r="P784" s="165"/>
      <c r="Q784" s="165"/>
      <c r="R784" s="165"/>
      <c r="S784" s="165"/>
      <c r="T784" s="165"/>
      <c r="U784" s="165"/>
      <c r="V784" s="209"/>
    </row>
    <row r="785" spans="1:22">
      <c r="A785" s="260">
        <v>0</v>
      </c>
      <c r="B785" s="340">
        <v>0.19</v>
      </c>
      <c r="C785" s="234"/>
      <c r="D785" s="165"/>
      <c r="E785" s="161" t="s">
        <v>7</v>
      </c>
      <c r="F785" s="161">
        <v>6</v>
      </c>
      <c r="G785" s="161">
        <v>-6</v>
      </c>
      <c r="H785" s="165"/>
      <c r="I785" s="165"/>
      <c r="J785" s="165"/>
      <c r="K785" s="165"/>
      <c r="L785" s="165"/>
      <c r="M785" s="165"/>
      <c r="N785" s="165"/>
      <c r="O785" s="165"/>
      <c r="P785" s="165"/>
      <c r="Q785" s="165"/>
      <c r="R785" s="165"/>
      <c r="S785" s="165"/>
      <c r="T785" s="165"/>
      <c r="U785" s="165"/>
      <c r="V785" s="209"/>
    </row>
    <row r="786" spans="1:22">
      <c r="B786" s="208"/>
      <c r="C786" s="165"/>
      <c r="D786" s="165"/>
      <c r="E786" s="161" t="s">
        <v>163</v>
      </c>
      <c r="F786" s="161">
        <v>4</v>
      </c>
      <c r="G786" s="161">
        <v>-4</v>
      </c>
      <c r="H786" s="165"/>
      <c r="I786" s="165"/>
      <c r="J786" s="165"/>
      <c r="K786" s="165"/>
      <c r="L786" s="165"/>
      <c r="M786" s="165"/>
      <c r="N786" s="165"/>
      <c r="O786" s="165"/>
      <c r="P786" s="165"/>
      <c r="Q786" s="165"/>
      <c r="R786" s="165"/>
      <c r="S786" s="165"/>
      <c r="T786" s="165"/>
      <c r="U786" s="165"/>
      <c r="V786" s="209"/>
    </row>
    <row r="787" spans="1:22">
      <c r="B787" s="208"/>
      <c r="C787" s="165"/>
      <c r="D787" s="165"/>
      <c r="E787" s="161" t="s">
        <v>310</v>
      </c>
      <c r="F787" s="161">
        <v>2</v>
      </c>
      <c r="G787" s="161">
        <v>-2</v>
      </c>
      <c r="H787" s="165"/>
      <c r="I787" s="165"/>
      <c r="J787" s="165"/>
      <c r="K787" s="165"/>
      <c r="L787" s="165"/>
      <c r="M787" s="165"/>
      <c r="N787" s="165"/>
      <c r="O787" s="165"/>
      <c r="P787" s="165"/>
      <c r="Q787" s="165"/>
      <c r="R787" s="165"/>
      <c r="S787" s="165"/>
      <c r="T787" s="165"/>
      <c r="U787" s="165"/>
      <c r="V787" s="209"/>
    </row>
    <row r="788" spans="1:22">
      <c r="B788" s="208"/>
      <c r="C788" s="165"/>
      <c r="D788" s="165"/>
      <c r="E788" s="161" t="s">
        <v>156</v>
      </c>
      <c r="F788" s="161">
        <v>1</v>
      </c>
      <c r="G788" s="161">
        <v>-1</v>
      </c>
      <c r="H788" s="165"/>
      <c r="I788" s="165"/>
      <c r="J788" s="165"/>
      <c r="K788" s="165"/>
      <c r="L788" s="165"/>
      <c r="M788" s="165"/>
      <c r="N788" s="165"/>
      <c r="O788" s="165"/>
      <c r="P788" s="165"/>
      <c r="Q788" s="165"/>
      <c r="R788" s="165"/>
      <c r="S788" s="165"/>
      <c r="T788" s="165"/>
      <c r="U788" s="165"/>
      <c r="V788" s="209"/>
    </row>
    <row r="789" spans="1:22">
      <c r="B789" s="208" t="s">
        <v>445</v>
      </c>
      <c r="C789" s="165"/>
      <c r="D789" s="165"/>
      <c r="E789" s="161" t="s">
        <v>3</v>
      </c>
      <c r="F789" s="161">
        <v>-2</v>
      </c>
      <c r="G789" s="161">
        <v>2</v>
      </c>
      <c r="H789" s="165"/>
      <c r="I789" s="165"/>
      <c r="J789" s="165"/>
      <c r="K789" s="165"/>
      <c r="L789" s="165"/>
      <c r="M789" s="165"/>
      <c r="N789" s="165"/>
      <c r="O789" s="165"/>
      <c r="P789" s="165"/>
      <c r="Q789" s="165"/>
      <c r="R789" s="165"/>
      <c r="S789" s="165"/>
      <c r="T789" s="165"/>
      <c r="U789" s="165"/>
      <c r="V789" s="209"/>
    </row>
    <row r="790" spans="1:22">
      <c r="B790" s="208"/>
      <c r="C790" s="165"/>
      <c r="D790" s="165"/>
      <c r="E790" s="165"/>
      <c r="F790" s="165"/>
      <c r="G790" s="165"/>
      <c r="H790" s="165"/>
      <c r="I790" s="165"/>
      <c r="J790" s="165"/>
      <c r="K790" s="165"/>
      <c r="L790" s="165"/>
      <c r="M790" s="165"/>
      <c r="N790" s="165"/>
      <c r="O790" s="165"/>
      <c r="P790" s="165"/>
      <c r="Q790" s="165"/>
      <c r="R790" s="165"/>
      <c r="S790" s="165"/>
      <c r="T790" s="165"/>
      <c r="U790" s="165"/>
      <c r="V790" s="209"/>
    </row>
    <row r="791" spans="1:22">
      <c r="B791" s="208" t="s">
        <v>311</v>
      </c>
      <c r="C791" s="165" t="s">
        <v>350</v>
      </c>
      <c r="D791" s="165" t="s">
        <v>413</v>
      </c>
      <c r="E791" s="165" t="s">
        <v>352</v>
      </c>
      <c r="F791" s="165" t="s">
        <v>353</v>
      </c>
      <c r="G791" s="235" t="s">
        <v>365</v>
      </c>
      <c r="H791" s="165"/>
      <c r="I791" s="165" t="s">
        <v>311</v>
      </c>
      <c r="J791" s="165" t="s">
        <v>350</v>
      </c>
      <c r="K791" s="165" t="s">
        <v>413</v>
      </c>
      <c r="L791" s="165" t="s">
        <v>352</v>
      </c>
      <c r="M791" s="165" t="s">
        <v>353</v>
      </c>
      <c r="N791" s="235" t="s">
        <v>365</v>
      </c>
      <c r="O791" s="165"/>
      <c r="P791" s="165"/>
      <c r="Q791" s="165"/>
      <c r="R791" s="165"/>
      <c r="S791" s="165"/>
      <c r="T791" s="165"/>
      <c r="U791" s="235"/>
      <c r="V791" s="209"/>
    </row>
    <row r="792" spans="1:22">
      <c r="B792" s="208">
        <f>Algandmed!AE449</f>
        <v>0</v>
      </c>
      <c r="C792" s="165">
        <f>SUM(Algandmed!AE449:AH449)</f>
        <v>0</v>
      </c>
      <c r="D792" s="165">
        <f>Algandmed!AL449+Algandmed!AJ449+Algandmed!AK449</f>
        <v>0</v>
      </c>
      <c r="E792" s="165">
        <f>Algandmed!AM449</f>
        <v>0</v>
      </c>
      <c r="F792" s="338" t="e">
        <f>SUM(Algandmed!AE449:AL449)/Algandmed!AM449</f>
        <v>#DIV/0!</v>
      </c>
      <c r="G792" s="236" t="e">
        <f>SUM(Algandmed!AF449:AM449)/Algandmed!AN449</f>
        <v>#DIV/0!</v>
      </c>
      <c r="H792" s="237"/>
      <c r="I792" s="238">
        <f>Algandmed!AP449</f>
        <v>0</v>
      </c>
      <c r="J792" s="238">
        <f>SUM(Algandmed!AP449:AS449)</f>
        <v>0</v>
      </c>
      <c r="K792" s="238">
        <f>Algandmed!AW449+Algandmed!AU449+Algandmed!AV449</f>
        <v>0</v>
      </c>
      <c r="L792" s="238">
        <f>Algandmed!AX449</f>
        <v>0</v>
      </c>
      <c r="M792" s="338" t="e">
        <f>SUM(Algandmed!AP449:AW449)/Algandmed!AX449</f>
        <v>#DIV/0!</v>
      </c>
      <c r="N792" s="237"/>
      <c r="O792" s="165"/>
      <c r="P792" s="238"/>
      <c r="Q792" s="238"/>
      <c r="R792" s="238"/>
      <c r="S792" s="238"/>
      <c r="T792" s="236"/>
      <c r="U792" s="237"/>
      <c r="V792" s="209"/>
    </row>
    <row r="793" spans="1:22">
      <c r="B793" s="208"/>
      <c r="C793" s="165"/>
      <c r="D793" s="165"/>
      <c r="E793" s="165"/>
      <c r="F793" s="338"/>
      <c r="G793" s="236"/>
      <c r="H793" s="237"/>
      <c r="I793" s="238"/>
      <c r="J793" s="238"/>
      <c r="K793" s="238"/>
      <c r="L793" s="238"/>
      <c r="M793" s="338"/>
      <c r="N793" s="237"/>
      <c r="O793" s="165"/>
      <c r="P793" s="238"/>
      <c r="Q793" s="238"/>
      <c r="R793" s="238"/>
      <c r="S793" s="238"/>
      <c r="T793" s="236"/>
      <c r="U793" s="237"/>
      <c r="V793" s="209"/>
    </row>
    <row r="794" spans="1:22">
      <c r="A794" t="s">
        <v>534</v>
      </c>
      <c r="B794" s="208">
        <f>Algandmed!AE453</f>
        <v>0</v>
      </c>
      <c r="C794" s="165">
        <f>SUM(Algandmed!AE453:AH453)</f>
        <v>0</v>
      </c>
      <c r="D794" s="165">
        <f>Algandmed!AL453+Algandmed!AJ453+Algandmed!AK453</f>
        <v>0</v>
      </c>
      <c r="E794" s="165">
        <f>Algandmed!AM453</f>
        <v>0</v>
      </c>
      <c r="F794" s="338" t="e">
        <f>SUM(Algandmed!AE453:AL453)/Algandmed!AM453</f>
        <v>#DIV/0!</v>
      </c>
      <c r="G794" s="236"/>
      <c r="H794" s="237"/>
      <c r="I794" s="238">
        <f>Algandmed!AP453</f>
        <v>0</v>
      </c>
      <c r="J794" s="238">
        <f>SUM(Algandmed!AP453:AS453)</f>
        <v>0</v>
      </c>
      <c r="K794" s="238">
        <f>Algandmed!AW453+Algandmed!AU453+Algandmed!AV453</f>
        <v>0</v>
      </c>
      <c r="L794" s="238">
        <f>Algandmed!AX453</f>
        <v>0</v>
      </c>
      <c r="M794" s="338" t="e">
        <f>SUM(Algandmed!AP453:AW453)/Algandmed!AX453</f>
        <v>#DIV/0!</v>
      </c>
      <c r="N794" s="237"/>
      <c r="O794" s="165"/>
      <c r="P794" s="238"/>
      <c r="Q794" s="238"/>
      <c r="R794" s="238"/>
      <c r="S794" s="238"/>
      <c r="T794" s="236"/>
      <c r="U794" s="237"/>
      <c r="V794" s="209"/>
    </row>
    <row r="795" spans="1:22">
      <c r="B795" s="208"/>
      <c r="C795" s="165"/>
      <c r="D795" s="165"/>
      <c r="E795" s="165"/>
      <c r="F795" s="338"/>
      <c r="G795" s="236"/>
      <c r="H795" s="237"/>
      <c r="I795" s="238"/>
      <c r="J795" s="238"/>
      <c r="K795" s="238"/>
      <c r="L795" s="238"/>
      <c r="M795" s="338"/>
      <c r="N795" s="237"/>
      <c r="O795" s="165"/>
      <c r="P795" s="238"/>
      <c r="Q795" s="238"/>
      <c r="R795" s="238"/>
      <c r="S795" s="238"/>
      <c r="T795" s="236"/>
      <c r="U795" s="237"/>
      <c r="V795" s="209"/>
    </row>
    <row r="796" spans="1:22">
      <c r="B796" s="208">
        <f>Algandmed!AE455</f>
        <v>0</v>
      </c>
      <c r="C796" s="165">
        <f>SUM(Algandmed!AE455:AH455)</f>
        <v>0</v>
      </c>
      <c r="D796" s="165">
        <f>Algandmed!AL455+Algandmed!AJ455+Algandmed!AK455</f>
        <v>0</v>
      </c>
      <c r="E796" s="238">
        <f>Algandmed!AM455</f>
        <v>1E-3</v>
      </c>
      <c r="F796" s="338">
        <f>SUM(Algandmed!AE455:AL455)/Algandmed!AM455</f>
        <v>0</v>
      </c>
      <c r="G796" s="236"/>
      <c r="H796" s="237"/>
      <c r="I796" s="238">
        <f>Algandmed!AP455</f>
        <v>0</v>
      </c>
      <c r="J796" s="238">
        <f>SUM(Algandmed!AP455:AS455)</f>
        <v>0</v>
      </c>
      <c r="K796" s="238">
        <f>Algandmed!AW455+Algandmed!AU455+Algandmed!AV455</f>
        <v>0</v>
      </c>
      <c r="L796" s="238">
        <f>Algandmed!AX455</f>
        <v>0</v>
      </c>
      <c r="M796" s="338" t="e">
        <f>SUM(Algandmed!AP455:AW455)/Algandmed!AX455</f>
        <v>#DIV/0!</v>
      </c>
      <c r="N796" s="237"/>
      <c r="O796" s="165"/>
      <c r="P796" s="238"/>
      <c r="Q796" s="238"/>
      <c r="R796" s="238"/>
      <c r="S796" s="238"/>
      <c r="T796" s="236"/>
      <c r="U796" s="237"/>
      <c r="V796" s="209"/>
    </row>
    <row r="797" spans="1:22">
      <c r="B797" s="317">
        <f>SUM(B794,B796,B798,B800)</f>
        <v>0</v>
      </c>
      <c r="C797" s="317">
        <f t="shared" ref="C797:E797" si="10">SUM(C794,C796,C798,C800)</f>
        <v>0</v>
      </c>
      <c r="D797" s="317">
        <f t="shared" si="10"/>
        <v>0</v>
      </c>
      <c r="E797" s="320">
        <f t="shared" si="10"/>
        <v>1E-3</v>
      </c>
      <c r="F797" s="339">
        <f>SUM(Algandmed!AE453:AL453,Algandmed!AE455:AL455,Algandmed!AE457:AL457,Algandmed!AE459:AL459)/SUM(Algandmed!AM453,Algandmed!AM455,Algandmed!AM457,Algandmed!AM459)</f>
        <v>0</v>
      </c>
      <c r="G797" s="318"/>
      <c r="H797" s="237"/>
      <c r="I797" s="320">
        <f>SUM(I794,I796,I798,I800)</f>
        <v>0</v>
      </c>
      <c r="J797" s="320">
        <f t="shared" ref="J797:L797" si="11">SUM(J794,J796,J798,J800)</f>
        <v>0</v>
      </c>
      <c r="K797" s="320">
        <f t="shared" si="11"/>
        <v>0</v>
      </c>
      <c r="L797" s="320">
        <f t="shared" si="11"/>
        <v>0</v>
      </c>
      <c r="M797" s="339" t="e">
        <f>SUM(Algandmed!AP453:AW453,Algandmed!AP455:AW455,Algandmed!AP457:AW457,Algandmed!AP459:AW459)/SUM(Algandmed!AX453,Algandmed!AX455,Algandmed!AX457,Algandmed!AX459)</f>
        <v>#DIV/0!</v>
      </c>
      <c r="N797" s="319"/>
      <c r="O797" s="165"/>
      <c r="P797" s="238"/>
      <c r="Q797" s="238"/>
      <c r="R797" s="238"/>
      <c r="S797" s="238"/>
      <c r="T797" s="236"/>
      <c r="U797" s="237"/>
      <c r="V797" s="209"/>
    </row>
    <row r="798" spans="1:22">
      <c r="B798" s="208">
        <f>Algandmed!AE457</f>
        <v>0</v>
      </c>
      <c r="C798" s="165">
        <f>SUM(Algandmed!AE457:AH457)</f>
        <v>0</v>
      </c>
      <c r="D798" s="165">
        <f>Algandmed!AL457+Algandmed!AJ457+Algandmed!AK457</f>
        <v>0</v>
      </c>
      <c r="E798" s="165">
        <f>Algandmed!AM457</f>
        <v>0</v>
      </c>
      <c r="F798" s="338" t="e">
        <f>SUM(Algandmed!AE457:AL457)/Algandmed!AM457</f>
        <v>#DIV/0!</v>
      </c>
      <c r="G798" s="236"/>
      <c r="H798" s="237"/>
      <c r="I798" s="238">
        <f>Algandmed!AP457</f>
        <v>0</v>
      </c>
      <c r="J798" s="238">
        <f>SUM(Algandmed!AP457:AS457)</f>
        <v>0</v>
      </c>
      <c r="K798" s="238">
        <f>Algandmed!AW457+Algandmed!AU457+Algandmed!AV457</f>
        <v>0</v>
      </c>
      <c r="L798" s="238">
        <f>Algandmed!AX457</f>
        <v>0</v>
      </c>
      <c r="M798" s="338" t="e">
        <f>SUM(Algandmed!AP457:AW457)/Algandmed!AX457</f>
        <v>#DIV/0!</v>
      </c>
      <c r="N798" s="237"/>
      <c r="O798" s="165"/>
      <c r="P798" s="238"/>
      <c r="Q798" s="238"/>
      <c r="R798" s="238"/>
      <c r="S798" s="238"/>
      <c r="T798" s="236"/>
      <c r="U798" s="237"/>
      <c r="V798" s="209"/>
    </row>
    <row r="799" spans="1:22">
      <c r="B799" s="208"/>
      <c r="C799" s="165"/>
      <c r="D799" s="165"/>
      <c r="E799" s="165"/>
      <c r="F799" s="338"/>
      <c r="G799" s="236"/>
      <c r="H799" s="237"/>
      <c r="I799" s="238"/>
      <c r="J799" s="238"/>
      <c r="K799" s="238"/>
      <c r="L799" s="238"/>
      <c r="M799" s="338"/>
      <c r="N799" s="237"/>
      <c r="O799" s="165"/>
      <c r="P799" s="238"/>
      <c r="Q799" s="238"/>
      <c r="R799" s="238"/>
      <c r="S799" s="238"/>
      <c r="T799" s="236"/>
      <c r="U799" s="237"/>
      <c r="V799" s="209"/>
    </row>
    <row r="800" spans="1:22">
      <c r="B800" s="208">
        <f>Algandmed!AE459</f>
        <v>0</v>
      </c>
      <c r="C800" s="165">
        <f>SUM(Algandmed!AE459:AH459)</f>
        <v>0</v>
      </c>
      <c r="D800" s="165">
        <f>Algandmed!AL459+Algandmed!AJ459+Algandmed!AK459</f>
        <v>0</v>
      </c>
      <c r="E800" s="165">
        <f>Algandmed!AM459</f>
        <v>0</v>
      </c>
      <c r="F800" s="338" t="e">
        <f>SUM(Algandmed!AE459:AL459)/Algandmed!AM459</f>
        <v>#DIV/0!</v>
      </c>
      <c r="G800" s="236"/>
      <c r="H800" s="237"/>
      <c r="I800" s="238">
        <f>Algandmed!AP459</f>
        <v>0</v>
      </c>
      <c r="J800" s="238">
        <f>SUM(Algandmed!AP459:AS459)</f>
        <v>0</v>
      </c>
      <c r="K800" s="238">
        <f>Algandmed!AW459+Algandmed!AU459+Algandmed!AV459</f>
        <v>0</v>
      </c>
      <c r="L800" s="238">
        <f>Algandmed!AX459</f>
        <v>0</v>
      </c>
      <c r="M800" s="338" t="e">
        <f>SUM(Algandmed!AP459:AW459)/Algandmed!AX459</f>
        <v>#DIV/0!</v>
      </c>
      <c r="N800" s="237"/>
      <c r="O800" s="165"/>
      <c r="P800" s="238"/>
      <c r="Q800" s="238"/>
      <c r="R800" s="238"/>
      <c r="S800" s="238"/>
      <c r="T800" s="236"/>
      <c r="U800" s="237"/>
      <c r="V800" s="209"/>
    </row>
    <row r="801" spans="1:25">
      <c r="B801" s="208"/>
      <c r="C801" s="165"/>
      <c r="D801" s="165"/>
      <c r="E801" s="165"/>
      <c r="F801" s="338"/>
      <c r="G801" s="236"/>
      <c r="H801" s="237"/>
      <c r="I801" s="238"/>
      <c r="J801" s="238"/>
      <c r="K801" s="238"/>
      <c r="L801" s="238"/>
      <c r="M801" s="338"/>
      <c r="N801" s="237"/>
      <c r="O801" s="165"/>
      <c r="P801" s="238"/>
      <c r="Q801" s="238"/>
      <c r="R801" s="238"/>
      <c r="S801" s="238"/>
      <c r="T801" s="236"/>
      <c r="U801" s="237"/>
      <c r="V801" s="209"/>
    </row>
    <row r="802" spans="1:25">
      <c r="B802" s="208">
        <f>Algandmed!AE463</f>
        <v>0</v>
      </c>
      <c r="C802" s="165">
        <f>SUM(Algandmed!AE463:AH463)</f>
        <v>0</v>
      </c>
      <c r="D802" s="165">
        <f>Algandmed!AL463+Algandmed!AJ463+Algandmed!AK463</f>
        <v>0</v>
      </c>
      <c r="E802" s="165">
        <f>Algandmed!AM463</f>
        <v>0</v>
      </c>
      <c r="F802" s="338" t="e">
        <f>SUM(Algandmed!AE463:AL463)/Algandmed!AM463</f>
        <v>#DIV/0!</v>
      </c>
      <c r="G802" s="236"/>
      <c r="H802" s="237"/>
      <c r="I802" s="238">
        <f>Algandmed!AP463</f>
        <v>0</v>
      </c>
      <c r="J802" s="238">
        <f>SUM(Algandmed!AP463:AS463)</f>
        <v>0</v>
      </c>
      <c r="K802" s="238">
        <f>Algandmed!AW463+Algandmed!AU463+Algandmed!AV463</f>
        <v>0</v>
      </c>
      <c r="L802" s="238">
        <f>Algandmed!AX463</f>
        <v>0</v>
      </c>
      <c r="M802" s="338" t="e">
        <f>SUM(Algandmed!AP463:AW463)/Algandmed!AX463</f>
        <v>#DIV/0!</v>
      </c>
      <c r="N802" s="237"/>
      <c r="O802" s="165"/>
      <c r="P802" s="238"/>
      <c r="Q802" s="238"/>
      <c r="R802" s="238"/>
      <c r="S802" s="238"/>
      <c r="T802" s="236"/>
      <c r="U802" s="237"/>
      <c r="V802" s="209"/>
    </row>
    <row r="803" spans="1:25">
      <c r="B803" s="208"/>
      <c r="C803" s="165"/>
      <c r="D803" s="165"/>
      <c r="E803" s="165"/>
      <c r="F803" s="236"/>
      <c r="G803" s="237"/>
      <c r="H803" s="237"/>
      <c r="I803" s="238"/>
      <c r="J803" s="238"/>
      <c r="K803" s="238"/>
      <c r="L803" s="238"/>
      <c r="M803" s="236"/>
      <c r="N803" s="237"/>
      <c r="O803" s="165"/>
      <c r="P803" s="238"/>
      <c r="Q803" s="238"/>
      <c r="R803" s="238"/>
      <c r="S803" s="238"/>
      <c r="T803" s="236"/>
      <c r="U803" s="237"/>
      <c r="V803" s="209"/>
    </row>
    <row r="804" spans="1:25">
      <c r="B804" s="212"/>
      <c r="C804" s="213"/>
      <c r="D804" s="213"/>
      <c r="E804" s="213"/>
      <c r="F804" s="240"/>
      <c r="G804" s="241"/>
      <c r="H804" s="213"/>
      <c r="I804" s="213"/>
      <c r="J804" s="213"/>
      <c r="K804" s="213"/>
      <c r="L804" s="213"/>
      <c r="M804" s="213"/>
      <c r="N804" s="213"/>
      <c r="O804" s="213"/>
      <c r="P804" s="213"/>
      <c r="Q804" s="213"/>
      <c r="R804" s="213"/>
      <c r="S804" s="213"/>
      <c r="T804" s="213"/>
      <c r="U804" s="213"/>
      <c r="V804" s="214"/>
    </row>
    <row r="807" spans="1:25">
      <c r="B807" s="205"/>
      <c r="C807" s="206"/>
      <c r="D807" s="206"/>
      <c r="E807" s="206"/>
      <c r="F807" s="206"/>
      <c r="G807" s="388" t="s">
        <v>733</v>
      </c>
      <c r="H807" s="388"/>
      <c r="I807" s="388"/>
      <c r="J807" s="388"/>
      <c r="K807" s="388"/>
      <c r="L807" s="388"/>
      <c r="M807" s="388"/>
      <c r="N807" s="206"/>
      <c r="O807" s="206"/>
      <c r="P807" s="206"/>
      <c r="Q807" s="206"/>
      <c r="R807" s="206"/>
      <c r="S807" s="206"/>
      <c r="T807" s="206"/>
      <c r="U807" s="206"/>
      <c r="V807" s="206"/>
      <c r="W807" s="206"/>
      <c r="X807" s="206"/>
      <c r="Y807" s="207"/>
    </row>
    <row r="808" spans="1:25">
      <c r="B808" s="208" t="s">
        <v>354</v>
      </c>
      <c r="C808" s="165"/>
      <c r="D808" s="165"/>
      <c r="E808" s="165"/>
      <c r="F808" s="165"/>
      <c r="G808" s="389"/>
      <c r="H808" s="389"/>
      <c r="I808" s="389"/>
      <c r="J808" s="389"/>
      <c r="K808" s="389"/>
      <c r="L808" s="389"/>
      <c r="M808" s="389"/>
      <c r="N808" s="165"/>
      <c r="O808" s="165"/>
      <c r="P808" s="165"/>
      <c r="Q808" s="165"/>
      <c r="R808" s="165"/>
      <c r="S808" s="165"/>
      <c r="T808" s="165"/>
      <c r="U808" s="165"/>
      <c r="V808" s="165"/>
      <c r="W808" s="165"/>
      <c r="X808" s="165"/>
      <c r="Y808" s="209"/>
    </row>
    <row r="809" spans="1:25">
      <c r="B809" s="208" t="s">
        <v>355</v>
      </c>
      <c r="C809" s="165"/>
      <c r="D809" s="165"/>
      <c r="E809" s="165"/>
      <c r="F809" s="165"/>
      <c r="G809" s="165"/>
      <c r="H809" s="165"/>
      <c r="I809" s="165"/>
      <c r="J809" s="165"/>
      <c r="K809" s="165"/>
      <c r="L809" s="165"/>
      <c r="M809" s="165"/>
      <c r="N809" s="165"/>
      <c r="O809" s="165"/>
      <c r="P809" s="165"/>
      <c r="Q809" s="165"/>
      <c r="R809" s="390" t="s">
        <v>416</v>
      </c>
      <c r="S809" s="390"/>
      <c r="T809" s="390"/>
      <c r="U809" s="165"/>
      <c r="V809" s="165"/>
      <c r="W809" s="165"/>
      <c r="X809" s="165"/>
      <c r="Y809" s="209"/>
    </row>
    <row r="810" spans="1:25">
      <c r="B810" s="208" t="s">
        <v>356</v>
      </c>
      <c r="C810" s="165"/>
      <c r="D810" s="165"/>
      <c r="E810" s="165"/>
      <c r="F810" s="165"/>
      <c r="G810" s="165"/>
      <c r="H810" s="165"/>
      <c r="I810" s="165"/>
      <c r="J810" s="165"/>
      <c r="K810" s="165"/>
      <c r="L810" s="165"/>
      <c r="M810" s="165"/>
      <c r="N810" s="165"/>
      <c r="O810" s="165"/>
      <c r="P810" s="165"/>
      <c r="Q810" s="165"/>
      <c r="R810" s="390"/>
      <c r="S810" s="390"/>
      <c r="T810" s="390"/>
      <c r="U810" s="165"/>
      <c r="V810" s="165"/>
      <c r="W810" s="165"/>
      <c r="X810" s="165"/>
      <c r="Y810" s="209"/>
    </row>
    <row r="811" spans="1:25">
      <c r="B811" s="208" t="s">
        <v>357</v>
      </c>
      <c r="C811" s="165"/>
      <c r="D811" s="165"/>
      <c r="E811" s="165"/>
      <c r="F811" s="165"/>
      <c r="G811" s="165"/>
      <c r="H811" s="165"/>
      <c r="I811" s="165"/>
      <c r="J811" s="165"/>
      <c r="K811" s="165"/>
      <c r="L811" s="165"/>
      <c r="M811" s="165"/>
      <c r="N811" s="165"/>
      <c r="O811" s="165"/>
      <c r="P811" s="165"/>
      <c r="Q811" s="165"/>
      <c r="R811" s="390"/>
      <c r="S811" s="390"/>
      <c r="T811" s="390"/>
      <c r="U811" s="165"/>
      <c r="V811" s="165"/>
      <c r="W811" s="165"/>
      <c r="X811" s="165"/>
      <c r="Y811" s="209"/>
    </row>
    <row r="812" spans="1:25">
      <c r="B812" s="208"/>
      <c r="C812" s="165"/>
      <c r="D812" s="165"/>
      <c r="E812" s="165"/>
      <c r="F812" s="165"/>
      <c r="G812" s="165"/>
      <c r="H812" s="165"/>
      <c r="I812" s="165"/>
      <c r="J812" s="165"/>
      <c r="K812" s="165"/>
      <c r="L812" s="165"/>
      <c r="M812" s="165"/>
      <c r="N812" s="165"/>
      <c r="O812" s="165"/>
      <c r="P812" s="165"/>
      <c r="Q812" s="165"/>
      <c r="R812" s="390"/>
      <c r="S812" s="390"/>
      <c r="T812" s="390"/>
      <c r="U812" s="165"/>
      <c r="V812" s="165"/>
      <c r="W812" s="165"/>
      <c r="X812" s="165"/>
      <c r="Y812" s="209"/>
    </row>
    <row r="813" spans="1:25">
      <c r="A813" s="115">
        <v>-999</v>
      </c>
      <c r="B813" s="208">
        <v>-30</v>
      </c>
      <c r="C813" s="229"/>
      <c r="D813" s="165"/>
      <c r="E813" s="165" t="s">
        <v>347</v>
      </c>
      <c r="F813" s="165" t="s">
        <v>2</v>
      </c>
      <c r="G813" s="165" t="s">
        <v>6</v>
      </c>
      <c r="H813" s="165"/>
      <c r="I813" s="165"/>
      <c r="J813" s="165"/>
      <c r="K813" s="165"/>
      <c r="L813" s="165"/>
      <c r="M813" s="165"/>
      <c r="N813" s="165"/>
      <c r="O813" s="165"/>
      <c r="P813" s="165"/>
      <c r="Q813" s="165"/>
      <c r="R813" s="165"/>
      <c r="S813" s="165"/>
      <c r="T813" s="165"/>
      <c r="U813" s="165"/>
      <c r="V813" s="165"/>
      <c r="W813" s="165"/>
      <c r="X813" s="165"/>
      <c r="Y813" s="209"/>
    </row>
    <row r="814" spans="1:25">
      <c r="A814" s="115">
        <v>-29.9</v>
      </c>
      <c r="B814" s="208">
        <v>-20</v>
      </c>
      <c r="C814" s="230"/>
      <c r="D814" s="165"/>
      <c r="E814" s="165" t="s">
        <v>703</v>
      </c>
      <c r="F814" s="165">
        <v>200</v>
      </c>
      <c r="G814" s="165">
        <v>-200</v>
      </c>
      <c r="H814" s="165"/>
      <c r="I814" s="165"/>
      <c r="J814" s="165"/>
      <c r="K814" s="165"/>
      <c r="L814" s="165"/>
      <c r="M814" s="165"/>
      <c r="N814" s="165"/>
      <c r="O814" s="165"/>
      <c r="P814" s="165"/>
      <c r="Q814" s="165"/>
      <c r="R814" s="165"/>
      <c r="S814" s="165"/>
      <c r="T814" s="165"/>
      <c r="U814" s="165"/>
      <c r="V814" s="165"/>
      <c r="W814" s="165"/>
      <c r="X814" s="165"/>
      <c r="Y814" s="209"/>
    </row>
    <row r="815" spans="1:25">
      <c r="A815" s="115">
        <v>-19.899999999999999</v>
      </c>
      <c r="B815" s="208">
        <v>-10</v>
      </c>
      <c r="C815" s="231"/>
      <c r="D815" s="165"/>
      <c r="E815" s="165" t="s">
        <v>9</v>
      </c>
      <c r="F815" s="165">
        <v>24</v>
      </c>
      <c r="G815" s="165">
        <v>-24</v>
      </c>
      <c r="H815" s="165"/>
      <c r="I815" s="165"/>
      <c r="J815" s="165"/>
      <c r="K815" s="165"/>
      <c r="L815" s="165"/>
      <c r="M815" s="165"/>
      <c r="N815" s="165"/>
      <c r="O815" s="165"/>
      <c r="P815" s="165"/>
      <c r="Q815" s="165"/>
      <c r="R815" s="165"/>
      <c r="S815" s="165"/>
      <c r="T815" s="165"/>
      <c r="U815" s="165"/>
      <c r="V815" s="165"/>
      <c r="W815" s="165"/>
      <c r="X815" s="165"/>
      <c r="Y815" s="209"/>
    </row>
    <row r="816" spans="1:25">
      <c r="A816" s="115">
        <v>10</v>
      </c>
      <c r="B816" s="208">
        <v>19.899999999999999</v>
      </c>
      <c r="C816" s="232"/>
      <c r="D816" s="165"/>
      <c r="E816" s="161" t="s">
        <v>8</v>
      </c>
      <c r="F816" s="165">
        <v>22</v>
      </c>
      <c r="G816" s="165">
        <v>-22</v>
      </c>
      <c r="H816" s="165"/>
      <c r="I816" s="165"/>
      <c r="J816" s="165"/>
      <c r="K816" s="165"/>
      <c r="L816" s="165"/>
      <c r="M816" s="165"/>
      <c r="N816" s="165"/>
      <c r="O816" s="165"/>
      <c r="P816" s="165"/>
      <c r="Q816" s="165"/>
      <c r="R816" s="165"/>
      <c r="S816" s="165"/>
      <c r="T816" s="165"/>
      <c r="U816" s="165"/>
      <c r="V816" s="165"/>
      <c r="W816" s="165"/>
      <c r="X816" s="165"/>
      <c r="Y816" s="209"/>
    </row>
    <row r="817" spans="1:25">
      <c r="A817" s="115">
        <v>20</v>
      </c>
      <c r="B817" s="208">
        <v>29.9</v>
      </c>
      <c r="C817" s="233"/>
      <c r="D817" s="165"/>
      <c r="E817" s="161" t="s">
        <v>19</v>
      </c>
      <c r="F817" s="161">
        <v>20</v>
      </c>
      <c r="G817" s="161">
        <v>-20</v>
      </c>
      <c r="H817" s="165"/>
      <c r="I817" s="165"/>
      <c r="J817" s="165"/>
      <c r="K817" s="165"/>
      <c r="L817" s="165"/>
      <c r="M817" s="165"/>
      <c r="N817" s="165"/>
      <c r="O817" s="165"/>
      <c r="P817" s="165"/>
      <c r="Q817" s="165"/>
      <c r="R817" s="165"/>
      <c r="S817" s="165"/>
      <c r="T817" s="165"/>
      <c r="U817" s="165"/>
      <c r="V817" s="165"/>
      <c r="W817" s="165"/>
      <c r="X817" s="165"/>
      <c r="Y817" s="209"/>
    </row>
    <row r="818" spans="1:25">
      <c r="A818" s="115">
        <v>30</v>
      </c>
      <c r="B818" s="208">
        <v>999</v>
      </c>
      <c r="C818" s="234"/>
      <c r="D818" s="165"/>
      <c r="E818" s="161" t="s">
        <v>7</v>
      </c>
      <c r="F818" s="161">
        <v>18</v>
      </c>
      <c r="G818" s="161">
        <v>-18</v>
      </c>
      <c r="H818" s="165"/>
      <c r="I818" s="165"/>
      <c r="J818" s="165"/>
      <c r="K818" s="165"/>
      <c r="L818" s="165"/>
      <c r="M818" s="165"/>
      <c r="N818" s="165"/>
      <c r="O818" s="165"/>
      <c r="P818" s="165"/>
      <c r="Q818" s="165"/>
      <c r="R818" s="165"/>
      <c r="S818" s="165"/>
      <c r="T818" s="165"/>
      <c r="U818" s="165"/>
      <c r="V818" s="165"/>
      <c r="W818" s="165"/>
      <c r="X818" s="165"/>
      <c r="Y818" s="209"/>
    </row>
    <row r="819" spans="1:25">
      <c r="B819" s="208"/>
      <c r="C819" s="165"/>
      <c r="D819" s="165"/>
      <c r="E819" s="161" t="s">
        <v>163</v>
      </c>
      <c r="F819" s="161">
        <v>16</v>
      </c>
      <c r="G819" s="161">
        <v>-16</v>
      </c>
      <c r="H819" s="165"/>
      <c r="I819" s="165"/>
      <c r="J819" s="165"/>
      <c r="K819" s="165"/>
      <c r="L819" s="165"/>
      <c r="M819" s="165"/>
      <c r="N819" s="165"/>
      <c r="O819" s="165"/>
      <c r="P819" s="165"/>
      <c r="Q819" s="165"/>
      <c r="R819" s="165"/>
      <c r="S819" s="165"/>
      <c r="T819" s="165"/>
      <c r="U819" s="165"/>
      <c r="V819" s="165"/>
      <c r="W819" s="165"/>
      <c r="X819" s="165"/>
      <c r="Y819" s="209"/>
    </row>
    <row r="820" spans="1:25">
      <c r="B820" s="208"/>
      <c r="C820" s="165"/>
      <c r="D820" s="165"/>
      <c r="E820" s="161" t="s">
        <v>310</v>
      </c>
      <c r="F820" s="161">
        <v>14</v>
      </c>
      <c r="G820" s="161">
        <v>-14</v>
      </c>
      <c r="H820" s="165"/>
      <c r="I820" s="165"/>
      <c r="J820" s="165"/>
      <c r="K820" s="165"/>
      <c r="L820" s="165"/>
      <c r="M820" s="165"/>
      <c r="N820" s="165"/>
      <c r="O820" s="165"/>
      <c r="P820" s="165"/>
      <c r="Q820" s="165"/>
      <c r="R820" s="165"/>
      <c r="S820" s="165"/>
      <c r="T820" s="165"/>
      <c r="U820" s="165"/>
      <c r="V820" s="165"/>
      <c r="W820" s="165"/>
      <c r="X820" s="165"/>
      <c r="Y820" s="209"/>
    </row>
    <row r="821" spans="1:25">
      <c r="B821" s="208"/>
      <c r="C821" s="165"/>
      <c r="D821" s="165"/>
      <c r="E821" s="161" t="s">
        <v>156</v>
      </c>
      <c r="F821" s="161">
        <v>12</v>
      </c>
      <c r="G821" s="161">
        <v>-12</v>
      </c>
      <c r="H821" s="165"/>
      <c r="I821" s="165"/>
      <c r="J821" s="165"/>
      <c r="K821" s="165"/>
      <c r="L821" s="165"/>
      <c r="M821" s="165"/>
      <c r="N821" s="165"/>
      <c r="O821" s="165"/>
      <c r="P821" s="165"/>
      <c r="Q821" s="165"/>
      <c r="R821" s="165"/>
      <c r="S821" s="165"/>
      <c r="T821" s="165"/>
      <c r="U821" s="165"/>
      <c r="V821" s="165"/>
      <c r="W821" s="165"/>
      <c r="X821" s="165"/>
      <c r="Y821" s="209"/>
    </row>
    <row r="822" spans="1:25">
      <c r="B822" s="208"/>
      <c r="C822" s="165"/>
      <c r="D822" s="165"/>
      <c r="E822" s="161" t="s">
        <v>3</v>
      </c>
      <c r="F822" s="161">
        <v>-10</v>
      </c>
      <c r="G822" s="161">
        <v>10</v>
      </c>
      <c r="H822" s="165"/>
      <c r="I822" s="165"/>
      <c r="J822" s="165"/>
      <c r="K822" s="165"/>
      <c r="L822" s="165"/>
      <c r="M822" s="165"/>
      <c r="N822" s="165"/>
      <c r="O822" s="165"/>
      <c r="P822" s="165"/>
      <c r="Q822" s="165"/>
      <c r="R822" s="165"/>
      <c r="S822" s="165"/>
      <c r="T822" s="165"/>
      <c r="U822" s="165"/>
      <c r="V822" s="165"/>
      <c r="W822" s="165"/>
      <c r="X822" s="165"/>
      <c r="Y822" s="209"/>
    </row>
    <row r="823" spans="1:25">
      <c r="B823" s="208"/>
      <c r="C823" s="165"/>
      <c r="D823" s="165"/>
      <c r="E823" s="165"/>
      <c r="F823" s="165"/>
      <c r="G823" s="165"/>
      <c r="H823" s="165"/>
      <c r="I823" s="165"/>
      <c r="J823" s="165"/>
      <c r="K823" s="165"/>
      <c r="L823" s="165"/>
      <c r="M823" s="165"/>
      <c r="N823" s="165"/>
      <c r="O823" s="165"/>
      <c r="P823" s="165"/>
      <c r="Q823" s="165"/>
      <c r="R823" s="165"/>
      <c r="S823" s="165"/>
      <c r="T823" s="165"/>
      <c r="U823" s="165"/>
      <c r="V823" s="165"/>
      <c r="W823" s="165"/>
      <c r="X823" s="165"/>
      <c r="Y823" s="209"/>
    </row>
    <row r="824" spans="1:25">
      <c r="B824" s="208" t="s">
        <v>45</v>
      </c>
      <c r="C824" s="165" t="s">
        <v>417</v>
      </c>
      <c r="D824" s="165" t="s">
        <v>418</v>
      </c>
      <c r="E824" s="165" t="s">
        <v>311</v>
      </c>
      <c r="F824" s="165" t="s">
        <v>350</v>
      </c>
      <c r="G824" s="249" t="s">
        <v>413</v>
      </c>
      <c r="H824" s="250" t="s">
        <v>377</v>
      </c>
      <c r="I824" s="165"/>
      <c r="J824" s="165" t="s">
        <v>45</v>
      </c>
      <c r="K824" s="165" t="s">
        <v>417</v>
      </c>
      <c r="L824" s="165" t="s">
        <v>418</v>
      </c>
      <c r="M824" s="165" t="s">
        <v>311</v>
      </c>
      <c r="N824" s="165" t="s">
        <v>350</v>
      </c>
      <c r="O824" s="249" t="s">
        <v>413</v>
      </c>
      <c r="P824" s="250" t="s">
        <v>377</v>
      </c>
      <c r="Q824" s="165"/>
      <c r="R824" s="165" t="s">
        <v>45</v>
      </c>
      <c r="S824" s="165" t="s">
        <v>417</v>
      </c>
      <c r="T824" s="165" t="s">
        <v>418</v>
      </c>
      <c r="U824" s="165" t="s">
        <v>311</v>
      </c>
      <c r="V824" s="165" t="s">
        <v>350</v>
      </c>
      <c r="W824" s="249" t="s">
        <v>413</v>
      </c>
      <c r="X824" s="250" t="s">
        <v>377</v>
      </c>
      <c r="Y824" s="209"/>
    </row>
    <row r="825" spans="1:25">
      <c r="B825" s="208">
        <f>Algandmed!AG856</f>
        <v>0</v>
      </c>
      <c r="C825" s="228" t="e">
        <f>Algandmed!AG858</f>
        <v>#DIV/0!</v>
      </c>
      <c r="D825" s="228" t="e">
        <f>Algandmed!AG861</f>
        <v>#DIV/0!</v>
      </c>
      <c r="E825" s="165">
        <f>Algandmed!AG862</f>
        <v>0</v>
      </c>
      <c r="F825" s="238">
        <f>SUM(Algandmed!AG862:AG865)</f>
        <v>0</v>
      </c>
      <c r="G825" s="238">
        <f>Algandmed!AG869+Algandmed!AG867+Algandmed!AG866</f>
        <v>0</v>
      </c>
      <c r="H825" s="237" t="e">
        <f>(($F$814*Algandmed!AG862)+($F$815*Algandmed!AG863)+($F$816*Algandmed!AG864)+($F$817*Algandmed!AG865)+($F$818*Algandmed!AG866)+($F$819*Algandmed!AG867)+($F$820*Algandmed!AG868)+($F$821*Algandmed!AG869)+((Algandmed!AG856-SUM(Algandmed!AG862:AG869))*$F$822))/SQRT(Algandmed!AG856)</f>
        <v>#DIV/0!</v>
      </c>
      <c r="I825" s="238"/>
      <c r="J825" s="165">
        <f>Algandmed!AL856</f>
        <v>0</v>
      </c>
      <c r="K825" s="228" t="e">
        <f>Algandmed!AL858</f>
        <v>#DIV/0!</v>
      </c>
      <c r="L825" s="228" t="e">
        <f>Algandmed!AL861</f>
        <v>#DIV/0!</v>
      </c>
      <c r="M825" s="165">
        <f>Algandmed!AL862</f>
        <v>0</v>
      </c>
      <c r="N825" s="238">
        <f>SUM(Algandmed!AL862:AL865)</f>
        <v>0</v>
      </c>
      <c r="O825" s="238">
        <f>Algandmed!AL869+Algandmed!AL867+Algandmed!AL866</f>
        <v>0</v>
      </c>
      <c r="P825" s="238" t="e">
        <f>(($F$814*Algandmed!AL862)+($F$815*Algandmed!AL863)+($F$816*Algandmed!AL864)+($F$817*Algandmed!AL865)+($F$818*Algandmed!AL866)+($F$819*Algandmed!AL867)+($F$820*Algandmed!AL868)+($F$821*Algandmed!AL869)+((Algandmed!AL856-SUM(Algandmed!AL862:AL869))*$F$822))/SQRT(Algandmed!AL856)</f>
        <v>#DIV/0!</v>
      </c>
      <c r="Q825" s="238"/>
      <c r="R825" s="165">
        <f>Algandmed!AQ856</f>
        <v>0</v>
      </c>
      <c r="S825" s="228" t="e">
        <f>Algandmed!AQ858</f>
        <v>#DIV/0!</v>
      </c>
      <c r="T825" s="228" t="e">
        <f>Algandmed!AQ861</f>
        <v>#DIV/0!</v>
      </c>
      <c r="U825" s="165">
        <f>Algandmed!AQ862</f>
        <v>0</v>
      </c>
      <c r="V825" s="238">
        <f>SUM(Algandmed!AQ862:AQ865)</f>
        <v>0</v>
      </c>
      <c r="W825" s="238">
        <f>Algandmed!AQ869+Algandmed!AQ867+Algandmed!AQ866</f>
        <v>0</v>
      </c>
      <c r="X825" s="165" t="e">
        <f>(($F$814*Algandmed!AQ862)+($F$815*Algandmed!AQ863)+($F$816*Algandmed!AQ864)+($F$817*Algandmed!AQ865)+($F$818*Algandmed!AQ866)+($F$819*Algandmed!AQ867)+($F$820*Algandmed!AQ868)+($F$821*Algandmed!AQ869)+((Algandmed!AQ856-SUM(Algandmed!AQ862:AQ869))*$F$822))/SQRT(Algandmed!AQ856)</f>
        <v>#DIV/0!</v>
      </c>
      <c r="Y825" s="209"/>
    </row>
    <row r="826" spans="1:25" s="115" customFormat="1">
      <c r="B826" s="208"/>
      <c r="C826" s="228"/>
      <c r="D826" s="228"/>
      <c r="E826" s="165"/>
      <c r="F826" s="238"/>
      <c r="G826" s="238"/>
      <c r="H826" s="237"/>
      <c r="I826" s="238"/>
      <c r="J826" s="165"/>
      <c r="K826" s="228"/>
      <c r="L826" s="228"/>
      <c r="M826" s="165"/>
      <c r="N826" s="238"/>
      <c r="O826" s="238"/>
      <c r="P826" s="238"/>
      <c r="Q826" s="238"/>
      <c r="R826" s="165"/>
      <c r="S826" s="228"/>
      <c r="T826" s="228"/>
      <c r="U826" s="165"/>
      <c r="V826" s="238"/>
      <c r="W826" s="238"/>
      <c r="X826" s="165"/>
      <c r="Y826" s="209"/>
    </row>
    <row r="827" spans="1:25" s="115" customFormat="1">
      <c r="B827" s="208"/>
      <c r="C827" s="228"/>
      <c r="D827" s="228"/>
      <c r="E827" s="165"/>
      <c r="F827" s="238"/>
      <c r="G827" s="238"/>
      <c r="H827" s="237"/>
      <c r="I827" s="238"/>
      <c r="J827" s="165">
        <f>Algandmed!AL872</f>
        <v>0</v>
      </c>
      <c r="K827" s="228" t="e">
        <f>Algandmed!AL874</f>
        <v>#DIV/0!</v>
      </c>
      <c r="L827" s="228" t="e">
        <f>Algandmed!AL877</f>
        <v>#DIV/0!</v>
      </c>
      <c r="M827" s="165">
        <f>Algandmed!AL878</f>
        <v>0</v>
      </c>
      <c r="N827" s="238">
        <f>SUM(Algandmed!AL878:AL881)</f>
        <v>0</v>
      </c>
      <c r="O827" s="238">
        <f>Algandmed!AL882+Algandmed!AL883+Algandmed!AL885</f>
        <v>0</v>
      </c>
      <c r="P827" s="238" t="e">
        <f>(($F$814*Algandmed!AL878)+($F$815*Algandmed!AL879)+($F$816*Algandmed!AL880)+($F$817*Algandmed!AL881)+($F$818*Algandmed!AL882)+($F$819*Algandmed!AL883)+($F$820*Algandmed!AL884)+($F$821*Algandmed!AL885)+((Algandmed!AL872-SUM(Algandmed!AL878:AL885))*$F$822))/SQRT(Algandmed!AL872)</f>
        <v>#DIV/0!</v>
      </c>
      <c r="Q827" s="238"/>
      <c r="R827" s="165"/>
      <c r="S827" s="228"/>
      <c r="T827" s="228"/>
      <c r="U827" s="165"/>
      <c r="V827" s="238"/>
      <c r="W827" s="238"/>
      <c r="X827" s="165"/>
      <c r="Y827" s="209"/>
    </row>
    <row r="828" spans="1:25" ht="28.9" customHeight="1">
      <c r="A828" s="403" t="s">
        <v>464</v>
      </c>
      <c r="B828" s="208"/>
      <c r="C828" s="228"/>
      <c r="D828" s="228"/>
      <c r="E828" s="165"/>
      <c r="F828" s="238"/>
      <c r="G828" s="238"/>
      <c r="H828" s="237"/>
      <c r="I828" s="238"/>
      <c r="J828" s="238"/>
      <c r="K828" s="238"/>
      <c r="L828" s="238"/>
      <c r="M828" s="236"/>
      <c r="N828" s="237"/>
      <c r="O828" s="165"/>
      <c r="P828" s="238"/>
      <c r="Q828" s="238"/>
      <c r="R828" s="165"/>
      <c r="S828" s="228"/>
      <c r="T828" s="228"/>
      <c r="U828" s="165"/>
      <c r="V828" s="238"/>
      <c r="W828" s="238"/>
      <c r="X828" s="165"/>
      <c r="Y828" s="209"/>
    </row>
    <row r="829" spans="1:25">
      <c r="A829" s="403"/>
      <c r="B829" s="208">
        <f>Algandmed!AG888</f>
        <v>0</v>
      </c>
      <c r="C829" s="228" t="e">
        <f>Algandmed!AG890</f>
        <v>#DIV/0!</v>
      </c>
      <c r="D829" s="228" t="e">
        <f>Algandmed!AG893</f>
        <v>#DIV/0!</v>
      </c>
      <c r="E829" s="165">
        <f>Algandmed!AG894</f>
        <v>0</v>
      </c>
      <c r="F829" s="238">
        <f>SUM(Algandmed!AG894:AG897)</f>
        <v>0</v>
      </c>
      <c r="G829" s="238">
        <f>Algandmed!AG898+Algandmed!AG899+Algandmed!AG901</f>
        <v>0</v>
      </c>
      <c r="H829" s="237" t="e">
        <f>(($F$814*Algandmed!AG894)+($F$815*Algandmed!AG895)+($F$816*Algandmed!AG896)+($F$817*Algandmed!AG897)+($F$818*Algandmed!AG898)+($F$819*Algandmed!AG899)+($F$820*Algandmed!AG900)+($F$821*Algandmed!AG901)+((Algandmed!AG888-SUM(Algandmed!AG894:AG901))*$F$822))/SQRT(Algandmed!AG888)</f>
        <v>#DIV/0!</v>
      </c>
      <c r="I829" s="238"/>
      <c r="J829" s="165">
        <f>Algandmed!AL888</f>
        <v>0</v>
      </c>
      <c r="K829" s="228" t="e">
        <f>Algandmed!AL890</f>
        <v>#DIV/0!</v>
      </c>
      <c r="L829" s="228" t="e">
        <f>Algandmed!AL893</f>
        <v>#DIV/0!</v>
      </c>
      <c r="M829" s="165">
        <f>Algandmed!AL894</f>
        <v>0</v>
      </c>
      <c r="N829" s="238">
        <f>SUM(Algandmed!AL894:AL897)</f>
        <v>0</v>
      </c>
      <c r="O829" s="238">
        <f>Algandmed!AL898+Algandmed!AL899+Algandmed!AL901</f>
        <v>0</v>
      </c>
      <c r="P829" s="238" t="e">
        <f>(($F$814*Algandmed!AL894)+($F$815*Algandmed!AL895)+($F$816*Algandmed!AL896)+($F$817*Algandmed!AL897)+($F$818*Algandmed!AL898)+($F$819*Algandmed!AL899)+($F$820*Algandmed!AL900)+($F$821*Algandmed!AL901)+((Algandmed!AL888-SUM(Algandmed!AL894:AL901))*$F$822))/SQRT(Algandmed!AL888)</f>
        <v>#DIV/0!</v>
      </c>
      <c r="Q829" s="238"/>
      <c r="R829" s="165">
        <f>Algandmed!AQ888</f>
        <v>0</v>
      </c>
      <c r="S829" s="228" t="e">
        <f>Algandmed!AQ890</f>
        <v>#DIV/0!</v>
      </c>
      <c r="T829" s="228" t="e">
        <f>Algandmed!AQ893</f>
        <v>#DIV/0!</v>
      </c>
      <c r="U829" s="165">
        <f>Algandmed!AQ894</f>
        <v>0</v>
      </c>
      <c r="V829" s="238">
        <f>SUM(Algandmed!AQ894:AQ897)</f>
        <v>0</v>
      </c>
      <c r="W829" s="238">
        <f>Algandmed!AQ898+Algandmed!AQ899+Algandmed!AQ901</f>
        <v>0</v>
      </c>
      <c r="X829" s="165" t="e">
        <f>(($F$814*Algandmed!AQ894)+($F$815*Algandmed!AQ895)+($F$816*Algandmed!AQ896)+($F$817*Algandmed!AQ897)+($F$818*Algandmed!AQ898)+($F$819*Algandmed!AQ899)+($F$820*Algandmed!AQ900)+($F$821*Algandmed!AQ901)+((Algandmed!AQ888-SUM(Algandmed!AQ894:AQ901))*$F$822))/SQRT(Algandmed!AQ888)</f>
        <v>#DIV/0!</v>
      </c>
      <c r="Y829" s="209"/>
    </row>
    <row r="830" spans="1:25">
      <c r="A830" s="403"/>
      <c r="B830" s="208"/>
      <c r="C830" s="165"/>
      <c r="D830" s="228"/>
      <c r="E830" s="165"/>
      <c r="F830" s="238"/>
      <c r="G830" s="238"/>
      <c r="H830" s="237"/>
      <c r="I830" s="238"/>
      <c r="J830" s="165"/>
      <c r="K830" s="165"/>
      <c r="L830" s="165"/>
      <c r="M830" s="165"/>
      <c r="N830" s="238"/>
      <c r="O830" s="238"/>
      <c r="P830" s="238"/>
      <c r="Q830" s="238"/>
      <c r="R830" s="165"/>
      <c r="S830" s="165"/>
      <c r="T830" s="165"/>
      <c r="U830" s="165"/>
      <c r="V830" s="238"/>
      <c r="W830" s="238"/>
      <c r="X830" s="165"/>
      <c r="Y830" s="209"/>
    </row>
    <row r="831" spans="1:25">
      <c r="A831" s="403"/>
      <c r="B831" s="208">
        <f>Algandmed!AG904</f>
        <v>0</v>
      </c>
      <c r="C831" s="228" t="e">
        <f>Algandmed!AG906</f>
        <v>#DIV/0!</v>
      </c>
      <c r="D831" s="228" t="e">
        <f>Algandmed!AG909</f>
        <v>#DIV/0!</v>
      </c>
      <c r="E831" s="165">
        <f>Algandmed!AG910</f>
        <v>0</v>
      </c>
      <c r="F831" s="238">
        <f>SUM(Algandmed!AG910:AG913)</f>
        <v>0</v>
      </c>
      <c r="G831" s="238">
        <f>Algandmed!AG914+Algandmed!AG915+Algandmed!AG917</f>
        <v>0</v>
      </c>
      <c r="H831" s="237" t="e">
        <f>(($F$814*Algandmed!AG910)+($F$815*Algandmed!AG911)+($F$816*Algandmed!AG912)+($F$817*Algandmed!AG913)+($F$818*Algandmed!AG914)+($F$819*Algandmed!AG915)+($F$820*Algandmed!AG916)+($F$821*Algandmed!AG917)+((Algandmed!AG904-SUM(Algandmed!AG910:AG917))*$F$822))/SQRT(Algandmed!AG904)</f>
        <v>#DIV/0!</v>
      </c>
      <c r="I831" s="238"/>
      <c r="J831" s="165">
        <f>Algandmed!AL904</f>
        <v>0</v>
      </c>
      <c r="K831" s="228" t="e">
        <f>Algandmed!AL906</f>
        <v>#DIV/0!</v>
      </c>
      <c r="L831" s="228" t="e">
        <f>Algandmed!AL909</f>
        <v>#DIV/0!</v>
      </c>
      <c r="M831" s="165">
        <f>Algandmed!AL910</f>
        <v>0</v>
      </c>
      <c r="N831" s="238">
        <f>SUM(Algandmed!AL910:AL913)</f>
        <v>0</v>
      </c>
      <c r="O831" s="238">
        <f>Algandmed!AL914+Algandmed!AL915+Algandmed!AL917</f>
        <v>0</v>
      </c>
      <c r="P831" s="238" t="e">
        <f>(($F$814*Algandmed!AL910)+($F$815*Algandmed!AL911)+($F$816*Algandmed!AL912)+($F$817*Algandmed!AL913)+($F$818*Algandmed!AL914)+($F$819*Algandmed!AL915)+($F$820*Algandmed!AL916)+($F$821*Algandmed!AL917)+((Algandmed!AL904-SUM(Algandmed!AL910:AL917))*$F$822))/SQRT(Algandmed!AL904)</f>
        <v>#DIV/0!</v>
      </c>
      <c r="Q831" s="238"/>
      <c r="R831" s="165">
        <f>Algandmed!AQ904</f>
        <v>0</v>
      </c>
      <c r="S831" s="228" t="e">
        <f>Algandmed!AQ906</f>
        <v>#DIV/0!</v>
      </c>
      <c r="T831" s="228" t="e">
        <f>Algandmed!AQ909</f>
        <v>#DIV/0!</v>
      </c>
      <c r="U831" s="165">
        <f>Algandmed!AQ910</f>
        <v>0</v>
      </c>
      <c r="V831" s="238">
        <f>SUM(Algandmed!AQ910:AQ913)</f>
        <v>0</v>
      </c>
      <c r="W831" s="238">
        <f>Algandmed!AQ914+Algandmed!AQ915+Algandmed!AQ917</f>
        <v>0</v>
      </c>
      <c r="X831" s="165" t="e">
        <f>(($F$814*Algandmed!AQ910)+($F$815*Algandmed!AQ911)+($F$816*Algandmed!AQ912)+($F$817*Algandmed!AQ913)+($F$818*Algandmed!AQ914)+($F$819*Algandmed!AQ915)+($F$820*Algandmed!AQ916)+($F$821*Algandmed!AQ917)+((Algandmed!AQ904-SUM(Algandmed!AQ910:AQ917))*$F$822))/SQRT(Algandmed!AQ904)</f>
        <v>#DIV/0!</v>
      </c>
      <c r="Y831" s="209"/>
    </row>
    <row r="832" spans="1:25">
      <c r="A832" s="403"/>
      <c r="B832" s="208"/>
      <c r="C832" s="165"/>
      <c r="D832" s="228"/>
      <c r="E832" s="165"/>
      <c r="F832" s="238"/>
      <c r="G832" s="238"/>
      <c r="H832" s="237"/>
      <c r="I832" s="238"/>
      <c r="J832" s="165"/>
      <c r="K832" s="165"/>
      <c r="L832" s="165"/>
      <c r="M832" s="165"/>
      <c r="N832" s="238"/>
      <c r="O832" s="238"/>
      <c r="P832" s="238"/>
      <c r="Q832" s="238"/>
      <c r="R832" s="165"/>
      <c r="S832" s="165"/>
      <c r="T832" s="165"/>
      <c r="U832" s="165"/>
      <c r="V832" s="238"/>
      <c r="W832" s="238"/>
      <c r="X832" s="165"/>
      <c r="Y832" s="209"/>
    </row>
    <row r="833" spans="1:25">
      <c r="A833" s="403"/>
      <c r="B833" s="208">
        <f>Algandmed!AG920</f>
        <v>0</v>
      </c>
      <c r="C833" s="228" t="e">
        <f>Algandmed!AG922</f>
        <v>#DIV/0!</v>
      </c>
      <c r="D833" s="228" t="e">
        <f>Algandmed!AG925</f>
        <v>#DIV/0!</v>
      </c>
      <c r="E833" s="165">
        <f>Algandmed!AG926</f>
        <v>0</v>
      </c>
      <c r="F833" s="238">
        <f>SUM(Algandmed!AG926:AG929)</f>
        <v>0</v>
      </c>
      <c r="G833" s="238">
        <f>Algandmed!AG930+Algandmed!AG931+Algandmed!AG933</f>
        <v>0</v>
      </c>
      <c r="H833" s="237" t="e">
        <f>(($F$814*Algandmed!AG926)+($F$815*Algandmed!AG927)+($F$816*Algandmed!AG928)+($F$817*Algandmed!AG929)+($F$818*Algandmed!AG930)+($F$819*Algandmed!AG931)+($F$820*Algandmed!AG932)+($F$821*Algandmed!AG933)+((Algandmed!AG920-SUM(Algandmed!AG926:AG933))*$F$822))/SQRT(Algandmed!AG920)</f>
        <v>#DIV/0!</v>
      </c>
      <c r="I833" s="238"/>
      <c r="J833" s="165">
        <f>Algandmed!AL920</f>
        <v>0</v>
      </c>
      <c r="K833" s="228" t="e">
        <f>Algandmed!AL922</f>
        <v>#DIV/0!</v>
      </c>
      <c r="L833" s="228" t="e">
        <f>Algandmed!AL925</f>
        <v>#DIV/0!</v>
      </c>
      <c r="M833" s="165">
        <f>Algandmed!AL926</f>
        <v>0</v>
      </c>
      <c r="N833" s="238">
        <f>SUM(Algandmed!AL926:AL929)</f>
        <v>0</v>
      </c>
      <c r="O833" s="238">
        <f>Algandmed!AL930+Algandmed!AL931+Algandmed!AL933</f>
        <v>0</v>
      </c>
      <c r="P833" s="238" t="e">
        <f>(($F$814*Algandmed!AL926)+($F$815*Algandmed!AL927)+($F$816*Algandmed!AL928)+($F$817*Algandmed!AL929)+($F$818*Algandmed!AL930)+($F$819*Algandmed!AL931)+($F$820*Algandmed!AL932)+($F$821*Algandmed!AL933)+((Algandmed!AL920-SUM(Algandmed!AL926:AL933))*$F$822))/SQRT(Algandmed!AL920)</f>
        <v>#DIV/0!</v>
      </c>
      <c r="Q833" s="238"/>
      <c r="R833" s="165">
        <f>Algandmed!AQ920</f>
        <v>0</v>
      </c>
      <c r="S833" s="228" t="e">
        <f>Algandmed!AQ922</f>
        <v>#DIV/0!</v>
      </c>
      <c r="T833" s="228" t="e">
        <f>Algandmed!AQ925</f>
        <v>#DIV/0!</v>
      </c>
      <c r="U833" s="165">
        <f>Algandmed!AQ926</f>
        <v>0</v>
      </c>
      <c r="V833" s="238">
        <f>SUM(Algandmed!AQ926:AQ929)</f>
        <v>0</v>
      </c>
      <c r="W833" s="238">
        <f>Algandmed!AQ930+Algandmed!AQ931+Algandmed!AQ933</f>
        <v>0</v>
      </c>
      <c r="X833" s="165" t="e">
        <f>(($F$814*Algandmed!AQ926)+($F$815*Algandmed!AQ927)+($F$816*Algandmed!AQ928)+($F$817*Algandmed!AQ929)+($F$818*Algandmed!AQ930)+($F$819*Algandmed!AQ931)+($F$820*Algandmed!AQ932)+($F$821*Algandmed!AQ933)+((Algandmed!AQ920-SUM(Algandmed!AG926:AQ933))*$F$822))/SQRT(Algandmed!AQ920)</f>
        <v>#DIV/0!</v>
      </c>
      <c r="Y833" s="209"/>
    </row>
    <row r="834" spans="1:25">
      <c r="A834" s="403"/>
      <c r="B834" s="208"/>
      <c r="C834" s="165"/>
      <c r="D834" s="228"/>
      <c r="E834" s="165"/>
      <c r="F834" s="238"/>
      <c r="G834" s="238"/>
      <c r="H834" s="237"/>
      <c r="I834" s="238"/>
      <c r="J834" s="165"/>
      <c r="K834" s="165"/>
      <c r="L834" s="165"/>
      <c r="M834" s="165"/>
      <c r="N834" s="238"/>
      <c r="O834" s="238"/>
      <c r="P834" s="238"/>
      <c r="Q834" s="238"/>
      <c r="R834" s="165"/>
      <c r="S834" s="165"/>
      <c r="T834" s="165"/>
      <c r="U834" s="165"/>
      <c r="V834" s="238"/>
      <c r="W834" s="238"/>
      <c r="X834" s="165"/>
      <c r="Y834" s="209"/>
    </row>
    <row r="835" spans="1:25">
      <c r="A835" s="403"/>
      <c r="B835" s="208">
        <f>Algandmed!AG936</f>
        <v>0</v>
      </c>
      <c r="C835" s="228" t="e">
        <f>Algandmed!AG938</f>
        <v>#DIV/0!</v>
      </c>
      <c r="D835" s="228" t="e">
        <f>Algandmed!AG941</f>
        <v>#DIV/0!</v>
      </c>
      <c r="E835" s="165">
        <f>Algandmed!AG942</f>
        <v>0</v>
      </c>
      <c r="F835" s="238">
        <f>SUM(Algandmed!AG942:AG945)</f>
        <v>0</v>
      </c>
      <c r="G835" s="238">
        <f>Algandmed!AG946+Algandmed!AG947+Algandmed!AG949</f>
        <v>0</v>
      </c>
      <c r="H835" s="237" t="e">
        <f>(($F$814*Algandmed!AG942)+($F$815*Algandmed!AG943)+($F$816*Algandmed!AG944)+($F$817*Algandmed!AG945)+($F$818*Algandmed!AG946)+($F$819*Algandmed!AG947)+($F$820*Algandmed!AG948)+($F$821*Algandmed!AG949)+((Algandmed!AG936-SUM(Algandmed!AG942:AG949))*$F$822))/SQRT(Algandmed!AG936)</f>
        <v>#DIV/0!</v>
      </c>
      <c r="I835" s="238"/>
      <c r="J835" s="165">
        <f>Algandmed!AL936</f>
        <v>0</v>
      </c>
      <c r="K835" s="228" t="e">
        <f>Algandmed!AL938</f>
        <v>#DIV/0!</v>
      </c>
      <c r="L835" s="228" t="e">
        <f>Algandmed!AL941</f>
        <v>#DIV/0!</v>
      </c>
      <c r="M835" s="165">
        <f>Algandmed!AL942</f>
        <v>0</v>
      </c>
      <c r="N835" s="238">
        <f>SUM(Algandmed!AL942:AL945)</f>
        <v>0</v>
      </c>
      <c r="O835" s="238">
        <f>Algandmed!AL946+Algandmed!AL947+Algandmed!AL949</f>
        <v>0</v>
      </c>
      <c r="P835" s="238" t="e">
        <f>(($F$814*Algandmed!AL942)+($F$815*Algandmed!AL943)+($F$816*Algandmed!AL944)+($F$817*Algandmed!AL945)+($F$818*Algandmed!AL946)+($F$819*Algandmed!AL947)+($F$820*Algandmed!AL948)+($F$821*Algandmed!AL949)+((Algandmed!AL936-SUM(Algandmed!AL942:AL949))*$F$822))/SQRT(Algandmed!AL936)</f>
        <v>#DIV/0!</v>
      </c>
      <c r="Q835" s="238"/>
      <c r="R835" s="165">
        <f>Algandmed!AQ936</f>
        <v>0</v>
      </c>
      <c r="S835" s="228" t="e">
        <f>Algandmed!AQ938</f>
        <v>#DIV/0!</v>
      </c>
      <c r="T835" s="228" t="e">
        <f>Algandmed!AQ941</f>
        <v>#DIV/0!</v>
      </c>
      <c r="U835" s="165">
        <f>Algandmed!AQ942</f>
        <v>0</v>
      </c>
      <c r="V835" s="238">
        <f>SUM(Algandmed!AQ942:AQ945)</f>
        <v>0</v>
      </c>
      <c r="W835" s="238">
        <f>Algandmed!AQ946+Algandmed!AQ947+Algandmed!AQ949</f>
        <v>0</v>
      </c>
      <c r="X835" s="165" t="e">
        <f>(($F$814*Algandmed!AQ942)+($F$815*Algandmed!AQ943)+($F$816*Algandmed!AQ944)+($F$817*Algandmed!AQ945)+($F$818*Algandmed!AQ946)+($F$819*Algandmed!AQ947)+($F$820*Algandmed!AQ948)+($F$821*Algandmed!AQ949)+((Algandmed!AQ936-SUM(Algandmed!AQ942:AQ949))*$F$822))/SQRT(Algandmed!AQ936)</f>
        <v>#DIV/0!</v>
      </c>
      <c r="Y835" s="209"/>
    </row>
    <row r="836" spans="1:25" s="115" customFormat="1">
      <c r="A836" s="403"/>
      <c r="B836" s="208"/>
      <c r="C836" s="228"/>
      <c r="D836" s="228"/>
      <c r="E836" s="165"/>
      <c r="F836" s="238"/>
      <c r="G836" s="238"/>
      <c r="H836" s="237"/>
      <c r="I836" s="238"/>
      <c r="J836" s="238"/>
      <c r="K836" s="238"/>
      <c r="L836" s="238"/>
      <c r="M836" s="236"/>
      <c r="N836" s="237"/>
      <c r="O836" s="165"/>
      <c r="P836" s="238"/>
      <c r="Q836" s="238"/>
      <c r="R836" s="165"/>
      <c r="S836" s="228"/>
      <c r="T836" s="228"/>
      <c r="U836" s="165"/>
      <c r="V836" s="238"/>
      <c r="W836" s="238"/>
      <c r="X836" s="165"/>
      <c r="Y836" s="209"/>
    </row>
    <row r="837" spans="1:25" s="115" customFormat="1">
      <c r="A837" s="403"/>
      <c r="B837" s="208"/>
      <c r="C837" s="228"/>
      <c r="D837" s="228"/>
      <c r="E837" s="165"/>
      <c r="F837" s="238"/>
      <c r="G837" s="238"/>
      <c r="H837" s="237"/>
      <c r="I837" s="238"/>
      <c r="J837" s="238">
        <f>Algandmed!AL952</f>
        <v>0</v>
      </c>
      <c r="K837" s="238" t="e">
        <f>Algandmed!AL954</f>
        <v>#DIV/0!</v>
      </c>
      <c r="L837" s="238" t="e">
        <f>Algandmed!AL957</f>
        <v>#DIV/0!</v>
      </c>
      <c r="M837" s="238">
        <f>Algandmed!AL958</f>
        <v>0</v>
      </c>
      <c r="N837" s="238">
        <f>SUM(Algandmed!AL958:AL961)</f>
        <v>0</v>
      </c>
      <c r="O837" s="238">
        <f>Algandmed!AL962+Algandmed!AL963+Algandmed!AL965</f>
        <v>0</v>
      </c>
      <c r="P837" s="238" t="e">
        <f>(($F$814*Algandmed!AL862)+($F$815*Algandmed!AL863)+($F$816*Algandmed!AL864)+($F$817*Algandmed!AL865)+($F$818*Algandmed!AL866)+($F$819*Algandmed!AL867)+($F$820*Algandmed!AL868)+($F$821*Algandmed!AL869)+((Algandmed!AL856-SUM(Algandmed!AL862:AL869))*$F$822))/SQRT(Algandmed!AL856)</f>
        <v>#DIV/0!</v>
      </c>
      <c r="Q837" s="238"/>
      <c r="R837" s="165"/>
      <c r="S837" s="228"/>
      <c r="T837" s="228"/>
      <c r="U837" s="165"/>
      <c r="V837" s="238"/>
      <c r="W837" s="238"/>
      <c r="X837" s="165"/>
      <c r="Y837" s="209"/>
    </row>
    <row r="838" spans="1:25">
      <c r="A838" s="403"/>
      <c r="B838" s="208"/>
      <c r="C838" s="165"/>
      <c r="D838" s="228"/>
      <c r="E838" s="165"/>
      <c r="F838" s="238"/>
      <c r="G838" s="238"/>
      <c r="H838" s="237"/>
      <c r="I838" s="238"/>
      <c r="J838" s="238"/>
      <c r="K838" s="238"/>
      <c r="L838" s="238"/>
      <c r="M838" s="236"/>
      <c r="N838" s="237"/>
      <c r="O838" s="165"/>
      <c r="P838" s="238"/>
      <c r="Q838" s="238"/>
      <c r="R838" s="165"/>
      <c r="S838" s="165"/>
      <c r="T838" s="165"/>
      <c r="U838" s="165"/>
      <c r="V838" s="238"/>
      <c r="W838" s="238"/>
      <c r="X838" s="165"/>
      <c r="Y838" s="209"/>
    </row>
    <row r="839" spans="1:25">
      <c r="B839" s="208">
        <f>Algandmed!AG968</f>
        <v>0</v>
      </c>
      <c r="C839" s="228" t="e">
        <f>Algandmed!AG970</f>
        <v>#DIV/0!</v>
      </c>
      <c r="D839" s="228" t="e">
        <f>Algandmed!AG973</f>
        <v>#DIV/0!</v>
      </c>
      <c r="E839" s="165">
        <f>Algandmed!AG974</f>
        <v>0</v>
      </c>
      <c r="F839" s="238">
        <f>SUM(Algandmed!AG974:AG977)</f>
        <v>0</v>
      </c>
      <c r="G839" s="238">
        <f>Algandmed!AG978+Algandmed!AG979+Algandmed!AG981</f>
        <v>0</v>
      </c>
      <c r="H839" s="237" t="e">
        <f>(($F$814*Algandmed!AG974)+($F$815*Algandmed!AG975)+($F$816*Algandmed!AG976)+($F$817*Algandmed!AG977)+($F$818*Algandmed!AG978)+($F$819*Algandmed!AG979)+($F$820*Algandmed!AG980)+($F$821*Algandmed!AG981)+((Algandmed!AG968-SUM(Algandmed!AG974:AG981))*$F$822))/SQRT(Algandmed!AG968)</f>
        <v>#DIV/0!</v>
      </c>
      <c r="I839" s="238"/>
      <c r="J839" s="238"/>
      <c r="K839" s="238"/>
      <c r="L839" s="238"/>
      <c r="M839" s="236"/>
      <c r="N839" s="237"/>
      <c r="O839" s="165"/>
      <c r="P839" s="238"/>
      <c r="Q839" s="238"/>
      <c r="R839" s="165">
        <f>Algandmed!AQ968</f>
        <v>0</v>
      </c>
      <c r="S839" s="228" t="e">
        <f>Algandmed!AQ970</f>
        <v>#DIV/0!</v>
      </c>
      <c r="T839" s="228" t="e">
        <f>Algandmed!AQ973</f>
        <v>#DIV/0!</v>
      </c>
      <c r="U839" s="165">
        <f>Algandmed!AQ974</f>
        <v>0</v>
      </c>
      <c r="V839" s="238">
        <f>SUM(Algandmed!AQ974:AQ977)</f>
        <v>0</v>
      </c>
      <c r="W839" s="238">
        <f>Algandmed!AQ978+Algandmed!AQ979+Algandmed!AQ981</f>
        <v>0</v>
      </c>
      <c r="X839" s="165" t="e">
        <f>(($F$814*Algandmed!AQ974)+($F$815*Algandmed!AQ975)+($F$816*Algandmed!AQ976)+($F$817*Algandmed!AQ977)+($F$818*Algandmed!AQ978)+($F$819*Algandmed!AQ979)+($F$820*Algandmed!AQ980)+($F$821*Algandmed!AQ981)+((Algandmed!AQ968-SUM(Algandmed!AQ974:AQ981))*$F$822))/SQRT(Algandmed!AQ968)</f>
        <v>#DIV/0!</v>
      </c>
      <c r="Y839" s="209"/>
    </row>
    <row r="840" spans="1:25">
      <c r="B840" s="208"/>
      <c r="C840" s="165"/>
      <c r="D840" s="165"/>
      <c r="E840" s="165"/>
      <c r="F840" s="238"/>
      <c r="G840" s="238"/>
      <c r="H840" s="237"/>
      <c r="I840" s="238"/>
      <c r="J840" s="238"/>
      <c r="K840" s="238"/>
      <c r="L840" s="238"/>
      <c r="M840" s="236"/>
      <c r="N840" s="237"/>
      <c r="O840" s="165"/>
      <c r="P840" s="238"/>
      <c r="Q840" s="238"/>
      <c r="R840" s="238"/>
      <c r="S840" s="238"/>
      <c r="T840" s="236"/>
      <c r="U840" s="237"/>
      <c r="V840" s="165"/>
      <c r="W840" s="165"/>
      <c r="X840" s="165"/>
      <c r="Y840" s="209"/>
    </row>
    <row r="841" spans="1:25">
      <c r="B841" s="208"/>
      <c r="C841" s="165"/>
      <c r="D841" s="165"/>
      <c r="E841" s="165"/>
      <c r="F841" s="238"/>
      <c r="G841" s="238"/>
      <c r="H841" s="237"/>
      <c r="I841" s="238"/>
      <c r="J841" s="238"/>
      <c r="K841" s="238"/>
      <c r="L841" s="238"/>
      <c r="M841" s="236"/>
      <c r="N841" s="237"/>
      <c r="O841" s="165"/>
      <c r="P841" s="238"/>
      <c r="Q841" s="238"/>
      <c r="R841" s="238"/>
      <c r="S841" s="238"/>
      <c r="T841" s="236"/>
      <c r="U841" s="237"/>
      <c r="V841" s="165"/>
      <c r="W841" s="165"/>
      <c r="X841" s="165"/>
      <c r="Y841" s="209"/>
    </row>
    <row r="842" spans="1:25">
      <c r="B842" s="208"/>
      <c r="C842" s="165"/>
      <c r="D842" s="165"/>
      <c r="E842" s="165"/>
      <c r="F842" s="238"/>
      <c r="G842" s="238"/>
      <c r="H842" s="237"/>
      <c r="I842" s="238"/>
      <c r="J842" s="238"/>
      <c r="K842" s="238"/>
      <c r="L842" s="238"/>
      <c r="M842" s="236"/>
      <c r="N842" s="237"/>
      <c r="O842" s="165"/>
      <c r="P842" s="238"/>
      <c r="Q842" s="238"/>
      <c r="R842" s="238"/>
      <c r="S842" s="238"/>
      <c r="T842" s="236"/>
      <c r="U842" s="237"/>
      <c r="V842" s="165"/>
      <c r="W842" s="165"/>
      <c r="X842" s="165"/>
      <c r="Y842" s="209"/>
    </row>
    <row r="843" spans="1:25">
      <c r="B843" s="208"/>
      <c r="C843" s="165"/>
      <c r="D843" s="165"/>
      <c r="E843" s="165"/>
      <c r="F843" s="238"/>
      <c r="G843" s="238"/>
      <c r="H843" s="237"/>
      <c r="I843" s="238"/>
      <c r="J843" s="238"/>
      <c r="K843" s="238"/>
      <c r="L843" s="238"/>
      <c r="M843" s="236"/>
      <c r="N843" s="237"/>
      <c r="O843" s="165"/>
      <c r="P843" s="238"/>
      <c r="Q843" s="238"/>
      <c r="R843" s="238"/>
      <c r="S843" s="238"/>
      <c r="T843" s="236"/>
      <c r="U843" s="237"/>
      <c r="V843" s="165"/>
      <c r="W843" s="165"/>
      <c r="X843" s="165"/>
      <c r="Y843" s="209"/>
    </row>
    <row r="844" spans="1:25">
      <c r="B844" s="212"/>
      <c r="C844" s="213"/>
      <c r="D844" s="213"/>
      <c r="E844" s="213"/>
      <c r="F844" s="248"/>
      <c r="G844" s="248"/>
      <c r="H844" s="241"/>
      <c r="I844" s="248"/>
      <c r="J844" s="248"/>
      <c r="K844" s="248"/>
      <c r="L844" s="248"/>
      <c r="M844" s="240"/>
      <c r="N844" s="241"/>
      <c r="O844" s="213"/>
      <c r="P844" s="248"/>
      <c r="Q844" s="248"/>
      <c r="R844" s="248"/>
      <c r="S844" s="248"/>
      <c r="T844" s="240"/>
      <c r="U844" s="241"/>
      <c r="V844" s="213"/>
      <c r="W844" s="213"/>
      <c r="X844" s="213"/>
      <c r="Y844" s="214"/>
    </row>
    <row r="845" spans="1:25">
      <c r="G845" s="246"/>
    </row>
    <row r="846" spans="1:25">
      <c r="G846" s="246"/>
    </row>
    <row r="847" spans="1:25">
      <c r="B847" s="205"/>
      <c r="C847" s="206"/>
      <c r="D847" s="206"/>
      <c r="E847" s="206"/>
      <c r="F847" s="206"/>
      <c r="G847" s="388" t="s">
        <v>734</v>
      </c>
      <c r="H847" s="388"/>
      <c r="I847" s="388"/>
      <c r="J847" s="388"/>
      <c r="K847" s="388"/>
      <c r="L847" s="388"/>
      <c r="M847" s="388"/>
      <c r="N847" s="206"/>
      <c r="O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7"/>
    </row>
    <row r="848" spans="1:25">
      <c r="B848" s="208" t="s">
        <v>354</v>
      </c>
      <c r="C848" s="165"/>
      <c r="D848" s="165"/>
      <c r="E848" s="165"/>
      <c r="F848" s="165"/>
      <c r="G848" s="389"/>
      <c r="H848" s="389"/>
      <c r="I848" s="389"/>
      <c r="J848" s="389"/>
      <c r="K848" s="389"/>
      <c r="L848" s="389"/>
      <c r="M848" s="389"/>
      <c r="N848" s="165"/>
      <c r="O848" s="165"/>
      <c r="P848" s="165"/>
      <c r="Q848" s="165"/>
      <c r="R848" s="165"/>
      <c r="S848" s="165"/>
      <c r="T848" s="165"/>
      <c r="U848" s="165"/>
      <c r="V848" s="165"/>
      <c r="W848" s="165"/>
      <c r="X848" s="165"/>
      <c r="Y848" s="209"/>
    </row>
    <row r="849" spans="1:25">
      <c r="B849" s="208" t="s">
        <v>355</v>
      </c>
      <c r="C849" s="165"/>
      <c r="D849" s="165"/>
      <c r="E849" s="165"/>
      <c r="F849" s="165"/>
      <c r="G849" s="165"/>
      <c r="H849" s="165"/>
      <c r="I849" s="165"/>
      <c r="J849" s="165"/>
      <c r="K849" s="165"/>
      <c r="L849" s="165"/>
      <c r="M849" s="165"/>
      <c r="N849" s="165"/>
      <c r="O849" s="165"/>
      <c r="P849" s="165"/>
      <c r="Q849" s="165"/>
      <c r="R849" s="390" t="s">
        <v>429</v>
      </c>
      <c r="S849" s="390"/>
      <c r="T849" s="390"/>
      <c r="U849" s="165"/>
      <c r="V849" s="165"/>
      <c r="W849" s="165"/>
      <c r="X849" s="165"/>
      <c r="Y849" s="209"/>
    </row>
    <row r="850" spans="1:25">
      <c r="A850" t="s">
        <v>441</v>
      </c>
      <c r="B850" s="208" t="s">
        <v>356</v>
      </c>
      <c r="C850" s="165"/>
      <c r="D850" s="165"/>
      <c r="E850" s="165"/>
      <c r="F850" s="165"/>
      <c r="G850" s="165"/>
      <c r="H850" s="165"/>
      <c r="I850" s="165"/>
      <c r="J850" s="165"/>
      <c r="K850" s="165"/>
      <c r="L850" s="165"/>
      <c r="M850" s="165"/>
      <c r="N850" s="165"/>
      <c r="O850" s="165"/>
      <c r="P850" s="165"/>
      <c r="Q850" s="165"/>
      <c r="R850" s="390"/>
      <c r="S850" s="390"/>
      <c r="T850" s="390"/>
      <c r="U850" s="165"/>
      <c r="V850" s="165"/>
      <c r="W850" s="165"/>
      <c r="X850" s="165"/>
      <c r="Y850" s="209"/>
    </row>
    <row r="851" spans="1:25">
      <c r="B851" s="208" t="s">
        <v>357</v>
      </c>
      <c r="C851" s="165"/>
      <c r="D851" s="165"/>
      <c r="E851" s="165"/>
      <c r="F851" s="165"/>
      <c r="G851" s="165"/>
      <c r="H851" s="165"/>
      <c r="I851" s="165"/>
      <c r="J851" s="165"/>
      <c r="K851" s="165"/>
      <c r="L851" s="165"/>
      <c r="M851" s="165"/>
      <c r="N851" s="165"/>
      <c r="O851" s="165"/>
      <c r="P851" s="165"/>
      <c r="Q851" s="165"/>
      <c r="R851" s="390"/>
      <c r="S851" s="390"/>
      <c r="T851" s="390"/>
      <c r="U851" s="165"/>
      <c r="V851" s="165"/>
      <c r="W851" s="165"/>
      <c r="X851" s="165"/>
      <c r="Y851" s="209"/>
    </row>
    <row r="852" spans="1:25">
      <c r="B852" s="208" t="s">
        <v>419</v>
      </c>
      <c r="C852" s="165"/>
      <c r="D852" s="165"/>
      <c r="E852" s="165"/>
      <c r="F852" s="165"/>
      <c r="G852" s="165"/>
      <c r="H852" s="165"/>
      <c r="I852" s="165"/>
      <c r="J852" s="165"/>
      <c r="K852" s="165"/>
      <c r="L852" s="165"/>
      <c r="M852" s="165"/>
      <c r="N852" s="165"/>
      <c r="O852" s="165"/>
      <c r="P852" s="165"/>
      <c r="Q852" s="165"/>
      <c r="R852" s="390"/>
      <c r="S852" s="390"/>
      <c r="T852" s="390"/>
      <c r="U852" s="165"/>
      <c r="V852" s="165"/>
      <c r="W852" s="165"/>
      <c r="X852" s="165"/>
      <c r="Y852" s="209"/>
    </row>
    <row r="853" spans="1:25">
      <c r="B853" s="208" t="s">
        <v>359</v>
      </c>
      <c r="C853" s="229"/>
      <c r="D853" s="165"/>
      <c r="E853" s="165" t="s">
        <v>347</v>
      </c>
      <c r="F853" s="165" t="s">
        <v>2</v>
      </c>
      <c r="G853" s="165" t="s">
        <v>6</v>
      </c>
      <c r="H853" s="165"/>
      <c r="I853" s="165"/>
      <c r="J853" s="165"/>
      <c r="K853" s="165"/>
      <c r="L853" s="165"/>
      <c r="M853" s="165"/>
      <c r="N853" s="165"/>
      <c r="O853" s="165"/>
      <c r="P853" s="165"/>
      <c r="Q853" s="165"/>
      <c r="R853" s="165"/>
      <c r="S853" s="165"/>
      <c r="T853" s="165"/>
      <c r="U853" s="165"/>
      <c r="V853" s="165"/>
      <c r="W853" s="165"/>
      <c r="X853" s="165"/>
      <c r="Y853" s="209"/>
    </row>
    <row r="854" spans="1:25">
      <c r="B854" s="208" t="s">
        <v>360</v>
      </c>
      <c r="C854" s="230"/>
      <c r="D854" s="165"/>
      <c r="E854" s="165" t="s">
        <v>703</v>
      </c>
      <c r="F854" s="165">
        <v>200</v>
      </c>
      <c r="G854" s="165">
        <v>-200</v>
      </c>
      <c r="H854" s="165"/>
      <c r="I854" s="165"/>
      <c r="J854" s="165"/>
      <c r="K854" s="165"/>
      <c r="L854" s="165"/>
      <c r="M854" s="165"/>
      <c r="N854" s="165"/>
      <c r="O854" s="165"/>
      <c r="P854" s="165"/>
      <c r="Q854" s="165"/>
      <c r="R854" s="165"/>
      <c r="S854" s="165"/>
      <c r="T854" s="165"/>
      <c r="U854" s="165"/>
      <c r="V854" s="165"/>
      <c r="W854" s="165"/>
      <c r="X854" s="165"/>
      <c r="Y854" s="209"/>
    </row>
    <row r="855" spans="1:25">
      <c r="B855" s="208" t="s">
        <v>361</v>
      </c>
      <c r="C855" s="231"/>
      <c r="D855" s="165"/>
      <c r="E855" s="165" t="s">
        <v>9</v>
      </c>
      <c r="F855" s="165">
        <v>24</v>
      </c>
      <c r="G855" s="165">
        <v>-24</v>
      </c>
      <c r="H855" s="165"/>
      <c r="I855" s="165"/>
      <c r="J855" s="165"/>
      <c r="K855" s="165"/>
      <c r="L855" s="165"/>
      <c r="M855" s="165"/>
      <c r="N855" s="165"/>
      <c r="O855" s="165"/>
      <c r="P855" s="165"/>
      <c r="Q855" s="165"/>
      <c r="R855" s="165"/>
      <c r="S855" s="165"/>
      <c r="T855" s="165"/>
      <c r="U855" s="165"/>
      <c r="V855" s="165"/>
      <c r="W855" s="165"/>
      <c r="X855" s="165"/>
      <c r="Y855" s="209"/>
    </row>
    <row r="856" spans="1:25">
      <c r="B856" s="208" t="s">
        <v>362</v>
      </c>
      <c r="C856" s="232"/>
      <c r="D856" s="165"/>
      <c r="E856" s="161" t="s">
        <v>8</v>
      </c>
      <c r="F856" s="165">
        <v>22</v>
      </c>
      <c r="G856" s="165">
        <v>-22</v>
      </c>
      <c r="H856" s="165"/>
      <c r="I856" s="165"/>
      <c r="J856" s="165"/>
      <c r="K856" s="165"/>
      <c r="L856" s="165"/>
      <c r="M856" s="165"/>
      <c r="N856" s="165"/>
      <c r="O856" s="165"/>
      <c r="P856" s="165"/>
      <c r="Q856" s="165"/>
      <c r="R856" s="165"/>
      <c r="S856" s="165"/>
      <c r="T856" s="165"/>
      <c r="U856" s="165"/>
      <c r="V856" s="165"/>
      <c r="W856" s="165"/>
      <c r="X856" s="165"/>
      <c r="Y856" s="209"/>
    </row>
    <row r="857" spans="1:25">
      <c r="B857" s="208" t="s">
        <v>363</v>
      </c>
      <c r="C857" s="233"/>
      <c r="D857" s="165"/>
      <c r="E857" s="161" t="s">
        <v>19</v>
      </c>
      <c r="F857" s="161">
        <v>20</v>
      </c>
      <c r="G857" s="161">
        <v>-20</v>
      </c>
      <c r="H857" s="165"/>
      <c r="I857" s="165"/>
      <c r="J857" s="165"/>
      <c r="K857" s="165"/>
      <c r="L857" s="165"/>
      <c r="M857" s="165"/>
      <c r="N857" s="165"/>
      <c r="O857" s="165"/>
      <c r="P857" s="165"/>
      <c r="Q857" s="165"/>
      <c r="R857" s="165"/>
      <c r="S857" s="165"/>
      <c r="T857" s="165"/>
      <c r="U857" s="165"/>
      <c r="V857" s="165"/>
      <c r="W857" s="165"/>
      <c r="X857" s="165"/>
      <c r="Y857" s="209"/>
    </row>
    <row r="858" spans="1:25">
      <c r="B858" s="208" t="s">
        <v>358</v>
      </c>
      <c r="C858" s="234"/>
      <c r="D858" s="165"/>
      <c r="E858" s="161" t="s">
        <v>7</v>
      </c>
      <c r="F858" s="161">
        <v>18</v>
      </c>
      <c r="G858" s="161">
        <v>-18</v>
      </c>
      <c r="H858" s="165"/>
      <c r="I858" s="165"/>
      <c r="J858" s="165"/>
      <c r="K858" s="165"/>
      <c r="L858" s="165"/>
      <c r="M858" s="165"/>
      <c r="N858" s="165"/>
      <c r="O858" s="165"/>
      <c r="P858" s="165"/>
      <c r="Q858" s="165"/>
      <c r="R858" s="165"/>
      <c r="S858" s="165"/>
      <c r="T858" s="165"/>
      <c r="U858" s="165"/>
      <c r="V858" s="165"/>
      <c r="W858" s="165"/>
      <c r="X858" s="165"/>
      <c r="Y858" s="209"/>
    </row>
    <row r="859" spans="1:25">
      <c r="B859" s="208"/>
      <c r="C859" s="165"/>
      <c r="D859" s="165"/>
      <c r="E859" s="161" t="s">
        <v>163</v>
      </c>
      <c r="F859" s="161">
        <v>16</v>
      </c>
      <c r="G859" s="161">
        <v>-16</v>
      </c>
      <c r="H859" s="165"/>
      <c r="I859" s="165"/>
      <c r="J859" s="165"/>
      <c r="K859" s="165"/>
      <c r="L859" s="165"/>
      <c r="M859" s="165"/>
      <c r="N859" s="165"/>
      <c r="O859" s="165"/>
      <c r="P859" s="165"/>
      <c r="Q859" s="165"/>
      <c r="R859" s="165"/>
      <c r="S859" s="165"/>
      <c r="T859" s="165"/>
      <c r="U859" s="165"/>
      <c r="V859" s="165"/>
      <c r="W859" s="165"/>
      <c r="X859" s="165"/>
      <c r="Y859" s="209"/>
    </row>
    <row r="860" spans="1:25">
      <c r="B860" s="208"/>
      <c r="C860" s="165"/>
      <c r="D860" s="165"/>
      <c r="E860" s="161" t="s">
        <v>310</v>
      </c>
      <c r="F860" s="161">
        <v>14</v>
      </c>
      <c r="G860" s="161">
        <v>-14</v>
      </c>
      <c r="H860" s="165"/>
      <c r="I860" s="165"/>
      <c r="J860" s="165"/>
      <c r="K860" s="165"/>
      <c r="L860" s="165"/>
      <c r="M860" s="165"/>
      <c r="N860" s="165"/>
      <c r="O860" s="165"/>
      <c r="P860" s="165"/>
      <c r="Q860" s="165"/>
      <c r="R860" s="165"/>
      <c r="S860" s="165"/>
      <c r="T860" s="165"/>
      <c r="U860" s="165"/>
      <c r="V860" s="165"/>
      <c r="W860" s="165"/>
      <c r="X860" s="165"/>
      <c r="Y860" s="209"/>
    </row>
    <row r="861" spans="1:25">
      <c r="B861" s="208"/>
      <c r="C861" s="165"/>
      <c r="D861" s="165"/>
      <c r="E861" s="161" t="s">
        <v>156</v>
      </c>
      <c r="F861" s="161">
        <v>12</v>
      </c>
      <c r="G861" s="161">
        <v>-12</v>
      </c>
      <c r="H861" s="165"/>
      <c r="I861" s="165"/>
      <c r="J861" s="165"/>
      <c r="K861" s="165"/>
      <c r="L861" s="165"/>
      <c r="M861" s="165"/>
      <c r="N861" s="165"/>
      <c r="O861" s="165"/>
      <c r="P861" s="165"/>
      <c r="Q861" s="165"/>
      <c r="R861" s="165"/>
      <c r="S861" s="165"/>
      <c r="T861" s="165"/>
      <c r="U861" s="165"/>
      <c r="V861" s="165"/>
      <c r="W861" s="165"/>
      <c r="X861" s="165"/>
      <c r="Y861" s="209"/>
    </row>
    <row r="862" spans="1:25">
      <c r="B862" s="208" t="s">
        <v>441</v>
      </c>
      <c r="C862" s="165"/>
      <c r="D862" s="165"/>
      <c r="E862" s="161" t="s">
        <v>3</v>
      </c>
      <c r="F862" s="161">
        <v>-10</v>
      </c>
      <c r="G862" s="161">
        <v>10</v>
      </c>
      <c r="H862" s="165"/>
      <c r="I862" s="165"/>
      <c r="J862" s="165"/>
      <c r="K862" s="165"/>
      <c r="L862" s="165"/>
      <c r="M862" s="165"/>
      <c r="N862" s="165"/>
      <c r="O862" s="165"/>
      <c r="P862" s="165"/>
      <c r="Q862" s="165"/>
      <c r="R862" s="165"/>
      <c r="S862" s="165"/>
      <c r="T862" s="165"/>
      <c r="U862" s="165"/>
      <c r="V862" s="165"/>
      <c r="W862" s="165"/>
      <c r="X862" s="165"/>
      <c r="Y862" s="209"/>
    </row>
    <row r="863" spans="1:25">
      <c r="A863" t="s">
        <v>440</v>
      </c>
      <c r="B863" s="208" t="s">
        <v>441</v>
      </c>
      <c r="C863" s="165"/>
      <c r="D863" s="165"/>
      <c r="E863" s="165"/>
      <c r="F863" s="165"/>
      <c r="G863" s="165"/>
      <c r="H863" s="165"/>
      <c r="I863" s="165"/>
      <c r="J863" s="165"/>
      <c r="K863" s="165"/>
      <c r="L863" s="165"/>
      <c r="M863" s="165"/>
      <c r="N863" s="165"/>
      <c r="O863" s="165"/>
      <c r="P863" s="165"/>
      <c r="Q863" s="165"/>
      <c r="R863" s="165"/>
      <c r="S863" s="165"/>
      <c r="T863" s="165"/>
      <c r="U863" s="165"/>
      <c r="V863" s="165"/>
      <c r="W863" s="165"/>
      <c r="X863" s="165"/>
      <c r="Y863" s="209"/>
    </row>
    <row r="864" spans="1:25">
      <c r="B864" s="208" t="s">
        <v>45</v>
      </c>
      <c r="C864" s="165" t="s">
        <v>417</v>
      </c>
      <c r="D864" s="165" t="s">
        <v>418</v>
      </c>
      <c r="E864" s="165" t="s">
        <v>311</v>
      </c>
      <c r="F864" s="165" t="s">
        <v>350</v>
      </c>
      <c r="G864" s="249" t="s">
        <v>413</v>
      </c>
      <c r="H864" s="250" t="s">
        <v>377</v>
      </c>
      <c r="I864" s="165"/>
      <c r="J864" s="165" t="s">
        <v>45</v>
      </c>
      <c r="K864" s="165" t="s">
        <v>417</v>
      </c>
      <c r="L864" s="165" t="s">
        <v>418</v>
      </c>
      <c r="M864" s="165" t="s">
        <v>311</v>
      </c>
      <c r="N864" s="165" t="s">
        <v>350</v>
      </c>
      <c r="O864" s="249" t="s">
        <v>413</v>
      </c>
      <c r="P864" s="250" t="s">
        <v>377</v>
      </c>
      <c r="Q864" s="165"/>
      <c r="R864" s="165" t="s">
        <v>45</v>
      </c>
      <c r="S864" s="165" t="s">
        <v>417</v>
      </c>
      <c r="T864" s="165" t="s">
        <v>418</v>
      </c>
      <c r="U864" s="165" t="s">
        <v>311</v>
      </c>
      <c r="V864" s="165" t="s">
        <v>350</v>
      </c>
      <c r="W864" s="249" t="s">
        <v>413</v>
      </c>
      <c r="X864" s="250" t="s">
        <v>377</v>
      </c>
      <c r="Y864" s="209"/>
    </row>
    <row r="865" spans="1:25">
      <c r="A865" t="s">
        <v>440</v>
      </c>
      <c r="B865" s="208">
        <f>Algandmed!AG988</f>
        <v>0</v>
      </c>
      <c r="C865" s="228" t="e">
        <f>Algandmed!AG990</f>
        <v>#DIV/0!</v>
      </c>
      <c r="D865" s="228" t="e">
        <f>Algandmed!AG993</f>
        <v>#DIV/0!</v>
      </c>
      <c r="E865" s="165">
        <f>Algandmed!AG994</f>
        <v>0</v>
      </c>
      <c r="F865" s="238">
        <f>SUM(Algandmed!AG994:AG997)</f>
        <v>0</v>
      </c>
      <c r="G865" s="238">
        <f>SUM(Algandmed!AG998:AG999,Algandmed!AG1001)</f>
        <v>0</v>
      </c>
      <c r="H865" s="237" t="e">
        <f>(($G$814*Algandmed!AG994)+($G$815*Algandmed!AG995)+($G$816*Algandmed!AG996)+($G$817*Algandmed!AG997)+($G$818*Algandmed!AG998)+($G$819*Algandmed!AG999)+($G$820*Algandmed!AG1000)+($G$821*Algandmed!AG1001)+((Algandmed!AG988-SUM(Algandmed!AG994:AG1001))*$G$822))/SQRT(Algandmed!AG988)</f>
        <v>#DIV/0!</v>
      </c>
      <c r="I865" s="238"/>
      <c r="J865" s="208"/>
      <c r="K865" s="228"/>
      <c r="L865" s="228"/>
      <c r="M865" s="165"/>
      <c r="N865" s="238"/>
      <c r="O865" s="238"/>
      <c r="P865" s="237"/>
      <c r="Q865" s="238"/>
      <c r="R865" s="208">
        <f>Algandmed!AQ988</f>
        <v>0</v>
      </c>
      <c r="S865" s="228" t="e">
        <f>Algandmed!AQ990</f>
        <v>#DIV/0!</v>
      </c>
      <c r="T865" s="228" t="e">
        <f>Algandmed!AQ993</f>
        <v>#DIV/0!</v>
      </c>
      <c r="U865" s="165">
        <f>Algandmed!AQ994</f>
        <v>0</v>
      </c>
      <c r="V865" s="238">
        <f>SUM(Algandmed!AQ994:AQ997)</f>
        <v>0</v>
      </c>
      <c r="W865" s="238">
        <f>SUM(Algandmed!AQ998:AQ999,Algandmed!AQ1001)</f>
        <v>0</v>
      </c>
      <c r="X865" s="237" t="e">
        <f>(($G$814*Algandmed!AQ994)+($G$815*Algandmed!AQ995)+($G$816*Algandmed!AQ996)+($G$817*Algandmed!AQ997)+($G$818*Algandmed!AQ998)+($G$819*Algandmed!AQ999)+($G$820*Algandmed!AQ1000)+($G$821*Algandmed!AQ1001)+((Algandmed!AQ988-SUM(Algandmed!AQ994:AQ1001))*$G$822))/SQRT(Algandmed!AQ988)</f>
        <v>#DIV/0!</v>
      </c>
      <c r="Y865" s="209"/>
    </row>
    <row r="866" spans="1:25">
      <c r="A866" t="s">
        <v>451</v>
      </c>
      <c r="B866" s="208"/>
      <c r="C866" s="228"/>
      <c r="D866" s="228"/>
      <c r="E866" s="165"/>
      <c r="F866" s="238"/>
      <c r="G866" s="238"/>
      <c r="H866" s="237"/>
      <c r="I866" s="238"/>
      <c r="J866" s="165"/>
      <c r="K866" s="228"/>
      <c r="L866" s="228"/>
      <c r="M866" s="165"/>
      <c r="N866" s="238"/>
      <c r="O866" s="238"/>
      <c r="P866" s="238"/>
      <c r="Q866" s="238"/>
      <c r="R866" s="165"/>
      <c r="S866" s="228"/>
      <c r="T866" s="228"/>
      <c r="U866" s="165"/>
      <c r="V866" s="238"/>
      <c r="W866" s="238"/>
      <c r="X866" s="165"/>
      <c r="Y866" s="209"/>
    </row>
    <row r="867" spans="1:25">
      <c r="A867" t="s">
        <v>462</v>
      </c>
      <c r="B867" s="208"/>
      <c r="C867" s="228"/>
      <c r="D867" s="228"/>
      <c r="E867" s="165"/>
      <c r="F867" s="238"/>
      <c r="G867" s="238"/>
      <c r="H867" s="237"/>
      <c r="I867" s="238"/>
      <c r="J867" s="208">
        <f>Algandmed!AL1004</f>
        <v>0</v>
      </c>
      <c r="K867" s="228" t="e">
        <f>Algandmed!AL1006</f>
        <v>#DIV/0!</v>
      </c>
      <c r="L867" s="228" t="e">
        <f>Algandmed!AL1009</f>
        <v>#DIV/0!</v>
      </c>
      <c r="M867" s="165">
        <f>Algandmed!AL1010</f>
        <v>0</v>
      </c>
      <c r="N867" s="238">
        <f>SUM(Algandmed!AL1010:AL1013)</f>
        <v>0</v>
      </c>
      <c r="O867" s="238">
        <f>SUM(Algandmed!AL1014:AL1015,Algandmed!AL1017)</f>
        <v>0</v>
      </c>
      <c r="P867" s="237" t="e">
        <f>(($F$814*Algandmed!AL1010)+($F$815*Algandmed!AL1011)+($F$816*Algandmed!AL1012)+($F$817*Algandmed!AL1013)+($F$818*Algandmed!AL1014)+($F$819*Algandmed!AL1015)+($F$820*Algandmed!AL1016)+($F$821*Algandmed!AL1017)+((Algandmed!AL1004-SUM(Algandmed!AL1010:AL1017))*$F$822))/SQRT(Algandmed!AL1004)</f>
        <v>#DIV/0!</v>
      </c>
      <c r="Q867" s="238"/>
      <c r="R867" s="165"/>
      <c r="S867" s="228"/>
      <c r="T867" s="228"/>
      <c r="U867" s="165"/>
      <c r="V867" s="238"/>
      <c r="W867" s="238"/>
      <c r="X867" s="165"/>
      <c r="Y867" s="209"/>
    </row>
    <row r="868" spans="1:25">
      <c r="A868" t="s">
        <v>465</v>
      </c>
      <c r="B868" s="208"/>
      <c r="C868" s="228"/>
      <c r="D868" s="228"/>
      <c r="E868" s="165"/>
      <c r="F868" s="238"/>
      <c r="G868" s="238"/>
      <c r="H868" s="237"/>
      <c r="I868" s="238"/>
      <c r="Q868" s="238"/>
      <c r="R868" s="165"/>
      <c r="S868" s="228"/>
      <c r="T868" s="228"/>
      <c r="U868" s="165"/>
      <c r="V868" s="238"/>
      <c r="W868" s="238"/>
      <c r="X868" s="165"/>
      <c r="Y868" s="209"/>
    </row>
    <row r="869" spans="1:25">
      <c r="A869" t="s">
        <v>440</v>
      </c>
      <c r="B869" s="208">
        <f>Algandmed!AG1020</f>
        <v>0</v>
      </c>
      <c r="C869" s="228" t="e">
        <f>Algandmed!AG1022</f>
        <v>#DIV/0!</v>
      </c>
      <c r="D869" s="228" t="e">
        <f>Algandmed!AG1025</f>
        <v>#DIV/0!</v>
      </c>
      <c r="E869" s="165">
        <f>Algandmed!AG1026</f>
        <v>0</v>
      </c>
      <c r="F869" s="238">
        <f>SUM(Algandmed!AG1026:AG1029)</f>
        <v>0</v>
      </c>
      <c r="G869" s="238">
        <f>SUM(Algandmed!AG1030:AG1031,Algandmed!AG1033)</f>
        <v>0</v>
      </c>
      <c r="H869" s="237" t="e">
        <f>(($G$814*Algandmed!AG1026)+($G$815*Algandmed!AG1027)+($G$816*Algandmed!AG1028)+($G$817*Algandmed!AG1029)+($G$818*Algandmed!AG1030)+($G$819*Algandmed!AG1031)+($G$820*Algandmed!AG1032)+($G$821*Algandmed!AG1033)+((Algandmed!AG1020-SUM(Algandmed!AG1026:AG1033))*$G$822))/SQRT(Algandmed!AG1020)</f>
        <v>#DIV/0!</v>
      </c>
      <c r="I869" s="238"/>
      <c r="J869" s="208">
        <f>Algandmed!AL1020</f>
        <v>0</v>
      </c>
      <c r="K869" s="228" t="e">
        <f>Algandmed!AL1022</f>
        <v>#DIV/0!</v>
      </c>
      <c r="L869" s="228" t="e">
        <f>Algandmed!AL1025</f>
        <v>#DIV/0!</v>
      </c>
      <c r="M869" s="165">
        <f>Algandmed!AL1026</f>
        <v>0</v>
      </c>
      <c r="N869" s="238">
        <f>SUM(Algandmed!AL1026:AL1029)</f>
        <v>0</v>
      </c>
      <c r="O869" s="238">
        <f>SUM(Algandmed!AL1030:AL1031,Algandmed!AL1033)</f>
        <v>0</v>
      </c>
      <c r="P869" s="237" t="e">
        <f>(($G$814*Algandmed!AL1026)+($G$815*Algandmed!AL1027)+($G$816*Algandmed!AL1028)+($G$817*Algandmed!AL1029)+($G$818*Algandmed!AL1030)+($G$819*Algandmed!AL1031)+($G$820*Algandmed!AL1032)+($G$821*Algandmed!AL1033)+((Algandmed!AL1020-SUM(Algandmed!AL1026:AL1033))*$G$822))/SQRT(Algandmed!AL1020)</f>
        <v>#DIV/0!</v>
      </c>
      <c r="Q869" s="238"/>
      <c r="R869" s="208">
        <f>Algandmed!AQ1020</f>
        <v>0</v>
      </c>
      <c r="S869" s="228" t="e">
        <f>Algandmed!AQ1022</f>
        <v>#DIV/0!</v>
      </c>
      <c r="T869" s="228" t="e">
        <f>Algandmed!AQ1025</f>
        <v>#DIV/0!</v>
      </c>
      <c r="U869" s="165">
        <f>Algandmed!AQ1026</f>
        <v>0</v>
      </c>
      <c r="V869" s="238">
        <f>SUM(Algandmed!AQ1026:AQ1029)</f>
        <v>0</v>
      </c>
      <c r="W869" s="238">
        <f>SUM(Algandmed!AQ1030:AQ1031,Algandmed!AQ1033)</f>
        <v>0</v>
      </c>
      <c r="X869" s="237" t="e">
        <f>(($F$814*Algandmed!AQ1026)+($F$815*Algandmed!AQ1027)+($F$816*Algandmed!AQ1028)+($F$817*Algandmed!AQ1029)+($F$818*Algandmed!AQ1030)+($F$819*Algandmed!AQ1031)+($F$820*Algandmed!AQ1032)+($F$821*Algandmed!AQ1033)+((Algandmed!AQ1020-SUM(Algandmed!AQ1026:AQ1033))*$F$822))/SQRT(Algandmed!AQ1020)</f>
        <v>#DIV/0!</v>
      </c>
      <c r="Y869" s="209"/>
    </row>
    <row r="870" spans="1:25">
      <c r="B870" s="208"/>
      <c r="C870" s="165"/>
      <c r="D870" s="228"/>
      <c r="E870" s="165"/>
      <c r="F870" s="238"/>
      <c r="G870" s="238"/>
      <c r="H870" s="237"/>
      <c r="I870" s="238"/>
      <c r="J870" s="165"/>
      <c r="K870" s="165"/>
      <c r="L870" s="165"/>
      <c r="M870" s="165"/>
      <c r="N870" s="238"/>
      <c r="O870" s="238"/>
      <c r="P870" s="238"/>
      <c r="Q870" s="238"/>
      <c r="R870" s="165"/>
      <c r="S870" s="165"/>
      <c r="T870" s="165"/>
      <c r="U870" s="165"/>
      <c r="V870" s="238"/>
      <c r="W870" s="238"/>
      <c r="X870" s="165"/>
      <c r="Y870" s="209"/>
    </row>
    <row r="871" spans="1:25">
      <c r="B871" s="208">
        <f>Algandmed!AG1036</f>
        <v>0</v>
      </c>
      <c r="C871" s="228" t="e">
        <f>Algandmed!AG1038</f>
        <v>#DIV/0!</v>
      </c>
      <c r="D871" s="228" t="e">
        <f>Algandmed!AG1041</f>
        <v>#DIV/0!</v>
      </c>
      <c r="E871" s="165">
        <f>Algandmed!AG1042</f>
        <v>0</v>
      </c>
      <c r="F871" s="238">
        <f>SUM(Algandmed!AG1042:AG1045)</f>
        <v>0</v>
      </c>
      <c r="G871" s="238">
        <f>SUM(Algandmed!AG1046:AG1047,Algandmed!AG1049)</f>
        <v>0</v>
      </c>
      <c r="H871" s="237" t="e">
        <f>(($G$814*Algandmed!AG1042)+($G$815*Algandmed!AG1043)+($G$816*Algandmed!AG1044)+($G$817*Algandmed!AG1045)+($G$818*Algandmed!AG1046)+($G$819*Algandmed!AG1047)+($G$820*Algandmed!AG1048)+($G$821*Algandmed!AG1049)+((Algandmed!AG1036-SUM(Algandmed!AG1042:AG1049))*$G$822))/SQRT(Algandmed!AG1036)</f>
        <v>#DIV/0!</v>
      </c>
      <c r="I871" s="238"/>
      <c r="J871" s="208">
        <f>Algandmed!AL1036</f>
        <v>0</v>
      </c>
      <c r="K871" s="228" t="e">
        <f>Algandmed!AL1038</f>
        <v>#DIV/0!</v>
      </c>
      <c r="L871" s="228" t="e">
        <f>Algandmed!AL1041</f>
        <v>#DIV/0!</v>
      </c>
      <c r="M871" s="165">
        <f>Algandmed!AL1042</f>
        <v>0</v>
      </c>
      <c r="N871" s="238">
        <f>SUM(Algandmed!AL1042:AL1045)</f>
        <v>0</v>
      </c>
      <c r="O871" s="238">
        <f>SUM(Algandmed!AL1046:AL1047,Algandmed!AL1049)</f>
        <v>0</v>
      </c>
      <c r="P871" s="237" t="e">
        <f>(($F$814*Algandmed!AL1042)+($F$815*Algandmed!AL1043)+($F$816*Algandmed!AL1044)+($F$817*Algandmed!AL1045)+($F$818*Algandmed!AL1046)+($F$819*Algandmed!AL1047)+($F$820*Algandmed!AL1048)+($F$821*Algandmed!AL1049)+((Algandmed!AL1036-SUM(Algandmed!AL1042:AL1049))*$F$822))/SQRT(Algandmed!AL1036)</f>
        <v>#DIV/0!</v>
      </c>
      <c r="Q871" s="238"/>
      <c r="R871" s="208">
        <f>Algandmed!AQ1036</f>
        <v>0</v>
      </c>
      <c r="S871" s="228" t="e">
        <f>Algandmed!AQ1038</f>
        <v>#DIV/0!</v>
      </c>
      <c r="T871" s="228" t="e">
        <f>Algandmed!AQ1041</f>
        <v>#DIV/0!</v>
      </c>
      <c r="U871" s="165">
        <f>Algandmed!AQ1042</f>
        <v>0</v>
      </c>
      <c r="V871" s="238">
        <f>SUM(Algandmed!AQ1042:AQ1045)</f>
        <v>0</v>
      </c>
      <c r="W871" s="238">
        <f>SUM(Algandmed!AQ1046:AQ1047,Algandmed!AQ1049)</f>
        <v>0</v>
      </c>
      <c r="X871" s="237" t="e">
        <f>(($G$814*Algandmed!AQ1042)+($G$815*Algandmed!AQ1043)+($G$816*Algandmed!AQ1044)+($G$817*Algandmed!AQ1045)+($G$818*Algandmed!AQ1046)+($G$819*Algandmed!AQ1047)+($G$820*Algandmed!AQ1048)+($G$821*Algandmed!AQ1049)+((Algandmed!AQ1036-SUM(Algandmed!AQ1042:AQ1049))*$G$822))/SQRT(Algandmed!AQ1036)</f>
        <v>#DIV/0!</v>
      </c>
      <c r="Y871" s="209"/>
    </row>
    <row r="872" spans="1:25">
      <c r="B872" s="208"/>
      <c r="C872" s="165"/>
      <c r="D872" s="228"/>
      <c r="E872" s="165"/>
      <c r="F872" s="238"/>
      <c r="G872" s="238"/>
      <c r="H872" s="237"/>
      <c r="I872" s="238"/>
      <c r="J872" s="165"/>
      <c r="K872" s="165"/>
      <c r="L872" s="165"/>
      <c r="M872" s="165"/>
      <c r="N872" s="238"/>
      <c r="O872" s="238"/>
      <c r="P872" s="238"/>
      <c r="Q872" s="238"/>
      <c r="R872" s="165"/>
      <c r="S872" s="165"/>
      <c r="T872" s="165"/>
      <c r="U872" s="165"/>
      <c r="V872" s="238"/>
      <c r="W872" s="238"/>
      <c r="X872" s="165"/>
      <c r="Y872" s="209"/>
    </row>
    <row r="873" spans="1:25">
      <c r="B873" s="208">
        <f>Algandmed!AG1052</f>
        <v>0</v>
      </c>
      <c r="C873" s="228" t="e">
        <f>Algandmed!AG1054</f>
        <v>#DIV/0!</v>
      </c>
      <c r="D873" s="228" t="e">
        <f>Algandmed!AG1057</f>
        <v>#DIV/0!</v>
      </c>
      <c r="E873" s="165">
        <f>Algandmed!AG1058</f>
        <v>0</v>
      </c>
      <c r="F873" s="238">
        <f>SUM(Algandmed!AG1058:AG1061)</f>
        <v>0</v>
      </c>
      <c r="G873" s="238">
        <f>SUM(Algandmed!AG1062:AG1063,Algandmed!AG1065)</f>
        <v>0</v>
      </c>
      <c r="H873" s="237" t="e">
        <f>(($G$814*Algandmed!AG1058)+($G$815*Algandmed!AG1059)+($G$816*Algandmed!AG1060)+($G$817*Algandmed!AG1061)+($G$818*Algandmed!AG1062)+($G$819*Algandmed!AG1063)+($G$820*Algandmed!AG1064)+($G$821*Algandmed!AG1065)+((Algandmed!AG1052-SUM(Algandmed!AG1058:AG1065))*$G$822))/SQRT(Algandmed!AG1052)</f>
        <v>#DIV/0!</v>
      </c>
      <c r="I873" s="238"/>
      <c r="J873" s="208">
        <f>Algandmed!AL1052</f>
        <v>0</v>
      </c>
      <c r="K873" s="228" t="e">
        <f>Algandmed!AL1054</f>
        <v>#DIV/0!</v>
      </c>
      <c r="L873" s="228" t="e">
        <f>Algandmed!AL1057</f>
        <v>#DIV/0!</v>
      </c>
      <c r="M873" s="165">
        <f>Algandmed!AL1058</f>
        <v>0</v>
      </c>
      <c r="N873" s="238">
        <f>SUM(Algandmed!AL1058:AL1061)</f>
        <v>0</v>
      </c>
      <c r="O873" s="238">
        <f>SUM(Algandmed!AL1062:AL1063,Algandmed!AL1065)</f>
        <v>0</v>
      </c>
      <c r="P873" s="237" t="e">
        <f>(($G$814*Algandmed!AL1058)+($G$815*Algandmed!AL1059)+($G$816*Algandmed!AL1060)+($G$817*Algandmed!AL1061)+($G$818*Algandmed!AL1062)+($G$819*Algandmed!AL1063)+($G$820*Algandmed!AL1064)+($G$821*Algandmed!AL1065)+((Algandmed!AL1052-SUM(Algandmed!AL1058:AL1065))*$G$822))/SQRT(Algandmed!AL1052)</f>
        <v>#DIV/0!</v>
      </c>
      <c r="Q873" s="238"/>
      <c r="R873" s="208">
        <f>Algandmed!AQ1052</f>
        <v>0</v>
      </c>
      <c r="S873" s="228" t="e">
        <f>Algandmed!AQ1054</f>
        <v>#DIV/0!</v>
      </c>
      <c r="T873" s="228" t="e">
        <f>Algandmed!AQ1057</f>
        <v>#DIV/0!</v>
      </c>
      <c r="U873" s="165">
        <f>Algandmed!AQ1058</f>
        <v>0</v>
      </c>
      <c r="V873" s="238">
        <f>SUM(Algandmed!AQ1058:AQ1061)</f>
        <v>0</v>
      </c>
      <c r="W873" s="238">
        <f>SUM(Algandmed!AQ1062:AQ1063,Algandmed!AQ1065)</f>
        <v>0</v>
      </c>
      <c r="X873" s="237" t="e">
        <f>(($G$814*Algandmed!AQ1058)+($G$815*Algandmed!AQ1059)+($G$816*Algandmed!AQ1060)+($G$817*Algandmed!AQ1061)+($G$818*Algandmed!AQ1062)+($G$819*Algandmed!AQ1063)+($G$820*Algandmed!AQ1064)+($G$821*Algandmed!AQ1065)+((Algandmed!AQ1052-SUM(Algandmed!AQ1058:AQ1065))*$G$822))/SQRT(Algandmed!AQ1052)</f>
        <v>#DIV/0!</v>
      </c>
      <c r="Y873" s="209"/>
    </row>
    <row r="874" spans="1:25">
      <c r="B874" s="208"/>
      <c r="C874" s="165"/>
      <c r="D874" s="228"/>
      <c r="E874" s="165"/>
      <c r="F874" s="238"/>
      <c r="G874" s="238"/>
      <c r="H874" s="237"/>
      <c r="I874" s="238"/>
      <c r="J874" s="165"/>
      <c r="K874" s="165"/>
      <c r="L874" s="165"/>
      <c r="M874" s="165"/>
      <c r="N874" s="238"/>
      <c r="O874" s="238"/>
      <c r="P874" s="238"/>
      <c r="Q874" s="238"/>
      <c r="R874" s="165"/>
      <c r="S874" s="165"/>
      <c r="T874" s="165"/>
      <c r="U874" s="165"/>
      <c r="V874" s="238"/>
      <c r="W874" s="238"/>
      <c r="X874" s="165"/>
      <c r="Y874" s="209"/>
    </row>
    <row r="875" spans="1:25">
      <c r="B875" s="208">
        <f>Algandmed!AG1068</f>
        <v>0</v>
      </c>
      <c r="C875" s="228" t="e">
        <f>Algandmed!AG1070</f>
        <v>#DIV/0!</v>
      </c>
      <c r="D875" s="228" t="e">
        <f>Algandmed!AG1073</f>
        <v>#DIV/0!</v>
      </c>
      <c r="E875" s="165">
        <f>Algandmed!AG1074</f>
        <v>0</v>
      </c>
      <c r="F875" s="238">
        <f>SUM(Algandmed!AG1074:AG1077)</f>
        <v>0</v>
      </c>
      <c r="G875" s="238">
        <f>SUM(Algandmed!AG1078:AG1079,Algandmed!AG1081)</f>
        <v>0</v>
      </c>
      <c r="H875" s="237" t="e">
        <f>(($G$814*Algandmed!AG1074)+($G$815*Algandmed!AG1075)+($G$816*Algandmed!AG1076)+($G$817*Algandmed!AG1077)+($G$818*Algandmed!AG1078)+($G$819*Algandmed!AG1079)+($G$820*Algandmed!AG1080)+($G$821*Algandmed!AG1081)+((Algandmed!AG1068-SUM(Algandmed!AG1074:AG1081))*$G$822))/SQRT(Algandmed!AG1068)</f>
        <v>#DIV/0!</v>
      </c>
      <c r="I875" s="238"/>
      <c r="J875" s="208">
        <f>Algandmed!AL1068</f>
        <v>0</v>
      </c>
      <c r="K875" s="228" t="e">
        <f>Algandmed!AL1070</f>
        <v>#DIV/0!</v>
      </c>
      <c r="L875" s="228" t="e">
        <f>Algandmed!AL1073</f>
        <v>#DIV/0!</v>
      </c>
      <c r="M875" s="165">
        <f>Algandmed!AL1074</f>
        <v>0</v>
      </c>
      <c r="N875" s="238">
        <f>SUM(Algandmed!AL1074:AL1077)</f>
        <v>0</v>
      </c>
      <c r="O875" s="238">
        <f>SUM(Algandmed!AL1078:AL1079,Algandmed!AL1081)</f>
        <v>0</v>
      </c>
      <c r="P875" s="237" t="e">
        <f>(($G$814*Algandmed!AL1074)+($G$815*Algandmed!AL1075)+($G$816*Algandmed!AL1076)+($G$817*Algandmed!AL1077)+($G$818*Algandmed!AL1078)+($G$819*Algandmed!AL1079)+($G$820*Algandmed!AL1080)+($G$821*Algandmed!AL1081)+((Algandmed!AL1068-SUM(Algandmed!AL1074:AL1081))*$G$822))/SQRT(Algandmed!AL1068)</f>
        <v>#DIV/0!</v>
      </c>
      <c r="Q875" s="238"/>
      <c r="R875" s="208">
        <f>Algandmed!AQ1068</f>
        <v>0</v>
      </c>
      <c r="S875" s="228" t="e">
        <f>Algandmed!AQ1070</f>
        <v>#DIV/0!</v>
      </c>
      <c r="T875" s="228" t="e">
        <f>Algandmed!AQ1073</f>
        <v>#DIV/0!</v>
      </c>
      <c r="U875" s="165">
        <f>Algandmed!AQ1074</f>
        <v>0</v>
      </c>
      <c r="V875" s="238">
        <f>SUM(Algandmed!AQ1074:AQ1077)</f>
        <v>0</v>
      </c>
      <c r="W875" s="238">
        <f>SUM(Algandmed!AQ1078:AQ1079,Algandmed!AQ1081)</f>
        <v>0</v>
      </c>
      <c r="X875" s="237" t="e">
        <f>(($G$814*Algandmed!AQ1074)+($G$815*Algandmed!AQ1075)+($G$816*Algandmed!AQ1076)+($G$817*Algandmed!AQ1077)+($G$818*Algandmed!AQ1078)+($G$819*Algandmed!AQ1079)+($G$820*Algandmed!AQ1080)+($G$821*Algandmed!AQ1081)+((Algandmed!AQ1068-SUM(Algandmed!AQ1074:AQ1081))*$G$822))/SQRT(Algandmed!AQ1068)</f>
        <v>#DIV/0!</v>
      </c>
      <c r="Y875" s="209"/>
    </row>
    <row r="876" spans="1:25">
      <c r="B876" s="208"/>
      <c r="C876" s="228"/>
      <c r="D876" s="228"/>
      <c r="E876" s="165"/>
      <c r="F876" s="238"/>
      <c r="G876" s="238"/>
      <c r="H876" s="237"/>
      <c r="I876" s="238"/>
      <c r="J876" s="238"/>
      <c r="K876" s="238"/>
      <c r="L876" s="238"/>
      <c r="M876" s="236"/>
      <c r="N876" s="237"/>
      <c r="O876" s="165"/>
      <c r="P876" s="238"/>
      <c r="Q876" s="238"/>
      <c r="R876" s="165"/>
      <c r="S876" s="228"/>
      <c r="T876" s="228"/>
      <c r="U876" s="165"/>
      <c r="V876" s="238"/>
      <c r="W876" s="238"/>
      <c r="X876" s="165"/>
      <c r="Y876" s="209"/>
    </row>
    <row r="877" spans="1:25">
      <c r="A877" t="s">
        <v>457</v>
      </c>
      <c r="B877" s="208"/>
      <c r="C877" s="228"/>
      <c r="D877" s="228"/>
      <c r="E877" s="165"/>
      <c r="F877" s="238"/>
      <c r="G877" s="238"/>
      <c r="H877" s="237"/>
      <c r="I877" s="238"/>
      <c r="J877" s="208">
        <f>Algandmed!AL1084</f>
        <v>0</v>
      </c>
      <c r="K877" s="228" t="e">
        <f>Algandmed!AL1086</f>
        <v>#DIV/0!</v>
      </c>
      <c r="L877" s="228" t="e">
        <f>Algandmed!AL1089</f>
        <v>#DIV/0!</v>
      </c>
      <c r="M877" s="165">
        <f>Algandmed!AL1090</f>
        <v>0</v>
      </c>
      <c r="N877" s="238">
        <f>SUM(Algandmed!AL1090:AL1093)</f>
        <v>0</v>
      </c>
      <c r="O877" s="238">
        <f>SUM(Algandmed!AL1094:AL1095,Algandmed!AL1097)</f>
        <v>0</v>
      </c>
      <c r="P877" s="237" t="e">
        <f>(($G$814*Algandmed!AL1090)+($G$815*Algandmed!AL1091)+($G$816*Algandmed!AL1092)+($G$817*Algandmed!AL1093)+($G$818*Algandmed!AL1094)+($G$819*Algandmed!AL1095)+($G$820*Algandmed!AL1096)+($G$821*Algandmed!AL1097)+((Algandmed!AL1084-SUM(Algandmed!AL1090:AL1097))*$G$822))/SQRT(Algandmed!AL1084)</f>
        <v>#DIV/0!</v>
      </c>
      <c r="Q877" s="238"/>
      <c r="R877" s="165"/>
      <c r="S877" s="228"/>
      <c r="T877" s="228"/>
      <c r="U877" s="165"/>
      <c r="V877" s="238"/>
      <c r="W877" s="238"/>
      <c r="X877" s="165"/>
      <c r="Y877" s="209"/>
    </row>
    <row r="878" spans="1:25">
      <c r="B878" s="208"/>
      <c r="C878" s="165"/>
      <c r="D878" s="228"/>
      <c r="E878" s="165"/>
      <c r="F878" s="238"/>
      <c r="G878" s="238"/>
      <c r="H878" s="237"/>
      <c r="I878" s="238"/>
      <c r="J878" s="238"/>
      <c r="K878" s="238"/>
      <c r="L878" s="238"/>
      <c r="M878" s="236"/>
      <c r="N878" s="237"/>
      <c r="O878" s="165"/>
      <c r="P878" s="238"/>
      <c r="Q878" s="238"/>
      <c r="R878" s="165"/>
      <c r="S878" s="165"/>
      <c r="T878" s="165"/>
      <c r="U878" s="165"/>
      <c r="V878" s="238"/>
      <c r="W878" s="238"/>
      <c r="X878" s="165"/>
      <c r="Y878" s="209"/>
    </row>
    <row r="879" spans="1:25">
      <c r="B879" s="208">
        <f>Algandmed!AG1100</f>
        <v>0</v>
      </c>
      <c r="C879" s="228" t="e">
        <f>Algandmed!AG1102</f>
        <v>#DIV/0!</v>
      </c>
      <c r="D879" s="228" t="e">
        <f>Algandmed!AG1105</f>
        <v>#DIV/0!</v>
      </c>
      <c r="E879" s="165">
        <f>Algandmed!AG1106</f>
        <v>0</v>
      </c>
      <c r="F879" s="238">
        <f>SUM(Algandmed!AG1106:AG1109)</f>
        <v>0</v>
      </c>
      <c r="G879" s="238">
        <f>SUM(Algandmed!AG1110:AG1111,Algandmed!AG1113)</f>
        <v>0</v>
      </c>
      <c r="H879" s="237" t="e">
        <f>(($G$814*Algandmed!AG1106)+($G$815*Algandmed!AG1107)+($G$816*Algandmed!AG1108)+($G$817*Algandmed!AG1109)+($G$818*Algandmed!AG1110)+($G$819*Algandmed!AG1111)+($G$820*Algandmed!AG1112)+($G$821*Algandmed!AG1113)+((Algandmed!AG1100-SUM(Algandmed!AG1106:AG1113))*$G$822))/SQRT(Algandmed!AG1100)</f>
        <v>#DIV/0!</v>
      </c>
      <c r="I879" s="238"/>
      <c r="J879" s="208">
        <f>Algandmed!AL1100</f>
        <v>0</v>
      </c>
      <c r="K879" s="228" t="e">
        <f>Algandmed!AL1102</f>
        <v>#DIV/0!</v>
      </c>
      <c r="L879" s="228" t="e">
        <f>Algandmed!AL1105</f>
        <v>#DIV/0!</v>
      </c>
      <c r="M879" s="165">
        <f>Algandmed!AL1106</f>
        <v>0</v>
      </c>
      <c r="N879" s="238">
        <f>SUM(Algandmed!AL1106:AL1109)</f>
        <v>0</v>
      </c>
      <c r="O879" s="238">
        <f>SUM(Algandmed!AL1110:AL1111,Algandmed!AL1113)</f>
        <v>0</v>
      </c>
      <c r="P879" s="237" t="e">
        <f>(($G$814*Algandmed!AL1106)+($G$815*Algandmed!AL1107)+($G$816*Algandmed!AL1108)+($G$817*Algandmed!AL1109)+($G$818*Algandmed!AL1110)+($G$819*Algandmed!AL1111)+($G$820*Algandmed!AL1112)+($G$821*Algandmed!AL1113)+((Algandmed!AL1100-SUM(Algandmed!AL1106:AL1113))*$G$822))/SQRT(Algandmed!AL1100)</f>
        <v>#DIV/0!</v>
      </c>
      <c r="Q879" s="238"/>
      <c r="R879" s="208">
        <f>Algandmed!AQ1100</f>
        <v>0</v>
      </c>
      <c r="S879" s="228" t="e">
        <f>Algandmed!AQ1102</f>
        <v>#DIV/0!</v>
      </c>
      <c r="T879" s="228" t="e">
        <f>Algandmed!AQ1105</f>
        <v>#DIV/0!</v>
      </c>
      <c r="U879" s="165">
        <f>Algandmed!AQ1106</f>
        <v>0</v>
      </c>
      <c r="V879" s="238">
        <f>SUM(Algandmed!AQ1106:AQ1109)</f>
        <v>0</v>
      </c>
      <c r="W879" s="238">
        <f>SUM(Algandmed!AQ1110:AQ1111,Algandmed!AQ1113)</f>
        <v>0</v>
      </c>
      <c r="X879" s="237" t="e">
        <f>(($G$814*Algandmed!AQ1106)+($G$815*Algandmed!AQ1107)+($G$816*Algandmed!AQ1108)+($G$817*Algandmed!AQ1109)+($G$818*Algandmed!AQ1110)+($G$819*Algandmed!AQ1111)+($G$820*Algandmed!AQ1112)+($G$821*Algandmed!AQ1113)+((Algandmed!AQ1100-SUM(Algandmed!AQ1106:AQ1113))*$G$822))/SQRT(Algandmed!AQ1100)</f>
        <v>#DIV/0!</v>
      </c>
      <c r="Y879" s="209"/>
    </row>
    <row r="880" spans="1:25">
      <c r="B880" s="208"/>
      <c r="C880" s="165"/>
      <c r="D880" s="165"/>
      <c r="E880" s="165"/>
      <c r="F880" s="238"/>
      <c r="G880" s="238"/>
      <c r="H880" s="237"/>
      <c r="I880" s="238"/>
      <c r="J880" s="238"/>
      <c r="K880" s="238"/>
      <c r="L880" s="238"/>
      <c r="M880" s="236"/>
      <c r="N880" s="237"/>
      <c r="O880" s="165"/>
      <c r="P880" s="238"/>
      <c r="Q880" s="238"/>
      <c r="R880" s="238"/>
      <c r="S880" s="238"/>
      <c r="T880" s="236"/>
      <c r="U880" s="237"/>
      <c r="V880" s="165"/>
      <c r="W880" s="165"/>
      <c r="X880" s="165"/>
      <c r="Y880" s="209"/>
    </row>
    <row r="881" spans="2:25">
      <c r="B881" s="208"/>
      <c r="C881" s="165"/>
      <c r="D881" s="165"/>
      <c r="E881" s="165"/>
      <c r="F881" s="238"/>
      <c r="G881" s="238"/>
      <c r="H881" s="237"/>
      <c r="I881" s="238"/>
      <c r="J881" s="238"/>
      <c r="K881" s="238"/>
      <c r="L881" s="238"/>
      <c r="M881" s="236"/>
      <c r="N881" s="237"/>
      <c r="O881" s="165"/>
      <c r="P881" s="238"/>
      <c r="Q881" s="238"/>
      <c r="R881" s="238"/>
      <c r="S881" s="238"/>
      <c r="T881" s="236"/>
      <c r="U881" s="237"/>
      <c r="V881" s="165"/>
      <c r="W881" s="165"/>
      <c r="X881" s="165"/>
      <c r="Y881" s="209"/>
    </row>
    <row r="882" spans="2:25">
      <c r="B882" s="208"/>
      <c r="C882" s="165"/>
      <c r="D882" s="165"/>
      <c r="E882" s="165"/>
      <c r="F882" s="238"/>
      <c r="G882" s="238"/>
      <c r="H882" s="237"/>
      <c r="I882" s="238"/>
      <c r="J882" s="238"/>
      <c r="K882" s="238"/>
      <c r="L882" s="238"/>
      <c r="M882" s="236"/>
      <c r="N882" s="237"/>
      <c r="O882" s="165"/>
      <c r="P882" s="238"/>
      <c r="Q882" s="238"/>
      <c r="R882" s="238"/>
      <c r="S882" s="238"/>
      <c r="T882" s="236"/>
      <c r="U882" s="237"/>
      <c r="V882" s="165"/>
      <c r="W882" s="165"/>
      <c r="X882" s="165"/>
      <c r="Y882" s="209"/>
    </row>
    <row r="883" spans="2:25">
      <c r="B883" s="208"/>
      <c r="C883" s="165"/>
      <c r="D883" s="165"/>
      <c r="E883" s="165"/>
      <c r="F883" s="238"/>
      <c r="G883" s="238"/>
      <c r="H883" s="237"/>
      <c r="I883" s="238"/>
      <c r="J883" s="238"/>
      <c r="K883" s="238"/>
      <c r="L883" s="238"/>
      <c r="M883" s="236"/>
      <c r="N883" s="237"/>
      <c r="O883" s="165"/>
      <c r="P883" s="238"/>
      <c r="Q883" s="238"/>
      <c r="R883" s="238"/>
      <c r="S883" s="238"/>
      <c r="T883" s="236"/>
      <c r="U883" s="237"/>
      <c r="V883" s="165"/>
      <c r="W883" s="165"/>
      <c r="X883" s="165"/>
      <c r="Y883" s="209"/>
    </row>
    <row r="884" spans="2:25">
      <c r="B884" s="212"/>
      <c r="C884" s="213"/>
      <c r="D884" s="213"/>
      <c r="E884" s="213"/>
      <c r="F884" s="248"/>
      <c r="G884" s="248"/>
      <c r="H884" s="241"/>
      <c r="I884" s="248"/>
      <c r="J884" s="248"/>
      <c r="K884" s="248"/>
      <c r="L884" s="248"/>
      <c r="M884" s="240"/>
      <c r="N884" s="241"/>
      <c r="O884" s="213"/>
      <c r="P884" s="248"/>
      <c r="Q884" s="248"/>
      <c r="R884" s="248"/>
      <c r="S884" s="248"/>
      <c r="T884" s="240"/>
      <c r="U884" s="241"/>
      <c r="V884" s="213"/>
      <c r="W884" s="213"/>
      <c r="X884" s="213"/>
      <c r="Y884" s="214"/>
    </row>
    <row r="887" spans="2:25">
      <c r="B887" s="205"/>
      <c r="C887" s="206"/>
      <c r="D887" s="206"/>
      <c r="E887" s="206"/>
      <c r="F887" s="206"/>
      <c r="G887" s="388" t="s">
        <v>427</v>
      </c>
      <c r="H887" s="388"/>
      <c r="I887" s="388"/>
      <c r="J887" s="388"/>
      <c r="K887" s="388"/>
      <c r="L887" s="388"/>
      <c r="M887" s="388"/>
      <c r="N887" s="206"/>
      <c r="O887" s="206"/>
      <c r="P887" s="206"/>
      <c r="Q887" s="206"/>
      <c r="R887" s="206"/>
      <c r="S887" s="206"/>
      <c r="T887" s="206"/>
      <c r="U887" s="206"/>
      <c r="V887" s="206"/>
      <c r="W887" s="206"/>
      <c r="X887" s="206"/>
      <c r="Y887" s="207"/>
    </row>
    <row r="888" spans="2:25">
      <c r="B888" s="208" t="s">
        <v>354</v>
      </c>
      <c r="C888" s="165"/>
      <c r="D888" s="165"/>
      <c r="E888" s="165"/>
      <c r="F888" s="165"/>
      <c r="G888" s="389"/>
      <c r="H888" s="389"/>
      <c r="I888" s="389"/>
      <c r="J888" s="389"/>
      <c r="K888" s="389"/>
      <c r="L888" s="389"/>
      <c r="M888" s="389"/>
      <c r="N888" s="165"/>
      <c r="O888" s="165"/>
      <c r="P888" s="165"/>
      <c r="Q888" s="165"/>
      <c r="R888" s="165"/>
      <c r="S888" s="165"/>
      <c r="T888" s="165"/>
      <c r="U888" s="165"/>
      <c r="V888" s="165"/>
      <c r="W888" s="165"/>
      <c r="X888" s="165"/>
      <c r="Y888" s="209"/>
    </row>
    <row r="889" spans="2:25">
      <c r="B889" s="208" t="s">
        <v>355</v>
      </c>
      <c r="C889" s="165"/>
      <c r="D889" s="165"/>
      <c r="E889" s="165"/>
      <c r="F889" s="165"/>
      <c r="G889" s="165"/>
      <c r="H889" s="165"/>
      <c r="I889" s="165"/>
      <c r="J889" s="165"/>
      <c r="K889" s="165"/>
      <c r="L889" s="165"/>
      <c r="M889" s="165"/>
      <c r="N889" s="165"/>
      <c r="O889" s="165"/>
      <c r="P889" s="165"/>
      <c r="Q889" s="165"/>
      <c r="R889" s="390" t="s">
        <v>430</v>
      </c>
      <c r="S889" s="390"/>
      <c r="T889" s="390"/>
      <c r="U889" s="165"/>
      <c r="V889" s="165"/>
      <c r="W889" s="165"/>
      <c r="X889" s="165"/>
      <c r="Y889" s="209"/>
    </row>
    <row r="890" spans="2:25">
      <c r="B890" s="208" t="s">
        <v>356</v>
      </c>
      <c r="C890" s="165"/>
      <c r="D890" s="165"/>
      <c r="E890" s="165"/>
      <c r="F890" s="165"/>
      <c r="G890" s="165"/>
      <c r="H890" s="165"/>
      <c r="I890" s="165"/>
      <c r="J890" s="165"/>
      <c r="K890" s="165"/>
      <c r="L890" s="165"/>
      <c r="M890" s="165"/>
      <c r="N890" s="165"/>
      <c r="O890" s="165"/>
      <c r="P890" s="165"/>
      <c r="Q890" s="165"/>
      <c r="R890" s="390"/>
      <c r="S890" s="390"/>
      <c r="T890" s="390"/>
      <c r="U890" s="165"/>
      <c r="V890" s="165"/>
      <c r="W890" s="165"/>
      <c r="X890" s="165"/>
      <c r="Y890" s="209"/>
    </row>
    <row r="891" spans="2:25">
      <c r="B891" s="208" t="s">
        <v>357</v>
      </c>
      <c r="C891" s="165"/>
      <c r="D891" s="165"/>
      <c r="E891" s="165"/>
      <c r="F891" s="165"/>
      <c r="G891" s="165"/>
      <c r="H891" s="165"/>
      <c r="I891" s="165"/>
      <c r="J891" s="165"/>
      <c r="K891" s="165"/>
      <c r="L891" s="165"/>
      <c r="M891" s="165"/>
      <c r="N891" s="165"/>
      <c r="O891" s="165"/>
      <c r="P891" s="165"/>
      <c r="Q891" s="165"/>
      <c r="R891" s="390"/>
      <c r="S891" s="390"/>
      <c r="T891" s="390"/>
      <c r="U891" s="165"/>
      <c r="V891" s="165"/>
      <c r="W891" s="165"/>
      <c r="X891" s="165"/>
      <c r="Y891" s="209"/>
    </row>
    <row r="892" spans="2:25">
      <c r="B892" s="208"/>
      <c r="C892" s="165"/>
      <c r="D892" s="165"/>
      <c r="E892" s="165"/>
      <c r="F892" s="165"/>
      <c r="G892" s="165"/>
      <c r="H892" s="165"/>
      <c r="I892" s="165"/>
      <c r="J892" s="165"/>
      <c r="K892" s="165"/>
      <c r="L892" s="165"/>
      <c r="M892" s="165"/>
      <c r="N892" s="165"/>
      <c r="O892" s="165"/>
      <c r="P892" s="165"/>
      <c r="Q892" s="165"/>
      <c r="R892" s="390"/>
      <c r="S892" s="390"/>
      <c r="T892" s="390"/>
      <c r="U892" s="165"/>
      <c r="V892" s="165"/>
      <c r="W892" s="165"/>
      <c r="X892" s="165"/>
      <c r="Y892" s="209"/>
    </row>
    <row r="893" spans="2:25">
      <c r="B893" s="208" t="s">
        <v>359</v>
      </c>
      <c r="C893" s="229"/>
      <c r="D893" s="165"/>
      <c r="E893" s="165" t="s">
        <v>347</v>
      </c>
      <c r="F893" s="165" t="s">
        <v>2</v>
      </c>
      <c r="G893" s="165" t="s">
        <v>6</v>
      </c>
      <c r="H893" s="165"/>
      <c r="I893" s="165"/>
      <c r="J893" s="165"/>
      <c r="K893" s="165"/>
      <c r="L893" s="165"/>
      <c r="M893" s="165"/>
      <c r="N893" s="165"/>
      <c r="O893" s="165"/>
      <c r="P893" s="165"/>
      <c r="Q893" s="165"/>
      <c r="R893" s="165"/>
      <c r="S893" s="165"/>
      <c r="T893" s="165"/>
      <c r="U893" s="165"/>
      <c r="V893" s="165"/>
      <c r="W893" s="165"/>
      <c r="X893" s="165"/>
      <c r="Y893" s="209"/>
    </row>
    <row r="894" spans="2:25">
      <c r="B894" s="208" t="s">
        <v>360</v>
      </c>
      <c r="C894" s="230"/>
      <c r="D894" s="165"/>
      <c r="E894" s="165" t="s">
        <v>703</v>
      </c>
      <c r="F894" s="165">
        <v>200</v>
      </c>
      <c r="G894" s="165">
        <v>-200</v>
      </c>
      <c r="H894" s="165"/>
      <c r="I894" s="165"/>
      <c r="J894" s="165"/>
      <c r="K894" s="165"/>
      <c r="L894" s="165"/>
      <c r="M894" s="165"/>
      <c r="N894" s="165"/>
      <c r="O894" s="165"/>
      <c r="P894" s="165"/>
      <c r="Q894" s="165"/>
      <c r="R894" s="165"/>
      <c r="S894" s="165"/>
      <c r="T894" s="165"/>
      <c r="U894" s="165"/>
      <c r="V894" s="165"/>
      <c r="W894" s="165"/>
      <c r="X894" s="165"/>
      <c r="Y894" s="209"/>
    </row>
    <row r="895" spans="2:25">
      <c r="B895" s="208" t="s">
        <v>361</v>
      </c>
      <c r="C895" s="231"/>
      <c r="D895" s="165"/>
      <c r="E895" s="165" t="s">
        <v>9</v>
      </c>
      <c r="F895" s="165">
        <v>24</v>
      </c>
      <c r="G895" s="165">
        <v>-24</v>
      </c>
      <c r="H895" s="165"/>
      <c r="I895" s="165"/>
      <c r="J895" s="165"/>
      <c r="K895" s="165"/>
      <c r="L895" s="165"/>
      <c r="M895" s="165"/>
      <c r="N895" s="165"/>
      <c r="O895" s="165"/>
      <c r="P895" s="165"/>
      <c r="Q895" s="165"/>
      <c r="R895" s="165"/>
      <c r="S895" s="165"/>
      <c r="T895" s="165"/>
      <c r="U895" s="165"/>
      <c r="V895" s="165"/>
      <c r="W895" s="165"/>
      <c r="X895" s="165"/>
      <c r="Y895" s="209"/>
    </row>
    <row r="896" spans="2:25">
      <c r="B896" s="208" t="s">
        <v>362</v>
      </c>
      <c r="C896" s="232"/>
      <c r="D896" s="165"/>
      <c r="E896" s="161" t="s">
        <v>8</v>
      </c>
      <c r="F896" s="165">
        <v>22</v>
      </c>
      <c r="G896" s="165">
        <v>-22</v>
      </c>
      <c r="H896" s="165"/>
      <c r="I896" s="165"/>
      <c r="J896" s="165"/>
      <c r="K896" s="165"/>
      <c r="L896" s="165"/>
      <c r="M896" s="165"/>
      <c r="N896" s="165"/>
      <c r="O896" s="165"/>
      <c r="P896" s="165"/>
      <c r="Q896" s="165"/>
      <c r="R896" s="165"/>
      <c r="S896" s="165"/>
      <c r="T896" s="165"/>
      <c r="U896" s="165"/>
      <c r="V896" s="165"/>
      <c r="W896" s="165"/>
      <c r="X896" s="165"/>
      <c r="Y896" s="209"/>
    </row>
    <row r="897" spans="1:25">
      <c r="B897" s="208" t="s">
        <v>363</v>
      </c>
      <c r="C897" s="233"/>
      <c r="D897" s="165"/>
      <c r="E897" s="161" t="s">
        <v>19</v>
      </c>
      <c r="F897" s="161">
        <v>20</v>
      </c>
      <c r="G897" s="161">
        <v>-20</v>
      </c>
      <c r="H897" s="165"/>
      <c r="I897" s="165"/>
      <c r="J897" s="165"/>
      <c r="K897" s="165"/>
      <c r="L897" s="165"/>
      <c r="M897" s="165"/>
      <c r="N897" s="165"/>
      <c r="O897" s="165"/>
      <c r="P897" s="165"/>
      <c r="Q897" s="165"/>
      <c r="R897" s="165"/>
      <c r="S897" s="165"/>
      <c r="T897" s="165"/>
      <c r="U897" s="165"/>
      <c r="V897" s="165"/>
      <c r="W897" s="165"/>
      <c r="X897" s="165"/>
      <c r="Y897" s="209"/>
    </row>
    <row r="898" spans="1:25">
      <c r="B898" s="208" t="s">
        <v>358</v>
      </c>
      <c r="C898" s="234"/>
      <c r="D898" s="165"/>
      <c r="E898" s="161" t="s">
        <v>7</v>
      </c>
      <c r="F898" s="161">
        <v>18</v>
      </c>
      <c r="G898" s="161">
        <v>-18</v>
      </c>
      <c r="H898" s="165"/>
      <c r="I898" s="165"/>
      <c r="J898" s="165"/>
      <c r="K898" s="165"/>
      <c r="L898" s="165"/>
      <c r="M898" s="165"/>
      <c r="N898" s="165"/>
      <c r="O898" s="165"/>
      <c r="P898" s="165"/>
      <c r="Q898" s="165"/>
      <c r="R898" s="165"/>
      <c r="S898" s="165"/>
      <c r="T898" s="165"/>
      <c r="U898" s="165"/>
      <c r="V898" s="165"/>
      <c r="W898" s="165"/>
      <c r="X898" s="165"/>
      <c r="Y898" s="209"/>
    </row>
    <row r="899" spans="1:25">
      <c r="B899" s="208"/>
      <c r="C899" s="165"/>
      <c r="D899" s="165"/>
      <c r="E899" s="161" t="s">
        <v>163</v>
      </c>
      <c r="F899" s="161">
        <v>16</v>
      </c>
      <c r="G899" s="161">
        <v>-16</v>
      </c>
      <c r="H899" s="165"/>
      <c r="I899" s="165"/>
      <c r="J899" s="165"/>
      <c r="K899" s="165"/>
      <c r="L899" s="165"/>
      <c r="M899" s="165"/>
      <c r="N899" s="165"/>
      <c r="O899" s="165"/>
      <c r="P899" s="165"/>
      <c r="Q899" s="165"/>
      <c r="R899" s="165"/>
      <c r="S899" s="165"/>
      <c r="T899" s="165"/>
      <c r="U899" s="165"/>
      <c r="V899" s="165"/>
      <c r="W899" s="165"/>
      <c r="X899" s="165"/>
      <c r="Y899" s="209"/>
    </row>
    <row r="900" spans="1:25">
      <c r="A900" t="s">
        <v>457</v>
      </c>
      <c r="B900" s="208"/>
      <c r="C900" s="165"/>
      <c r="D900" s="165"/>
      <c r="E900" s="161" t="s">
        <v>310</v>
      </c>
      <c r="F900" s="161">
        <v>14</v>
      </c>
      <c r="G900" s="161">
        <v>-14</v>
      </c>
      <c r="H900" s="165"/>
      <c r="I900" s="165"/>
      <c r="J900" s="165"/>
      <c r="K900" s="165"/>
      <c r="L900" s="165"/>
      <c r="M900" s="165"/>
      <c r="N900" s="165"/>
      <c r="O900" s="165"/>
      <c r="P900" s="165"/>
      <c r="Q900" s="165"/>
      <c r="R900" s="165"/>
      <c r="S900" s="165"/>
      <c r="T900" s="165"/>
      <c r="U900" s="165"/>
      <c r="V900" s="165"/>
      <c r="W900" s="165"/>
      <c r="X900" s="165"/>
      <c r="Y900" s="209"/>
    </row>
    <row r="901" spans="1:25">
      <c r="B901" s="208" t="s">
        <v>440</v>
      </c>
      <c r="C901" s="165"/>
      <c r="D901" s="165"/>
      <c r="E901" s="161" t="s">
        <v>156</v>
      </c>
      <c r="F901" s="161">
        <v>12</v>
      </c>
      <c r="G901" s="161">
        <v>-12</v>
      </c>
      <c r="H901" s="165"/>
      <c r="I901" s="165"/>
      <c r="J901" s="165"/>
      <c r="K901" s="165"/>
      <c r="L901" s="165"/>
      <c r="M901" s="165"/>
      <c r="N901" s="165"/>
      <c r="O901" s="165"/>
      <c r="P901" s="165"/>
      <c r="Q901" s="165"/>
      <c r="R901" s="165"/>
      <c r="S901" s="165"/>
      <c r="T901" s="165"/>
      <c r="U901" s="165"/>
      <c r="V901" s="165"/>
      <c r="W901" s="165"/>
      <c r="X901" s="165"/>
      <c r="Y901" s="209"/>
    </row>
    <row r="902" spans="1:25">
      <c r="A902" t="s">
        <v>457</v>
      </c>
      <c r="B902" s="208"/>
      <c r="C902" s="165"/>
      <c r="D902" s="165"/>
      <c r="E902" s="161" t="s">
        <v>3</v>
      </c>
      <c r="F902" s="161">
        <v>-10</v>
      </c>
      <c r="G902" s="161">
        <v>10</v>
      </c>
      <c r="H902" s="165"/>
      <c r="I902" s="165"/>
      <c r="J902" s="165"/>
      <c r="K902" s="165"/>
      <c r="L902" s="165"/>
      <c r="M902" s="165"/>
      <c r="N902" s="165"/>
      <c r="O902" s="165"/>
      <c r="P902" s="165"/>
      <c r="Q902" s="165"/>
      <c r="R902" s="165"/>
      <c r="S902" s="165"/>
      <c r="T902" s="165"/>
      <c r="U902" s="165"/>
      <c r="V902" s="165"/>
      <c r="W902" s="165"/>
      <c r="X902" s="165"/>
      <c r="Y902" s="209"/>
    </row>
    <row r="903" spans="1:25">
      <c r="A903" t="s">
        <v>457</v>
      </c>
      <c r="B903" s="208"/>
      <c r="C903" s="165"/>
      <c r="D903" s="165"/>
      <c r="E903" s="165"/>
      <c r="F903" s="165"/>
      <c r="G903" s="165"/>
      <c r="H903" s="165"/>
      <c r="I903" s="165"/>
      <c r="J903" s="165"/>
      <c r="K903" s="165"/>
      <c r="L903" s="165"/>
      <c r="M903" s="165"/>
      <c r="N903" s="165"/>
      <c r="O903" s="165"/>
      <c r="P903" s="165"/>
      <c r="Q903" s="165"/>
      <c r="R903" s="165"/>
      <c r="S903" s="165"/>
      <c r="T903" s="165"/>
      <c r="U903" s="165"/>
      <c r="V903" s="165"/>
      <c r="W903" s="165"/>
      <c r="X903" s="165"/>
      <c r="Y903" s="209"/>
    </row>
    <row r="904" spans="1:25">
      <c r="B904" s="208" t="s">
        <v>45</v>
      </c>
      <c r="C904" s="165" t="s">
        <v>417</v>
      </c>
      <c r="D904" s="165" t="s">
        <v>418</v>
      </c>
      <c r="E904" s="165" t="s">
        <v>311</v>
      </c>
      <c r="F904" s="165" t="s">
        <v>350</v>
      </c>
      <c r="G904" s="249" t="s">
        <v>413</v>
      </c>
      <c r="H904" s="250" t="s">
        <v>377</v>
      </c>
      <c r="I904" s="165"/>
      <c r="J904" s="165" t="s">
        <v>45</v>
      </c>
      <c r="K904" s="165" t="s">
        <v>417</v>
      </c>
      <c r="L904" s="165" t="s">
        <v>418</v>
      </c>
      <c r="M904" s="165" t="s">
        <v>311</v>
      </c>
      <c r="N904" s="165" t="s">
        <v>350</v>
      </c>
      <c r="O904" s="249" t="s">
        <v>413</v>
      </c>
      <c r="P904" s="250" t="s">
        <v>377</v>
      </c>
      <c r="Q904" s="165"/>
      <c r="R904" s="165" t="s">
        <v>45</v>
      </c>
      <c r="S904" s="165" t="s">
        <v>417</v>
      </c>
      <c r="T904" s="165" t="s">
        <v>418</v>
      </c>
      <c r="U904" s="165" t="s">
        <v>311</v>
      </c>
      <c r="V904" s="165" t="s">
        <v>350</v>
      </c>
      <c r="W904" s="249" t="s">
        <v>413</v>
      </c>
      <c r="X904" s="250" t="s">
        <v>377</v>
      </c>
      <c r="Y904" s="209"/>
    </row>
    <row r="905" spans="1:25">
      <c r="B905" s="208">
        <f>Algandmed!AG1124</f>
        <v>0</v>
      </c>
      <c r="C905" s="228" t="e">
        <f>Algandmed!AG1126</f>
        <v>#DIV/0!</v>
      </c>
      <c r="D905" s="228" t="e">
        <f>Algandmed!AG1129</f>
        <v>#DIV/0!</v>
      </c>
      <c r="E905" s="165">
        <f>Algandmed!AG1130</f>
        <v>0</v>
      </c>
      <c r="F905" s="238">
        <f>SUM(Algandmed!AG1130:AG1133)</f>
        <v>0</v>
      </c>
      <c r="G905" s="238">
        <f>SUM(Algandmed!AG1134:AG1135,Algandmed!AG1137)</f>
        <v>0</v>
      </c>
      <c r="H905" s="237" t="e">
        <f>(($F$814*Algandmed!AG1130)+($F$815*Algandmed!AG1131)+($F$816*Algandmed!AG1132)+($F$817*Algandmed!AG1133)+($F$818*Algandmed!AG1134)+($F$819*Algandmed!AG1135)+($F$820*Algandmed!AG1136)+($F$821*Algandmed!AG1137)+((Algandmed!AG1124-SUM(Algandmed!AG1130:AG1137))*$F$822))/SQRT(Algandmed!AG1124)</f>
        <v>#DIV/0!</v>
      </c>
      <c r="I905" s="238"/>
      <c r="J905" s="208">
        <f>Algandmed!AL1124</f>
        <v>0</v>
      </c>
      <c r="K905" s="228" t="e">
        <f>Algandmed!AL1126</f>
        <v>#DIV/0!</v>
      </c>
      <c r="L905" s="228" t="e">
        <f>Algandmed!AL1129</f>
        <v>#DIV/0!</v>
      </c>
      <c r="M905" s="165">
        <f>Algandmed!AL1130</f>
        <v>0</v>
      </c>
      <c r="N905" s="238">
        <f>SUM(Algandmed!AL1130:AL1133)</f>
        <v>0</v>
      </c>
      <c r="O905" s="238">
        <f>SUM(Algandmed!AL1134:AL1135,Algandmed!AL1137)</f>
        <v>0</v>
      </c>
      <c r="P905" s="237" t="e">
        <f>(($F$814*Algandmed!AL1130)+($F$815*Algandmed!AL1131)+($F$816*Algandmed!AL1132)+($F$817*Algandmed!AL1133)+($F$818*Algandmed!AL1134)+($F$819*Algandmed!AL1135)+($F$820*Algandmed!AL1136)+($F$821*Algandmed!AL1137)+((Algandmed!AL1124-SUM(Algandmed!AL1130:AL1137))*$F$822))/SQRT(Algandmed!AL1124)</f>
        <v>#DIV/0!</v>
      </c>
      <c r="Q905" s="238"/>
      <c r="R905" s="208">
        <f>Algandmed!AQ1124</f>
        <v>0</v>
      </c>
      <c r="S905" s="228" t="e">
        <f>Algandmed!AQ1126</f>
        <v>#DIV/0!</v>
      </c>
      <c r="T905" s="228" t="e">
        <f>Algandmed!AQ1129</f>
        <v>#DIV/0!</v>
      </c>
      <c r="U905" s="165">
        <f>Algandmed!AQ1130</f>
        <v>0</v>
      </c>
      <c r="V905" s="238">
        <f>SUM(Algandmed!AQ1130:AQ1133)</f>
        <v>0</v>
      </c>
      <c r="W905" s="238">
        <f>SUM(Algandmed!AQ1134:AQ1135,Algandmed!AQ1137)</f>
        <v>0</v>
      </c>
      <c r="X905" s="237" t="e">
        <f>(($F$814*Algandmed!AQ1130)+($F$815*Algandmed!AQ1131)+($F$816*Algandmed!AQ1132)+($F$817*Algandmed!AQ1133)+($F$818*Algandmed!AQ1134)+($F$819*Algandmed!AQ1135)+($F$820*Algandmed!AQ1136)+($F$821*Algandmed!AQ1137)+((Algandmed!AQ1124-SUM(Algandmed!AQ1130:AQ1137))*$F$822))/SQRT(Algandmed!AQ1124)</f>
        <v>#DIV/0!</v>
      </c>
      <c r="Y905" s="209"/>
    </row>
    <row r="906" spans="1:25">
      <c r="A906" t="s">
        <v>457</v>
      </c>
      <c r="B906" s="208"/>
      <c r="C906" s="228"/>
      <c r="D906" s="228"/>
      <c r="E906" s="165"/>
      <c r="F906" s="238"/>
      <c r="G906" s="238"/>
      <c r="H906" s="237"/>
      <c r="I906" s="238"/>
      <c r="J906" s="165"/>
      <c r="K906" s="228"/>
      <c r="L906" s="228"/>
      <c r="M906" s="165"/>
      <c r="N906" s="238"/>
      <c r="O906" s="238"/>
      <c r="P906" s="238"/>
      <c r="Q906" s="238"/>
      <c r="R906" s="165"/>
      <c r="S906" s="228"/>
      <c r="T906" s="228"/>
      <c r="U906" s="165"/>
      <c r="V906" s="238"/>
      <c r="W906" s="238"/>
      <c r="X906" s="165"/>
      <c r="Y906" s="209"/>
    </row>
    <row r="907" spans="1:25">
      <c r="B907" s="208"/>
      <c r="C907" s="228"/>
      <c r="D907" s="228"/>
      <c r="E907" s="165"/>
      <c r="F907" s="238"/>
      <c r="G907" s="238"/>
      <c r="H907" s="237"/>
      <c r="I907" s="238"/>
      <c r="J907" s="208">
        <f>Algandmed!AL1140</f>
        <v>0</v>
      </c>
      <c r="K907" s="228" t="e">
        <f>Algandmed!AL1142</f>
        <v>#DIV/0!</v>
      </c>
      <c r="L907" s="228" t="e">
        <f>Algandmed!AL1145</f>
        <v>#DIV/0!</v>
      </c>
      <c r="M907" s="165">
        <f>Algandmed!AL1146</f>
        <v>0</v>
      </c>
      <c r="N907" s="238">
        <f>SUM(Algandmed!AL1146:AL1149)</f>
        <v>0</v>
      </c>
      <c r="O907" s="238">
        <f>SUM(Algandmed!AL1150:AL1151,Algandmed!AL1153)</f>
        <v>0</v>
      </c>
      <c r="P907" s="237" t="e">
        <f>(($F$814*Algandmed!AL1146)+($F$815*Algandmed!AL1147)+($F$816*Algandmed!AL1148)+($F$817*Algandmed!AL1149)+($F$818*Algandmed!AL1150)+($F$819*Algandmed!AL1151)+($F$820*Algandmed!AL1152)+($F$821*Algandmed!AL1153)+((Algandmed!AL1140-SUM(Algandmed!AL1146:AL1153))*$F$822))/SQRT(Algandmed!AL1140)</f>
        <v>#DIV/0!</v>
      </c>
      <c r="Q907" s="238"/>
      <c r="R907" s="165"/>
      <c r="S907" s="228"/>
      <c r="T907" s="228"/>
      <c r="U907" s="165"/>
      <c r="V907" s="238"/>
      <c r="W907" s="238"/>
      <c r="X907" s="165"/>
      <c r="Y907" s="209"/>
    </row>
    <row r="908" spans="1:25">
      <c r="B908" s="208"/>
      <c r="C908" s="228"/>
      <c r="D908" s="228"/>
      <c r="E908" s="165"/>
      <c r="F908" s="238"/>
      <c r="G908" s="238"/>
      <c r="H908" s="237"/>
      <c r="I908" s="238"/>
      <c r="J908" s="238"/>
      <c r="K908" s="238"/>
      <c r="L908" s="238"/>
      <c r="M908" s="236"/>
      <c r="N908" s="237"/>
      <c r="O908" s="165"/>
      <c r="P908" s="238"/>
      <c r="Q908" s="238"/>
      <c r="R908" s="165"/>
      <c r="S908" s="228"/>
      <c r="T908" s="228"/>
      <c r="U908" s="165"/>
      <c r="V908" s="238"/>
      <c r="W908" s="238"/>
      <c r="X908" s="165"/>
      <c r="Y908" s="209"/>
    </row>
    <row r="909" spans="1:25">
      <c r="B909" s="208">
        <f>Algandmed!AG1156</f>
        <v>0</v>
      </c>
      <c r="C909" s="228" t="e">
        <f>Algandmed!AG1158</f>
        <v>#DIV/0!</v>
      </c>
      <c r="D909" s="228" t="e">
        <f>Algandmed!AG1161</f>
        <v>#DIV/0!</v>
      </c>
      <c r="E909" s="165">
        <f>Algandmed!AG1162</f>
        <v>0</v>
      </c>
      <c r="F909" s="238">
        <f>SUM(Algandmed!AG1162:AG1165)</f>
        <v>0</v>
      </c>
      <c r="G909" s="238">
        <f>SUM(Algandmed!AG1166:AG1167,Algandmed!AG1169)</f>
        <v>0</v>
      </c>
      <c r="H909" s="237" t="e">
        <f>(($F$814*Algandmed!AG1162)+($F$815*Algandmed!AG1163)+($F$816*Algandmed!AG1164)+($F$817*Algandmed!AG1165)+($F$818*Algandmed!AG1166)+($F$819*Algandmed!AG1167)+($F$820*Algandmed!AG1168)+($F$821*Algandmed!AG1169)+((Algandmed!AG1156-SUM(Algandmed!AG1162:AG1169))*$F$822))/SQRT(Algandmed!AG1156)</f>
        <v>#DIV/0!</v>
      </c>
      <c r="I909" s="238"/>
      <c r="J909" s="208">
        <f>Algandmed!AL1156</f>
        <v>0</v>
      </c>
      <c r="K909" s="228" t="e">
        <f>Algandmed!AL1158</f>
        <v>#DIV/0!</v>
      </c>
      <c r="L909" s="228" t="e">
        <f>Algandmed!AL1161</f>
        <v>#DIV/0!</v>
      </c>
      <c r="M909" s="165">
        <f>Algandmed!AL1162</f>
        <v>0</v>
      </c>
      <c r="N909" s="238">
        <f>SUM(Algandmed!AL1162:AL1165)</f>
        <v>0</v>
      </c>
      <c r="O909" s="238">
        <f>SUM(Algandmed!AL1166:AL1167,Algandmed!AL1169)</f>
        <v>0</v>
      </c>
      <c r="P909" s="237" t="e">
        <f>(($F$814*Algandmed!AL1162)+($F$815*Algandmed!AL1163)+($F$816*Algandmed!AL1164)+($F$817*Algandmed!AL1165)+($F$818*Algandmed!AL1166)+($F$819*Algandmed!AL1167)+($F$820*Algandmed!AL1168)+($F$821*Algandmed!AL1169)+((Algandmed!AL1156-SUM(Algandmed!AL1162:AL1169))*$F$822))/SQRT(Algandmed!AL1156)</f>
        <v>#DIV/0!</v>
      </c>
      <c r="Q909" s="238"/>
      <c r="R909" s="208">
        <f>Algandmed!AQ1156</f>
        <v>0</v>
      </c>
      <c r="S909" s="228" t="e">
        <f>Algandmed!AQ1158</f>
        <v>#DIV/0!</v>
      </c>
      <c r="T909" s="228" t="e">
        <f>Algandmed!AQ1161</f>
        <v>#DIV/0!</v>
      </c>
      <c r="U909" s="165">
        <f>Algandmed!AQ1162</f>
        <v>0</v>
      </c>
      <c r="V909" s="238">
        <f>SUM(Algandmed!AQ1162:AQ1165)</f>
        <v>0</v>
      </c>
      <c r="W909" s="238">
        <f>SUM(Algandmed!AQ1166:AQ1167,Algandmed!AQ1169)</f>
        <v>0</v>
      </c>
      <c r="X909" s="237" t="e">
        <f>(($F$814*Algandmed!AQ1162)+($F$815*Algandmed!AQ1163)+($F$816*Algandmed!AQ1164)+($F$817*Algandmed!AQ1165)+($F$818*Algandmed!AQ1166)+($F$819*Algandmed!AQ1167)+($F$820*Algandmed!AQ1168)+($F$821*Algandmed!AQ1169)+((Algandmed!AQ1156-SUM(Algandmed!AQ1162:AQ1169))*$F$822))/SQRT(Algandmed!AQ1156)</f>
        <v>#DIV/0!</v>
      </c>
      <c r="Y909" s="209"/>
    </row>
    <row r="910" spans="1:25">
      <c r="B910" s="208"/>
      <c r="C910" s="165"/>
      <c r="D910" s="228"/>
      <c r="E910" s="165"/>
      <c r="F910" s="238"/>
      <c r="G910" s="238"/>
      <c r="H910" s="237"/>
      <c r="I910" s="238"/>
      <c r="J910" s="165"/>
      <c r="K910" s="165"/>
      <c r="L910" s="165"/>
      <c r="M910" s="165"/>
      <c r="N910" s="238"/>
      <c r="O910" s="238"/>
      <c r="P910" s="238"/>
      <c r="Q910" s="238"/>
      <c r="R910" s="165"/>
      <c r="S910" s="165"/>
      <c r="T910" s="165"/>
      <c r="U910" s="165"/>
      <c r="V910" s="238"/>
      <c r="W910" s="238"/>
      <c r="X910" s="165"/>
      <c r="Y910" s="209"/>
    </row>
    <row r="911" spans="1:25">
      <c r="B911" s="208">
        <f>Algandmed!AG1172</f>
        <v>0</v>
      </c>
      <c r="C911" s="228" t="e">
        <f>Algandmed!AG1174</f>
        <v>#DIV/0!</v>
      </c>
      <c r="D911" s="228" t="e">
        <f>Algandmed!AG1177</f>
        <v>#DIV/0!</v>
      </c>
      <c r="E911" s="165">
        <f>Algandmed!AG1178</f>
        <v>0</v>
      </c>
      <c r="F911" s="238">
        <f>SUM(Algandmed!AG1178:AG1181)</f>
        <v>0</v>
      </c>
      <c r="G911" s="238">
        <f>SUM(Algandmed!AG1182:AG1183,Algandmed!AG1185)</f>
        <v>0</v>
      </c>
      <c r="H911" s="237" t="e">
        <f>(($F$814*Algandmed!AG1178)+($F$815*Algandmed!AG1179)+($F$816*Algandmed!AG1180)+($F$817*Algandmed!AG1181)+($F$818*Algandmed!AG1182)+($F$819*Algandmed!AG1183)+($F$820*Algandmed!AG1184)+($F$821*Algandmed!AG1185)+((Algandmed!AG1172-SUM(Algandmed!AG1178:AG1185))*$F$822))/SQRT(Algandmed!AG1172)</f>
        <v>#DIV/0!</v>
      </c>
      <c r="I911" s="238"/>
      <c r="J911" s="208">
        <f>Algandmed!AL1172</f>
        <v>0</v>
      </c>
      <c r="K911" s="228" t="e">
        <f>Algandmed!AL1174</f>
        <v>#DIV/0!</v>
      </c>
      <c r="L911" s="228" t="e">
        <f>Algandmed!AL1177</f>
        <v>#DIV/0!</v>
      </c>
      <c r="M911" s="165">
        <f>Algandmed!AL1178</f>
        <v>0</v>
      </c>
      <c r="N911" s="238">
        <f>SUM(Algandmed!AL1178:AL1181)</f>
        <v>0</v>
      </c>
      <c r="O911" s="238">
        <f>SUM(Algandmed!AL1182:AL1183,Algandmed!AL1185)</f>
        <v>0</v>
      </c>
      <c r="P911" s="237" t="e">
        <f>(($F$814*Algandmed!AL1178)+($F$815*Algandmed!AL1179)+($F$816*Algandmed!AL1180)+($F$817*Algandmed!AL1181)+($F$818*Algandmed!AL1182)+($F$819*Algandmed!AL1183)+($F$820*Algandmed!AL1184)+($F$821*Algandmed!AL1185)+((Algandmed!AL1172-SUM(Algandmed!AL1178:AL1185))*$F$822))/SQRT(Algandmed!AL1172)</f>
        <v>#DIV/0!</v>
      </c>
      <c r="Q911" s="238"/>
      <c r="R911" s="208">
        <f>Algandmed!AQ1172</f>
        <v>0</v>
      </c>
      <c r="S911" s="228" t="e">
        <f>Algandmed!AQ1174</f>
        <v>#DIV/0!</v>
      </c>
      <c r="T911" s="228" t="e">
        <f>Algandmed!AQ1177</f>
        <v>#DIV/0!</v>
      </c>
      <c r="U911" s="165">
        <f>Algandmed!AQ1178</f>
        <v>0</v>
      </c>
      <c r="V911" s="238">
        <f>SUM(Algandmed!AQ1178:AQ1181)</f>
        <v>0</v>
      </c>
      <c r="W911" s="238">
        <f>SUM(Algandmed!AQ1182:AQ1183,Algandmed!AQ1185)</f>
        <v>0</v>
      </c>
      <c r="X911" s="237" t="e">
        <f>(($F$814*Algandmed!AQ1178)+($F$815*Algandmed!AQ1179)+($F$816*Algandmed!AQ1180)+($F$817*Algandmed!AQ1181)+($F$818*Algandmed!AQ1182)+($F$819*Algandmed!AQ1183)+($F$820*Algandmed!AQ1184)+($F$821*Algandmed!AQ1185)+((Algandmed!AQ1172-SUM(Algandmed!AQ1178:AQ1185))*$F$822))/SQRT(Algandmed!AQ1172)</f>
        <v>#DIV/0!</v>
      </c>
      <c r="Y911" s="209"/>
    </row>
    <row r="912" spans="1:25">
      <c r="B912" s="208"/>
      <c r="C912" s="165"/>
      <c r="D912" s="228"/>
      <c r="E912" s="165"/>
      <c r="F912" s="238"/>
      <c r="G912" s="238"/>
      <c r="H912" s="237"/>
      <c r="I912" s="238"/>
      <c r="J912" s="165"/>
      <c r="K912" s="165"/>
      <c r="L912" s="165"/>
      <c r="M912" s="165"/>
      <c r="N912" s="238"/>
      <c r="O912" s="238"/>
      <c r="P912" s="238"/>
      <c r="Q912" s="238"/>
      <c r="R912" s="165"/>
      <c r="S912" s="165"/>
      <c r="T912" s="165"/>
      <c r="U912" s="165"/>
      <c r="V912" s="238"/>
      <c r="W912" s="238"/>
      <c r="X912" s="165"/>
      <c r="Y912" s="209"/>
    </row>
    <row r="913" spans="2:25">
      <c r="B913" s="208">
        <f>Algandmed!AG1188</f>
        <v>0</v>
      </c>
      <c r="C913" s="228" t="e">
        <f>Algandmed!AG1190</f>
        <v>#DIV/0!</v>
      </c>
      <c r="D913" s="228" t="e">
        <f>Algandmed!AG1193</f>
        <v>#DIV/0!</v>
      </c>
      <c r="E913" s="165">
        <f>Algandmed!AG1194</f>
        <v>0</v>
      </c>
      <c r="F913" s="238">
        <f>SUM(Algandmed!AG1194:AG1197)</f>
        <v>0</v>
      </c>
      <c r="G913" s="238">
        <f>SUM(Algandmed!AG1198:AG1199,Algandmed!AG1201)</f>
        <v>0</v>
      </c>
      <c r="H913" s="237" t="e">
        <f>(($F$814*Algandmed!AG1194)+($F$815*Algandmed!AG1195)+($F$816*Algandmed!AG1196)+($F$817*Algandmed!AG1197)+($F$818*Algandmed!AG1198)+($F$819*Algandmed!AG1199)+($F$820*Algandmed!AG1200)+($F$821*Algandmed!AG1201)+((Algandmed!AG1188-SUM(Algandmed!AG1194:AG1201))*$F$822))/SQRT(Algandmed!AG1188)</f>
        <v>#DIV/0!</v>
      </c>
      <c r="I913" s="238"/>
      <c r="J913" s="208">
        <f>Algandmed!AL1188</f>
        <v>0</v>
      </c>
      <c r="K913" s="228" t="e">
        <f>Algandmed!AL1190</f>
        <v>#DIV/0!</v>
      </c>
      <c r="L913" s="228" t="e">
        <f>Algandmed!AL1193</f>
        <v>#DIV/0!</v>
      </c>
      <c r="M913" s="165">
        <f>Algandmed!AL1194</f>
        <v>0</v>
      </c>
      <c r="N913" s="238">
        <f>SUM(Algandmed!AL1194:AL1197)</f>
        <v>0</v>
      </c>
      <c r="O913" s="238">
        <f>SUM(Algandmed!AL1198:AL1199,Algandmed!AL1201)</f>
        <v>0</v>
      </c>
      <c r="P913" s="237" t="e">
        <f>(($F$814*Algandmed!AL1194)+($F$815*Algandmed!AL1195)+($F$816*Algandmed!AL1196)+($F$817*Algandmed!AL1197)+($F$818*Algandmed!AL1198)+($F$819*Algandmed!AL1199)+($F$820*Algandmed!AL1200)+($F$821*Algandmed!AL1201)+((Algandmed!AL1188-SUM(Algandmed!AL1194:AL1201))*$F$822))/SQRT(Algandmed!AL1188)</f>
        <v>#DIV/0!</v>
      </c>
      <c r="Q913" s="238"/>
      <c r="R913" s="208">
        <f>Algandmed!AQ1188</f>
        <v>0</v>
      </c>
      <c r="S913" s="228" t="e">
        <f>Algandmed!AQ1190</f>
        <v>#DIV/0!</v>
      </c>
      <c r="T913" s="228" t="e">
        <f>Algandmed!AQ1193</f>
        <v>#DIV/0!</v>
      </c>
      <c r="U913" s="165">
        <f>Algandmed!AQ1194</f>
        <v>0</v>
      </c>
      <c r="V913" s="238">
        <f>SUM(Algandmed!AQ1194:AQ1197)</f>
        <v>0</v>
      </c>
      <c r="W913" s="238">
        <f>SUM(Algandmed!AQ1198:AQ1199,Algandmed!AQ1201)</f>
        <v>0</v>
      </c>
      <c r="X913" s="237" t="e">
        <f>(($F$814*Algandmed!AQ1194)+($F$815*Algandmed!AQ1195)+($F$816*Algandmed!AQ1196)+($F$817*Algandmed!AQ1197)+($F$818*Algandmed!AQ1198)+($F$819*Algandmed!AQ1199)+($F$820*Algandmed!AQ1200)+($F$821*Algandmed!AQ1201)+((Algandmed!AQ1188-SUM(Algandmed!AQ1194:AQ1201))*$F$822))/SQRT(Algandmed!AQ1188)</f>
        <v>#DIV/0!</v>
      </c>
      <c r="Y913" s="209"/>
    </row>
    <row r="914" spans="2:25">
      <c r="B914" s="208"/>
      <c r="C914" s="165"/>
      <c r="D914" s="228"/>
      <c r="E914" s="165"/>
      <c r="F914" s="238"/>
      <c r="G914" s="238"/>
      <c r="H914" s="237"/>
      <c r="I914" s="238"/>
      <c r="J914" s="165"/>
      <c r="K914" s="165"/>
      <c r="L914" s="165"/>
      <c r="M914" s="165"/>
      <c r="N914" s="238"/>
      <c r="O914" s="238"/>
      <c r="P914" s="238"/>
      <c r="Q914" s="238"/>
      <c r="R914" s="165"/>
      <c r="S914" s="165"/>
      <c r="T914" s="165"/>
      <c r="U914" s="165"/>
      <c r="V914" s="238"/>
      <c r="W914" s="238"/>
      <c r="X914" s="165"/>
      <c r="Y914" s="209"/>
    </row>
    <row r="915" spans="2:25">
      <c r="B915" s="208">
        <f>Algandmed!AG1204</f>
        <v>0</v>
      </c>
      <c r="C915" s="228" t="e">
        <f>Algandmed!AG1206</f>
        <v>#DIV/0!</v>
      </c>
      <c r="D915" s="228" t="e">
        <f>Algandmed!AG1209</f>
        <v>#DIV/0!</v>
      </c>
      <c r="E915" s="165">
        <f>Algandmed!AG1210</f>
        <v>0</v>
      </c>
      <c r="F915" s="238">
        <f>SUM(Algandmed!AG1210:AG1213)</f>
        <v>0</v>
      </c>
      <c r="G915" s="238">
        <f>SUM(Algandmed!AG1214:AG1215,Algandmed!AG1217)</f>
        <v>0</v>
      </c>
      <c r="H915" s="237" t="e">
        <f>(($F$814*Algandmed!AG1210)+($F$815*Algandmed!AG1211)+($F$816*Algandmed!AG1212)+($F$817*Algandmed!AG1213)+($F$818*Algandmed!AG1214)+($F$819*Algandmed!AG1215)+($F$820*Algandmed!AG1216)+($F$821*Algandmed!AG1217)+((Algandmed!AG1204-SUM(Algandmed!AG1210:AG1217))*$F$822))/SQRT(Algandmed!AG1204)</f>
        <v>#DIV/0!</v>
      </c>
      <c r="I915" s="238"/>
      <c r="J915" s="208">
        <f>Algandmed!AL1204</f>
        <v>0</v>
      </c>
      <c r="K915" s="228" t="e">
        <f>Algandmed!AL1206</f>
        <v>#DIV/0!</v>
      </c>
      <c r="L915" s="228" t="e">
        <f>Algandmed!AL1209</f>
        <v>#DIV/0!</v>
      </c>
      <c r="M915" s="165">
        <f>Algandmed!AL1210</f>
        <v>0</v>
      </c>
      <c r="N915" s="238">
        <f>SUM(Algandmed!AL1210:AL1213)</f>
        <v>0</v>
      </c>
      <c r="O915" s="238">
        <f>SUM(Algandmed!AL1214:AL1215,Algandmed!AL1217)</f>
        <v>0</v>
      </c>
      <c r="P915" s="237" t="e">
        <f>(($F$814*Algandmed!AL1210)+($F$815*Algandmed!AL1211)+($F$816*Algandmed!AL1212)+($F$817*Algandmed!AL1213)+($F$818*Algandmed!AL1214)+($F$819*Algandmed!AL1215)+($F$820*Algandmed!AL1216)+($F$821*Algandmed!AL1217)+((Algandmed!AL1204-SUM(Algandmed!AL1210:AL1217))*$F$822))/SQRT(Algandmed!AL1204)</f>
        <v>#DIV/0!</v>
      </c>
      <c r="Q915" s="238"/>
      <c r="R915" s="208">
        <f>Algandmed!AQ1204</f>
        <v>0</v>
      </c>
      <c r="S915" s="228" t="e">
        <f>Algandmed!AQ1206</f>
        <v>#DIV/0!</v>
      </c>
      <c r="T915" s="228" t="e">
        <f>Algandmed!AQ1209</f>
        <v>#DIV/0!</v>
      </c>
      <c r="U915" s="165">
        <f>Algandmed!AQ1210</f>
        <v>0</v>
      </c>
      <c r="V915" s="238">
        <f>SUM(Algandmed!AQ1210:AQ1213)</f>
        <v>0</v>
      </c>
      <c r="W915" s="238">
        <f>SUM(Algandmed!AQ1214:AQ1215,Algandmed!AQ1217)</f>
        <v>0</v>
      </c>
      <c r="X915" s="237" t="e">
        <f>(($F$814*Algandmed!AQ1210)+($F$815*Algandmed!AQ1211)+($F$816*Algandmed!AQ1212)+($F$817*Algandmed!AQ1213)+($F$818*Algandmed!AQ1214)+($F$819*Algandmed!AQ1215)+($F$820*Algandmed!AQ1216)+($F$821*Algandmed!AQ1217)+((Algandmed!AQ1204-SUM(Algandmed!AQ1210:AQ1217))*$F$822))/SQRT(Algandmed!AQ1204)</f>
        <v>#DIV/0!</v>
      </c>
      <c r="Y915" s="209"/>
    </row>
    <row r="916" spans="2:25">
      <c r="B916" s="208"/>
      <c r="C916" s="228"/>
      <c r="D916" s="228"/>
      <c r="E916" s="165"/>
      <c r="F916" s="238"/>
      <c r="G916" s="238"/>
      <c r="H916" s="237"/>
      <c r="I916" s="238"/>
      <c r="J916" s="238"/>
      <c r="K916" s="238"/>
      <c r="L916" s="238"/>
      <c r="M916" s="236"/>
      <c r="N916" s="237"/>
      <c r="O916" s="165"/>
      <c r="P916" s="238"/>
      <c r="Q916" s="238"/>
      <c r="R916" s="165"/>
      <c r="S916" s="228"/>
      <c r="T916" s="228"/>
      <c r="U916" s="165"/>
      <c r="V916" s="238"/>
      <c r="W916" s="238"/>
      <c r="X916" s="165"/>
      <c r="Y916" s="209"/>
    </row>
    <row r="917" spans="2:25">
      <c r="B917" s="208"/>
      <c r="C917" s="228"/>
      <c r="D917" s="228"/>
      <c r="E917" s="165"/>
      <c r="F917" s="238"/>
      <c r="G917" s="238"/>
      <c r="H917" s="237"/>
      <c r="I917" s="238"/>
      <c r="J917" s="208">
        <f>Algandmed!AL1220</f>
        <v>0</v>
      </c>
      <c r="K917" s="228" t="e">
        <f>Algandmed!AL1222</f>
        <v>#DIV/0!</v>
      </c>
      <c r="L917" s="228" t="e">
        <f>Algandmed!AL1225</f>
        <v>#DIV/0!</v>
      </c>
      <c r="M917" s="165">
        <f>Algandmed!AL1226</f>
        <v>0</v>
      </c>
      <c r="N917" s="238">
        <f>SUM(Algandmed!AL1226:AL1229)</f>
        <v>0</v>
      </c>
      <c r="O917" s="238">
        <f>SUM(Algandmed!AL1230:AL1231,Algandmed!AL1233)</f>
        <v>0</v>
      </c>
      <c r="P917" s="237" t="e">
        <f>(($F$814*Algandmed!AL1226)+($F$815*Algandmed!AL1227)+($F$816*Algandmed!AL1228)+($F$817*Algandmed!AL1229)+($F$818*Algandmed!AL1230)+($F$819*Algandmed!AL1231)+($F$820*Algandmed!AL1232)+($F$821*Algandmed!AL1233)+((Algandmed!AL1220-SUM(Algandmed!AL1226:AL1233))*$F$822))/SQRT(Algandmed!AL1220)</f>
        <v>#DIV/0!</v>
      </c>
      <c r="Q917" s="238"/>
      <c r="R917" s="165"/>
      <c r="S917" s="228"/>
      <c r="T917" s="228"/>
      <c r="U917" s="165"/>
      <c r="V917" s="238"/>
      <c r="W917" s="238"/>
      <c r="X917" s="165"/>
      <c r="Y917" s="209"/>
    </row>
    <row r="918" spans="2:25">
      <c r="B918" s="208"/>
      <c r="C918" s="165"/>
      <c r="D918" s="228"/>
      <c r="E918" s="165"/>
      <c r="F918" s="238"/>
      <c r="G918" s="238"/>
      <c r="H918" s="237"/>
      <c r="I918" s="238"/>
      <c r="J918" s="238"/>
      <c r="K918" s="238"/>
      <c r="L918" s="238"/>
      <c r="M918" s="236"/>
      <c r="N918" s="237"/>
      <c r="O918" s="165"/>
      <c r="P918" s="238"/>
      <c r="Q918" s="238"/>
      <c r="R918" s="165"/>
      <c r="S918" s="165"/>
      <c r="T918" s="165"/>
      <c r="U918" s="165"/>
      <c r="V918" s="238"/>
      <c r="W918" s="238"/>
      <c r="X918" s="165"/>
      <c r="Y918" s="209"/>
    </row>
    <row r="919" spans="2:25">
      <c r="B919" s="208">
        <f>Algandmed!AG1236</f>
        <v>0</v>
      </c>
      <c r="C919" s="228" t="e">
        <f>Algandmed!AG1238</f>
        <v>#DIV/0!</v>
      </c>
      <c r="D919" s="228" t="e">
        <f>Algandmed!AG1241</f>
        <v>#DIV/0!</v>
      </c>
      <c r="E919" s="165">
        <f>Algandmed!AG1242</f>
        <v>0</v>
      </c>
      <c r="F919" s="238">
        <f>SUM(Algandmed!AG1242:AG1245)</f>
        <v>0</v>
      </c>
      <c r="G919" s="238">
        <f>SUM(Algandmed!AG1246:AG1247,Algandmed!AG1249)</f>
        <v>0</v>
      </c>
      <c r="H919" s="237" t="e">
        <f>(($F$814*Algandmed!AG1242)+($F$815*Algandmed!AG1243)+($F$816*Algandmed!AG1244)+($F$817*Algandmed!AG1245)+($F$818*Algandmed!AG1246)+($F$819*Algandmed!AG1247)+($F$820*Algandmed!AG1248)+($F$821*Algandmed!AG1249)+((Algandmed!AG1236-SUM(Algandmed!AG1242:AG1249))*$F$822))/SQRT(Algandmed!AG1236)</f>
        <v>#DIV/0!</v>
      </c>
      <c r="I919" s="238"/>
      <c r="J919" s="238"/>
      <c r="K919" s="238"/>
      <c r="L919" s="238"/>
      <c r="M919" s="236"/>
      <c r="N919" s="237"/>
      <c r="O919" s="165"/>
      <c r="P919" s="238"/>
      <c r="Q919" s="238"/>
      <c r="R919" s="208">
        <f>Algandmed!AQ1236</f>
        <v>0</v>
      </c>
      <c r="S919" s="228" t="e">
        <f>Algandmed!AQ1238</f>
        <v>#DIV/0!</v>
      </c>
      <c r="T919" s="228" t="e">
        <f>Algandmed!AQ1241</f>
        <v>#DIV/0!</v>
      </c>
      <c r="U919" s="165">
        <f>Algandmed!AQ1242</f>
        <v>0</v>
      </c>
      <c r="V919" s="238">
        <f>SUM(Algandmed!AQ1242:AQ1245)</f>
        <v>0</v>
      </c>
      <c r="W919" s="238">
        <f>SUM(Algandmed!AQ1246:AQ1247,Algandmed!AQ1249)</f>
        <v>0</v>
      </c>
      <c r="X919" s="237" t="e">
        <f>(($F$814*Algandmed!AQ1242)+($F$815*Algandmed!AQ1243)+($F$816*Algandmed!AQ1244)+($F$817*Algandmed!AQ1245)+($F$818*Algandmed!AQ1246)+($F$819*Algandmed!AQ1247)+($F$820*Algandmed!AQ1248)+($F$821*Algandmed!AQ1249)+((Algandmed!AQ1236-SUM(Algandmed!AQ1242:AQ1249))*$F$822))/SQRT(Algandmed!AQ1236)</f>
        <v>#DIV/0!</v>
      </c>
      <c r="Y919" s="209"/>
    </row>
    <row r="920" spans="2:25">
      <c r="B920" s="208"/>
      <c r="C920" s="165"/>
      <c r="D920" s="165"/>
      <c r="E920" s="165"/>
      <c r="F920" s="238"/>
      <c r="G920" s="238"/>
      <c r="H920" s="237"/>
      <c r="I920" s="238"/>
      <c r="J920" s="238"/>
      <c r="K920" s="238"/>
      <c r="L920" s="238"/>
      <c r="M920" s="236"/>
      <c r="N920" s="237"/>
      <c r="O920" s="165"/>
      <c r="P920" s="238"/>
      <c r="Q920" s="238"/>
      <c r="R920" s="238"/>
      <c r="S920" s="238"/>
      <c r="T920" s="236"/>
      <c r="U920" s="237"/>
      <c r="V920" s="165"/>
      <c r="W920" s="165"/>
      <c r="X920" s="165"/>
      <c r="Y920" s="209"/>
    </row>
    <row r="921" spans="2:25">
      <c r="B921" s="208"/>
      <c r="C921" s="165"/>
      <c r="D921" s="165"/>
      <c r="E921" s="165"/>
      <c r="F921" s="238"/>
      <c r="G921" s="238"/>
      <c r="H921" s="237"/>
      <c r="I921" s="238"/>
      <c r="J921" s="238"/>
      <c r="K921" s="238"/>
      <c r="L921" s="238"/>
      <c r="M921" s="236"/>
      <c r="N921" s="237"/>
      <c r="O921" s="165"/>
      <c r="P921" s="238"/>
      <c r="Q921" s="238"/>
      <c r="R921" s="238"/>
      <c r="S921" s="238"/>
      <c r="T921" s="236"/>
      <c r="U921" s="237"/>
      <c r="V921" s="165"/>
      <c r="W921" s="165"/>
      <c r="X921" s="165"/>
      <c r="Y921" s="209"/>
    </row>
    <row r="922" spans="2:25">
      <c r="B922" s="208"/>
      <c r="C922" s="165"/>
      <c r="D922" s="165"/>
      <c r="E922" s="165"/>
      <c r="F922" s="238"/>
      <c r="G922" s="238"/>
      <c r="H922" s="237"/>
      <c r="I922" s="238"/>
      <c r="J922" s="238"/>
      <c r="K922" s="238"/>
      <c r="L922" s="238"/>
      <c r="M922" s="236"/>
      <c r="N922" s="237"/>
      <c r="O922" s="165"/>
      <c r="P922" s="238"/>
      <c r="Q922" s="238"/>
      <c r="R922" s="238"/>
      <c r="S922" s="238"/>
      <c r="T922" s="236"/>
      <c r="U922" s="237"/>
      <c r="V922" s="165"/>
      <c r="W922" s="165"/>
      <c r="X922" s="165"/>
      <c r="Y922" s="209"/>
    </row>
    <row r="923" spans="2:25">
      <c r="B923" s="208"/>
      <c r="C923" s="165"/>
      <c r="D923" s="165"/>
      <c r="E923" s="165"/>
      <c r="F923" s="238"/>
      <c r="G923" s="238"/>
      <c r="H923" s="237"/>
      <c r="I923" s="238"/>
      <c r="J923" s="238"/>
      <c r="K923" s="238"/>
      <c r="L923" s="238"/>
      <c r="M923" s="236"/>
      <c r="N923" s="237"/>
      <c r="O923" s="165"/>
      <c r="P923" s="238"/>
      <c r="Q923" s="238"/>
      <c r="R923" s="238"/>
      <c r="S923" s="238"/>
      <c r="T923" s="236"/>
      <c r="U923" s="237"/>
      <c r="V923" s="165"/>
      <c r="W923" s="165"/>
      <c r="X923" s="165"/>
      <c r="Y923" s="209"/>
    </row>
    <row r="924" spans="2:25">
      <c r="B924" s="212"/>
      <c r="C924" s="213"/>
      <c r="D924" s="213"/>
      <c r="E924" s="213"/>
      <c r="F924" s="248"/>
      <c r="G924" s="248"/>
      <c r="H924" s="241"/>
      <c r="I924" s="248"/>
      <c r="J924" s="248"/>
      <c r="K924" s="248"/>
      <c r="L924" s="248"/>
      <c r="M924" s="240"/>
      <c r="N924" s="241"/>
      <c r="O924" s="213"/>
      <c r="P924" s="248"/>
      <c r="Q924" s="248"/>
      <c r="R924" s="248"/>
      <c r="S924" s="248"/>
      <c r="T924" s="240"/>
      <c r="U924" s="241"/>
      <c r="V924" s="213"/>
      <c r="W924" s="213"/>
      <c r="X924" s="213"/>
      <c r="Y924" s="214"/>
    </row>
    <row r="925" spans="2:25">
      <c r="B925" s="115"/>
      <c r="C925" s="115"/>
      <c r="D925" s="115"/>
      <c r="E925" s="115"/>
      <c r="F925" s="115"/>
      <c r="G925" s="246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</row>
    <row r="926" spans="2:25">
      <c r="B926" s="115"/>
      <c r="C926" s="115"/>
      <c r="D926" s="115"/>
      <c r="E926" s="115"/>
      <c r="F926" s="115"/>
      <c r="G926" s="246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</row>
    <row r="927" spans="2:25">
      <c r="B927" s="205"/>
      <c r="C927" s="206"/>
      <c r="D927" s="206"/>
      <c r="E927" s="206"/>
      <c r="F927" s="206"/>
      <c r="G927" s="388" t="s">
        <v>428</v>
      </c>
      <c r="H927" s="388"/>
      <c r="I927" s="388"/>
      <c r="J927" s="388"/>
      <c r="K927" s="388"/>
      <c r="L927" s="388"/>
      <c r="M927" s="388"/>
      <c r="N927" s="206"/>
      <c r="O927" s="206"/>
      <c r="P927" s="206"/>
      <c r="Q927" s="206"/>
      <c r="R927" s="206"/>
      <c r="S927" s="206"/>
      <c r="T927" s="206"/>
      <c r="U927" s="206"/>
      <c r="V927" s="206"/>
      <c r="W927" s="206"/>
      <c r="X927" s="206"/>
      <c r="Y927" s="207"/>
    </row>
    <row r="928" spans="2:25">
      <c r="B928" s="208" t="s">
        <v>354</v>
      </c>
      <c r="C928" s="165"/>
      <c r="D928" s="165"/>
      <c r="E928" s="165"/>
      <c r="F928" s="165"/>
      <c r="G928" s="389"/>
      <c r="H928" s="389"/>
      <c r="I928" s="389"/>
      <c r="J928" s="389"/>
      <c r="K928" s="389"/>
      <c r="L928" s="389"/>
      <c r="M928" s="389"/>
      <c r="N928" s="165"/>
      <c r="O928" s="165"/>
      <c r="P928" s="165"/>
      <c r="Q928" s="165"/>
      <c r="R928" s="165"/>
      <c r="S928" s="165"/>
      <c r="T928" s="165"/>
      <c r="U928" s="165"/>
      <c r="V928" s="165"/>
      <c r="W928" s="165"/>
      <c r="X928" s="165"/>
      <c r="Y928" s="209"/>
    </row>
    <row r="929" spans="2:25">
      <c r="B929" s="208" t="s">
        <v>355</v>
      </c>
      <c r="C929" s="165"/>
      <c r="D929" s="165"/>
      <c r="E929" s="165"/>
      <c r="F929" s="165"/>
      <c r="G929" s="165"/>
      <c r="H929" s="165"/>
      <c r="I929" s="165"/>
      <c r="J929" s="165"/>
      <c r="K929" s="165"/>
      <c r="L929" s="165"/>
      <c r="M929" s="165"/>
      <c r="N929" s="165"/>
      <c r="O929" s="165"/>
      <c r="P929" s="165"/>
      <c r="Q929" s="165"/>
      <c r="R929" s="390" t="s">
        <v>431</v>
      </c>
      <c r="S929" s="390"/>
      <c r="T929" s="390"/>
      <c r="U929" s="165"/>
      <c r="V929" s="165"/>
      <c r="W929" s="165"/>
      <c r="X929" s="165"/>
      <c r="Y929" s="209"/>
    </row>
    <row r="930" spans="2:25">
      <c r="B930" s="208" t="s">
        <v>356</v>
      </c>
      <c r="C930" s="165"/>
      <c r="D930" s="165"/>
      <c r="E930" s="165"/>
      <c r="F930" s="165"/>
      <c r="G930" s="165"/>
      <c r="H930" s="165"/>
      <c r="I930" s="165"/>
      <c r="J930" s="165"/>
      <c r="K930" s="165"/>
      <c r="L930" s="165"/>
      <c r="M930" s="165"/>
      <c r="N930" s="165"/>
      <c r="O930" s="165"/>
      <c r="P930" s="165"/>
      <c r="Q930" s="165"/>
      <c r="R930" s="390"/>
      <c r="S930" s="390"/>
      <c r="T930" s="390"/>
      <c r="U930" s="165"/>
      <c r="V930" s="165"/>
      <c r="W930" s="165"/>
      <c r="X930" s="165"/>
      <c r="Y930" s="209"/>
    </row>
    <row r="931" spans="2:25">
      <c r="B931" s="208" t="s">
        <v>357</v>
      </c>
      <c r="C931" s="165"/>
      <c r="D931" s="165"/>
      <c r="E931" s="165"/>
      <c r="F931" s="165"/>
      <c r="G931" s="165"/>
      <c r="H931" s="165"/>
      <c r="I931" s="165"/>
      <c r="J931" s="165"/>
      <c r="K931" s="165"/>
      <c r="L931" s="165"/>
      <c r="M931" s="165"/>
      <c r="N931" s="165"/>
      <c r="O931" s="165"/>
      <c r="P931" s="165"/>
      <c r="Q931" s="165"/>
      <c r="R931" s="390"/>
      <c r="S931" s="390"/>
      <c r="T931" s="390"/>
      <c r="U931" s="165"/>
      <c r="V931" s="165"/>
      <c r="W931" s="165"/>
      <c r="X931" s="165"/>
      <c r="Y931" s="209"/>
    </row>
    <row r="932" spans="2:25">
      <c r="B932" s="208" t="s">
        <v>419</v>
      </c>
      <c r="C932" s="165"/>
      <c r="D932" s="165"/>
      <c r="E932" s="165"/>
      <c r="F932" s="165"/>
      <c r="G932" s="165"/>
      <c r="H932" s="165"/>
      <c r="I932" s="165"/>
      <c r="J932" s="165"/>
      <c r="K932" s="165"/>
      <c r="L932" s="165"/>
      <c r="M932" s="165"/>
      <c r="N932" s="165"/>
      <c r="O932" s="165"/>
      <c r="P932" s="165"/>
      <c r="Q932" s="165"/>
      <c r="R932" s="390"/>
      <c r="S932" s="390"/>
      <c r="T932" s="390"/>
      <c r="U932" s="165"/>
      <c r="V932" s="165"/>
      <c r="W932" s="165"/>
      <c r="X932" s="165"/>
      <c r="Y932" s="209"/>
    </row>
    <row r="933" spans="2:25">
      <c r="B933" s="208" t="s">
        <v>359</v>
      </c>
      <c r="C933" s="229"/>
      <c r="D933" s="165"/>
      <c r="E933" s="165" t="s">
        <v>347</v>
      </c>
      <c r="F933" s="165" t="s">
        <v>2</v>
      </c>
      <c r="G933" s="165" t="s">
        <v>6</v>
      </c>
      <c r="H933" s="165"/>
      <c r="I933" s="165"/>
      <c r="J933" s="165"/>
      <c r="K933" s="165"/>
      <c r="L933" s="165"/>
      <c r="M933" s="165"/>
      <c r="N933" s="165"/>
      <c r="O933" s="165"/>
      <c r="P933" s="165"/>
      <c r="Q933" s="165"/>
      <c r="R933" s="165"/>
      <c r="S933" s="165"/>
      <c r="T933" s="165"/>
      <c r="U933" s="165"/>
      <c r="V933" s="165"/>
      <c r="W933" s="165"/>
      <c r="X933" s="165"/>
      <c r="Y933" s="209"/>
    </row>
    <row r="934" spans="2:25">
      <c r="B934" s="208" t="s">
        <v>360</v>
      </c>
      <c r="C934" s="230"/>
      <c r="D934" s="165"/>
      <c r="E934" s="165" t="s">
        <v>703</v>
      </c>
      <c r="F934" s="165">
        <v>200</v>
      </c>
      <c r="G934" s="165">
        <v>-200</v>
      </c>
      <c r="H934" s="165"/>
      <c r="I934" s="165"/>
      <c r="J934" s="165"/>
      <c r="K934" s="165"/>
      <c r="L934" s="165"/>
      <c r="M934" s="165"/>
      <c r="N934" s="165"/>
      <c r="O934" s="165"/>
      <c r="P934" s="165"/>
      <c r="Q934" s="165"/>
      <c r="R934" s="165"/>
      <c r="S934" s="165"/>
      <c r="T934" s="165"/>
      <c r="U934" s="165"/>
      <c r="V934" s="165"/>
      <c r="W934" s="165"/>
      <c r="X934" s="165"/>
      <c r="Y934" s="209"/>
    </row>
    <row r="935" spans="2:25">
      <c r="B935" s="208" t="s">
        <v>361</v>
      </c>
      <c r="C935" s="231"/>
      <c r="D935" s="165"/>
      <c r="E935" s="165" t="s">
        <v>9</v>
      </c>
      <c r="F935" s="165">
        <v>24</v>
      </c>
      <c r="G935" s="165">
        <v>-24</v>
      </c>
      <c r="H935" s="165"/>
      <c r="I935" s="165"/>
      <c r="J935" s="165"/>
      <c r="K935" s="165"/>
      <c r="L935" s="165"/>
      <c r="M935" s="165"/>
      <c r="N935" s="165"/>
      <c r="O935" s="165"/>
      <c r="P935" s="165"/>
      <c r="Q935" s="165"/>
      <c r="R935" s="165"/>
      <c r="S935" s="165"/>
      <c r="T935" s="165"/>
      <c r="U935" s="165"/>
      <c r="V935" s="165"/>
      <c r="W935" s="165"/>
      <c r="X935" s="165"/>
      <c r="Y935" s="209"/>
    </row>
    <row r="936" spans="2:25">
      <c r="B936" s="208" t="s">
        <v>362</v>
      </c>
      <c r="C936" s="232"/>
      <c r="D936" s="165"/>
      <c r="E936" s="161" t="s">
        <v>8</v>
      </c>
      <c r="F936" s="165">
        <v>22</v>
      </c>
      <c r="G936" s="165">
        <v>-22</v>
      </c>
      <c r="H936" s="165"/>
      <c r="I936" s="165"/>
      <c r="J936" s="165"/>
      <c r="K936" s="165"/>
      <c r="L936" s="165"/>
      <c r="M936" s="165"/>
      <c r="N936" s="165"/>
      <c r="O936" s="165"/>
      <c r="P936" s="165"/>
      <c r="Q936" s="165"/>
      <c r="R936" s="165"/>
      <c r="S936" s="165"/>
      <c r="T936" s="165"/>
      <c r="U936" s="165"/>
      <c r="V936" s="165"/>
      <c r="W936" s="165"/>
      <c r="X936" s="165"/>
      <c r="Y936" s="209"/>
    </row>
    <row r="937" spans="2:25">
      <c r="B937" s="208" t="s">
        <v>363</v>
      </c>
      <c r="C937" s="233"/>
      <c r="D937" s="165"/>
      <c r="E937" s="161" t="s">
        <v>19</v>
      </c>
      <c r="F937" s="161">
        <v>20</v>
      </c>
      <c r="G937" s="161">
        <v>-20</v>
      </c>
      <c r="H937" s="165"/>
      <c r="I937" s="165"/>
      <c r="J937" s="165"/>
      <c r="K937" s="165"/>
      <c r="L937" s="165"/>
      <c r="M937" s="165"/>
      <c r="N937" s="165"/>
      <c r="O937" s="165"/>
      <c r="P937" s="165"/>
      <c r="Q937" s="165"/>
      <c r="R937" s="165"/>
      <c r="S937" s="165"/>
      <c r="T937" s="165"/>
      <c r="U937" s="165"/>
      <c r="V937" s="165"/>
      <c r="W937" s="165"/>
      <c r="X937" s="165"/>
      <c r="Y937" s="209"/>
    </row>
    <row r="938" spans="2:25">
      <c r="B938" s="208" t="s">
        <v>358</v>
      </c>
      <c r="C938" s="234"/>
      <c r="D938" s="165"/>
      <c r="E938" s="161" t="s">
        <v>7</v>
      </c>
      <c r="F938" s="161">
        <v>18</v>
      </c>
      <c r="G938" s="161">
        <v>-18</v>
      </c>
      <c r="H938" s="165"/>
      <c r="I938" s="165"/>
      <c r="J938" s="165"/>
      <c r="K938" s="165"/>
      <c r="L938" s="165"/>
      <c r="M938" s="165"/>
      <c r="N938" s="165"/>
      <c r="O938" s="165"/>
      <c r="P938" s="165"/>
      <c r="Q938" s="165"/>
      <c r="R938" s="165"/>
      <c r="S938" s="165"/>
      <c r="T938" s="165"/>
      <c r="U938" s="165"/>
      <c r="V938" s="165"/>
      <c r="W938" s="165"/>
      <c r="X938" s="165"/>
      <c r="Y938" s="209"/>
    </row>
    <row r="939" spans="2:25">
      <c r="B939" s="208"/>
      <c r="C939" s="165"/>
      <c r="D939" s="165"/>
      <c r="E939" s="161" t="s">
        <v>163</v>
      </c>
      <c r="F939" s="161">
        <v>16</v>
      </c>
      <c r="G939" s="161">
        <v>-16</v>
      </c>
      <c r="H939" s="165"/>
      <c r="I939" s="165"/>
      <c r="J939" s="165"/>
      <c r="K939" s="165"/>
      <c r="L939" s="165"/>
      <c r="M939" s="165"/>
      <c r="N939" s="165"/>
      <c r="O939" s="165"/>
      <c r="P939" s="165"/>
      <c r="Q939" s="165"/>
      <c r="R939" s="165"/>
      <c r="S939" s="165"/>
      <c r="T939" s="165"/>
      <c r="U939" s="165"/>
      <c r="V939" s="165"/>
      <c r="W939" s="165"/>
      <c r="X939" s="165"/>
      <c r="Y939" s="209"/>
    </row>
    <row r="940" spans="2:25">
      <c r="B940" s="208"/>
      <c r="C940" s="165"/>
      <c r="D940" s="165"/>
      <c r="E940" s="161" t="s">
        <v>310</v>
      </c>
      <c r="F940" s="161">
        <v>14</v>
      </c>
      <c r="G940" s="161">
        <v>-14</v>
      </c>
      <c r="H940" s="165"/>
      <c r="I940" s="165"/>
      <c r="J940" s="165"/>
      <c r="K940" s="165"/>
      <c r="L940" s="165"/>
      <c r="M940" s="165"/>
      <c r="N940" s="165"/>
      <c r="O940" s="165"/>
      <c r="P940" s="165"/>
      <c r="Q940" s="165"/>
      <c r="R940" s="165"/>
      <c r="S940" s="165"/>
      <c r="T940" s="165"/>
      <c r="U940" s="165"/>
      <c r="V940" s="165"/>
      <c r="W940" s="165"/>
      <c r="X940" s="165"/>
      <c r="Y940" s="209"/>
    </row>
    <row r="941" spans="2:25">
      <c r="B941" s="208"/>
      <c r="C941" s="165"/>
      <c r="D941" s="165"/>
      <c r="E941" s="161" t="s">
        <v>156</v>
      </c>
      <c r="F941" s="161">
        <v>12</v>
      </c>
      <c r="G941" s="161">
        <v>-12</v>
      </c>
      <c r="H941" s="165"/>
      <c r="I941" s="165"/>
      <c r="J941" s="165"/>
      <c r="K941" s="165"/>
      <c r="L941" s="165"/>
      <c r="M941" s="165"/>
      <c r="N941" s="165"/>
      <c r="O941" s="165"/>
      <c r="P941" s="165"/>
      <c r="Q941" s="165"/>
      <c r="R941" s="165"/>
      <c r="S941" s="165"/>
      <c r="T941" s="165"/>
      <c r="U941" s="165"/>
      <c r="V941" s="165"/>
      <c r="W941" s="165"/>
      <c r="X941" s="165"/>
      <c r="Y941" s="209"/>
    </row>
    <row r="942" spans="2:25">
      <c r="B942" s="208"/>
      <c r="C942" s="165"/>
      <c r="D942" s="165"/>
      <c r="E942" s="161" t="s">
        <v>3</v>
      </c>
      <c r="F942" s="161">
        <v>-10</v>
      </c>
      <c r="G942" s="161">
        <v>10</v>
      </c>
      <c r="H942" s="165"/>
      <c r="I942" s="165"/>
      <c r="J942" s="165"/>
      <c r="K942" s="165"/>
      <c r="L942" s="165"/>
      <c r="M942" s="165"/>
      <c r="N942" s="165"/>
      <c r="O942" s="165"/>
      <c r="P942" s="165"/>
      <c r="Q942" s="165"/>
      <c r="R942" s="165"/>
      <c r="S942" s="165"/>
      <c r="T942" s="165"/>
      <c r="U942" s="165"/>
      <c r="V942" s="165"/>
      <c r="W942" s="165"/>
      <c r="X942" s="165"/>
      <c r="Y942" s="209"/>
    </row>
    <row r="943" spans="2:25">
      <c r="B943" s="208"/>
      <c r="C943" s="165"/>
      <c r="D943" s="165"/>
      <c r="E943" s="165"/>
      <c r="F943" s="165"/>
      <c r="G943" s="165"/>
      <c r="H943" s="165"/>
      <c r="I943" s="165"/>
      <c r="J943" s="165"/>
      <c r="K943" s="165"/>
      <c r="L943" s="165"/>
      <c r="M943" s="165"/>
      <c r="N943" s="165"/>
      <c r="O943" s="165"/>
      <c r="P943" s="165"/>
      <c r="Q943" s="165"/>
      <c r="R943" s="165"/>
      <c r="S943" s="165"/>
      <c r="T943" s="165"/>
      <c r="U943" s="165"/>
      <c r="V943" s="165"/>
      <c r="W943" s="165"/>
      <c r="X943" s="165"/>
      <c r="Y943" s="209"/>
    </row>
    <row r="944" spans="2:25">
      <c r="B944" s="208" t="s">
        <v>45</v>
      </c>
      <c r="C944" s="165" t="s">
        <v>417</v>
      </c>
      <c r="D944" s="165" t="s">
        <v>418</v>
      </c>
      <c r="E944" s="165" t="s">
        <v>311</v>
      </c>
      <c r="F944" s="165" t="s">
        <v>350</v>
      </c>
      <c r="G944" s="249" t="s">
        <v>413</v>
      </c>
      <c r="H944" s="250" t="s">
        <v>377</v>
      </c>
      <c r="I944" s="165"/>
      <c r="J944" s="165" t="s">
        <v>45</v>
      </c>
      <c r="K944" s="165" t="s">
        <v>417</v>
      </c>
      <c r="L944" s="165" t="s">
        <v>418</v>
      </c>
      <c r="M944" s="165" t="s">
        <v>311</v>
      </c>
      <c r="N944" s="165" t="s">
        <v>350</v>
      </c>
      <c r="O944" s="249" t="s">
        <v>413</v>
      </c>
      <c r="P944" s="250" t="s">
        <v>377</v>
      </c>
      <c r="Q944" s="165"/>
      <c r="R944" s="165" t="s">
        <v>45</v>
      </c>
      <c r="S944" s="165" t="s">
        <v>417</v>
      </c>
      <c r="T944" s="165" t="s">
        <v>418</v>
      </c>
      <c r="U944" s="165" t="s">
        <v>311</v>
      </c>
      <c r="V944" s="165" t="s">
        <v>350</v>
      </c>
      <c r="W944" s="249" t="s">
        <v>413</v>
      </c>
      <c r="X944" s="250" t="s">
        <v>377</v>
      </c>
      <c r="Y944" s="209"/>
    </row>
    <row r="945" spans="2:25">
      <c r="B945" s="208">
        <f>Algandmed!AG1256</f>
        <v>0</v>
      </c>
      <c r="C945" s="228" t="e">
        <f>Algandmed!AG1258</f>
        <v>#DIV/0!</v>
      </c>
      <c r="D945" s="228" t="e">
        <f>Algandmed!AG1261</f>
        <v>#DIV/0!</v>
      </c>
      <c r="E945" s="165">
        <f>Algandmed!AG1262</f>
        <v>0</v>
      </c>
      <c r="F945" s="238">
        <f>SUM(Algandmed!AG1262:AG1265)</f>
        <v>0</v>
      </c>
      <c r="G945" s="238">
        <f>SUM(Algandmed!AG1266:AG1267,Algandmed!AG1269)</f>
        <v>0</v>
      </c>
      <c r="H945" s="237" t="e">
        <f>(($G$814*Algandmed!AG1262)+($G$815*Algandmed!AG1263)+($G$816*Algandmed!AG1264)+($G$817*Algandmed!AG1265)+($G$818*Algandmed!AG1266)+($G$819*Algandmed!AG1267)+($G$820*Algandmed!AG1268)+($G$821*Algandmed!AG1269)+((Algandmed!AG1256-SUM(Algandmed!AG1262:AG1269))*$G$822))/SQRT(Algandmed!AG1256)</f>
        <v>#DIV/0!</v>
      </c>
      <c r="I945" s="238"/>
      <c r="J945" s="208"/>
      <c r="K945" s="228"/>
      <c r="L945" s="228"/>
      <c r="M945" s="165"/>
      <c r="N945" s="238"/>
      <c r="O945" s="238"/>
      <c r="P945" s="237"/>
      <c r="Q945" s="238"/>
      <c r="R945" s="208">
        <f>Algandmed!AQ1256</f>
        <v>0</v>
      </c>
      <c r="S945" s="228" t="e">
        <f>Algandmed!AQ1258</f>
        <v>#DIV/0!</v>
      </c>
      <c r="T945" s="228" t="e">
        <f>Algandmed!AQ1261</f>
        <v>#DIV/0!</v>
      </c>
      <c r="U945" s="165">
        <f>Algandmed!AQ1262</f>
        <v>0</v>
      </c>
      <c r="V945" s="238">
        <f>SUM(Algandmed!AQ1262:AQ1265)</f>
        <v>0</v>
      </c>
      <c r="W945" s="238">
        <f>SUM(Algandmed!AQ1266:AQ1267,Algandmed!AQ1269)</f>
        <v>0</v>
      </c>
      <c r="X945" s="237" t="e">
        <f>(($G$814*Algandmed!AQ1262)+($G$815*Algandmed!AQ1263)+($G$816*Algandmed!AQ1264)+($G$817*Algandmed!AQ1265)+($G$818*Algandmed!AQ1266)+($G$819*Algandmed!AQ1267)+($G$820*Algandmed!AQ1268)+($G$821*Algandmed!AQ1269)+((Algandmed!AQ1256-SUM(Algandmed!AQ1262:AQ1269))*$G$822))/SQRT(Algandmed!AQ1256)</f>
        <v>#DIV/0!</v>
      </c>
      <c r="Y945" s="209"/>
    </row>
    <row r="946" spans="2:25">
      <c r="B946" s="208"/>
      <c r="C946" s="228"/>
      <c r="D946" s="228"/>
      <c r="E946" s="165"/>
      <c r="F946" s="238"/>
      <c r="G946" s="238"/>
      <c r="H946" s="237"/>
      <c r="I946" s="238"/>
      <c r="J946" s="165"/>
      <c r="K946" s="228"/>
      <c r="L946" s="228"/>
      <c r="M946" s="165"/>
      <c r="N946" s="238"/>
      <c r="O946" s="238"/>
      <c r="P946" s="238"/>
      <c r="Q946" s="238"/>
      <c r="R946" s="165"/>
      <c r="S946" s="228"/>
      <c r="T946" s="228"/>
      <c r="U946" s="165"/>
      <c r="V946" s="238"/>
      <c r="W946" s="238"/>
      <c r="X946" s="165"/>
      <c r="Y946" s="209"/>
    </row>
    <row r="947" spans="2:25">
      <c r="B947" s="208"/>
      <c r="C947" s="228"/>
      <c r="D947" s="228"/>
      <c r="E947" s="165"/>
      <c r="F947" s="238"/>
      <c r="G947" s="238"/>
      <c r="H947" s="237"/>
      <c r="I947" s="238"/>
      <c r="J947" s="208">
        <f>Algandmed!AL1272</f>
        <v>0</v>
      </c>
      <c r="K947" s="228" t="e">
        <f>Algandmed!AL1274</f>
        <v>#DIV/0!</v>
      </c>
      <c r="L947" s="228" t="e">
        <f>Algandmed!AL1277</f>
        <v>#DIV/0!</v>
      </c>
      <c r="M947" s="165">
        <f>Algandmed!AL1278</f>
        <v>0</v>
      </c>
      <c r="N947" s="238">
        <f>SUM(Algandmed!AL1278:AL1281)</f>
        <v>0</v>
      </c>
      <c r="O947" s="238">
        <f>SUM(Algandmed!AL1282:AL1283,Algandmed!AL1285)</f>
        <v>0</v>
      </c>
      <c r="P947" s="237" t="e">
        <f>(($G$814*Algandmed!AL1278)+($G$815*Algandmed!AL1279)+($G$816*Algandmed!AL1280)+($G$817*Algandmed!AL1281)+($G$818*Algandmed!AL1282)+($G$819*Algandmed!AL1283)+($G$820*Algandmed!AL1284)+($G$821*Algandmed!AL1285)+((Algandmed!AL1272-SUM(Algandmed!AL1278:AL1285))*$G$822))/SQRT(Algandmed!AL1272)</f>
        <v>#DIV/0!</v>
      </c>
      <c r="Q947" s="238"/>
      <c r="R947" s="165"/>
      <c r="S947" s="228"/>
      <c r="T947" s="228"/>
      <c r="U947" s="165"/>
      <c r="V947" s="238"/>
      <c r="W947" s="238"/>
      <c r="X947" s="165"/>
      <c r="Y947" s="209"/>
    </row>
    <row r="948" spans="2:25">
      <c r="B948" s="208"/>
      <c r="C948" s="228"/>
      <c r="D948" s="228"/>
      <c r="E948" s="165"/>
      <c r="F948" s="238"/>
      <c r="G948" s="238"/>
      <c r="H948" s="237"/>
      <c r="I948" s="238"/>
      <c r="J948" s="115"/>
      <c r="K948" s="115"/>
      <c r="L948" s="115"/>
      <c r="M948" s="115"/>
      <c r="N948" s="115"/>
      <c r="O948" s="115"/>
      <c r="P948" s="115"/>
      <c r="Q948" s="238"/>
      <c r="R948" s="165"/>
      <c r="S948" s="228"/>
      <c r="T948" s="228"/>
      <c r="U948" s="165"/>
      <c r="V948" s="238"/>
      <c r="W948" s="238"/>
      <c r="X948" s="165"/>
      <c r="Y948" s="209"/>
    </row>
    <row r="949" spans="2:25">
      <c r="B949" s="208">
        <f>Algandmed!AG1288</f>
        <v>0</v>
      </c>
      <c r="C949" s="228" t="e">
        <f>Algandmed!AG1290</f>
        <v>#DIV/0!</v>
      </c>
      <c r="D949" s="228" t="e">
        <f>Algandmed!AG1293</f>
        <v>#DIV/0!</v>
      </c>
      <c r="E949" s="165">
        <f>Algandmed!AG1294</f>
        <v>0</v>
      </c>
      <c r="F949" s="238">
        <f>SUM(Algandmed!AG1294:AG1297)</f>
        <v>0</v>
      </c>
      <c r="G949" s="238">
        <f>SUM(Algandmed!AG1298:AG1299,Algandmed!AG1301)</f>
        <v>0</v>
      </c>
      <c r="H949" s="237" t="e">
        <f>(($G$814*Algandmed!AG1294)+($G$815*Algandmed!AG1295)+($G$816*Algandmed!AG1296)+($G$817*Algandmed!AG1297)+($G$818*Algandmed!AG1298)+($G$819*Algandmed!AG1299)+($G$820*Algandmed!AG1300)+($G$821*Algandmed!AG1301)+((Algandmed!AG1288-SUM(Algandmed!AG1294:AG1301))*$G$822))/SQRT(Algandmed!AG1288)</f>
        <v>#DIV/0!</v>
      </c>
      <c r="I949" s="238"/>
      <c r="J949" s="208">
        <f>Algandmed!AL1288</f>
        <v>0</v>
      </c>
      <c r="K949" s="228" t="e">
        <f>Algandmed!AL1290</f>
        <v>#DIV/0!</v>
      </c>
      <c r="L949" s="228" t="e">
        <f>Algandmed!AL1293</f>
        <v>#DIV/0!</v>
      </c>
      <c r="M949" s="165">
        <f>Algandmed!AL1294</f>
        <v>0</v>
      </c>
      <c r="N949" s="238">
        <f>SUM(Algandmed!AL1294:AL1297)</f>
        <v>0</v>
      </c>
      <c r="O949" s="238">
        <f>SUM(Algandmed!AL1298:AL1299,Algandmed!AL1301)</f>
        <v>0</v>
      </c>
      <c r="P949" s="237" t="e">
        <f>(($G$814*Algandmed!AL1294)+($G$815*Algandmed!AL1295)+($G$816*Algandmed!AL1296)+($G$817*Algandmed!AL1297)+($G$818*Algandmed!AL1298)+($G$819*Algandmed!AL1299)+($G$820*Algandmed!AL1300)+($G$821*Algandmed!AL1301)+((Algandmed!AL1288-SUM(Algandmed!AL1294:AL1301))*$G$822))/SQRT(Algandmed!AL1288)</f>
        <v>#DIV/0!</v>
      </c>
      <c r="Q949" s="238"/>
      <c r="R949" s="208">
        <f>Algandmed!AQ1288</f>
        <v>0</v>
      </c>
      <c r="S949" s="228" t="e">
        <f>Algandmed!AQ1290</f>
        <v>#DIV/0!</v>
      </c>
      <c r="T949" s="228" t="e">
        <f>Algandmed!AQ1293</f>
        <v>#DIV/0!</v>
      </c>
      <c r="U949" s="165">
        <f>Algandmed!AQ1294</f>
        <v>0</v>
      </c>
      <c r="V949" s="238">
        <f>SUM(Algandmed!AQ1294:AQ1297)</f>
        <v>0</v>
      </c>
      <c r="W949" s="238">
        <f>SUM(Algandmed!AQ1298:AQ1299,Algandmed!AQ1301)</f>
        <v>0</v>
      </c>
      <c r="X949" s="237" t="e">
        <f>(($G$814*Algandmed!AQ1294)+($G$815*Algandmed!AQ1295)+($G$816*Algandmed!AQ1296)+($G$817*Algandmed!AQ1297)+($G$818*Algandmed!AQ1298)+($G$819*Algandmed!AQ1299)+($G$820*Algandmed!AQ1300)+($G$821*Algandmed!AQ1301)+((Algandmed!AQ1288-SUM(Algandmed!AQ1294:AQ1301))*$G$822))/SQRT(Algandmed!AQ1288)</f>
        <v>#DIV/0!</v>
      </c>
      <c r="Y949" s="209"/>
    </row>
    <row r="950" spans="2:25">
      <c r="B950" s="208"/>
      <c r="C950" s="165"/>
      <c r="D950" s="228"/>
      <c r="E950" s="165"/>
      <c r="F950" s="238"/>
      <c r="G950" s="238"/>
      <c r="H950" s="237"/>
      <c r="I950" s="238"/>
      <c r="J950" s="165"/>
      <c r="K950" s="165"/>
      <c r="L950" s="165"/>
      <c r="M950" s="165"/>
      <c r="N950" s="238"/>
      <c r="O950" s="238"/>
      <c r="P950" s="238"/>
      <c r="Q950" s="238"/>
      <c r="R950" s="165"/>
      <c r="S950" s="165"/>
      <c r="T950" s="165"/>
      <c r="U950" s="165"/>
      <c r="V950" s="238"/>
      <c r="W950" s="238"/>
      <c r="X950" s="165"/>
      <c r="Y950" s="209"/>
    </row>
    <row r="951" spans="2:25">
      <c r="B951" s="208">
        <f>Algandmed!AG1304</f>
        <v>0</v>
      </c>
      <c r="C951" s="228" t="e">
        <f>Algandmed!AG1306</f>
        <v>#DIV/0!</v>
      </c>
      <c r="D951" s="228" t="e">
        <f>Algandmed!AG1309</f>
        <v>#DIV/0!</v>
      </c>
      <c r="E951" s="165">
        <f>Algandmed!AG1310</f>
        <v>0</v>
      </c>
      <c r="F951" s="238">
        <f>SUM(Algandmed!AG1310:AG1313)</f>
        <v>0</v>
      </c>
      <c r="G951" s="238">
        <f>SUM(Algandmed!AG1314:AG1315,Algandmed!AG1317)</f>
        <v>0</v>
      </c>
      <c r="H951" s="237" t="e">
        <f>(($G$814*Algandmed!AG1310)+($G$815*Algandmed!AG1311)+($G$816*Algandmed!AG1312)+($G$817*Algandmed!AG1313)+($G$818*Algandmed!AG1314)+($G$819*Algandmed!AG1315)+($G$820*Algandmed!AG1316)+($G$821*Algandmed!AG1317)+((Algandmed!AG1304-SUM(Algandmed!AG1310:AG1317))*$G$822))/SQRT(Algandmed!AG1304)</f>
        <v>#DIV/0!</v>
      </c>
      <c r="I951" s="238"/>
      <c r="J951" s="208">
        <f>Algandmed!AL1304</f>
        <v>0</v>
      </c>
      <c r="K951" s="228" t="e">
        <f>Algandmed!AL1306</f>
        <v>#DIV/0!</v>
      </c>
      <c r="L951" s="228" t="e">
        <f>Algandmed!AL1309</f>
        <v>#DIV/0!</v>
      </c>
      <c r="M951" s="165">
        <f>Algandmed!AL1310</f>
        <v>0</v>
      </c>
      <c r="N951" s="238">
        <f>SUM(Algandmed!AL1310:AL1313)</f>
        <v>0</v>
      </c>
      <c r="O951" s="238">
        <f>SUM(Algandmed!AL1314:AL1315,Algandmed!AL1317)</f>
        <v>0</v>
      </c>
      <c r="P951" s="237" t="e">
        <f>(($G$814*Algandmed!AL1310)+($G$815*Algandmed!AL1311)+($G$816*Algandmed!AL1312)+($G$817*Algandmed!AL1313)+($G$818*Algandmed!AL1314)+($G$819*Algandmed!AL1315)+($G$820*Algandmed!AL1316)+($G$821*Algandmed!AL1317)+((Algandmed!AL1304-SUM(Algandmed!AL1310:AL1317))*$G$822))/SQRT(Algandmed!AL1304)</f>
        <v>#DIV/0!</v>
      </c>
      <c r="Q951" s="238"/>
      <c r="R951" s="208">
        <f>Algandmed!AQ1304</f>
        <v>0</v>
      </c>
      <c r="S951" s="228" t="e">
        <f>Algandmed!AQ1306</f>
        <v>#DIV/0!</v>
      </c>
      <c r="T951" s="228" t="e">
        <f>Algandmed!AQ1309</f>
        <v>#DIV/0!</v>
      </c>
      <c r="U951" s="165">
        <f>Algandmed!AQ1310</f>
        <v>0</v>
      </c>
      <c r="V951" s="238">
        <f>SUM(Algandmed!AQ1310:AQ1313)</f>
        <v>0</v>
      </c>
      <c r="W951" s="238">
        <f>SUM(Algandmed!AQ1314:AQ1315,Algandmed!AQ1317)</f>
        <v>0</v>
      </c>
      <c r="X951" s="237" t="e">
        <f>(($G$814*Algandmed!AQ1310)+($G$815*Algandmed!AQ1311)+($G$816*Algandmed!AQ1312)+($G$817*Algandmed!AQ1313)+($G$818*Algandmed!AQ1314)+($G$819*Algandmed!AQ1315)+($G$820*Algandmed!AQ1316)+($G$821*Algandmed!AQ1317)+((Algandmed!AQ1304-SUM(Algandmed!AQ1310:AQ1317))*$G$822))/SQRT(Algandmed!AQ1304)</f>
        <v>#DIV/0!</v>
      </c>
      <c r="Y951" s="209"/>
    </row>
    <row r="952" spans="2:25">
      <c r="B952" s="208"/>
      <c r="C952" s="165"/>
      <c r="D952" s="228"/>
      <c r="E952" s="165"/>
      <c r="F952" s="238"/>
      <c r="G952" s="238"/>
      <c r="H952" s="237"/>
      <c r="I952" s="238"/>
      <c r="J952" s="165"/>
      <c r="K952" s="165"/>
      <c r="L952" s="165"/>
      <c r="M952" s="165"/>
      <c r="N952" s="238"/>
      <c r="O952" s="238"/>
      <c r="P952" s="238"/>
      <c r="Q952" s="238"/>
      <c r="R952" s="165"/>
      <c r="S952" s="165"/>
      <c r="T952" s="165"/>
      <c r="U952" s="165"/>
      <c r="V952" s="238"/>
      <c r="W952" s="238"/>
      <c r="X952" s="165"/>
      <c r="Y952" s="209"/>
    </row>
    <row r="953" spans="2:25">
      <c r="B953" s="208">
        <f>Algandmed!AG1320</f>
        <v>0</v>
      </c>
      <c r="C953" s="228" t="e">
        <f>Algandmed!AG1322</f>
        <v>#DIV/0!</v>
      </c>
      <c r="D953" s="228" t="e">
        <f>Algandmed!AG1325</f>
        <v>#DIV/0!</v>
      </c>
      <c r="E953" s="165">
        <f>Algandmed!AG1326</f>
        <v>0</v>
      </c>
      <c r="F953" s="238">
        <f>SUM(Algandmed!AG1326:AG1329)</f>
        <v>0</v>
      </c>
      <c r="G953" s="238">
        <f>SUM(Algandmed!AG1330:AG1331,Algandmed!AG1333)</f>
        <v>0</v>
      </c>
      <c r="H953" s="237" t="e">
        <f>(($G$814*Algandmed!AG1326)+($G$815*Algandmed!AG1327)+($G$816*Algandmed!AG1328)+($G$817*Algandmed!AG1329)+($G$818*Algandmed!AG1330)+($G$819*Algandmed!AG1331)+($G$820*Algandmed!AG1332)+($G$821*Algandmed!AG1333)+((Algandmed!AG1320-SUM(Algandmed!AG1326:AG1333))*$G$822))/SQRT(Algandmed!AG1320)</f>
        <v>#DIV/0!</v>
      </c>
      <c r="I953" s="238"/>
      <c r="J953" s="208">
        <f>Algandmed!AL1320</f>
        <v>0</v>
      </c>
      <c r="K953" s="228" t="e">
        <f>Algandmed!AL1322</f>
        <v>#DIV/0!</v>
      </c>
      <c r="L953" s="228" t="e">
        <f>Algandmed!AL1325</f>
        <v>#DIV/0!</v>
      </c>
      <c r="M953" s="165">
        <f>Algandmed!AL1326</f>
        <v>0</v>
      </c>
      <c r="N953" s="238">
        <f>SUM(Algandmed!AL1326:AL1329)</f>
        <v>0</v>
      </c>
      <c r="O953" s="238">
        <f>SUM(Algandmed!AL1330:AL1331,Algandmed!AL1333)</f>
        <v>0</v>
      </c>
      <c r="P953" s="237" t="e">
        <f>(($G$814*Algandmed!AL1326)+($G$815*Algandmed!AL1327)+($G$816*Algandmed!AL1328)+($G$817*Algandmed!AL1329)+($G$818*Algandmed!AL1330)+($G$819*Algandmed!AL1331)+($G$820*Algandmed!AL1332)+($G$821*Algandmed!AL1333)+((Algandmed!AL1320-SUM(Algandmed!AL1326:AL1333))*$G$822))/SQRT(Algandmed!AL1320)</f>
        <v>#DIV/0!</v>
      </c>
      <c r="Q953" s="238"/>
      <c r="R953" s="208">
        <f>Algandmed!AQ1320</f>
        <v>0</v>
      </c>
      <c r="S953" s="228" t="e">
        <f>Algandmed!AQ1322</f>
        <v>#DIV/0!</v>
      </c>
      <c r="T953" s="228" t="e">
        <f>Algandmed!AQ1325</f>
        <v>#DIV/0!</v>
      </c>
      <c r="U953" s="165">
        <f>Algandmed!AQ1326</f>
        <v>0</v>
      </c>
      <c r="V953" s="238">
        <f>SUM(Algandmed!AQ1326:AQ1329)</f>
        <v>0</v>
      </c>
      <c r="W953" s="238">
        <f>SUM(Algandmed!AQ1330:AQ1331,Algandmed!AQ1333)</f>
        <v>0</v>
      </c>
      <c r="X953" s="237" t="e">
        <f>(($G$814*Algandmed!AQ1326)+($G$815*Algandmed!AQ1327)+($G$816*Algandmed!AQ1328)+($G$817*Algandmed!AQ1329)+($G$818*Algandmed!AQ1330)+($G$819*Algandmed!AQ1331)+($G$820*Algandmed!AQ1332)+($G$821*Algandmed!AQ1333)+((Algandmed!AQ1320-SUM(Algandmed!AQ1326:AQ1333))*$G$822))/SQRT(Algandmed!AQ1320)</f>
        <v>#DIV/0!</v>
      </c>
      <c r="Y953" s="209"/>
    </row>
    <row r="954" spans="2:25">
      <c r="B954" s="208"/>
      <c r="C954" s="165"/>
      <c r="D954" s="228"/>
      <c r="E954" s="165"/>
      <c r="F954" s="238"/>
      <c r="G954" s="238"/>
      <c r="H954" s="237"/>
      <c r="I954" s="238"/>
      <c r="J954" s="165"/>
      <c r="K954" s="165"/>
      <c r="L954" s="165"/>
      <c r="M954" s="165"/>
      <c r="N954" s="238"/>
      <c r="O954" s="238"/>
      <c r="P954" s="238"/>
      <c r="Q954" s="238"/>
      <c r="R954" s="165"/>
      <c r="S954" s="165"/>
      <c r="T954" s="165"/>
      <c r="U954" s="165"/>
      <c r="V954" s="238"/>
      <c r="W954" s="238"/>
      <c r="X954" s="165"/>
      <c r="Y954" s="209"/>
    </row>
    <row r="955" spans="2:25">
      <c r="B955" s="208">
        <f>Algandmed!AG1336</f>
        <v>0</v>
      </c>
      <c r="C955" s="228" t="e">
        <f>Algandmed!AG1338</f>
        <v>#DIV/0!</v>
      </c>
      <c r="D955" s="228" t="e">
        <f>Algandmed!AG1341</f>
        <v>#DIV/0!</v>
      </c>
      <c r="E955" s="165">
        <f>Algandmed!AG1342</f>
        <v>0</v>
      </c>
      <c r="F955" s="238">
        <f>SUM(Algandmed!AG1342:AG1345)</f>
        <v>0</v>
      </c>
      <c r="G955" s="238">
        <f>SUM(Algandmed!AG1346:AG1347,Algandmed!AG1349)</f>
        <v>0</v>
      </c>
      <c r="H955" s="237" t="e">
        <f>(($G$814*Algandmed!AG1342)+($G$815*Algandmed!AG1343)+($G$816*Algandmed!AG1344)+($G$817*Algandmed!AG1345)+($G$818*Algandmed!AG1346)+($G$819*Algandmed!AG1347)+($G$820*Algandmed!AG1348)+($G$821*Algandmed!AG1349)+((Algandmed!AG1336-SUM(Algandmed!AG1342:AG1349))*$G$822))/SQRT(Algandmed!AG1336)</f>
        <v>#DIV/0!</v>
      </c>
      <c r="I955" s="238"/>
      <c r="J955" s="208">
        <f>Algandmed!AL1336</f>
        <v>0</v>
      </c>
      <c r="K955" s="228" t="e">
        <f>Algandmed!AL1338</f>
        <v>#DIV/0!</v>
      </c>
      <c r="L955" s="228" t="e">
        <f>Algandmed!AL1341</f>
        <v>#DIV/0!</v>
      </c>
      <c r="M955" s="165">
        <f>Algandmed!AL1342</f>
        <v>0</v>
      </c>
      <c r="N955" s="238">
        <f>SUM(Algandmed!AL1342:AL1345)</f>
        <v>0</v>
      </c>
      <c r="O955" s="238">
        <f>SUM(Algandmed!AL1346:AL1347,Algandmed!AL1349)</f>
        <v>0</v>
      </c>
      <c r="P955" s="237" t="e">
        <f>(($G$814*Algandmed!AL1342)+($G$815*Algandmed!AL1343)+($G$816*Algandmed!AL1344)+($G$817*Algandmed!AL1345)+($G$818*Algandmed!AL1346)+($G$819*Algandmed!AL1347)+($G$820*Algandmed!AL1348)+($G$821*Algandmed!AL1349)+((Algandmed!AL1336-SUM(Algandmed!AL1342:AL1349))*$G$822))/SQRT(Algandmed!AL1336)</f>
        <v>#DIV/0!</v>
      </c>
      <c r="Q955" s="238"/>
      <c r="R955" s="208">
        <f>Algandmed!AQ1336</f>
        <v>0</v>
      </c>
      <c r="S955" s="228" t="e">
        <f>Algandmed!AQ1338</f>
        <v>#DIV/0!</v>
      </c>
      <c r="T955" s="228" t="e">
        <f>Algandmed!AQ1341</f>
        <v>#DIV/0!</v>
      </c>
      <c r="U955" s="165">
        <f>Algandmed!AQ1342</f>
        <v>0</v>
      </c>
      <c r="V955" s="238">
        <f>SUM(Algandmed!AQ1342:AQ1345)</f>
        <v>0</v>
      </c>
      <c r="W955" s="238">
        <f>SUM(Algandmed!AQ1346:AQ1347,Algandmed!AQ1349)</f>
        <v>0</v>
      </c>
      <c r="X955" s="237" t="e">
        <f>(($G$814*Algandmed!AQ1342)+($G$815*Algandmed!AQ1343)+($G$816*Algandmed!AQ1344)+($G$817*Algandmed!AQ1345)+($G$818*Algandmed!AQ1346)+($G$819*Algandmed!AQ1347)+($G$820*Algandmed!AQ1348)+($G$821*Algandmed!AQ1349)+((Algandmed!AQ1336-SUM(Algandmed!AQ1342:AQ1349))*$G$822))/SQRT(Algandmed!AQ1336)</f>
        <v>#DIV/0!</v>
      </c>
      <c r="Y955" s="209"/>
    </row>
    <row r="956" spans="2:25">
      <c r="B956" s="208"/>
      <c r="C956" s="228"/>
      <c r="D956" s="228"/>
      <c r="E956" s="165"/>
      <c r="F956" s="238"/>
      <c r="G956" s="238"/>
      <c r="H956" s="237"/>
      <c r="I956" s="238"/>
      <c r="J956" s="238"/>
      <c r="K956" s="238"/>
      <c r="L956" s="238"/>
      <c r="M956" s="236"/>
      <c r="N956" s="237"/>
      <c r="O956" s="165"/>
      <c r="P956" s="238"/>
      <c r="Q956" s="238"/>
      <c r="R956" s="165"/>
      <c r="S956" s="228"/>
      <c r="T956" s="228"/>
      <c r="U956" s="165"/>
      <c r="V956" s="238"/>
      <c r="W956" s="238"/>
      <c r="X956" s="165"/>
      <c r="Y956" s="209"/>
    </row>
    <row r="957" spans="2:25">
      <c r="B957" s="208"/>
      <c r="C957" s="228"/>
      <c r="D957" s="228"/>
      <c r="E957" s="165"/>
      <c r="F957" s="238"/>
      <c r="G957" s="238"/>
      <c r="H957" s="237"/>
      <c r="I957" s="238"/>
      <c r="J957" s="208">
        <f>Algandmed!AL1352</f>
        <v>0</v>
      </c>
      <c r="K957" s="228" t="e">
        <f>Algandmed!AL1354</f>
        <v>#DIV/0!</v>
      </c>
      <c r="L957" s="228" t="e">
        <f>Algandmed!AL1357</f>
        <v>#DIV/0!</v>
      </c>
      <c r="M957" s="165">
        <f>Algandmed!AL1358</f>
        <v>0</v>
      </c>
      <c r="N957" s="238">
        <f>SUM(Algandmed!AL1358:AL1361)</f>
        <v>0</v>
      </c>
      <c r="O957" s="238">
        <f>SUM(Algandmed!AL1362:AL1363,Algandmed!AL1365)</f>
        <v>0</v>
      </c>
      <c r="P957" s="237" t="e">
        <f>(($G$814*Algandmed!AL1358)+($G$815*Algandmed!AL1359)+($G$816*Algandmed!AL1360)+($G$817*Algandmed!AL1361)+($G$818*Algandmed!AL1362)+($G$819*Algandmed!AL1363)+($G$820*Algandmed!AL1364)+($G$821*Algandmed!AL1365)+((Algandmed!AL1352-SUM(Algandmed!AL1358:AL1365))*$G$822))/SQRT(Algandmed!AL1352)</f>
        <v>#DIV/0!</v>
      </c>
      <c r="Q957" s="238"/>
      <c r="R957" s="165"/>
      <c r="S957" s="228"/>
      <c r="T957" s="228"/>
      <c r="U957" s="165"/>
      <c r="V957" s="238"/>
      <c r="W957" s="238"/>
      <c r="X957" s="165"/>
      <c r="Y957" s="209"/>
    </row>
    <row r="958" spans="2:25">
      <c r="B958" s="208"/>
      <c r="C958" s="165"/>
      <c r="D958" s="228"/>
      <c r="E958" s="165"/>
      <c r="F958" s="238"/>
      <c r="G958" s="238"/>
      <c r="H958" s="237"/>
      <c r="I958" s="238"/>
      <c r="J958" s="238"/>
      <c r="K958" s="238"/>
      <c r="L958" s="238"/>
      <c r="M958" s="236"/>
      <c r="N958" s="237"/>
      <c r="O958" s="165"/>
      <c r="P958" s="238"/>
      <c r="Q958" s="238"/>
      <c r="R958" s="165"/>
      <c r="S958" s="165"/>
      <c r="T958" s="165"/>
      <c r="U958" s="165"/>
      <c r="V958" s="238"/>
      <c r="W958" s="238"/>
      <c r="X958" s="165"/>
      <c r="Y958" s="209"/>
    </row>
    <row r="959" spans="2:25">
      <c r="B959" s="208">
        <f>Algandmed!AG1368</f>
        <v>0</v>
      </c>
      <c r="C959" s="228" t="e">
        <f>Algandmed!AG1370</f>
        <v>#DIV/0!</v>
      </c>
      <c r="D959" s="228" t="e">
        <f>Algandmed!AG1373</f>
        <v>#DIV/0!</v>
      </c>
      <c r="E959" s="165">
        <f>Algandmed!AG1374</f>
        <v>0</v>
      </c>
      <c r="F959" s="238">
        <f>SUM(Algandmed!AG1374:AG1377)</f>
        <v>0</v>
      </c>
      <c r="G959" s="238">
        <f>SUM(Algandmed!AG1378:AG1379,Algandmed!AG1381)</f>
        <v>0</v>
      </c>
      <c r="H959" s="237" t="e">
        <f>(($G$814*Algandmed!AG1374)+($G$815*Algandmed!AG1375)+($G$816*Algandmed!AG1376)+($G$817*Algandmed!AG1377)+($G$818*Algandmed!AG1378)+($G$819*Algandmed!AG1379)+($G$820*Algandmed!AG1380)+($G$821*Algandmed!AG1381)+((Algandmed!AG1368-SUM(Algandmed!AG1374:AG1381))*$G$822))/SQRT(Algandmed!AG1368)</f>
        <v>#DIV/0!</v>
      </c>
      <c r="I959" s="238"/>
      <c r="J959" s="208">
        <f>Algandmed!AL1368</f>
        <v>0</v>
      </c>
      <c r="K959" s="228" t="e">
        <f>Algandmed!AL1370</f>
        <v>#DIV/0!</v>
      </c>
      <c r="L959" s="228" t="e">
        <f>Algandmed!AL1373</f>
        <v>#DIV/0!</v>
      </c>
      <c r="M959" s="165">
        <f>Algandmed!AL1374</f>
        <v>0</v>
      </c>
      <c r="N959" s="238">
        <f>SUM(Algandmed!AL1374:AL1377)</f>
        <v>0</v>
      </c>
      <c r="O959" s="238">
        <f>SUM(Algandmed!AL1378:AL1379,Algandmed!AL1381)</f>
        <v>0</v>
      </c>
      <c r="P959" s="237" t="e">
        <f>(($G$814*Algandmed!AL1374)+($G$815*Algandmed!AL1375)+($G$816*Algandmed!AL1376)+($G$817*Algandmed!AL1377)+($G$818*Algandmed!AL1378)+($G$819*Algandmed!AL1379)+($G$820*Algandmed!AL1380)+($G$821*Algandmed!AL1381)+((Algandmed!AL1368-SUM(Algandmed!AL1374:AL1381))*$G$822))/SQRT(Algandmed!AL1368)</f>
        <v>#DIV/0!</v>
      </c>
      <c r="Q959" s="238"/>
      <c r="R959" s="208">
        <f>Algandmed!AQ1368</f>
        <v>0</v>
      </c>
      <c r="S959" s="228" t="e">
        <f>Algandmed!AQ1370</f>
        <v>#DIV/0!</v>
      </c>
      <c r="T959" s="228" t="e">
        <f>Algandmed!AQ1373</f>
        <v>#DIV/0!</v>
      </c>
      <c r="U959" s="165">
        <f>Algandmed!AQ1374</f>
        <v>0</v>
      </c>
      <c r="V959" s="238">
        <f>SUM(Algandmed!AQ1374:AQ1377)</f>
        <v>0</v>
      </c>
      <c r="W959" s="238">
        <f>SUM(Algandmed!AQ1378:AQ1379,Algandmed!AQ1381)</f>
        <v>0</v>
      </c>
      <c r="X959" s="237" t="e">
        <f>(($G$814*Algandmed!AQ1374)+($G$815*Algandmed!AQ1375)+($G$816*Algandmed!AQ1376)+($G$817*Algandmed!AQ1377)+($G$818*Algandmed!AQ1378)+($G$819*Algandmed!AQ1379)+($G$820*Algandmed!AQ1380)+($G$821*Algandmed!AQ1381)+((Algandmed!AQ1368-SUM(Algandmed!AQ1374:AQ1381))*$G$822))/SQRT(Algandmed!AQ1368)</f>
        <v>#DIV/0!</v>
      </c>
      <c r="Y959" s="209"/>
    </row>
    <row r="960" spans="2:25">
      <c r="B960" s="208"/>
      <c r="C960" s="165"/>
      <c r="D960" s="165"/>
      <c r="E960" s="165"/>
      <c r="F960" s="238"/>
      <c r="G960" s="238"/>
      <c r="H960" s="237"/>
      <c r="I960" s="238"/>
      <c r="J960" s="238"/>
      <c r="K960" s="238"/>
      <c r="L960" s="238"/>
      <c r="M960" s="236"/>
      <c r="N960" s="237"/>
      <c r="O960" s="165"/>
      <c r="P960" s="238"/>
      <c r="Q960" s="238"/>
      <c r="R960" s="238"/>
      <c r="S960" s="238"/>
      <c r="T960" s="236"/>
      <c r="U960" s="237"/>
      <c r="V960" s="165"/>
      <c r="W960" s="165"/>
      <c r="X960" s="165"/>
      <c r="Y960" s="209"/>
    </row>
    <row r="961" spans="1:25">
      <c r="B961" s="208"/>
      <c r="C961" s="165"/>
      <c r="D961" s="165"/>
      <c r="E961" s="165"/>
      <c r="F961" s="238"/>
      <c r="G961" s="238"/>
      <c r="H961" s="237"/>
      <c r="I961" s="238"/>
      <c r="J961" s="238"/>
      <c r="K961" s="238"/>
      <c r="L961" s="238"/>
      <c r="M961" s="236"/>
      <c r="N961" s="237"/>
      <c r="O961" s="165"/>
      <c r="P961" s="238"/>
      <c r="Q961" s="238"/>
      <c r="R961" s="238"/>
      <c r="S961" s="238"/>
      <c r="T961" s="236"/>
      <c r="U961" s="237"/>
      <c r="V961" s="165"/>
      <c r="W961" s="165"/>
      <c r="X961" s="165"/>
      <c r="Y961" s="209"/>
    </row>
    <row r="962" spans="1:25">
      <c r="B962" s="208"/>
      <c r="C962" s="165"/>
      <c r="D962" s="165"/>
      <c r="E962" s="165"/>
      <c r="F962" s="238"/>
      <c r="G962" s="238"/>
      <c r="H962" s="237"/>
      <c r="I962" s="238"/>
      <c r="J962" s="238"/>
      <c r="K962" s="238"/>
      <c r="L962" s="238"/>
      <c r="M962" s="236"/>
      <c r="N962" s="237"/>
      <c r="O962" s="165"/>
      <c r="P962" s="238"/>
      <c r="Q962" s="238"/>
      <c r="R962" s="238"/>
      <c r="S962" s="238"/>
      <c r="T962" s="236"/>
      <c r="U962" s="237"/>
      <c r="V962" s="165"/>
      <c r="W962" s="165"/>
      <c r="X962" s="165"/>
      <c r="Y962" s="209"/>
    </row>
    <row r="963" spans="1:25">
      <c r="B963" s="208"/>
      <c r="C963" s="165"/>
      <c r="D963" s="165"/>
      <c r="E963" s="165"/>
      <c r="F963" s="238"/>
      <c r="G963" s="238"/>
      <c r="H963" s="237"/>
      <c r="I963" s="238"/>
      <c r="J963" s="238"/>
      <c r="K963" s="238"/>
      <c r="L963" s="238"/>
      <c r="M963" s="236"/>
      <c r="N963" s="237"/>
      <c r="O963" s="165"/>
      <c r="P963" s="238"/>
      <c r="Q963" s="238"/>
      <c r="R963" s="238"/>
      <c r="S963" s="238"/>
      <c r="T963" s="236"/>
      <c r="U963" s="237"/>
      <c r="V963" s="165"/>
      <c r="W963" s="165"/>
      <c r="X963" s="165"/>
      <c r="Y963" s="209"/>
    </row>
    <row r="964" spans="1:25">
      <c r="B964" s="212"/>
      <c r="C964" s="213"/>
      <c r="D964" s="213"/>
      <c r="E964" s="213"/>
      <c r="F964" s="248"/>
      <c r="G964" s="248"/>
      <c r="H964" s="241"/>
      <c r="I964" s="248"/>
      <c r="J964" s="248"/>
      <c r="K964" s="248"/>
      <c r="L964" s="248"/>
      <c r="M964" s="240"/>
      <c r="N964" s="241"/>
      <c r="O964" s="213"/>
      <c r="P964" s="248"/>
      <c r="Q964" s="248"/>
      <c r="R964" s="248"/>
      <c r="S964" s="248"/>
      <c r="T964" s="240"/>
      <c r="U964" s="241"/>
      <c r="V964" s="213"/>
      <c r="W964" s="213"/>
      <c r="X964" s="213"/>
      <c r="Y964" s="214"/>
    </row>
    <row r="967" spans="1:25">
      <c r="B967" s="205"/>
      <c r="C967" s="206"/>
      <c r="D967" s="206"/>
      <c r="E967" s="206"/>
      <c r="F967" s="206"/>
      <c r="G967" s="388" t="s">
        <v>434</v>
      </c>
      <c r="H967" s="388"/>
      <c r="I967" s="388"/>
      <c r="J967" s="388"/>
      <c r="K967" s="388"/>
      <c r="L967" s="388"/>
      <c r="M967" s="388"/>
      <c r="N967" s="206"/>
      <c r="O967" s="206"/>
      <c r="P967" s="206"/>
      <c r="Q967" s="206"/>
      <c r="R967" s="206"/>
      <c r="S967" s="206"/>
      <c r="T967" s="206"/>
      <c r="U967" s="208"/>
      <c r="V967" s="165"/>
      <c r="W967" s="165"/>
      <c r="X967" s="165"/>
      <c r="Y967" s="165"/>
    </row>
    <row r="968" spans="1:25">
      <c r="B968" s="208" t="s">
        <v>354</v>
      </c>
      <c r="C968" s="165"/>
      <c r="D968" s="165"/>
      <c r="E968" s="165"/>
      <c r="F968" s="165"/>
      <c r="G968" s="389"/>
      <c r="H968" s="389"/>
      <c r="I968" s="389"/>
      <c r="J968" s="389"/>
      <c r="K968" s="389"/>
      <c r="L968" s="389"/>
      <c r="M968" s="389"/>
      <c r="N968" s="165"/>
      <c r="O968" s="165"/>
      <c r="P968" s="165"/>
      <c r="Q968" s="165"/>
      <c r="R968" s="165"/>
      <c r="S968" s="165"/>
      <c r="T968" s="165"/>
      <c r="U968" s="208"/>
      <c r="V968" s="165"/>
      <c r="W968" s="165"/>
      <c r="X968" s="165"/>
      <c r="Y968" s="165"/>
    </row>
    <row r="969" spans="1:25">
      <c r="B969" s="208" t="s">
        <v>355</v>
      </c>
      <c r="C969" s="165"/>
      <c r="D969" s="165"/>
      <c r="E969" s="165"/>
      <c r="F969" s="165"/>
      <c r="G969" s="165"/>
      <c r="H969" s="165"/>
      <c r="I969" s="165"/>
      <c r="J969" s="165"/>
      <c r="K969" s="165"/>
      <c r="L969" s="165"/>
      <c r="M969" s="165"/>
      <c r="N969" s="165"/>
      <c r="O969" s="165"/>
      <c r="P969" s="165"/>
      <c r="Q969" s="165"/>
      <c r="R969" s="390" t="s">
        <v>430</v>
      </c>
      <c r="S969" s="390"/>
      <c r="T969" s="390"/>
      <c r="U969" s="208"/>
      <c r="V969" s="165"/>
      <c r="W969" s="165"/>
      <c r="X969" s="165"/>
      <c r="Y969" s="165"/>
    </row>
    <row r="970" spans="1:25">
      <c r="B970" s="208" t="s">
        <v>356</v>
      </c>
      <c r="C970" s="165"/>
      <c r="D970" s="165"/>
      <c r="E970" s="165"/>
      <c r="F970" s="165"/>
      <c r="G970" s="165"/>
      <c r="H970" s="165"/>
      <c r="I970" s="165"/>
      <c r="J970" s="165"/>
      <c r="K970" s="165"/>
      <c r="L970" s="165"/>
      <c r="M970" s="165"/>
      <c r="N970" s="165"/>
      <c r="O970" s="165"/>
      <c r="P970" s="165"/>
      <c r="Q970" s="165"/>
      <c r="R970" s="390"/>
      <c r="S970" s="390"/>
      <c r="T970" s="390"/>
      <c r="U970" s="208"/>
      <c r="V970" s="165"/>
      <c r="W970" s="165"/>
      <c r="X970" s="165"/>
      <c r="Y970" s="165"/>
    </row>
    <row r="971" spans="1:25">
      <c r="B971" s="208" t="s">
        <v>357</v>
      </c>
      <c r="C971" s="165"/>
      <c r="D971" s="165"/>
      <c r="E971" s="165"/>
      <c r="F971" s="165"/>
      <c r="G971" s="165"/>
      <c r="H971" s="165"/>
      <c r="I971" s="165"/>
      <c r="J971" s="165"/>
      <c r="K971" s="165"/>
      <c r="L971" s="165"/>
      <c r="M971" s="165"/>
      <c r="N971" s="165"/>
      <c r="O971" s="165"/>
      <c r="P971" s="165"/>
      <c r="Q971" s="165"/>
      <c r="R971" s="390"/>
      <c r="S971" s="390"/>
      <c r="T971" s="390"/>
      <c r="U971" s="208"/>
      <c r="V971" s="165"/>
      <c r="W971" s="165"/>
      <c r="X971" s="165"/>
      <c r="Y971" s="165"/>
    </row>
    <row r="972" spans="1:25">
      <c r="B972" s="208"/>
      <c r="C972" s="165"/>
      <c r="D972" s="165"/>
      <c r="E972" s="165"/>
      <c r="F972" s="165"/>
      <c r="G972" s="165"/>
      <c r="H972" s="165"/>
      <c r="I972" s="165"/>
      <c r="J972" s="165"/>
      <c r="K972" s="165"/>
      <c r="L972" s="165"/>
      <c r="M972" s="165"/>
      <c r="N972" s="165"/>
      <c r="O972" s="165"/>
      <c r="P972" s="165"/>
      <c r="Q972" s="165"/>
      <c r="R972" s="390"/>
      <c r="S972" s="390"/>
      <c r="T972" s="390"/>
      <c r="U972" s="208"/>
      <c r="V972" s="165"/>
      <c r="W972" s="165"/>
      <c r="X972" s="165"/>
      <c r="Y972" s="165"/>
    </row>
    <row r="973" spans="1:25">
      <c r="A973" s="115">
        <v>-999</v>
      </c>
      <c r="B973" s="208">
        <v>-30</v>
      </c>
      <c r="C973" s="229"/>
      <c r="D973" s="165"/>
      <c r="E973" s="165" t="s">
        <v>347</v>
      </c>
      <c r="F973" s="165" t="s">
        <v>2</v>
      </c>
      <c r="G973" s="165" t="s">
        <v>6</v>
      </c>
      <c r="H973" s="165"/>
      <c r="I973" s="165"/>
      <c r="J973" s="165"/>
      <c r="K973" s="165"/>
      <c r="L973" s="165"/>
      <c r="M973" s="165"/>
      <c r="N973" s="165"/>
      <c r="O973" s="165"/>
      <c r="P973" s="165"/>
      <c r="Q973" s="165"/>
      <c r="R973" s="165"/>
      <c r="S973" s="165"/>
      <c r="T973" s="165"/>
      <c r="U973" s="208"/>
      <c r="V973" s="165"/>
      <c r="W973" s="165"/>
      <c r="X973" s="165"/>
      <c r="Y973" s="165"/>
    </row>
    <row r="974" spans="1:25">
      <c r="A974" s="115">
        <v>-29.9</v>
      </c>
      <c r="B974" s="208">
        <v>-20</v>
      </c>
      <c r="C974" s="230"/>
      <c r="D974" s="165"/>
      <c r="E974" s="165" t="s">
        <v>703</v>
      </c>
      <c r="F974" s="165">
        <v>40</v>
      </c>
      <c r="G974" s="165">
        <v>-40</v>
      </c>
      <c r="H974" s="165"/>
      <c r="I974" s="165"/>
      <c r="J974" s="165"/>
      <c r="K974" s="165"/>
      <c r="L974" s="165"/>
      <c r="M974" s="165"/>
      <c r="N974" s="165"/>
      <c r="O974" s="165"/>
      <c r="P974" s="165"/>
      <c r="Q974" s="165"/>
      <c r="R974" s="165"/>
      <c r="S974" s="165"/>
      <c r="T974" s="165"/>
      <c r="U974" s="208"/>
      <c r="V974" s="165"/>
      <c r="W974" s="165"/>
      <c r="X974" s="165"/>
      <c r="Y974" s="165"/>
    </row>
    <row r="975" spans="1:25">
      <c r="A975" s="115">
        <v>-19.899999999999999</v>
      </c>
      <c r="B975" s="208">
        <v>-2</v>
      </c>
      <c r="C975" s="231"/>
      <c r="D975" s="165"/>
      <c r="E975" s="165" t="s">
        <v>9</v>
      </c>
      <c r="F975" s="165">
        <v>10</v>
      </c>
      <c r="G975" s="165">
        <v>-10</v>
      </c>
      <c r="H975" s="165"/>
      <c r="I975" s="165"/>
      <c r="J975" s="165"/>
      <c r="K975" s="165"/>
      <c r="L975" s="165"/>
      <c r="M975" s="165"/>
      <c r="N975" s="165"/>
      <c r="O975" s="165"/>
      <c r="P975" s="165"/>
      <c r="Q975" s="165"/>
      <c r="R975" s="165"/>
      <c r="S975" s="165"/>
      <c r="T975" s="165"/>
      <c r="U975" s="208"/>
      <c r="V975" s="165"/>
      <c r="W975" s="165"/>
      <c r="X975" s="165"/>
      <c r="Y975" s="165"/>
    </row>
    <row r="976" spans="1:25">
      <c r="A976" s="115">
        <v>2</v>
      </c>
      <c r="B976" s="208">
        <v>19.899999999999999</v>
      </c>
      <c r="C976" s="232"/>
      <c r="D976" s="165"/>
      <c r="E976" s="161" t="s">
        <v>8</v>
      </c>
      <c r="F976" s="165">
        <v>8</v>
      </c>
      <c r="G976" s="165">
        <v>-8</v>
      </c>
      <c r="H976" s="165"/>
      <c r="I976" s="165"/>
      <c r="J976" s="165"/>
      <c r="K976" s="165"/>
      <c r="L976" s="165"/>
      <c r="M976" s="165"/>
      <c r="N976" s="165"/>
      <c r="O976" s="165"/>
      <c r="P976" s="165"/>
      <c r="Q976" s="165"/>
      <c r="R976" s="165"/>
      <c r="S976" s="165"/>
      <c r="T976" s="165"/>
      <c r="U976" s="208"/>
      <c r="V976" s="165"/>
      <c r="W976" s="165"/>
      <c r="X976" s="165"/>
      <c r="Y976" s="165"/>
    </row>
    <row r="977" spans="1:25">
      <c r="A977" s="115">
        <v>20</v>
      </c>
      <c r="B977" s="208">
        <v>29.9</v>
      </c>
      <c r="C977" s="233"/>
      <c r="D977" s="165"/>
      <c r="E977" s="161" t="s">
        <v>19</v>
      </c>
      <c r="F977" s="161">
        <v>7</v>
      </c>
      <c r="G977" s="161">
        <v>-7</v>
      </c>
      <c r="H977" s="165"/>
      <c r="I977" s="165"/>
      <c r="J977" s="165"/>
      <c r="K977" s="165"/>
      <c r="L977" s="165"/>
      <c r="M977" s="165"/>
      <c r="N977" s="165"/>
      <c r="O977" s="165"/>
      <c r="P977" s="165"/>
      <c r="Q977" s="165"/>
      <c r="R977" s="165"/>
      <c r="S977" s="165"/>
      <c r="T977" s="165"/>
      <c r="U977" s="208"/>
      <c r="V977" s="165"/>
      <c r="W977" s="165"/>
      <c r="X977" s="165"/>
      <c r="Y977" s="165"/>
    </row>
    <row r="978" spans="1:25">
      <c r="A978" s="115">
        <v>30</v>
      </c>
      <c r="B978" s="208">
        <v>999</v>
      </c>
      <c r="C978" s="234"/>
      <c r="D978" s="165"/>
      <c r="E978" s="161" t="s">
        <v>7</v>
      </c>
      <c r="F978" s="161">
        <v>5</v>
      </c>
      <c r="G978" s="161">
        <v>-5</v>
      </c>
      <c r="H978" s="165"/>
      <c r="I978" s="165"/>
      <c r="J978" s="165"/>
      <c r="K978" s="165"/>
      <c r="L978" s="165"/>
      <c r="M978" s="165"/>
      <c r="N978" s="165"/>
      <c r="O978" s="165"/>
      <c r="P978" s="165"/>
      <c r="Q978" s="165"/>
      <c r="R978" s="165"/>
      <c r="S978" s="165"/>
      <c r="T978" s="165"/>
      <c r="U978" s="208"/>
      <c r="V978" s="165"/>
      <c r="W978" s="165"/>
      <c r="X978" s="165"/>
      <c r="Y978" s="165"/>
    </row>
    <row r="979" spans="1:25">
      <c r="B979" s="208"/>
      <c r="C979" s="165"/>
      <c r="D979" s="165"/>
      <c r="E979" s="161" t="s">
        <v>163</v>
      </c>
      <c r="F979" s="161">
        <v>3</v>
      </c>
      <c r="G979" s="161">
        <v>-3</v>
      </c>
      <c r="H979" s="165"/>
      <c r="I979" s="165"/>
      <c r="J979" s="165"/>
      <c r="K979" s="165"/>
      <c r="L979" s="165"/>
      <c r="M979" s="165"/>
      <c r="N979" s="165"/>
      <c r="O979" s="165"/>
      <c r="P979" s="165"/>
      <c r="Q979" s="165"/>
      <c r="R979" s="165"/>
      <c r="S979" s="165"/>
      <c r="T979" s="165"/>
      <c r="U979" s="208"/>
      <c r="V979" s="165"/>
      <c r="W979" s="165"/>
      <c r="X979" s="165"/>
      <c r="Y979" s="165"/>
    </row>
    <row r="980" spans="1:25">
      <c r="B980" s="208"/>
      <c r="C980" s="165"/>
      <c r="D980" s="165"/>
      <c r="E980" s="161" t="s">
        <v>156</v>
      </c>
      <c r="F980" s="161">
        <v>2</v>
      </c>
      <c r="G980" s="161">
        <v>-2</v>
      </c>
      <c r="H980" s="165"/>
      <c r="I980" s="165"/>
      <c r="J980" s="165"/>
      <c r="K980" s="165"/>
      <c r="L980" s="165"/>
      <c r="M980" s="165"/>
      <c r="N980" s="165"/>
      <c r="O980" s="165"/>
      <c r="P980" s="165"/>
      <c r="Q980" s="165"/>
      <c r="R980" s="165"/>
      <c r="S980" s="165"/>
      <c r="T980" s="165"/>
      <c r="U980" s="208"/>
      <c r="V980" s="165"/>
      <c r="W980" s="165"/>
      <c r="X980" s="165"/>
      <c r="Y980" s="165"/>
    </row>
    <row r="981" spans="1:25" s="115" customFormat="1">
      <c r="A981" s="115" t="s">
        <v>457</v>
      </c>
      <c r="B981" s="208"/>
      <c r="C981" s="165"/>
      <c r="D981" s="165"/>
      <c r="E981" s="161" t="s">
        <v>432</v>
      </c>
      <c r="F981" s="161">
        <v>1</v>
      </c>
      <c r="G981" s="161">
        <v>1</v>
      </c>
      <c r="H981" s="165"/>
      <c r="I981" s="165"/>
      <c r="J981" s="165"/>
      <c r="K981" s="165"/>
      <c r="L981" s="165"/>
      <c r="M981" s="165"/>
      <c r="N981" s="165"/>
      <c r="O981" s="165"/>
      <c r="P981" s="165"/>
      <c r="Q981" s="165"/>
      <c r="R981" s="165"/>
      <c r="S981" s="165"/>
      <c r="T981" s="165"/>
      <c r="U981" s="208"/>
      <c r="V981" s="165"/>
      <c r="W981" s="165"/>
      <c r="X981" s="165"/>
      <c r="Y981" s="165"/>
    </row>
    <row r="982" spans="1:25">
      <c r="B982" s="208"/>
      <c r="C982" s="165"/>
      <c r="D982" s="165"/>
      <c r="E982" s="161" t="s">
        <v>3</v>
      </c>
      <c r="F982" s="161">
        <v>-2</v>
      </c>
      <c r="G982" s="161">
        <v>2</v>
      </c>
      <c r="H982" s="165"/>
      <c r="I982" s="165"/>
      <c r="J982" s="165"/>
      <c r="K982" s="165"/>
      <c r="L982" s="165"/>
      <c r="M982" s="165"/>
      <c r="N982" s="165"/>
      <c r="O982" s="165"/>
      <c r="P982" s="165"/>
      <c r="Q982" s="165"/>
      <c r="R982" s="165"/>
      <c r="S982" s="165"/>
      <c r="T982" s="165"/>
      <c r="U982" s="208"/>
      <c r="V982" s="165"/>
      <c r="W982" s="165"/>
      <c r="X982" s="165"/>
      <c r="Y982" s="165"/>
    </row>
    <row r="983" spans="1:25">
      <c r="B983" s="208" t="s">
        <v>446</v>
      </c>
      <c r="C983" s="165"/>
      <c r="D983" s="165"/>
      <c r="E983" s="161" t="s">
        <v>45</v>
      </c>
      <c r="F983" s="161">
        <v>2</v>
      </c>
      <c r="G983" s="161">
        <v>2</v>
      </c>
      <c r="H983" s="165"/>
      <c r="I983" s="165"/>
      <c r="J983" s="165"/>
      <c r="K983" s="165"/>
      <c r="L983" s="165"/>
      <c r="M983" s="165"/>
      <c r="N983" s="165"/>
      <c r="O983" s="165"/>
      <c r="P983" s="165"/>
      <c r="Q983" s="165"/>
      <c r="R983" s="165"/>
      <c r="S983" s="165"/>
      <c r="T983" s="165"/>
      <c r="U983" s="208"/>
      <c r="V983" s="165"/>
      <c r="W983" s="165"/>
      <c r="X983" s="165"/>
      <c r="Y983" s="165"/>
    </row>
    <row r="984" spans="1:25">
      <c r="B984" s="208"/>
      <c r="C984" s="165"/>
      <c r="D984" s="165"/>
      <c r="E984" s="165"/>
      <c r="F984" s="165"/>
      <c r="G984" s="165"/>
      <c r="H984" s="165"/>
      <c r="I984" s="165"/>
      <c r="J984" s="165"/>
      <c r="K984" s="165"/>
      <c r="L984" s="165"/>
      <c r="M984" s="165"/>
      <c r="N984" s="165"/>
      <c r="O984" s="165"/>
      <c r="P984" s="165"/>
      <c r="Q984" s="165"/>
      <c r="R984" s="165"/>
      <c r="S984" s="165"/>
      <c r="T984" s="165"/>
      <c r="U984" s="208"/>
      <c r="V984" s="165"/>
      <c r="W984" s="165"/>
      <c r="X984" s="165"/>
      <c r="Y984" s="165"/>
    </row>
    <row r="985" spans="1:25">
      <c r="B985" s="208" t="s">
        <v>45</v>
      </c>
      <c r="C985" s="165" t="s">
        <v>417</v>
      </c>
      <c r="D985" s="165" t="s">
        <v>311</v>
      </c>
      <c r="E985" s="165" t="s">
        <v>350</v>
      </c>
      <c r="F985" s="250" t="s">
        <v>377</v>
      </c>
      <c r="G985" s="249"/>
      <c r="H985" s="208" t="s">
        <v>45</v>
      </c>
      <c r="I985" s="165" t="s">
        <v>417</v>
      </c>
      <c r="J985" s="165" t="s">
        <v>311</v>
      </c>
      <c r="K985" s="165" t="s">
        <v>350</v>
      </c>
      <c r="L985" s="250" t="s">
        <v>377</v>
      </c>
      <c r="N985" s="208" t="s">
        <v>45</v>
      </c>
      <c r="O985" s="165" t="s">
        <v>417</v>
      </c>
      <c r="P985" s="165" t="s">
        <v>311</v>
      </c>
      <c r="Q985" s="165" t="s">
        <v>350</v>
      </c>
      <c r="R985" s="250" t="s">
        <v>377</v>
      </c>
      <c r="U985" s="208"/>
      <c r="V985" s="165"/>
      <c r="W985" s="165"/>
      <c r="X985" s="165"/>
      <c r="Y985" s="165"/>
    </row>
    <row r="986" spans="1:25">
      <c r="B986" s="208">
        <f>Algandmed!AG625</f>
        <v>0</v>
      </c>
      <c r="C986" s="228" t="e">
        <f>Algandmed!AG627</f>
        <v>#DIV/0!</v>
      </c>
      <c r="D986" s="238">
        <f>Algandmed!AG628</f>
        <v>0</v>
      </c>
      <c r="E986" s="238">
        <f>Algandmed!AG629+D986</f>
        <v>0</v>
      </c>
      <c r="F986" s="237" t="e">
        <f>(($F$974*Algandmed!AG628)+($F$975*Algandmed!AG629)+($F$981*Algandmed!AG627)+($F$983*Algandmed!AG625))/SQRT(Algandmed!AG625)</f>
        <v>#DIV/0!</v>
      </c>
      <c r="G986" s="238"/>
      <c r="H986" s="208">
        <f>Algandmed!AL625</f>
        <v>0</v>
      </c>
      <c r="I986" s="228" t="e">
        <f>Algandmed!AL627</f>
        <v>#DIV/0!</v>
      </c>
      <c r="J986" s="238">
        <f>Algandmed!AL628</f>
        <v>0</v>
      </c>
      <c r="K986" s="238">
        <f>Algandmed!AL629+J986</f>
        <v>0</v>
      </c>
      <c r="L986" s="237" t="e">
        <f>(($F$974*Algandmed!AL628)+($F$975*Algandmed!AL629)+($F$981*Algandmed!AL627)+($F$983*Algandmed!AL625))/SQRT(Algandmed!AL625)</f>
        <v>#DIV/0!</v>
      </c>
      <c r="N986" s="208">
        <f>Algandmed!AQ625</f>
        <v>0</v>
      </c>
      <c r="O986" s="228" t="e">
        <f>Algandmed!AQ627</f>
        <v>#DIV/0!</v>
      </c>
      <c r="P986" s="238">
        <f>Algandmed!AQ628</f>
        <v>0</v>
      </c>
      <c r="Q986" s="238">
        <f>Algandmed!AQ629+P986</f>
        <v>0</v>
      </c>
      <c r="R986" s="237" t="e">
        <f>(($F$974*Algandmed!AQ628)+($F$975*Algandmed!AQ629)+($F$981*Algandmed!AQ627)+($F$983*Algandmed!AQ625))/SQRT(Algandmed!AQ625)</f>
        <v>#DIV/0!</v>
      </c>
      <c r="U986" s="208"/>
      <c r="V986" s="165"/>
      <c r="W986" s="165"/>
      <c r="X986" s="165"/>
      <c r="Y986" s="165"/>
    </row>
    <row r="987" spans="1:25">
      <c r="B987" s="208"/>
      <c r="C987" s="228"/>
      <c r="D987" s="228"/>
      <c r="E987" s="165"/>
      <c r="F987" s="238"/>
      <c r="G987" s="238"/>
      <c r="H987" s="237"/>
      <c r="I987" s="238"/>
      <c r="J987" s="165"/>
      <c r="K987" s="228"/>
      <c r="L987" s="228"/>
      <c r="M987" s="165"/>
      <c r="N987" s="238"/>
      <c r="O987" s="238"/>
      <c r="P987" s="238"/>
      <c r="Q987" s="238"/>
      <c r="R987" s="165"/>
      <c r="S987" s="228"/>
      <c r="T987" s="228"/>
      <c r="U987" s="208"/>
      <c r="V987" s="238"/>
      <c r="W987" s="238"/>
      <c r="X987" s="165"/>
      <c r="Y987" s="165"/>
    </row>
    <row r="988" spans="1:25" s="115" customFormat="1">
      <c r="B988" s="208">
        <f>Algandmed!AG632</f>
        <v>0</v>
      </c>
      <c r="C988" s="228" t="e">
        <f>Algandmed!AG634</f>
        <v>#DIV/0!</v>
      </c>
      <c r="D988" s="238">
        <f>Algandmed!AG635</f>
        <v>0</v>
      </c>
      <c r="E988" s="238">
        <f>Algandmed!AG636+D988</f>
        <v>0</v>
      </c>
      <c r="F988" s="237" t="e">
        <f>(($F$974*Algandmed!AG635)+($F$975*Algandmed!AG636)+($F$981*Algandmed!AG634)+($F$983*Algandmed!AG632))/SQRT(Algandmed!AG632)</f>
        <v>#DIV/0!</v>
      </c>
      <c r="G988" s="238"/>
      <c r="H988" s="208">
        <f>Algandmed!AL632</f>
        <v>0</v>
      </c>
      <c r="I988" s="228" t="e">
        <f>Algandmed!AL634</f>
        <v>#DIV/0!</v>
      </c>
      <c r="J988" s="238">
        <f>Algandmed!AL635</f>
        <v>0</v>
      </c>
      <c r="K988" s="238">
        <f>Algandmed!AL636+J988</f>
        <v>0</v>
      </c>
      <c r="L988" s="237" t="e">
        <f>(($F$974*Algandmed!AL635)+($F$975*Algandmed!AL636)+($F$981*Algandmed!AL634)+($F$983*Algandmed!AL632))/SQRT(Algandmed!AL632)</f>
        <v>#DIV/0!</v>
      </c>
      <c r="M988" s="165"/>
      <c r="N988" s="208">
        <f>Algandmed!AQ632</f>
        <v>0</v>
      </c>
      <c r="O988" s="228" t="e">
        <f>Algandmed!AQ634</f>
        <v>#DIV/0!</v>
      </c>
      <c r="P988" s="238">
        <f>Algandmed!AQ635</f>
        <v>0</v>
      </c>
      <c r="Q988" s="238">
        <f>Algandmed!AQ636+P988</f>
        <v>0</v>
      </c>
      <c r="R988" s="237" t="e">
        <f>(($F$974*Algandmed!AQ635)+($F$975*Algandmed!AQ636)+($F$981*Algandmed!AQ634)+($F$983*Algandmed!AQ632))/SQRT(Algandmed!AQ632)</f>
        <v>#DIV/0!</v>
      </c>
      <c r="S988" s="228"/>
      <c r="T988" s="228"/>
      <c r="U988" s="208"/>
      <c r="V988" s="238"/>
      <c r="W988" s="238"/>
      <c r="X988" s="165"/>
      <c r="Y988" s="165"/>
    </row>
    <row r="989" spans="1:25" s="115" customFormat="1">
      <c r="B989" s="208"/>
      <c r="C989" s="228"/>
      <c r="D989" s="228"/>
      <c r="E989" s="165"/>
      <c r="F989" s="238"/>
      <c r="G989" s="238"/>
      <c r="H989" s="237"/>
      <c r="I989" s="238"/>
      <c r="J989" s="165"/>
      <c r="K989" s="228"/>
      <c r="L989" s="228"/>
      <c r="M989" s="165"/>
      <c r="N989" s="238"/>
      <c r="O989" s="238"/>
      <c r="P989" s="238"/>
      <c r="Q989" s="238"/>
      <c r="R989" s="165"/>
      <c r="S989" s="228"/>
      <c r="T989" s="228"/>
      <c r="U989" s="208"/>
      <c r="V989" s="238"/>
      <c r="W989" s="238"/>
      <c r="X989" s="165"/>
      <c r="Y989" s="165"/>
    </row>
    <row r="990" spans="1:25" s="115" customFormat="1">
      <c r="B990" s="208"/>
      <c r="C990" s="228"/>
      <c r="D990" s="228"/>
      <c r="E990" s="165"/>
      <c r="F990" s="238"/>
      <c r="G990" s="238"/>
      <c r="H990" s="237"/>
      <c r="I990" s="238"/>
      <c r="J990" s="165"/>
      <c r="K990" s="228"/>
      <c r="L990" s="228"/>
      <c r="M990" s="165"/>
      <c r="N990" s="238"/>
      <c r="O990" s="238"/>
      <c r="P990" s="238"/>
      <c r="Q990" s="238"/>
      <c r="R990" s="165"/>
      <c r="S990" s="228"/>
      <c r="T990" s="228"/>
      <c r="U990" s="208"/>
      <c r="V990" s="238"/>
      <c r="W990" s="238"/>
      <c r="X990" s="165"/>
      <c r="Y990" s="165"/>
    </row>
    <row r="991" spans="1:25">
      <c r="B991" s="212"/>
      <c r="C991" s="213"/>
      <c r="D991" s="213"/>
      <c r="E991" s="213"/>
      <c r="F991" s="248"/>
      <c r="G991" s="248"/>
      <c r="H991" s="241"/>
      <c r="I991" s="248"/>
      <c r="J991" s="248"/>
      <c r="K991" s="248"/>
      <c r="L991" s="248"/>
      <c r="M991" s="240"/>
      <c r="N991" s="241"/>
      <c r="O991" s="213"/>
      <c r="P991" s="248"/>
      <c r="Q991" s="248"/>
      <c r="R991" s="248"/>
      <c r="S991" s="248"/>
      <c r="T991" s="240"/>
      <c r="U991" s="259"/>
      <c r="V991" s="165"/>
      <c r="W991" s="165"/>
      <c r="X991" s="165"/>
      <c r="Y991" s="165"/>
    </row>
    <row r="992" spans="1:25">
      <c r="B992" s="115"/>
      <c r="C992" s="115"/>
      <c r="D992" s="115"/>
      <c r="E992" s="115"/>
      <c r="F992" s="115"/>
      <c r="G992" s="246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</row>
    <row r="993" spans="1:25">
      <c r="B993" s="115"/>
      <c r="C993" s="115"/>
      <c r="D993" s="115"/>
      <c r="E993" s="115"/>
      <c r="F993" s="115"/>
      <c r="G993" s="246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</row>
    <row r="994" spans="1:25">
      <c r="B994" s="205"/>
      <c r="C994" s="206"/>
      <c r="D994" s="206"/>
      <c r="E994" s="206"/>
      <c r="F994" s="206"/>
      <c r="G994" s="388" t="s">
        <v>435</v>
      </c>
      <c r="H994" s="388"/>
      <c r="I994" s="388"/>
      <c r="J994" s="388"/>
      <c r="K994" s="388"/>
      <c r="L994" s="388"/>
      <c r="M994" s="388"/>
      <c r="N994" s="206"/>
      <c r="O994" s="206"/>
      <c r="P994" s="206"/>
      <c r="Q994" s="206"/>
      <c r="R994" s="206"/>
      <c r="S994" s="206"/>
      <c r="T994" s="207"/>
      <c r="U994" s="165"/>
      <c r="V994" s="165"/>
      <c r="W994" s="165"/>
      <c r="X994" s="165"/>
      <c r="Y994" s="165"/>
    </row>
    <row r="995" spans="1:25">
      <c r="B995" s="208" t="s">
        <v>354</v>
      </c>
      <c r="C995" s="165"/>
      <c r="D995" s="165"/>
      <c r="E995" s="165"/>
      <c r="F995" s="165"/>
      <c r="G995" s="389"/>
      <c r="H995" s="389"/>
      <c r="I995" s="389"/>
      <c r="J995" s="389"/>
      <c r="K995" s="389"/>
      <c r="L995" s="389"/>
      <c r="M995" s="389"/>
      <c r="N995" s="165"/>
      <c r="O995" s="165"/>
      <c r="P995" s="165"/>
      <c r="Q995" s="165"/>
      <c r="R995" s="165"/>
      <c r="S995" s="165"/>
      <c r="T995" s="209"/>
      <c r="U995" s="165"/>
      <c r="V995" s="165"/>
      <c r="W995" s="165"/>
      <c r="X995" s="165"/>
      <c r="Y995" s="165"/>
    </row>
    <row r="996" spans="1:25">
      <c r="B996" s="208" t="s">
        <v>355</v>
      </c>
      <c r="C996" s="165"/>
      <c r="D996" s="165"/>
      <c r="E996" s="165"/>
      <c r="F996" s="165"/>
      <c r="G996" s="165"/>
      <c r="H996" s="165"/>
      <c r="I996" s="165"/>
      <c r="J996" s="165"/>
      <c r="K996" s="165"/>
      <c r="L996" s="165"/>
      <c r="M996" s="165"/>
      <c r="N996" s="165"/>
      <c r="O996" s="165"/>
      <c r="P996" s="165"/>
      <c r="Q996" s="165"/>
      <c r="R996" s="390" t="s">
        <v>431</v>
      </c>
      <c r="S996" s="390"/>
      <c r="T996" s="391"/>
      <c r="U996" s="165"/>
      <c r="V996" s="165"/>
      <c r="W996" s="165"/>
      <c r="X996" s="165"/>
      <c r="Y996" s="165"/>
    </row>
    <row r="997" spans="1:25">
      <c r="B997" s="208" t="s">
        <v>356</v>
      </c>
      <c r="C997" s="165"/>
      <c r="D997" s="165"/>
      <c r="E997" s="165"/>
      <c r="F997" s="165"/>
      <c r="G997" s="165"/>
      <c r="H997" s="165"/>
      <c r="I997" s="165"/>
      <c r="J997" s="165"/>
      <c r="K997" s="165"/>
      <c r="L997" s="165"/>
      <c r="M997" s="165"/>
      <c r="N997" s="165"/>
      <c r="O997" s="165"/>
      <c r="P997" s="165"/>
      <c r="Q997" s="165"/>
      <c r="R997" s="390"/>
      <c r="S997" s="390"/>
      <c r="T997" s="391"/>
      <c r="U997" s="165"/>
      <c r="V997" s="165"/>
      <c r="W997" s="165"/>
      <c r="X997" s="165"/>
      <c r="Y997" s="165"/>
    </row>
    <row r="998" spans="1:25">
      <c r="B998" s="208" t="s">
        <v>357</v>
      </c>
      <c r="C998" s="165"/>
      <c r="D998" s="165"/>
      <c r="E998" s="165"/>
      <c r="F998" s="165"/>
      <c r="G998" s="165"/>
      <c r="H998" s="165"/>
      <c r="I998" s="165"/>
      <c r="J998" s="165"/>
      <c r="K998" s="165"/>
      <c r="L998" s="165"/>
      <c r="M998" s="165"/>
      <c r="N998" s="165"/>
      <c r="O998" s="165"/>
      <c r="P998" s="165"/>
      <c r="Q998" s="165"/>
      <c r="R998" s="390"/>
      <c r="S998" s="390"/>
      <c r="T998" s="391"/>
      <c r="U998" s="165"/>
      <c r="V998" s="165"/>
      <c r="W998" s="165"/>
      <c r="X998" s="165"/>
      <c r="Y998" s="165"/>
    </row>
    <row r="999" spans="1:25">
      <c r="B999" s="208" t="s">
        <v>419</v>
      </c>
      <c r="C999" s="165"/>
      <c r="D999" s="165"/>
      <c r="E999" s="165"/>
      <c r="F999" s="165"/>
      <c r="G999" s="165"/>
      <c r="H999" s="165"/>
      <c r="I999" s="165"/>
      <c r="J999" s="165"/>
      <c r="K999" s="165"/>
      <c r="L999" s="165"/>
      <c r="M999" s="165"/>
      <c r="N999" s="165"/>
      <c r="O999" s="165"/>
      <c r="P999" s="165"/>
      <c r="Q999" s="165"/>
      <c r="R999" s="390"/>
      <c r="S999" s="390"/>
      <c r="T999" s="391"/>
      <c r="U999" s="165"/>
      <c r="V999" s="165"/>
      <c r="W999" s="165"/>
      <c r="X999" s="165"/>
      <c r="Y999" s="165"/>
    </row>
    <row r="1000" spans="1:25">
      <c r="A1000" t="s">
        <v>451</v>
      </c>
      <c r="B1000" s="208" t="s">
        <v>359</v>
      </c>
      <c r="C1000" s="229"/>
      <c r="D1000" s="165"/>
      <c r="E1000" s="165" t="s">
        <v>347</v>
      </c>
      <c r="F1000" s="165" t="s">
        <v>2</v>
      </c>
      <c r="G1000" s="165" t="s">
        <v>6</v>
      </c>
      <c r="H1000" s="165"/>
      <c r="I1000" s="165"/>
      <c r="J1000" s="165"/>
      <c r="K1000" s="165"/>
      <c r="L1000" s="165"/>
      <c r="M1000" s="165"/>
      <c r="N1000" s="165"/>
      <c r="O1000" s="165"/>
      <c r="P1000" s="165"/>
      <c r="Q1000" s="165"/>
      <c r="R1000" s="165"/>
      <c r="S1000" s="165"/>
      <c r="T1000" s="209"/>
      <c r="U1000" s="165"/>
      <c r="V1000" s="165"/>
      <c r="W1000" s="165"/>
      <c r="X1000" s="165"/>
      <c r="Y1000" s="165"/>
    </row>
    <row r="1001" spans="1:25">
      <c r="A1001" t="s">
        <v>445</v>
      </c>
      <c r="B1001" s="208" t="s">
        <v>360</v>
      </c>
      <c r="C1001" s="230"/>
      <c r="D1001" s="165"/>
      <c r="E1001" s="165" t="s">
        <v>703</v>
      </c>
      <c r="F1001" s="165">
        <v>40</v>
      </c>
      <c r="G1001" s="165">
        <v>-40</v>
      </c>
      <c r="H1001" s="165"/>
      <c r="I1001" s="165"/>
      <c r="J1001" s="165"/>
      <c r="K1001" s="165"/>
      <c r="L1001" s="165"/>
      <c r="M1001" s="165"/>
      <c r="N1001" s="165"/>
      <c r="O1001" s="165"/>
      <c r="P1001" s="165"/>
      <c r="Q1001" s="165"/>
      <c r="R1001" s="165"/>
      <c r="S1001" s="165"/>
      <c r="T1001" s="209"/>
      <c r="U1001" s="165"/>
      <c r="V1001" s="165"/>
      <c r="W1001" s="165"/>
      <c r="X1001" s="165"/>
      <c r="Y1001" s="165"/>
    </row>
    <row r="1002" spans="1:25">
      <c r="B1002" s="208" t="s">
        <v>361</v>
      </c>
      <c r="C1002" s="231"/>
      <c r="D1002" s="165"/>
      <c r="E1002" s="165" t="s">
        <v>9</v>
      </c>
      <c r="F1002" s="165">
        <v>10</v>
      </c>
      <c r="G1002" s="165">
        <v>-10</v>
      </c>
      <c r="H1002" s="165"/>
      <c r="I1002" s="165"/>
      <c r="J1002" s="165"/>
      <c r="K1002" s="165"/>
      <c r="L1002" s="165"/>
      <c r="M1002" s="165"/>
      <c r="N1002" s="165"/>
      <c r="O1002" s="165"/>
      <c r="P1002" s="165"/>
      <c r="Q1002" s="165"/>
      <c r="R1002" s="165"/>
      <c r="S1002" s="165"/>
      <c r="T1002" s="209"/>
      <c r="U1002" s="165"/>
      <c r="V1002" s="165"/>
      <c r="W1002" s="165"/>
      <c r="X1002" s="165"/>
      <c r="Y1002" s="165"/>
    </row>
    <row r="1003" spans="1:25">
      <c r="A1003" t="s">
        <v>454</v>
      </c>
      <c r="B1003" s="208" t="s">
        <v>362</v>
      </c>
      <c r="C1003" s="232"/>
      <c r="D1003" s="165"/>
      <c r="E1003" s="161" t="s">
        <v>8</v>
      </c>
      <c r="F1003" s="165">
        <v>8</v>
      </c>
      <c r="G1003" s="165">
        <v>-8</v>
      </c>
      <c r="H1003" s="165"/>
      <c r="I1003" s="165"/>
      <c r="J1003" s="165"/>
      <c r="K1003" s="165"/>
      <c r="L1003" s="165"/>
      <c r="M1003" s="165"/>
      <c r="N1003" s="165"/>
      <c r="O1003" s="165"/>
      <c r="P1003" s="165"/>
      <c r="Q1003" s="165"/>
      <c r="R1003" s="165"/>
      <c r="S1003" s="165"/>
      <c r="T1003" s="209"/>
      <c r="U1003" s="165"/>
      <c r="V1003" s="165"/>
      <c r="W1003" s="165"/>
      <c r="X1003" s="165"/>
      <c r="Y1003" s="165"/>
    </row>
    <row r="1004" spans="1:25">
      <c r="B1004" s="208" t="s">
        <v>363</v>
      </c>
      <c r="C1004" s="233"/>
      <c r="D1004" s="165"/>
      <c r="E1004" s="161" t="s">
        <v>19</v>
      </c>
      <c r="F1004" s="161">
        <v>7</v>
      </c>
      <c r="G1004" s="161">
        <v>-7</v>
      </c>
      <c r="H1004" s="165"/>
      <c r="I1004" s="165"/>
      <c r="J1004" s="165"/>
      <c r="K1004" s="165"/>
      <c r="L1004" s="165"/>
      <c r="M1004" s="165"/>
      <c r="N1004" s="165"/>
      <c r="O1004" s="165"/>
      <c r="P1004" s="165"/>
      <c r="Q1004" s="165"/>
      <c r="R1004" s="165"/>
      <c r="S1004" s="165"/>
      <c r="T1004" s="209"/>
      <c r="U1004" s="165"/>
      <c r="V1004" s="165"/>
      <c r="W1004" s="165"/>
      <c r="X1004" s="165"/>
      <c r="Y1004" s="165"/>
    </row>
    <row r="1005" spans="1:25">
      <c r="B1005" s="208" t="s">
        <v>358</v>
      </c>
      <c r="C1005" s="234"/>
      <c r="D1005" s="165"/>
      <c r="E1005" s="161" t="s">
        <v>7</v>
      </c>
      <c r="F1005" s="161">
        <v>5</v>
      </c>
      <c r="G1005" s="161">
        <v>-5</v>
      </c>
      <c r="H1005" s="165"/>
      <c r="I1005" s="165"/>
      <c r="J1005" s="165"/>
      <c r="K1005" s="165"/>
      <c r="L1005" s="165"/>
      <c r="M1005" s="165"/>
      <c r="N1005" s="165"/>
      <c r="O1005" s="165"/>
      <c r="P1005" s="165"/>
      <c r="Q1005" s="165"/>
      <c r="R1005" s="165"/>
      <c r="S1005" s="165"/>
      <c r="T1005" s="209"/>
      <c r="U1005" s="165"/>
      <c r="V1005" s="165"/>
      <c r="W1005" s="165"/>
      <c r="X1005" s="165"/>
      <c r="Y1005" s="165"/>
    </row>
    <row r="1006" spans="1:25">
      <c r="A1006" t="s">
        <v>440</v>
      </c>
      <c r="B1006" s="208"/>
      <c r="C1006" s="165"/>
      <c r="D1006" s="165"/>
      <c r="E1006" s="161" t="s">
        <v>163</v>
      </c>
      <c r="F1006" s="161">
        <v>3</v>
      </c>
      <c r="G1006" s="161">
        <v>-3</v>
      </c>
      <c r="H1006" s="165"/>
      <c r="I1006" s="165"/>
      <c r="J1006" s="165"/>
      <c r="K1006" s="165"/>
      <c r="L1006" s="165"/>
      <c r="M1006" s="165"/>
      <c r="N1006" s="165"/>
      <c r="O1006" s="165"/>
      <c r="P1006" s="165"/>
      <c r="Q1006" s="165"/>
      <c r="R1006" s="165"/>
      <c r="S1006" s="165"/>
      <c r="T1006" s="209"/>
      <c r="U1006" s="165"/>
      <c r="V1006" s="165"/>
      <c r="W1006" s="165"/>
      <c r="X1006" s="165"/>
      <c r="Y1006" s="165"/>
    </row>
    <row r="1007" spans="1:25">
      <c r="A1007" t="s">
        <v>455</v>
      </c>
      <c r="B1007" s="208"/>
      <c r="C1007" s="165"/>
      <c r="D1007" s="165"/>
      <c r="E1007" s="161" t="s">
        <v>156</v>
      </c>
      <c r="F1007" s="161">
        <v>2</v>
      </c>
      <c r="G1007" s="161">
        <v>-2</v>
      </c>
      <c r="H1007" s="165"/>
      <c r="I1007" s="165"/>
      <c r="J1007" s="165"/>
      <c r="K1007" s="165"/>
      <c r="L1007" s="165"/>
      <c r="M1007" s="165"/>
      <c r="N1007" s="165"/>
      <c r="O1007" s="165"/>
      <c r="P1007" s="165"/>
      <c r="Q1007" s="165"/>
      <c r="R1007" s="165"/>
      <c r="S1007" s="165"/>
      <c r="T1007" s="209"/>
      <c r="U1007" s="165"/>
      <c r="V1007" s="165"/>
      <c r="W1007" s="165"/>
      <c r="X1007" s="165"/>
      <c r="Y1007" s="165"/>
    </row>
    <row r="1008" spans="1:25">
      <c r="B1008" s="208"/>
      <c r="C1008" s="165"/>
      <c r="D1008" s="165"/>
      <c r="E1008" s="161" t="s">
        <v>432</v>
      </c>
      <c r="F1008" s="161">
        <v>1</v>
      </c>
      <c r="G1008" s="161">
        <v>1</v>
      </c>
      <c r="H1008" s="165"/>
      <c r="I1008" s="165"/>
      <c r="J1008" s="165"/>
      <c r="K1008" s="165"/>
      <c r="L1008" s="165"/>
      <c r="M1008" s="165"/>
      <c r="N1008" s="165"/>
      <c r="O1008" s="165"/>
      <c r="P1008" s="165"/>
      <c r="Q1008" s="165"/>
      <c r="R1008" s="165"/>
      <c r="S1008" s="165"/>
      <c r="T1008" s="209"/>
      <c r="U1008" s="165"/>
      <c r="V1008" s="165"/>
      <c r="W1008" s="165"/>
      <c r="X1008" s="165"/>
      <c r="Y1008" s="165"/>
    </row>
    <row r="1009" spans="2:25">
      <c r="B1009" s="208" t="s">
        <v>440</v>
      </c>
      <c r="C1009" s="165"/>
      <c r="D1009" s="165"/>
      <c r="E1009" s="161" t="s">
        <v>3</v>
      </c>
      <c r="F1009" s="161">
        <v>-2</v>
      </c>
      <c r="G1009" s="161">
        <v>2</v>
      </c>
      <c r="H1009" s="165"/>
      <c r="I1009" s="165"/>
      <c r="J1009" s="165"/>
      <c r="K1009" s="165"/>
      <c r="L1009" s="165"/>
      <c r="M1009" s="165"/>
      <c r="N1009" s="165"/>
      <c r="O1009" s="165"/>
      <c r="P1009" s="165"/>
      <c r="Q1009" s="165"/>
      <c r="R1009" s="165"/>
      <c r="S1009" s="165"/>
      <c r="T1009" s="209"/>
      <c r="U1009" s="165"/>
      <c r="V1009" s="165"/>
      <c r="W1009" s="165"/>
      <c r="X1009" s="165"/>
      <c r="Y1009" s="165"/>
    </row>
    <row r="1010" spans="2:25" s="115" customFormat="1">
      <c r="B1010" s="208" t="s">
        <v>440</v>
      </c>
      <c r="C1010" s="165"/>
      <c r="D1010" s="165"/>
      <c r="E1010" s="161" t="s">
        <v>45</v>
      </c>
      <c r="F1010" s="161">
        <v>2</v>
      </c>
      <c r="G1010" s="161">
        <v>2</v>
      </c>
      <c r="H1010" s="165"/>
      <c r="I1010" s="165"/>
      <c r="J1010" s="165"/>
      <c r="K1010" s="165"/>
      <c r="L1010" s="165"/>
      <c r="M1010" s="165"/>
      <c r="N1010" s="165"/>
      <c r="O1010" s="165"/>
      <c r="P1010" s="165"/>
      <c r="Q1010" s="165"/>
      <c r="R1010" s="165"/>
      <c r="S1010" s="165"/>
      <c r="T1010" s="209"/>
      <c r="U1010" s="165"/>
      <c r="V1010" s="165"/>
      <c r="W1010" s="165"/>
      <c r="X1010" s="165"/>
      <c r="Y1010" s="165"/>
    </row>
    <row r="1011" spans="2:25" s="115" customFormat="1">
      <c r="B1011" s="208"/>
      <c r="C1011" s="165"/>
      <c r="D1011" s="165"/>
      <c r="E1011" s="161"/>
      <c r="F1011" s="161"/>
      <c r="G1011" s="161"/>
      <c r="H1011" s="165"/>
      <c r="I1011" s="165"/>
      <c r="J1011" s="165"/>
      <c r="K1011" s="165"/>
      <c r="L1011" s="165"/>
      <c r="M1011" s="165"/>
      <c r="N1011" s="165"/>
      <c r="O1011" s="165"/>
      <c r="P1011" s="165"/>
      <c r="Q1011" s="165"/>
      <c r="R1011" s="165"/>
      <c r="S1011" s="165"/>
      <c r="T1011" s="209"/>
      <c r="U1011" s="165"/>
      <c r="V1011" s="165"/>
      <c r="W1011" s="165"/>
      <c r="X1011" s="165"/>
      <c r="Y1011" s="165"/>
    </row>
    <row r="1012" spans="2:25">
      <c r="B1012" s="208" t="s">
        <v>45</v>
      </c>
      <c r="C1012" s="165" t="s">
        <v>417</v>
      </c>
      <c r="D1012" s="165" t="s">
        <v>311</v>
      </c>
      <c r="E1012" s="165" t="s">
        <v>350</v>
      </c>
      <c r="F1012" s="250" t="s">
        <v>377</v>
      </c>
      <c r="G1012" s="165"/>
      <c r="H1012" s="208" t="s">
        <v>45</v>
      </c>
      <c r="I1012" s="165" t="s">
        <v>417</v>
      </c>
      <c r="J1012" s="165" t="s">
        <v>311</v>
      </c>
      <c r="K1012" s="165" t="s">
        <v>350</v>
      </c>
      <c r="L1012" s="250" t="s">
        <v>377</v>
      </c>
      <c r="M1012" s="165"/>
      <c r="N1012" s="208" t="s">
        <v>45</v>
      </c>
      <c r="O1012" s="165" t="s">
        <v>417</v>
      </c>
      <c r="P1012" s="165" t="s">
        <v>311</v>
      </c>
      <c r="Q1012" s="165" t="s">
        <v>350</v>
      </c>
      <c r="R1012" s="250" t="s">
        <v>377</v>
      </c>
      <c r="S1012" s="165"/>
      <c r="T1012" s="209"/>
      <c r="U1012" s="165"/>
      <c r="V1012" s="165"/>
      <c r="W1012" s="165"/>
      <c r="X1012" s="165"/>
      <c r="Y1012" s="165"/>
    </row>
    <row r="1013" spans="2:25">
      <c r="B1013" s="208">
        <f>Algandmed!AG642</f>
        <v>0</v>
      </c>
      <c r="C1013" s="228" t="e">
        <f>Algandmed!AG644</f>
        <v>#DIV/0!</v>
      </c>
      <c r="D1013" s="238">
        <f>Algandmed!AG645</f>
        <v>0</v>
      </c>
      <c r="E1013" s="238">
        <f>Algandmed!AG646+D1013</f>
        <v>0</v>
      </c>
      <c r="F1013" s="237" t="e">
        <f>(($F$974*Algandmed!AG645)+($F$975*Algandmed!AG646)+($F$981*Algandmed!AG644)+($F$983*Algandmed!AG642))/SQRT(Algandmed!AG642)</f>
        <v>#DIV/0!</v>
      </c>
      <c r="G1013" s="165"/>
      <c r="H1013" s="208">
        <f>Algandmed!AL642</f>
        <v>0</v>
      </c>
      <c r="I1013" s="228" t="e">
        <f>Algandmed!AL644</f>
        <v>#DIV/0!</v>
      </c>
      <c r="J1013" s="238">
        <f>Algandmed!AL645</f>
        <v>0</v>
      </c>
      <c r="K1013" s="238">
        <f>Algandmed!AL646+J1013</f>
        <v>0</v>
      </c>
      <c r="L1013" s="237" t="e">
        <f>(($F$974*Algandmed!AL645)+($F$975*Algandmed!AL646)+($F$981*Algandmed!AL644)+($F$983*Algandmed!AL642))/SQRT(Algandmed!AL642)</f>
        <v>#DIV/0!</v>
      </c>
      <c r="M1013" s="165"/>
      <c r="N1013" s="208">
        <f>Algandmed!AQ642</f>
        <v>0</v>
      </c>
      <c r="O1013" s="228" t="e">
        <f>Algandmed!AQ644</f>
        <v>#DIV/0!</v>
      </c>
      <c r="P1013" s="238">
        <f>Algandmed!AQ645</f>
        <v>0</v>
      </c>
      <c r="Q1013" s="238">
        <f>Algandmed!AQ646+P1013</f>
        <v>0</v>
      </c>
      <c r="R1013" s="237" t="e">
        <f>(($F$974*Algandmed!AQ645)+($F$975*Algandmed!AQ646)+($F$981*Algandmed!AQ644)+($F$983*Algandmed!AQ642))/SQRT(Algandmed!AQ642)</f>
        <v>#DIV/0!</v>
      </c>
      <c r="S1013" s="165"/>
      <c r="T1013" s="209"/>
      <c r="U1013" s="165"/>
      <c r="V1013" s="165"/>
      <c r="W1013" s="249"/>
      <c r="X1013" s="250"/>
      <c r="Y1013" s="165"/>
    </row>
    <row r="1014" spans="2:25">
      <c r="B1014" s="208"/>
      <c r="C1014" s="228"/>
      <c r="D1014" s="228"/>
      <c r="E1014" s="165"/>
      <c r="F1014" s="238"/>
      <c r="G1014" s="165"/>
      <c r="H1014" s="208"/>
      <c r="I1014" s="228"/>
      <c r="J1014" s="228"/>
      <c r="K1014" s="165"/>
      <c r="L1014" s="238"/>
      <c r="M1014" s="165"/>
      <c r="N1014" s="208"/>
      <c r="O1014" s="228"/>
      <c r="P1014" s="228"/>
      <c r="Q1014" s="165"/>
      <c r="R1014" s="238"/>
      <c r="S1014" s="228"/>
      <c r="T1014" s="253"/>
      <c r="U1014" s="165"/>
      <c r="V1014" s="238"/>
      <c r="W1014" s="238"/>
      <c r="X1014" s="237"/>
      <c r="Y1014" s="165"/>
    </row>
    <row r="1015" spans="2:25">
      <c r="B1015" s="208">
        <f>Algandmed!AG649</f>
        <v>0</v>
      </c>
      <c r="C1015" s="228" t="e">
        <f>Algandmed!AG651</f>
        <v>#DIV/0!</v>
      </c>
      <c r="D1015" s="238">
        <f>Algandmed!AG652</f>
        <v>0</v>
      </c>
      <c r="E1015" s="238">
        <f>Algandmed!AG653+D1015</f>
        <v>0</v>
      </c>
      <c r="F1015" s="237" t="e">
        <f>(($F$974*Algandmed!AG652)+($F$975*Algandmed!AG653)+($F$981*Algandmed!AG651)+($F$983*Algandmed!AG649))/SQRT(Algandmed!AG649)</f>
        <v>#DIV/0!</v>
      </c>
      <c r="G1015" s="165"/>
      <c r="H1015" s="208">
        <f>Algandmed!AL649</f>
        <v>0</v>
      </c>
      <c r="I1015" s="228" t="e">
        <f>Algandmed!AL651</f>
        <v>#DIV/0!</v>
      </c>
      <c r="J1015" s="238">
        <f>Algandmed!AL652</f>
        <v>0</v>
      </c>
      <c r="K1015" s="238">
        <f>Algandmed!AL653+J1015</f>
        <v>0</v>
      </c>
      <c r="L1015" s="237" t="e">
        <f>(($F$974*Algandmed!AL652)+($F$975*Algandmed!AL653)+($F$981*Algandmed!AL651)+($F$983*Algandmed!AL649))/SQRT(Algandmed!AL649)</f>
        <v>#DIV/0!</v>
      </c>
      <c r="M1015" s="165"/>
      <c r="N1015" s="208">
        <f>Algandmed!AQ649</f>
        <v>0</v>
      </c>
      <c r="O1015" s="228" t="e">
        <f>Algandmed!AQ651</f>
        <v>#DIV/0!</v>
      </c>
      <c r="P1015" s="238">
        <f>Algandmed!AQ652</f>
        <v>0</v>
      </c>
      <c r="Q1015" s="238">
        <f>Algandmed!AQ653+P1015</f>
        <v>0</v>
      </c>
      <c r="R1015" s="237" t="e">
        <f>(($F$974*Algandmed!AQ652)+($F$975*Algandmed!AQ653)+($F$981*Algandmed!AQ651)+($F$983*Algandmed!AQ649))/SQRT(Algandmed!AQ649)</f>
        <v>#DIV/0!</v>
      </c>
      <c r="S1015" s="228"/>
      <c r="T1015" s="253"/>
      <c r="U1015" s="165"/>
      <c r="V1015" s="238"/>
      <c r="W1015" s="238"/>
      <c r="X1015" s="165"/>
      <c r="Y1015" s="165"/>
    </row>
    <row r="1016" spans="2:25">
      <c r="B1016" s="208"/>
      <c r="C1016" s="165"/>
      <c r="D1016" s="165"/>
      <c r="E1016" s="165"/>
      <c r="F1016" s="165"/>
      <c r="G1016" s="165"/>
      <c r="H1016" s="165"/>
      <c r="I1016" s="165"/>
      <c r="J1016" s="165"/>
      <c r="K1016" s="165"/>
      <c r="L1016" s="165"/>
      <c r="M1016" s="165"/>
      <c r="N1016" s="165"/>
      <c r="O1016" s="165"/>
      <c r="P1016" s="165"/>
      <c r="Q1016" s="165"/>
      <c r="R1016" s="165"/>
      <c r="S1016" s="165"/>
      <c r="T1016" s="209"/>
      <c r="U1016" s="165"/>
      <c r="V1016" s="165"/>
      <c r="W1016" s="165"/>
      <c r="X1016" s="165"/>
      <c r="Y1016" s="165"/>
    </row>
    <row r="1017" spans="2:25">
      <c r="B1017" s="212"/>
      <c r="C1017" s="213"/>
      <c r="D1017" s="213"/>
      <c r="E1017" s="213"/>
      <c r="F1017" s="213"/>
      <c r="G1017" s="213"/>
      <c r="H1017" s="213"/>
      <c r="I1017" s="213"/>
      <c r="J1017" s="213"/>
      <c r="K1017" s="213"/>
      <c r="L1017" s="213"/>
      <c r="M1017" s="213"/>
      <c r="N1017" s="213"/>
      <c r="O1017" s="213"/>
      <c r="P1017" s="213"/>
      <c r="Q1017" s="213"/>
      <c r="R1017" s="213"/>
      <c r="S1017" s="213"/>
      <c r="T1017" s="214"/>
      <c r="U1017" s="165"/>
      <c r="V1017" s="165"/>
      <c r="W1017" s="165"/>
      <c r="X1017" s="165"/>
      <c r="Y1017" s="165"/>
    </row>
    <row r="1018" spans="2:25">
      <c r="U1018" s="165"/>
      <c r="V1018" s="165"/>
      <c r="W1018" s="165"/>
      <c r="X1018" s="165"/>
      <c r="Y1018" s="165"/>
    </row>
    <row r="1019" spans="2:25">
      <c r="U1019" s="165"/>
      <c r="V1019" s="165"/>
      <c r="W1019" s="165"/>
      <c r="X1019" s="165"/>
      <c r="Y1019" s="165"/>
    </row>
    <row r="1020" spans="2:25">
      <c r="B1020" s="205"/>
      <c r="C1020" s="206"/>
      <c r="D1020" s="206"/>
      <c r="E1020" s="206"/>
      <c r="F1020" s="206"/>
      <c r="G1020" s="388" t="s">
        <v>433</v>
      </c>
      <c r="H1020" s="388"/>
      <c r="I1020" s="388"/>
      <c r="J1020" s="388"/>
      <c r="K1020" s="388"/>
      <c r="L1020" s="388"/>
      <c r="M1020" s="388"/>
      <c r="N1020" s="206"/>
      <c r="O1020" s="206"/>
      <c r="P1020" s="206"/>
      <c r="Q1020" s="206"/>
      <c r="R1020" s="206"/>
      <c r="S1020" s="206"/>
      <c r="T1020" s="206"/>
      <c r="U1020" s="165"/>
      <c r="V1020" s="165"/>
      <c r="W1020" s="165"/>
      <c r="X1020" s="165"/>
      <c r="Y1020" s="165"/>
    </row>
    <row r="1021" spans="2:25">
      <c r="B1021" s="208" t="s">
        <v>354</v>
      </c>
      <c r="C1021" s="165"/>
      <c r="D1021" s="165"/>
      <c r="E1021" s="165"/>
      <c r="F1021" s="165"/>
      <c r="G1021" s="389"/>
      <c r="H1021" s="389"/>
      <c r="I1021" s="389"/>
      <c r="J1021" s="389"/>
      <c r="K1021" s="389"/>
      <c r="L1021" s="389"/>
      <c r="M1021" s="389"/>
      <c r="N1021" s="165"/>
      <c r="O1021" s="165"/>
      <c r="P1021" s="165"/>
      <c r="Q1021" s="165"/>
      <c r="R1021" s="165"/>
      <c r="S1021" s="165"/>
      <c r="T1021" s="165"/>
      <c r="U1021" s="165"/>
      <c r="V1021" s="165"/>
      <c r="W1021" s="165"/>
      <c r="X1021" s="165"/>
      <c r="Y1021" s="165"/>
    </row>
    <row r="1022" spans="2:25">
      <c r="B1022" s="208" t="s">
        <v>355</v>
      </c>
      <c r="C1022" s="165"/>
      <c r="D1022" s="165"/>
      <c r="E1022" s="165"/>
      <c r="F1022" s="165"/>
      <c r="G1022" s="165"/>
      <c r="H1022" s="165"/>
      <c r="I1022" s="165"/>
      <c r="J1022" s="165"/>
      <c r="K1022" s="165"/>
      <c r="L1022" s="165"/>
      <c r="M1022" s="165"/>
      <c r="N1022" s="165"/>
      <c r="O1022" s="165"/>
      <c r="P1022" s="165"/>
      <c r="Q1022" s="165"/>
      <c r="R1022" s="390" t="s">
        <v>430</v>
      </c>
      <c r="S1022" s="390"/>
      <c r="T1022" s="390"/>
      <c r="U1022" s="165"/>
      <c r="V1022" s="165"/>
      <c r="W1022" s="165"/>
      <c r="X1022" s="165"/>
      <c r="Y1022" s="165"/>
    </row>
    <row r="1023" spans="2:25">
      <c r="B1023" s="208" t="s">
        <v>356</v>
      </c>
      <c r="C1023" s="165"/>
      <c r="D1023" s="165"/>
      <c r="E1023" s="165"/>
      <c r="F1023" s="165"/>
      <c r="G1023" s="165"/>
      <c r="H1023" s="165"/>
      <c r="I1023" s="165"/>
      <c r="J1023" s="165"/>
      <c r="K1023" s="165"/>
      <c r="L1023" s="165"/>
      <c r="M1023" s="165"/>
      <c r="N1023" s="165"/>
      <c r="O1023" s="165"/>
      <c r="P1023" s="165"/>
      <c r="Q1023" s="165"/>
      <c r="R1023" s="390"/>
      <c r="S1023" s="390"/>
      <c r="T1023" s="390"/>
      <c r="U1023" s="165"/>
      <c r="V1023" s="165"/>
      <c r="W1023" s="165"/>
      <c r="X1023" s="165"/>
      <c r="Y1023" s="165"/>
    </row>
    <row r="1024" spans="2:25">
      <c r="B1024" s="208" t="s">
        <v>357</v>
      </c>
      <c r="C1024" s="165"/>
      <c r="D1024" s="165"/>
      <c r="E1024" s="165"/>
      <c r="F1024" s="165"/>
      <c r="G1024" s="165"/>
      <c r="H1024" s="165"/>
      <c r="I1024" s="165"/>
      <c r="J1024" s="165"/>
      <c r="K1024" s="165"/>
      <c r="L1024" s="165"/>
      <c r="M1024" s="165"/>
      <c r="N1024" s="165"/>
      <c r="O1024" s="165"/>
      <c r="P1024" s="165"/>
      <c r="Q1024" s="165"/>
      <c r="R1024" s="390"/>
      <c r="S1024" s="390"/>
      <c r="T1024" s="390"/>
      <c r="U1024" s="165"/>
      <c r="V1024" s="165"/>
      <c r="W1024" s="165"/>
      <c r="X1024" s="165"/>
      <c r="Y1024" s="165"/>
    </row>
    <row r="1025" spans="2:25">
      <c r="B1025" s="208"/>
      <c r="C1025" s="165"/>
      <c r="D1025" s="165"/>
      <c r="E1025" s="165"/>
      <c r="F1025" s="165"/>
      <c r="G1025" s="165"/>
      <c r="H1025" s="165"/>
      <c r="I1025" s="165"/>
      <c r="J1025" s="165"/>
      <c r="K1025" s="165"/>
      <c r="L1025" s="165"/>
      <c r="M1025" s="165"/>
      <c r="N1025" s="165"/>
      <c r="O1025" s="165"/>
      <c r="P1025" s="165"/>
      <c r="Q1025" s="165"/>
      <c r="R1025" s="390"/>
      <c r="S1025" s="390"/>
      <c r="T1025" s="390"/>
      <c r="U1025" s="165"/>
      <c r="V1025" s="165"/>
      <c r="W1025" s="165"/>
      <c r="X1025" s="165"/>
      <c r="Y1025" s="165"/>
    </row>
    <row r="1026" spans="2:25">
      <c r="B1026" s="208" t="s">
        <v>359</v>
      </c>
      <c r="C1026" s="229"/>
      <c r="D1026" s="165"/>
      <c r="E1026" s="165" t="s">
        <v>347</v>
      </c>
      <c r="F1026" s="165" t="s">
        <v>2</v>
      </c>
      <c r="G1026" s="165" t="s">
        <v>6</v>
      </c>
      <c r="H1026" s="165"/>
      <c r="I1026" s="165"/>
      <c r="J1026" s="165"/>
      <c r="K1026" s="165"/>
      <c r="L1026" s="165"/>
      <c r="M1026" s="165"/>
      <c r="N1026" s="165"/>
      <c r="O1026" s="165"/>
      <c r="P1026" s="165"/>
      <c r="Q1026" s="165"/>
      <c r="R1026" s="165"/>
      <c r="S1026" s="165"/>
      <c r="T1026" s="165"/>
      <c r="U1026" s="165"/>
      <c r="V1026" s="165"/>
      <c r="W1026" s="165"/>
      <c r="X1026" s="165"/>
      <c r="Y1026" s="165"/>
    </row>
    <row r="1027" spans="2:25">
      <c r="B1027" s="208" t="s">
        <v>360</v>
      </c>
      <c r="C1027" s="230"/>
      <c r="D1027" s="165"/>
      <c r="E1027" s="165" t="s">
        <v>703</v>
      </c>
      <c r="F1027" s="165">
        <v>40</v>
      </c>
      <c r="G1027" s="165">
        <v>-40</v>
      </c>
      <c r="H1027" s="165"/>
      <c r="I1027" s="165"/>
      <c r="J1027" s="165"/>
      <c r="K1027" s="165"/>
      <c r="L1027" s="165"/>
      <c r="M1027" s="165"/>
      <c r="N1027" s="165"/>
      <c r="O1027" s="165"/>
      <c r="P1027" s="165"/>
      <c r="Q1027" s="165"/>
      <c r="R1027" s="165"/>
      <c r="S1027" s="165"/>
      <c r="T1027" s="165"/>
      <c r="U1027" s="165"/>
      <c r="V1027" s="165"/>
      <c r="W1027" s="165"/>
      <c r="X1027" s="165"/>
      <c r="Y1027" s="165"/>
    </row>
    <row r="1028" spans="2:25">
      <c r="B1028" s="208" t="s">
        <v>361</v>
      </c>
      <c r="C1028" s="231"/>
      <c r="D1028" s="165"/>
      <c r="E1028" s="165" t="s">
        <v>9</v>
      </c>
      <c r="F1028" s="165">
        <v>10</v>
      </c>
      <c r="G1028" s="165">
        <v>-10</v>
      </c>
      <c r="H1028" s="165"/>
      <c r="I1028" s="165"/>
      <c r="J1028" s="165"/>
      <c r="K1028" s="165"/>
      <c r="L1028" s="165"/>
      <c r="M1028" s="165"/>
      <c r="N1028" s="165"/>
      <c r="O1028" s="165"/>
      <c r="P1028" s="165"/>
      <c r="Q1028" s="165"/>
      <c r="R1028" s="165"/>
      <c r="S1028" s="165"/>
      <c r="T1028" s="165"/>
      <c r="U1028" s="165"/>
      <c r="V1028" s="165"/>
      <c r="W1028" s="165"/>
      <c r="X1028" s="165"/>
      <c r="Y1028" s="165"/>
    </row>
    <row r="1029" spans="2:25">
      <c r="B1029" s="208" t="s">
        <v>362</v>
      </c>
      <c r="C1029" s="232"/>
      <c r="D1029" s="165"/>
      <c r="E1029" s="161" t="s">
        <v>8</v>
      </c>
      <c r="F1029" s="165">
        <v>8</v>
      </c>
      <c r="G1029" s="165">
        <v>-8</v>
      </c>
      <c r="H1029" s="165"/>
      <c r="I1029" s="165"/>
      <c r="J1029" s="165"/>
      <c r="K1029" s="165"/>
      <c r="L1029" s="165"/>
      <c r="M1029" s="165"/>
      <c r="N1029" s="165"/>
      <c r="O1029" s="165"/>
      <c r="P1029" s="165"/>
      <c r="Q1029" s="165"/>
      <c r="R1029" s="165"/>
      <c r="S1029" s="165"/>
      <c r="T1029" s="165"/>
      <c r="U1029" s="165"/>
      <c r="V1029" s="165"/>
      <c r="W1029" s="165"/>
      <c r="X1029" s="165"/>
      <c r="Y1029" s="165"/>
    </row>
    <row r="1030" spans="2:25">
      <c r="B1030" s="208" t="s">
        <v>363</v>
      </c>
      <c r="C1030" s="233"/>
      <c r="D1030" s="165"/>
      <c r="E1030" s="161" t="s">
        <v>19</v>
      </c>
      <c r="F1030" s="161">
        <v>7</v>
      </c>
      <c r="G1030" s="161">
        <v>-7</v>
      </c>
      <c r="H1030" s="165"/>
      <c r="I1030" s="165"/>
      <c r="J1030" s="165"/>
      <c r="K1030" s="165"/>
      <c r="L1030" s="165"/>
      <c r="M1030" s="165"/>
      <c r="N1030" s="165"/>
      <c r="O1030" s="165"/>
      <c r="P1030" s="165"/>
      <c r="Q1030" s="165"/>
      <c r="R1030" s="165"/>
      <c r="S1030" s="165"/>
      <c r="T1030" s="165"/>
      <c r="U1030" s="165"/>
      <c r="V1030" s="165"/>
      <c r="W1030" s="165"/>
      <c r="X1030" s="165"/>
      <c r="Y1030" s="165"/>
    </row>
    <row r="1031" spans="2:25">
      <c r="B1031" s="208" t="s">
        <v>358</v>
      </c>
      <c r="C1031" s="234"/>
      <c r="D1031" s="165"/>
      <c r="E1031" s="161" t="s">
        <v>7</v>
      </c>
      <c r="F1031" s="161">
        <v>5</v>
      </c>
      <c r="G1031" s="161">
        <v>-5</v>
      </c>
      <c r="H1031" s="165"/>
      <c r="I1031" s="165"/>
      <c r="J1031" s="165"/>
      <c r="K1031" s="165"/>
      <c r="L1031" s="165"/>
      <c r="M1031" s="165"/>
      <c r="N1031" s="165"/>
      <c r="O1031" s="165"/>
      <c r="P1031" s="165"/>
      <c r="Q1031" s="165"/>
      <c r="R1031" s="165"/>
      <c r="S1031" s="165"/>
      <c r="T1031" s="165"/>
      <c r="U1031" s="165"/>
      <c r="V1031" s="165"/>
      <c r="W1031" s="165"/>
      <c r="X1031" s="165"/>
      <c r="Y1031" s="165"/>
    </row>
    <row r="1032" spans="2:25">
      <c r="B1032" s="208"/>
      <c r="C1032" s="165"/>
      <c r="D1032" s="165"/>
      <c r="E1032" s="161" t="s">
        <v>163</v>
      </c>
      <c r="F1032" s="161">
        <v>3</v>
      </c>
      <c r="G1032" s="161">
        <v>-3</v>
      </c>
      <c r="H1032" s="165"/>
      <c r="I1032" s="165"/>
      <c r="J1032" s="165"/>
      <c r="K1032" s="165"/>
      <c r="L1032" s="165"/>
      <c r="M1032" s="165"/>
      <c r="N1032" s="165"/>
      <c r="O1032" s="165"/>
      <c r="P1032" s="165"/>
      <c r="Q1032" s="165"/>
      <c r="R1032" s="165"/>
      <c r="S1032" s="165"/>
      <c r="T1032" s="165"/>
      <c r="U1032" s="165"/>
      <c r="V1032" s="165"/>
      <c r="W1032" s="165"/>
      <c r="X1032" s="165"/>
      <c r="Y1032" s="165"/>
    </row>
    <row r="1033" spans="2:25">
      <c r="B1033" s="208"/>
      <c r="C1033" s="165"/>
      <c r="D1033" s="165"/>
      <c r="E1033" s="161" t="s">
        <v>156</v>
      </c>
      <c r="F1033" s="161">
        <v>2</v>
      </c>
      <c r="G1033" s="161">
        <v>-2</v>
      </c>
      <c r="H1033" s="165"/>
      <c r="I1033" s="165"/>
      <c r="J1033" s="165"/>
      <c r="K1033" s="165"/>
      <c r="L1033" s="165"/>
      <c r="M1033" s="165"/>
      <c r="N1033" s="165"/>
      <c r="O1033" s="165"/>
      <c r="P1033" s="165"/>
      <c r="Q1033" s="165"/>
      <c r="R1033" s="165"/>
      <c r="S1033" s="165"/>
      <c r="T1033" s="165"/>
      <c r="U1033" s="165"/>
      <c r="V1033" s="165"/>
      <c r="W1033" s="165"/>
      <c r="X1033" s="165"/>
      <c r="Y1033" s="165"/>
    </row>
    <row r="1034" spans="2:25">
      <c r="B1034" s="208"/>
      <c r="C1034" s="165"/>
      <c r="D1034" s="165"/>
      <c r="E1034" s="161" t="s">
        <v>432</v>
      </c>
      <c r="F1034" s="161">
        <v>1</v>
      </c>
      <c r="G1034" s="161">
        <v>1</v>
      </c>
      <c r="H1034" s="165"/>
      <c r="I1034" s="165"/>
      <c r="J1034" s="165"/>
      <c r="K1034" s="165"/>
      <c r="L1034" s="165"/>
      <c r="M1034" s="165"/>
      <c r="N1034" s="165"/>
      <c r="O1034" s="165"/>
      <c r="P1034" s="165"/>
      <c r="Q1034" s="165"/>
      <c r="R1034" s="165"/>
      <c r="S1034" s="165"/>
      <c r="T1034" s="165"/>
    </row>
    <row r="1035" spans="2:25">
      <c r="B1035" s="208"/>
      <c r="C1035" s="165"/>
      <c r="D1035" s="165"/>
      <c r="E1035" s="161" t="s">
        <v>3</v>
      </c>
      <c r="F1035" s="161">
        <v>-2</v>
      </c>
      <c r="G1035" s="161">
        <v>2</v>
      </c>
      <c r="H1035" s="165"/>
      <c r="I1035" s="165"/>
      <c r="J1035" s="165"/>
      <c r="K1035" s="165"/>
      <c r="L1035" s="165"/>
      <c r="M1035" s="165"/>
      <c r="N1035" s="165"/>
      <c r="O1035" s="165"/>
      <c r="P1035" s="165"/>
      <c r="Q1035" s="165"/>
      <c r="R1035" s="165"/>
      <c r="S1035" s="165"/>
      <c r="T1035" s="165"/>
    </row>
    <row r="1036" spans="2:25">
      <c r="B1036" s="208"/>
      <c r="C1036" s="165"/>
      <c r="D1036" s="165"/>
      <c r="E1036" s="161" t="s">
        <v>45</v>
      </c>
      <c r="F1036" s="161">
        <v>2</v>
      </c>
      <c r="G1036" s="161">
        <v>2</v>
      </c>
      <c r="H1036" s="165"/>
      <c r="I1036" s="165"/>
      <c r="J1036" s="165"/>
      <c r="K1036" s="165"/>
      <c r="L1036" s="165"/>
      <c r="M1036" s="165"/>
      <c r="N1036" s="165"/>
      <c r="O1036" s="165"/>
      <c r="P1036" s="165"/>
      <c r="Q1036" s="165"/>
      <c r="R1036" s="165"/>
      <c r="S1036" s="165"/>
      <c r="T1036" s="165"/>
    </row>
    <row r="1037" spans="2:25">
      <c r="B1037" s="208"/>
      <c r="C1037" s="165"/>
      <c r="D1037" s="165"/>
      <c r="E1037" s="165"/>
      <c r="F1037" s="165"/>
      <c r="G1037" s="165"/>
      <c r="H1037" s="165"/>
      <c r="I1037" s="165"/>
      <c r="J1037" s="165"/>
      <c r="K1037" s="165"/>
      <c r="L1037" s="165"/>
      <c r="M1037" s="165"/>
      <c r="N1037" s="165"/>
      <c r="O1037" s="165"/>
      <c r="P1037" s="165"/>
      <c r="Q1037" s="165"/>
      <c r="R1037" s="165"/>
      <c r="S1037" s="165"/>
      <c r="T1037" s="165"/>
    </row>
    <row r="1038" spans="2:25">
      <c r="B1038" s="208" t="s">
        <v>45</v>
      </c>
      <c r="C1038" s="165" t="s">
        <v>417</v>
      </c>
      <c r="D1038" s="165" t="s">
        <v>311</v>
      </c>
      <c r="E1038" s="165" t="s">
        <v>350</v>
      </c>
      <c r="F1038" s="250" t="s">
        <v>377</v>
      </c>
      <c r="G1038" s="249"/>
      <c r="H1038" s="208" t="s">
        <v>45</v>
      </c>
      <c r="I1038" s="165" t="s">
        <v>417</v>
      </c>
      <c r="J1038" s="165" t="s">
        <v>311</v>
      </c>
      <c r="K1038" s="165" t="s">
        <v>350</v>
      </c>
      <c r="L1038" s="250" t="s">
        <v>377</v>
      </c>
      <c r="M1038" s="115"/>
      <c r="N1038" s="208" t="s">
        <v>45</v>
      </c>
      <c r="O1038" s="165" t="s">
        <v>417</v>
      </c>
      <c r="P1038" s="165" t="s">
        <v>311</v>
      </c>
      <c r="Q1038" s="165" t="s">
        <v>350</v>
      </c>
      <c r="R1038" s="250" t="s">
        <v>377</v>
      </c>
      <c r="S1038" s="115"/>
      <c r="T1038" s="115"/>
    </row>
    <row r="1039" spans="2:25">
      <c r="B1039" s="208">
        <f>Algandmed!AG730</f>
        <v>0</v>
      </c>
      <c r="C1039" s="228" t="e">
        <f>Algandmed!AG732</f>
        <v>#DIV/0!</v>
      </c>
      <c r="D1039" s="238">
        <f>Algandmed!AG733</f>
        <v>0</v>
      </c>
      <c r="E1039" s="238">
        <f>Algandmed!AG734+D1039</f>
        <v>0</v>
      </c>
      <c r="F1039" s="237" t="e">
        <f>(($G$974*Algandmed!AG733)+($G$975*Algandmed!AG734)+($G$981*Algandmed!AG732)+($G$983*Algandmed!AG730))/SQRT(Algandmed!AG730)</f>
        <v>#DIV/0!</v>
      </c>
      <c r="G1039" s="238"/>
      <c r="H1039" s="208">
        <f>Algandmed!AL730</f>
        <v>0</v>
      </c>
      <c r="I1039" s="228" t="e">
        <f>Algandmed!AL732</f>
        <v>#DIV/0!</v>
      </c>
      <c r="J1039" s="238">
        <f>Algandmed!AL733</f>
        <v>0</v>
      </c>
      <c r="K1039" s="238">
        <f>Algandmed!AL734+J1039</f>
        <v>0</v>
      </c>
      <c r="L1039" s="237" t="e">
        <f>(($G$974*Algandmed!AL733)+($G$975*Algandmed!AL734)+($G$981*Algandmed!AL732)+($G$983*Algandmed!AL730))/SQRT(Algandmed!AL730)</f>
        <v>#DIV/0!</v>
      </c>
      <c r="M1039" s="115"/>
      <c r="N1039" s="208">
        <f>Algandmed!AQ730</f>
        <v>0</v>
      </c>
      <c r="O1039" s="228" t="e">
        <f>Algandmed!AQ732</f>
        <v>#DIV/0!</v>
      </c>
      <c r="P1039" s="238">
        <f>Algandmed!AQ733</f>
        <v>0</v>
      </c>
      <c r="Q1039" s="238">
        <f>Algandmed!AQ734+P1039</f>
        <v>0</v>
      </c>
      <c r="R1039" s="237" t="e">
        <f>(($G$974*Algandmed!AQ733)+($G$975*Algandmed!AQ734)+($G$981*Algandmed!AQ732)+($G$983*Algandmed!AQ730))/SQRT(Algandmed!AQ730)</f>
        <v>#DIV/0!</v>
      </c>
      <c r="S1039" s="115"/>
      <c r="T1039" s="115"/>
    </row>
    <row r="1040" spans="2:25">
      <c r="B1040" s="208"/>
      <c r="C1040" s="228"/>
      <c r="D1040" s="228"/>
      <c r="E1040" s="165"/>
      <c r="F1040" s="238"/>
      <c r="G1040" s="238"/>
      <c r="H1040" s="208"/>
      <c r="I1040" s="228"/>
      <c r="J1040" s="228"/>
      <c r="K1040" s="165"/>
      <c r="L1040" s="238"/>
      <c r="M1040" s="165"/>
      <c r="N1040" s="208"/>
      <c r="O1040" s="228"/>
      <c r="P1040" s="228"/>
      <c r="Q1040" s="165"/>
      <c r="R1040" s="238"/>
      <c r="S1040" s="228"/>
      <c r="T1040" s="228"/>
    </row>
    <row r="1041" spans="2:20">
      <c r="B1041" s="208">
        <f>Algandmed!AG737</f>
        <v>0</v>
      </c>
      <c r="C1041" s="228" t="e">
        <f>Algandmed!AG739</f>
        <v>#DIV/0!</v>
      </c>
      <c r="D1041" s="238">
        <f>Algandmed!AG740</f>
        <v>0</v>
      </c>
      <c r="E1041" s="238">
        <f>Algandmed!AG741+D1041</f>
        <v>0</v>
      </c>
      <c r="F1041" s="237" t="e">
        <f>(($G$974*Algandmed!AG740)+($G$975*Algandmed!AG741)+($G$981*Algandmed!AG739)+($G$983*Algandmed!AG737))/SQRT(Algandmed!AG737)</f>
        <v>#DIV/0!</v>
      </c>
      <c r="G1041" s="238"/>
      <c r="H1041" s="208">
        <f>Algandmed!AL737</f>
        <v>0</v>
      </c>
      <c r="I1041" s="228" t="e">
        <f>Algandmed!AL739</f>
        <v>#DIV/0!</v>
      </c>
      <c r="J1041" s="238">
        <f>Algandmed!AL740</f>
        <v>0</v>
      </c>
      <c r="K1041" s="238">
        <f>Algandmed!AL741+J1041</f>
        <v>0</v>
      </c>
      <c r="L1041" s="237" t="e">
        <f>(($G$974*Algandmed!AL740)+($G$975*Algandmed!AL741)+($G$981*Algandmed!AL739)+($G$983*Algandmed!AL737))/SQRT(Algandmed!AL737)</f>
        <v>#DIV/0!</v>
      </c>
      <c r="M1041" s="165"/>
      <c r="N1041" s="208">
        <f>Algandmed!AQ737</f>
        <v>0</v>
      </c>
      <c r="O1041" s="228" t="e">
        <f>Algandmed!AQ739</f>
        <v>#DIV/0!</v>
      </c>
      <c r="P1041" s="238">
        <f>Algandmed!AQ740</f>
        <v>0</v>
      </c>
      <c r="Q1041" s="238">
        <f>Algandmed!AQ741+P1041</f>
        <v>0</v>
      </c>
      <c r="R1041" s="237" t="e">
        <f>(($G$974*Algandmed!AQ740)+($G$975*Algandmed!AQ741)+($G$981*Algandmed!AQ739)+($G$983*Algandmed!AQ737))/SQRT(Algandmed!AQ737)</f>
        <v>#DIV/0!</v>
      </c>
      <c r="S1041" s="228"/>
      <c r="T1041" s="228"/>
    </row>
    <row r="1042" spans="2:20">
      <c r="B1042" s="208"/>
      <c r="C1042" s="228"/>
      <c r="D1042" s="228"/>
      <c r="E1042" s="165"/>
      <c r="F1042" s="238"/>
      <c r="G1042" s="238"/>
      <c r="H1042" s="237"/>
      <c r="I1042" s="238"/>
      <c r="J1042" s="165"/>
      <c r="K1042" s="228"/>
      <c r="L1042" s="228"/>
      <c r="M1042" s="165"/>
      <c r="N1042" s="238"/>
      <c r="O1042" s="238"/>
      <c r="P1042" s="238"/>
      <c r="Q1042" s="238"/>
      <c r="R1042" s="165"/>
      <c r="S1042" s="228"/>
      <c r="T1042" s="228"/>
    </row>
    <row r="1043" spans="2:20">
      <c r="B1043" s="208"/>
      <c r="C1043" s="228"/>
      <c r="D1043" s="228"/>
      <c r="E1043" s="165"/>
      <c r="F1043" s="238"/>
      <c r="G1043" s="238"/>
      <c r="H1043" s="237"/>
      <c r="I1043" s="238"/>
      <c r="J1043" s="165"/>
      <c r="K1043" s="228"/>
      <c r="L1043" s="228"/>
      <c r="M1043" s="165"/>
      <c r="N1043" s="238"/>
      <c r="O1043" s="238"/>
      <c r="P1043" s="238"/>
      <c r="Q1043" s="238"/>
      <c r="R1043" s="165"/>
      <c r="S1043" s="228"/>
      <c r="T1043" s="228"/>
    </row>
    <row r="1044" spans="2:20">
      <c r="B1044" s="212"/>
      <c r="C1044" s="213"/>
      <c r="D1044" s="213"/>
      <c r="E1044" s="213"/>
      <c r="F1044" s="248"/>
      <c r="G1044" s="248"/>
      <c r="H1044" s="241"/>
      <c r="I1044" s="248"/>
      <c r="J1044" s="248"/>
      <c r="K1044" s="248"/>
      <c r="L1044" s="248"/>
      <c r="M1044" s="240"/>
      <c r="N1044" s="241"/>
      <c r="O1044" s="213"/>
      <c r="P1044" s="248"/>
      <c r="Q1044" s="248"/>
      <c r="R1044" s="248"/>
      <c r="S1044" s="248"/>
      <c r="T1044" s="240"/>
    </row>
    <row r="1045" spans="2:20">
      <c r="B1045" s="115"/>
      <c r="C1045" s="115"/>
      <c r="D1045" s="115"/>
      <c r="E1045" s="115"/>
      <c r="F1045" s="115"/>
      <c r="G1045" s="246"/>
      <c r="H1045" s="115"/>
      <c r="I1045" s="115"/>
      <c r="J1045" s="115"/>
      <c r="K1045" s="115"/>
      <c r="L1045" s="115"/>
      <c r="M1045" s="115"/>
      <c r="N1045" s="115"/>
      <c r="O1045" s="115"/>
      <c r="P1045" s="115"/>
      <c r="Q1045" s="115"/>
      <c r="R1045" s="115"/>
      <c r="S1045" s="115"/>
      <c r="T1045" s="115"/>
    </row>
    <row r="1046" spans="2:20">
      <c r="B1046" s="115"/>
      <c r="C1046" s="115"/>
      <c r="D1046" s="115"/>
      <c r="E1046" s="115"/>
      <c r="F1046" s="115"/>
      <c r="G1046" s="246"/>
      <c r="H1046" s="115"/>
      <c r="I1046" s="115"/>
      <c r="J1046" s="115"/>
      <c r="K1046" s="115"/>
      <c r="L1046" s="115"/>
      <c r="M1046" s="115"/>
      <c r="N1046" s="115"/>
      <c r="O1046" s="115"/>
      <c r="P1046" s="115"/>
      <c r="Q1046" s="115"/>
      <c r="R1046" s="115"/>
      <c r="S1046" s="115"/>
      <c r="T1046" s="115"/>
    </row>
    <row r="1047" spans="2:20">
      <c r="B1047" s="205"/>
      <c r="C1047" s="206"/>
      <c r="D1047" s="206"/>
      <c r="E1047" s="206"/>
      <c r="F1047" s="206"/>
      <c r="G1047" s="388" t="s">
        <v>436</v>
      </c>
      <c r="H1047" s="388"/>
      <c r="I1047" s="388"/>
      <c r="J1047" s="388"/>
      <c r="K1047" s="388"/>
      <c r="L1047" s="388"/>
      <c r="M1047" s="388"/>
      <c r="N1047" s="206"/>
      <c r="O1047" s="206"/>
      <c r="P1047" s="206"/>
      <c r="Q1047" s="206"/>
      <c r="R1047" s="206"/>
      <c r="S1047" s="206"/>
      <c r="T1047" s="207"/>
    </row>
    <row r="1048" spans="2:20">
      <c r="B1048" s="208" t="s">
        <v>354</v>
      </c>
      <c r="C1048" s="165"/>
      <c r="D1048" s="165"/>
      <c r="E1048" s="165"/>
      <c r="F1048" s="165"/>
      <c r="G1048" s="389"/>
      <c r="H1048" s="389"/>
      <c r="I1048" s="389"/>
      <c r="J1048" s="389"/>
      <c r="K1048" s="389"/>
      <c r="L1048" s="389"/>
      <c r="M1048" s="389"/>
      <c r="N1048" s="165"/>
      <c r="O1048" s="165"/>
      <c r="P1048" s="165"/>
      <c r="Q1048" s="165"/>
      <c r="R1048" s="165"/>
      <c r="S1048" s="165"/>
      <c r="T1048" s="209"/>
    </row>
    <row r="1049" spans="2:20">
      <c r="B1049" s="208" t="s">
        <v>355</v>
      </c>
      <c r="C1049" s="165"/>
      <c r="D1049" s="165"/>
      <c r="E1049" s="165"/>
      <c r="F1049" s="165"/>
      <c r="G1049" s="165"/>
      <c r="H1049" s="165"/>
      <c r="I1049" s="165"/>
      <c r="J1049" s="165"/>
      <c r="K1049" s="165"/>
      <c r="L1049" s="165"/>
      <c r="M1049" s="165"/>
      <c r="N1049" s="165"/>
      <c r="O1049" s="165"/>
      <c r="P1049" s="165"/>
      <c r="Q1049" s="165"/>
      <c r="R1049" s="390" t="s">
        <v>431</v>
      </c>
      <c r="S1049" s="390"/>
      <c r="T1049" s="391"/>
    </row>
    <row r="1050" spans="2:20">
      <c r="B1050" s="208" t="s">
        <v>356</v>
      </c>
      <c r="C1050" s="165"/>
      <c r="D1050" s="165"/>
      <c r="E1050" s="165"/>
      <c r="F1050" s="165"/>
      <c r="G1050" s="165"/>
      <c r="H1050" s="165"/>
      <c r="I1050" s="165"/>
      <c r="J1050" s="165"/>
      <c r="K1050" s="165"/>
      <c r="L1050" s="165"/>
      <c r="M1050" s="165"/>
      <c r="N1050" s="165"/>
      <c r="O1050" s="165"/>
      <c r="P1050" s="165"/>
      <c r="Q1050" s="165"/>
      <c r="R1050" s="390"/>
      <c r="S1050" s="390"/>
      <c r="T1050" s="391"/>
    </row>
    <row r="1051" spans="2:20">
      <c r="B1051" s="208" t="s">
        <v>357</v>
      </c>
      <c r="C1051" s="165"/>
      <c r="D1051" s="165"/>
      <c r="E1051" s="165"/>
      <c r="F1051" s="165"/>
      <c r="G1051" s="165"/>
      <c r="H1051" s="165"/>
      <c r="I1051" s="165"/>
      <c r="J1051" s="165"/>
      <c r="K1051" s="165"/>
      <c r="L1051" s="165"/>
      <c r="M1051" s="165"/>
      <c r="N1051" s="165"/>
      <c r="O1051" s="165"/>
      <c r="P1051" s="165"/>
      <c r="Q1051" s="165"/>
      <c r="R1051" s="390"/>
      <c r="S1051" s="390"/>
      <c r="T1051" s="391"/>
    </row>
    <row r="1052" spans="2:20">
      <c r="B1052" s="208" t="s">
        <v>419</v>
      </c>
      <c r="C1052" s="165"/>
      <c r="D1052" s="165"/>
      <c r="E1052" s="165"/>
      <c r="F1052" s="165"/>
      <c r="G1052" s="165"/>
      <c r="H1052" s="165"/>
      <c r="I1052" s="165"/>
      <c r="J1052" s="165"/>
      <c r="K1052" s="165"/>
      <c r="L1052" s="165"/>
      <c r="M1052" s="165"/>
      <c r="N1052" s="165"/>
      <c r="O1052" s="165"/>
      <c r="P1052" s="165"/>
      <c r="Q1052" s="165"/>
      <c r="R1052" s="390"/>
      <c r="S1052" s="390"/>
      <c r="T1052" s="391"/>
    </row>
    <row r="1053" spans="2:20">
      <c r="B1053" s="208" t="s">
        <v>359</v>
      </c>
      <c r="C1053" s="229"/>
      <c r="D1053" s="165"/>
      <c r="E1053" s="165" t="s">
        <v>347</v>
      </c>
      <c r="F1053" s="165" t="s">
        <v>2</v>
      </c>
      <c r="G1053" s="165" t="s">
        <v>6</v>
      </c>
      <c r="H1053" s="165"/>
      <c r="I1053" s="165"/>
      <c r="J1053" s="165"/>
      <c r="K1053" s="165"/>
      <c r="L1053" s="165"/>
      <c r="M1053" s="165"/>
      <c r="N1053" s="165"/>
      <c r="O1053" s="165"/>
      <c r="P1053" s="165"/>
      <c r="Q1053" s="165"/>
      <c r="R1053" s="165"/>
      <c r="S1053" s="165"/>
      <c r="T1053" s="209"/>
    </row>
    <row r="1054" spans="2:20">
      <c r="B1054" s="208" t="s">
        <v>360</v>
      </c>
      <c r="C1054" s="230"/>
      <c r="D1054" s="165"/>
      <c r="E1054" s="165" t="s">
        <v>703</v>
      </c>
      <c r="F1054" s="165">
        <v>40</v>
      </c>
      <c r="G1054" s="165">
        <v>-40</v>
      </c>
      <c r="H1054" s="165"/>
      <c r="I1054" s="165"/>
      <c r="J1054" s="165"/>
      <c r="K1054" s="165"/>
      <c r="L1054" s="165"/>
      <c r="M1054" s="165"/>
      <c r="N1054" s="165"/>
      <c r="O1054" s="165"/>
      <c r="P1054" s="165"/>
      <c r="Q1054" s="165"/>
      <c r="R1054" s="165"/>
      <c r="S1054" s="165"/>
      <c r="T1054" s="209"/>
    </row>
    <row r="1055" spans="2:20">
      <c r="B1055" s="208" t="s">
        <v>361</v>
      </c>
      <c r="C1055" s="231"/>
      <c r="D1055" s="165"/>
      <c r="E1055" s="165" t="s">
        <v>9</v>
      </c>
      <c r="F1055" s="165">
        <v>10</v>
      </c>
      <c r="G1055" s="165">
        <v>-10</v>
      </c>
      <c r="H1055" s="165"/>
      <c r="I1055" s="165"/>
      <c r="J1055" s="165"/>
      <c r="K1055" s="165"/>
      <c r="L1055" s="165"/>
      <c r="M1055" s="165"/>
      <c r="N1055" s="165"/>
      <c r="O1055" s="165"/>
      <c r="P1055" s="165"/>
      <c r="Q1055" s="165"/>
      <c r="R1055" s="165"/>
      <c r="S1055" s="165"/>
      <c r="T1055" s="209"/>
    </row>
    <row r="1056" spans="2:20">
      <c r="B1056" s="208" t="s">
        <v>362</v>
      </c>
      <c r="C1056" s="232"/>
      <c r="D1056" s="165"/>
      <c r="E1056" s="161" t="s">
        <v>8</v>
      </c>
      <c r="F1056" s="165">
        <v>8</v>
      </c>
      <c r="G1056" s="165">
        <v>-8</v>
      </c>
      <c r="H1056" s="165"/>
      <c r="I1056" s="165"/>
      <c r="J1056" s="165"/>
      <c r="K1056" s="165"/>
      <c r="L1056" s="165"/>
      <c r="M1056" s="165"/>
      <c r="N1056" s="165"/>
      <c r="O1056" s="165"/>
      <c r="P1056" s="165"/>
      <c r="Q1056" s="165"/>
      <c r="R1056" s="165"/>
      <c r="S1056" s="165"/>
      <c r="T1056" s="209"/>
    </row>
    <row r="1057" spans="1:20">
      <c r="B1057" s="208" t="s">
        <v>363</v>
      </c>
      <c r="C1057" s="233"/>
      <c r="D1057" s="165"/>
      <c r="E1057" s="161" t="s">
        <v>19</v>
      </c>
      <c r="F1057" s="161">
        <v>7</v>
      </c>
      <c r="G1057" s="161">
        <v>-7</v>
      </c>
      <c r="H1057" s="165"/>
      <c r="I1057" s="165"/>
      <c r="J1057" s="165"/>
      <c r="K1057" s="165"/>
      <c r="L1057" s="165"/>
      <c r="M1057" s="165"/>
      <c r="N1057" s="165"/>
      <c r="O1057" s="165"/>
      <c r="P1057" s="165"/>
      <c r="Q1057" s="165"/>
      <c r="R1057" s="165"/>
      <c r="S1057" s="165"/>
      <c r="T1057" s="209"/>
    </row>
    <row r="1058" spans="1:20">
      <c r="A1058" t="s">
        <v>440</v>
      </c>
      <c r="B1058" s="208" t="s">
        <v>358</v>
      </c>
      <c r="C1058" s="234"/>
      <c r="D1058" s="165"/>
      <c r="E1058" s="161" t="s">
        <v>7</v>
      </c>
      <c r="F1058" s="161">
        <v>5</v>
      </c>
      <c r="G1058" s="161">
        <v>-5</v>
      </c>
      <c r="H1058" s="165"/>
      <c r="I1058" s="165"/>
      <c r="J1058" s="165"/>
      <c r="K1058" s="165"/>
      <c r="L1058" s="165"/>
      <c r="M1058" s="165"/>
      <c r="N1058" s="165"/>
      <c r="O1058" s="165"/>
      <c r="P1058" s="165"/>
      <c r="Q1058" s="165"/>
      <c r="R1058" s="165"/>
      <c r="S1058" s="165"/>
      <c r="T1058" s="209"/>
    </row>
    <row r="1059" spans="1:20">
      <c r="A1059" t="s">
        <v>437</v>
      </c>
      <c r="B1059" s="208"/>
      <c r="C1059" s="165"/>
      <c r="D1059" s="165"/>
      <c r="E1059" s="161" t="s">
        <v>163</v>
      </c>
      <c r="F1059" s="161">
        <v>3</v>
      </c>
      <c r="G1059" s="161">
        <v>-3</v>
      </c>
      <c r="H1059" s="165"/>
      <c r="I1059" s="165"/>
      <c r="J1059" s="165"/>
      <c r="K1059" s="165"/>
      <c r="L1059" s="165"/>
      <c r="M1059" s="165"/>
      <c r="N1059" s="165"/>
      <c r="O1059" s="165"/>
      <c r="P1059" s="165"/>
      <c r="Q1059" s="165"/>
      <c r="R1059" s="165"/>
      <c r="S1059" s="165"/>
      <c r="T1059" s="209"/>
    </row>
    <row r="1060" spans="1:20">
      <c r="A1060" t="s">
        <v>440</v>
      </c>
      <c r="B1060" s="208"/>
      <c r="C1060" s="165"/>
      <c r="D1060" s="165"/>
      <c r="E1060" s="161" t="s">
        <v>156</v>
      </c>
      <c r="F1060" s="161">
        <v>2</v>
      </c>
      <c r="G1060" s="161">
        <v>-2</v>
      </c>
      <c r="H1060" s="165"/>
      <c r="I1060" s="165"/>
      <c r="J1060" s="165"/>
      <c r="K1060" s="165"/>
      <c r="L1060" s="165"/>
      <c r="M1060" s="165"/>
      <c r="N1060" s="165"/>
      <c r="O1060" s="165"/>
      <c r="P1060" s="165"/>
      <c r="Q1060" s="165"/>
      <c r="R1060" s="165"/>
      <c r="S1060" s="165"/>
      <c r="T1060" s="209"/>
    </row>
    <row r="1061" spans="1:20">
      <c r="A1061" t="s">
        <v>449</v>
      </c>
      <c r="B1061" s="208"/>
      <c r="C1061" s="165"/>
      <c r="D1061" s="165"/>
      <c r="E1061" s="161" t="s">
        <v>432</v>
      </c>
      <c r="F1061" s="161">
        <v>1</v>
      </c>
      <c r="G1061" s="161">
        <v>1</v>
      </c>
      <c r="H1061" s="165"/>
      <c r="I1061" s="165"/>
      <c r="J1061" s="165"/>
      <c r="K1061" s="165"/>
      <c r="L1061" s="165"/>
      <c r="M1061" s="165"/>
      <c r="N1061" s="165"/>
      <c r="O1061" s="165"/>
      <c r="P1061" s="165"/>
      <c r="Q1061" s="165"/>
      <c r="R1061" s="165"/>
      <c r="S1061" s="165"/>
      <c r="T1061" s="209"/>
    </row>
    <row r="1062" spans="1:20">
      <c r="B1062" s="208" t="s">
        <v>448</v>
      </c>
      <c r="C1062" s="165"/>
      <c r="D1062" s="165"/>
      <c r="E1062" s="161" t="s">
        <v>3</v>
      </c>
      <c r="F1062" s="161">
        <v>-2</v>
      </c>
      <c r="G1062" s="161">
        <v>2</v>
      </c>
      <c r="H1062" s="165"/>
      <c r="I1062" s="165"/>
      <c r="J1062" s="165"/>
      <c r="K1062" s="165"/>
      <c r="L1062" s="165"/>
      <c r="M1062" s="165"/>
      <c r="N1062" s="165"/>
      <c r="O1062" s="165"/>
      <c r="P1062" s="165"/>
      <c r="Q1062" s="165"/>
      <c r="R1062" s="165"/>
      <c r="S1062" s="165"/>
      <c r="T1062" s="209"/>
    </row>
    <row r="1063" spans="1:20">
      <c r="B1063" s="208" t="s">
        <v>447</v>
      </c>
      <c r="C1063" s="165"/>
      <c r="D1063" s="165"/>
      <c r="E1063" s="161" t="s">
        <v>45</v>
      </c>
      <c r="F1063" s="161">
        <v>2</v>
      </c>
      <c r="G1063" s="161">
        <v>2</v>
      </c>
      <c r="H1063" s="165"/>
      <c r="I1063" s="165"/>
      <c r="J1063" s="165"/>
      <c r="K1063" s="165"/>
      <c r="L1063" s="165"/>
      <c r="M1063" s="165"/>
      <c r="N1063" s="165"/>
      <c r="O1063" s="165"/>
      <c r="P1063" s="165"/>
      <c r="Q1063" s="165"/>
      <c r="R1063" s="165"/>
      <c r="S1063" s="165"/>
      <c r="T1063" s="209"/>
    </row>
    <row r="1064" spans="1:20">
      <c r="B1064" s="208"/>
      <c r="C1064" s="165"/>
      <c r="D1064" s="165"/>
      <c r="E1064" s="161"/>
      <c r="F1064" s="161"/>
      <c r="G1064" s="161"/>
      <c r="H1064" s="165"/>
      <c r="I1064" s="165"/>
      <c r="J1064" s="165"/>
      <c r="K1064" s="165"/>
      <c r="L1064" s="165"/>
      <c r="M1064" s="165"/>
      <c r="N1064" s="165"/>
      <c r="O1064" s="165"/>
      <c r="P1064" s="165"/>
      <c r="Q1064" s="165"/>
      <c r="R1064" s="165"/>
      <c r="S1064" s="165"/>
      <c r="T1064" s="209"/>
    </row>
    <row r="1065" spans="1:20">
      <c r="B1065" s="208" t="s">
        <v>45</v>
      </c>
      <c r="C1065" s="165" t="s">
        <v>417</v>
      </c>
      <c r="D1065" s="165" t="s">
        <v>311</v>
      </c>
      <c r="E1065" s="165" t="s">
        <v>350</v>
      </c>
      <c r="F1065" s="250" t="s">
        <v>377</v>
      </c>
      <c r="H1065" s="208" t="s">
        <v>45</v>
      </c>
      <c r="I1065" s="165" t="s">
        <v>417</v>
      </c>
      <c r="J1065" s="165" t="s">
        <v>311</v>
      </c>
      <c r="K1065" s="165" t="s">
        <v>350</v>
      </c>
      <c r="L1065" s="250" t="s">
        <v>377</v>
      </c>
      <c r="N1065" s="208" t="s">
        <v>45</v>
      </c>
      <c r="O1065" s="165" t="s">
        <v>417</v>
      </c>
      <c r="P1065" s="165" t="s">
        <v>311</v>
      </c>
      <c r="Q1065" s="165" t="s">
        <v>350</v>
      </c>
      <c r="R1065" s="250" t="s">
        <v>377</v>
      </c>
      <c r="S1065" s="165"/>
      <c r="T1065" s="209"/>
    </row>
    <row r="1066" spans="1:20">
      <c r="B1066" s="208">
        <f>Algandmed!AG747</f>
        <v>0</v>
      </c>
      <c r="C1066" s="228" t="e">
        <f>Algandmed!AG749</f>
        <v>#DIV/0!</v>
      </c>
      <c r="D1066" s="238">
        <f>Algandmed!AG750</f>
        <v>0</v>
      </c>
      <c r="E1066" s="238">
        <f>Algandmed!AG751+D1066</f>
        <v>0</v>
      </c>
      <c r="F1066" s="237" t="e">
        <f>(($G$974*Algandmed!AG750)+($G$975*Algandmed!AG751)+($G$981*Algandmed!AG749)+($G$983*Algandmed!AG747))/SQRT(Algandmed!AG747)</f>
        <v>#DIV/0!</v>
      </c>
      <c r="H1066" s="208">
        <f>Algandmed!AL747</f>
        <v>0</v>
      </c>
      <c r="I1066" s="228" t="e">
        <f>Algandmed!AL749</f>
        <v>#DIV/0!</v>
      </c>
      <c r="J1066" s="238">
        <f>Algandmed!AL750</f>
        <v>0</v>
      </c>
      <c r="K1066" s="238">
        <f>Algandmed!AL751+J1066</f>
        <v>0</v>
      </c>
      <c r="L1066" s="237" t="e">
        <f>(($G$974*Algandmed!AL750)+($G$975*Algandmed!AL751)+($G$981*Algandmed!AL749)+($G$983*Algandmed!AL747))/SQRT(Algandmed!AL747)</f>
        <v>#DIV/0!</v>
      </c>
      <c r="N1066" s="208">
        <f>Algandmed!AQ747</f>
        <v>0</v>
      </c>
      <c r="O1066" s="228" t="e">
        <f>Algandmed!AQ749</f>
        <v>#DIV/0!</v>
      </c>
      <c r="P1066" s="238">
        <f>Algandmed!AQ750</f>
        <v>0</v>
      </c>
      <c r="Q1066" s="238">
        <f>Algandmed!AQ751+P1066</f>
        <v>0</v>
      </c>
      <c r="R1066" s="237" t="e">
        <f>(($G$974*Algandmed!AQ750)+($G$975*Algandmed!AQ751)+($G$981*Algandmed!AQ749)+($G$983*Algandmed!AQ747))/SQRT(Algandmed!AQ747)</f>
        <v>#DIV/0!</v>
      </c>
      <c r="S1066" s="165"/>
      <c r="T1066" s="209"/>
    </row>
    <row r="1067" spans="1:20">
      <c r="B1067" s="208"/>
      <c r="C1067" s="228"/>
      <c r="D1067" s="228"/>
      <c r="E1067" s="165"/>
      <c r="F1067" s="238"/>
      <c r="H1067" s="208"/>
      <c r="I1067" s="228"/>
      <c r="J1067" s="228"/>
      <c r="K1067" s="165"/>
      <c r="L1067" s="238"/>
      <c r="N1067" s="208"/>
      <c r="O1067" s="228"/>
      <c r="P1067" s="228"/>
      <c r="Q1067" s="165"/>
      <c r="R1067" s="238"/>
      <c r="S1067" s="228"/>
      <c r="T1067" s="253"/>
    </row>
    <row r="1068" spans="1:20">
      <c r="B1068" s="208">
        <f>Algandmed!AG754</f>
        <v>0</v>
      </c>
      <c r="C1068" s="228" t="e">
        <f>Algandmed!AG756</f>
        <v>#DIV/0!</v>
      </c>
      <c r="D1068" s="238">
        <f>Algandmed!AG757</f>
        <v>0</v>
      </c>
      <c r="E1068" s="238">
        <f>Algandmed!AG758+D1068</f>
        <v>0</v>
      </c>
      <c r="F1068" s="237" t="e">
        <f>(($G$974*Algandmed!AG757)+($G$975*Algandmed!AG758)+($G$981*Algandmed!AG756)+($G$983*Algandmed!AG754))/SQRT(Algandmed!AG754)</f>
        <v>#DIV/0!</v>
      </c>
      <c r="H1068" s="208">
        <f>Algandmed!AL754</f>
        <v>0</v>
      </c>
      <c r="I1068" s="228" t="e">
        <f>Algandmed!AL756</f>
        <v>#DIV/0!</v>
      </c>
      <c r="J1068" s="238">
        <f>Algandmed!AL757</f>
        <v>0</v>
      </c>
      <c r="K1068" s="238">
        <f>Algandmed!AL758+J1068</f>
        <v>0</v>
      </c>
      <c r="L1068" s="237" t="e">
        <f>(($G$974*Algandmed!AL757)+($G$975*Algandmed!AL758)+($G$981*Algandmed!AL756)+($G$983*Algandmed!AL754))/SQRT(Algandmed!AL754)</f>
        <v>#DIV/0!</v>
      </c>
      <c r="N1068" s="208">
        <f>Algandmed!AQ754</f>
        <v>0</v>
      </c>
      <c r="O1068" s="228" t="e">
        <f>Algandmed!AQ756</f>
        <v>#DIV/0!</v>
      </c>
      <c r="P1068" s="238">
        <f>Algandmed!AQ757</f>
        <v>0</v>
      </c>
      <c r="Q1068" s="238">
        <f>Algandmed!AQ758+P1068</f>
        <v>0</v>
      </c>
      <c r="R1068" s="237" t="e">
        <f>(($G$974*Algandmed!AQ757)+($G$975*Algandmed!AQ758)+($G$981*Algandmed!AQ756)+($G$983*Algandmed!AQ754))/SQRT(Algandmed!AQ754)</f>
        <v>#DIV/0!</v>
      </c>
      <c r="S1068" s="228"/>
      <c r="T1068" s="253"/>
    </row>
    <row r="1069" spans="1:20">
      <c r="B1069" s="208"/>
      <c r="C1069" s="165"/>
      <c r="D1069" s="165"/>
      <c r="E1069" s="165"/>
      <c r="F1069" s="165"/>
      <c r="G1069" s="165"/>
      <c r="H1069" s="165"/>
      <c r="I1069" s="165"/>
      <c r="J1069" s="165"/>
      <c r="K1069" s="165"/>
      <c r="L1069" s="165"/>
      <c r="M1069" s="165"/>
      <c r="N1069" s="165"/>
      <c r="O1069" s="165"/>
      <c r="P1069" s="165"/>
      <c r="Q1069" s="165"/>
      <c r="R1069" s="165"/>
      <c r="S1069" s="165"/>
      <c r="T1069" s="209"/>
    </row>
    <row r="1070" spans="1:20">
      <c r="B1070" s="212"/>
      <c r="C1070" s="213"/>
      <c r="D1070" s="213"/>
      <c r="E1070" s="213"/>
      <c r="F1070" s="213"/>
      <c r="G1070" s="213"/>
      <c r="H1070" s="213"/>
      <c r="I1070" s="213"/>
      <c r="J1070" s="213"/>
      <c r="K1070" s="213"/>
      <c r="L1070" s="213"/>
      <c r="M1070" s="213"/>
      <c r="N1070" s="213"/>
      <c r="O1070" s="213"/>
      <c r="P1070" s="213"/>
      <c r="Q1070" s="213"/>
      <c r="R1070" s="213"/>
      <c r="S1070" s="213"/>
      <c r="T1070" s="214"/>
    </row>
  </sheetData>
  <sheetProtection selectLockedCells="1" selectUnlockedCells="1"/>
  <mergeCells count="84">
    <mergeCell ref="A828:A831"/>
    <mergeCell ref="A832:A838"/>
    <mergeCell ref="G847:M848"/>
    <mergeCell ref="R849:T852"/>
    <mergeCell ref="I290:L293"/>
    <mergeCell ref="L300:U301"/>
    <mergeCell ref="M291:R292"/>
    <mergeCell ref="P707:R710"/>
    <mergeCell ref="O727:Q730"/>
    <mergeCell ref="Q776:S779"/>
    <mergeCell ref="O734:Q737"/>
    <mergeCell ref="D730:L734"/>
    <mergeCell ref="G742:M743"/>
    <mergeCell ref="R744:T747"/>
    <mergeCell ref="G774:M775"/>
    <mergeCell ref="G373:H379"/>
    <mergeCell ref="M401:O404"/>
    <mergeCell ref="D402:K402"/>
    <mergeCell ref="Q341:S344"/>
    <mergeCell ref="M365:O368"/>
    <mergeCell ref="H343:L343"/>
    <mergeCell ref="D366:K366"/>
    <mergeCell ref="P286:R289"/>
    <mergeCell ref="D303:M303"/>
    <mergeCell ref="F302:J302"/>
    <mergeCell ref="L15:N16"/>
    <mergeCell ref="T54:V56"/>
    <mergeCell ref="Q80:S82"/>
    <mergeCell ref="H148:N164"/>
    <mergeCell ref="Q194:S196"/>
    <mergeCell ref="Q122:S124"/>
    <mergeCell ref="J174:K175"/>
    <mergeCell ref="J102:K103"/>
    <mergeCell ref="D13:H13"/>
    <mergeCell ref="G16:H16"/>
    <mergeCell ref="B111:D113"/>
    <mergeCell ref="B173:D175"/>
    <mergeCell ref="G174:H175"/>
    <mergeCell ref="B101:D103"/>
    <mergeCell ref="B104:D107"/>
    <mergeCell ref="B108:D110"/>
    <mergeCell ref="G102:H103"/>
    <mergeCell ref="Q626:S629"/>
    <mergeCell ref="P663:R666"/>
    <mergeCell ref="P685:R688"/>
    <mergeCell ref="B176:D179"/>
    <mergeCell ref="B180:D182"/>
    <mergeCell ref="B183:D185"/>
    <mergeCell ref="H215:N229"/>
    <mergeCell ref="B238:D240"/>
    <mergeCell ref="G239:H240"/>
    <mergeCell ref="J239:K240"/>
    <mergeCell ref="B241:D244"/>
    <mergeCell ref="G409:H415"/>
    <mergeCell ref="B245:D247"/>
    <mergeCell ref="B248:D250"/>
    <mergeCell ref="Q259:S261"/>
    <mergeCell ref="H263:M270"/>
    <mergeCell ref="O438:Q441"/>
    <mergeCell ref="P475:R478"/>
    <mergeCell ref="Q514:S517"/>
    <mergeCell ref="Q551:S554"/>
    <mergeCell ref="R589:T592"/>
    <mergeCell ref="G437:M438"/>
    <mergeCell ref="G474:M475"/>
    <mergeCell ref="G512:M513"/>
    <mergeCell ref="G549:M550"/>
    <mergeCell ref="G587:M588"/>
    <mergeCell ref="A91:A92"/>
    <mergeCell ref="G1047:M1048"/>
    <mergeCell ref="R1049:T1052"/>
    <mergeCell ref="R969:T972"/>
    <mergeCell ref="G994:M995"/>
    <mergeCell ref="R996:T999"/>
    <mergeCell ref="G1020:M1021"/>
    <mergeCell ref="R1022:T1025"/>
    <mergeCell ref="G887:M888"/>
    <mergeCell ref="R889:T892"/>
    <mergeCell ref="G927:M928"/>
    <mergeCell ref="R929:T932"/>
    <mergeCell ref="G967:M968"/>
    <mergeCell ref="G807:M808"/>
    <mergeCell ref="R809:T812"/>
    <mergeCell ref="G624:M625"/>
  </mergeCells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/>
  <dimension ref="A23:V487"/>
  <sheetViews>
    <sheetView view="pageLayout" zoomScale="70" zoomScaleNormal="55" zoomScaleSheetLayoutView="85" zoomScalePageLayoutView="70" workbookViewId="0">
      <selection activeCell="H21" sqref="H21"/>
    </sheetView>
  </sheetViews>
  <sheetFormatPr defaultColWidth="8.85546875" defaultRowHeight="15"/>
  <cols>
    <col min="1" max="1" width="8.85546875" style="115" customWidth="1"/>
    <col min="2" max="8" width="8.85546875" style="115"/>
    <col min="9" max="9" width="8.85546875" style="115" customWidth="1"/>
    <col min="10" max="12" width="8.85546875" style="115"/>
    <col min="13" max="17" width="10.42578125" style="115" customWidth="1"/>
    <col min="18" max="16384" width="8.85546875" style="115"/>
  </cols>
  <sheetData>
    <row r="23" spans="8:14">
      <c r="H23" s="342"/>
      <c r="I23" s="342"/>
      <c r="J23" s="342"/>
      <c r="L23" s="342"/>
      <c r="N23" s="342"/>
    </row>
    <row r="24" spans="8:14">
      <c r="H24" s="342"/>
      <c r="I24" s="342"/>
      <c r="J24" s="342"/>
      <c r="L24" s="269"/>
      <c r="M24" s="246"/>
      <c r="N24" s="269"/>
    </row>
    <row r="108" spans="20:22">
      <c r="T108" s="264"/>
      <c r="V108" s="263"/>
    </row>
    <row r="157" spans="1:1">
      <c r="A157" s="178"/>
    </row>
    <row r="158" spans="1:1">
      <c r="A158" s="178"/>
    </row>
    <row r="198" spans="3:5" ht="14.45" customHeight="1">
      <c r="C198" s="343"/>
      <c r="D198" s="342"/>
      <c r="E198" s="343"/>
    </row>
    <row r="199" spans="3:5" ht="14.45" customHeight="1">
      <c r="C199" s="343"/>
      <c r="D199" s="342"/>
      <c r="E199" s="343"/>
    </row>
    <row r="200" spans="3:5" ht="14.45" customHeight="1">
      <c r="C200" s="343"/>
      <c r="D200" s="342"/>
      <c r="E200" s="343"/>
    </row>
    <row r="201" spans="3:5" ht="23.25">
      <c r="C201" s="343"/>
      <c r="D201" s="342"/>
      <c r="E201" s="343"/>
    </row>
    <row r="202" spans="3:5" ht="23.25">
      <c r="C202" s="343"/>
      <c r="D202" s="342"/>
      <c r="E202" s="343"/>
    </row>
    <row r="203" spans="3:5" ht="23.25">
      <c r="C203" s="343"/>
      <c r="D203" s="342"/>
      <c r="E203" s="343"/>
    </row>
    <row r="204" spans="3:5" s="346" customFormat="1" ht="23.25">
      <c r="C204" s="345"/>
      <c r="D204" s="344"/>
      <c r="E204" s="345"/>
    </row>
    <row r="206" spans="3:5" s="346" customFormat="1"/>
    <row r="269" s="346" customFormat="1"/>
    <row r="270" s="346" customFormat="1"/>
    <row r="271" s="346" customFormat="1"/>
    <row r="272" s="346" customFormat="1"/>
    <row r="344" s="346" customFormat="1"/>
    <row r="484" s="346" customFormat="1"/>
    <row r="485" s="346" customFormat="1"/>
    <row r="486" s="346" customFormat="1"/>
    <row r="487" s="346" customFormat="1"/>
  </sheetData>
  <conditionalFormatting sqref="A175:A176">
    <cfRule type="expression" dxfId="17" priority="22">
      <formula>#REF!=#REF!</formula>
    </cfRule>
    <cfRule type="expression" dxfId="16" priority="26">
      <formula>#REF!&gt;#REF!</formula>
    </cfRule>
    <cfRule type="expression" dxfId="15" priority="27">
      <formula>#REF!&gt;#REF!</formula>
    </cfRule>
  </conditionalFormatting>
  <printOptions horizontalCentered="1" verticalCentered="1"/>
  <pageMargins left="0.25" right="0.25" top="0.75" bottom="0.75" header="0.3" footer="0.3"/>
  <pageSetup paperSize="9" scale="73" orientation="portrait" r:id="rId1"/>
  <rowBreaks count="5" manualBreakCount="5">
    <brk id="138" max="13" man="1"/>
    <brk id="274" max="13" man="1"/>
    <brk id="344" max="13" man="1"/>
    <brk id="413" max="13" man="1"/>
    <brk id="482" max="13" man="1"/>
  </rowBreaks>
  <drawing r:id="rId2"/>
  <extLst xmlns:x14="http://schemas.microsoft.com/office/spreadsheetml/2009/9/main">
    <ext uri="{78C0D931-6437-407d-A8EE-F0AAD7539E65}">
      <x14:conditionalFormattings>
        <x14:conditionalFormatting xmlns:xm="http://schemas.microsoft.com/office/excel/2006/main">
          <x14:cfRule type="expression" priority="36" id="{69B236A4-2FC5-489B-923D-8F7AE2889B55}">
            <xm:f>[1]Lõppandmed!#REF!&gt;70%</xm:f>
            <x14:dxf>
              <fill>
                <patternFill>
                  <bgColor rgb="FFFF0000"/>
                </patternFill>
              </fill>
            </x14:dxf>
          </x14:cfRule>
          <xm:sqref>N176:N177</xm:sqref>
        </x14:conditionalFormatting>
        <x14:conditionalFormatting xmlns:xm="http://schemas.microsoft.com/office/excel/2006/main">
          <x14:cfRule type="expression" priority="25" id="{D546C22A-752F-499F-A194-F92B9B4A69F1}">
            <xm:f>Algandmed!$AM$7=Algandmed!$BB$7</xm:f>
            <x14:dxf>
              <fill>
                <patternFill>
                  <bgColor rgb="FFFFFF00"/>
                </patternFill>
              </fill>
            </x14:dxf>
          </x14:cfRule>
          <x14:cfRule type="expression" priority="32" id="{9C744726-967A-465E-81AB-5C50D3ACEDA6}">
            <xm:f>Algandmed!$BB$7&gt;Algandmed!$AM$7</xm:f>
            <x14:dxf>
              <fill>
                <patternFill>
                  <bgColor rgb="FFFF0000"/>
                </patternFill>
              </fill>
            </x14:dxf>
          </x14:cfRule>
          <x14:cfRule type="expression" priority="33" id="{712DE66B-4118-43F2-B5B4-4137A554F644}">
            <xm:f>Algandmed!$AM$7&gt;Algandmed!$BB$7</xm:f>
            <x14:dxf>
              <fill>
                <patternFill>
                  <bgColor theme="8" tint="-0.24994659260841701"/>
                </patternFill>
              </fill>
            </x14:dxf>
          </x14:cfRule>
          <xm:sqref>A157:A158</xm:sqref>
        </x14:conditionalFormatting>
        <x14:conditionalFormatting xmlns:xm="http://schemas.microsoft.com/office/excel/2006/main">
          <x14:cfRule type="expression" priority="24" id="{0FC06DC3-49D2-4446-A8B5-8EA4D4A5200A}">
            <xm:f>Algandmed!$AH$8=Algandmed!$AW$8</xm:f>
            <x14:dxf>
              <fill>
                <patternFill>
                  <bgColor rgb="FFFFFF00"/>
                </patternFill>
              </fill>
            </x14:dxf>
          </x14:cfRule>
          <x14:cfRule type="expression" priority="30" id="{9F6B7F63-8416-4E42-A652-8C1777F4F72F}">
            <xm:f>Algandmed!$AW$8&gt;Algandmed!$AH$8</xm:f>
            <x14:dxf>
              <fill>
                <patternFill>
                  <bgColor rgb="FFFF0000"/>
                </patternFill>
              </fill>
            </x14:dxf>
          </x14:cfRule>
          <x14:cfRule type="expression" priority="31" id="{D3E8577B-1D06-448B-A0B4-A9C5C3C68B84}">
            <xm:f>Algandmed!$AH$8&gt;Algandmed!$AW$8</xm:f>
            <x14:dxf>
              <fill>
                <patternFill>
                  <bgColor theme="8" tint="-0.24994659260841701"/>
                </patternFill>
              </fill>
            </x14:dxf>
          </x14:cfRule>
          <xm:sqref>A163:A164</xm:sqref>
        </x14:conditionalFormatting>
        <x14:conditionalFormatting xmlns:xm="http://schemas.microsoft.com/office/excel/2006/main">
          <x14:cfRule type="expression" priority="23" id="{FD6DE309-4999-4670-9F26-EBDD39DB2B2B}">
            <xm:f>Algandmed!$AG$8=Algandmed!$AV$8</xm:f>
            <x14:dxf>
              <fill>
                <patternFill>
                  <bgColor rgb="FFFFFF00"/>
                </patternFill>
              </fill>
            </x14:dxf>
          </x14:cfRule>
          <x14:cfRule type="expression" priority="28" id="{8AC266B8-76DA-4522-B4C3-85C97539C483}">
            <xm:f>Algandmed!$AV$8&gt;Algandmed!$AG$8</xm:f>
            <x14:dxf>
              <fill>
                <patternFill>
                  <bgColor rgb="FFFF0000"/>
                </patternFill>
              </fill>
            </x14:dxf>
          </x14:cfRule>
          <x14:cfRule type="expression" priority="29" id="{9B7219B0-84CD-4130-8AD8-BABA1D29EC65}">
            <xm:f>Algandmed!$AG$8&gt;Algandmed!$AV$8</xm:f>
            <x14:dxf>
              <fill>
                <patternFill>
                  <bgColor theme="8" tint="-0.24994659260841701"/>
                </patternFill>
              </fill>
            </x14:dxf>
          </x14:cfRule>
          <xm:sqref>A169:A170</xm:sqref>
        </x14:conditionalFormatting>
        <x14:conditionalFormatting xmlns:xm="http://schemas.microsoft.com/office/excel/2006/main">
          <x14:cfRule type="expression" priority="19" id="{6E1C46ED-CF07-4136-879B-DF98B6978199}">
            <xm:f>Algandmed!$AI$8=Algandmed!$AX$8</xm:f>
            <x14:dxf>
              <fill>
                <patternFill>
                  <bgColor rgb="FFFFFF00"/>
                </patternFill>
              </fill>
            </x14:dxf>
          </x14:cfRule>
          <x14:cfRule type="expression" priority="20" id="{2F8CDA27-39FB-4676-8714-8CB45C8FE166}">
            <xm:f>Algandmed!$AX$8&gt;Algandmed!$AI$8</xm:f>
            <x14:dxf>
              <fill>
                <patternFill>
                  <bgColor rgb="FFFF0000"/>
                </patternFill>
              </fill>
            </x14:dxf>
          </x14:cfRule>
          <x14:cfRule type="expression" priority="21" id="{66C6B0BF-17EA-4904-8264-AD7FD41252E7}">
            <xm:f>Algandmed!$AI$8&gt;Algandmed!$AX$8</xm:f>
            <x14:dxf>
              <fill>
                <patternFill>
                  <bgColor theme="8" tint="-0.24994659260841701"/>
                </patternFill>
              </fill>
            </x14:dxf>
          </x14:cfRule>
          <xm:sqref>A183:A184</xm:sqref>
        </x14:conditionalFormatting>
        <x14:conditionalFormatting xmlns:xm="http://schemas.microsoft.com/office/excel/2006/main">
          <x14:cfRule type="expression" priority="16" id="{8A136ABD-4C43-4161-A201-E238F40B0F25}">
            <xm:f>Algandmed!$AJ$8=Algandmed!$AY$8</xm:f>
            <x14:dxf>
              <fill>
                <patternFill>
                  <bgColor rgb="FFFFFF00"/>
                </patternFill>
              </fill>
            </x14:dxf>
          </x14:cfRule>
          <x14:cfRule type="expression" priority="17" id="{3FD5BEF3-47FE-44BE-8872-47D55A0B8A68}">
            <xm:f>Algandmed!$AY$8&gt;Algandmed!$AJ$8</xm:f>
            <x14:dxf>
              <fill>
                <patternFill>
                  <bgColor rgb="FFFF0000"/>
                </patternFill>
              </fill>
            </x14:dxf>
          </x14:cfRule>
          <x14:cfRule type="expression" priority="18" id="{A8CAC412-EB78-4AD4-B238-3DA3005F8560}">
            <xm:f>Algandmed!$AJ$8&gt;Algandmed!$AY$8</xm:f>
            <x14:dxf>
              <fill>
                <patternFill>
                  <bgColor theme="8" tint="-0.24994659260841701"/>
                </patternFill>
              </fill>
            </x14:dxf>
          </x14:cfRule>
          <xm:sqref>A188:A189</xm:sqref>
        </x14:conditionalFormatting>
        <x14:conditionalFormatting xmlns:xm="http://schemas.microsoft.com/office/excel/2006/main">
          <x14:cfRule type="expression" priority="15" id="{41CCFCC6-4B87-4848-8B6C-A88E22A67211}">
            <xm:f>[1]Algandmed!#REF!&gt;1</xm:f>
            <x14:dxf>
              <fill>
                <patternFill>
                  <bgColor theme="9" tint="-0.24994659260841701"/>
                </patternFill>
              </fill>
            </x14:dxf>
          </x14:cfRule>
          <xm:sqref>N1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L1470"/>
  <sheetViews>
    <sheetView topLeftCell="A28" zoomScale="70" zoomScaleNormal="70" workbookViewId="0">
      <selection activeCell="A25" sqref="A25"/>
    </sheetView>
  </sheetViews>
  <sheetFormatPr defaultColWidth="8.85546875" defaultRowHeight="15"/>
  <cols>
    <col min="1" max="1" width="8.42578125" style="1" customWidth="1"/>
    <col min="2" max="2" width="9.85546875" style="1" customWidth="1"/>
    <col min="3" max="3" width="7.5703125" style="1" customWidth="1"/>
    <col min="4" max="4" width="7.28515625" style="1" customWidth="1"/>
    <col min="5" max="5" width="6.7109375" style="1" customWidth="1"/>
    <col min="6" max="6" width="7" style="1" customWidth="1"/>
    <col min="7" max="7" width="9" style="1" customWidth="1"/>
    <col min="8" max="9" width="8.85546875" style="1" customWidth="1"/>
    <col min="10" max="10" width="9" style="1" customWidth="1"/>
    <col min="11" max="11" width="8.140625" style="1" customWidth="1"/>
    <col min="12" max="12" width="8.7109375" style="1" customWidth="1"/>
    <col min="13" max="13" width="8.140625" style="1" customWidth="1"/>
    <col min="14" max="14" width="9.28515625" style="1" customWidth="1"/>
    <col min="15" max="15" width="7.85546875" style="1" customWidth="1"/>
    <col min="16" max="16" width="6.7109375" style="1" customWidth="1"/>
    <col min="17" max="17" width="7.7109375" style="1" customWidth="1"/>
    <col min="18" max="18" width="7.5703125" style="1" customWidth="1"/>
    <col min="19" max="19" width="9.28515625" style="1" customWidth="1"/>
    <col min="20" max="20" width="8.85546875" style="1"/>
    <col min="21" max="21" width="9.42578125" style="1" customWidth="1"/>
    <col min="22" max="22" width="9" style="1" customWidth="1"/>
    <col min="23" max="23" width="7.7109375" style="1" customWidth="1"/>
    <col min="24" max="25" width="8.85546875" style="1"/>
    <col min="26" max="26" width="16.7109375" style="1" customWidth="1"/>
    <col min="27" max="27" width="9.7109375" style="1" customWidth="1"/>
    <col min="28" max="16384" width="8.85546875" style="1"/>
  </cols>
  <sheetData>
    <row r="1" spans="1:35" ht="25.9" customHeight="1">
      <c r="B1" s="1" t="s">
        <v>182</v>
      </c>
      <c r="E1" s="426" t="s">
        <v>95</v>
      </c>
      <c r="F1" s="426"/>
      <c r="G1" s="426"/>
      <c r="H1" s="426"/>
      <c r="I1" s="426"/>
      <c r="L1"/>
      <c r="M1"/>
      <c r="N1"/>
      <c r="P1" s="426" t="s">
        <v>96</v>
      </c>
      <c r="Q1" s="426"/>
      <c r="R1" s="426"/>
      <c r="S1" s="426"/>
      <c r="T1" s="426"/>
      <c r="U1" s="426"/>
    </row>
    <row r="2" spans="1:35" ht="25.9" customHeight="1">
      <c r="G2" s="33"/>
      <c r="H2" s="33"/>
      <c r="P2" s="33"/>
      <c r="Q2" s="33"/>
    </row>
    <row r="3" spans="1:35" ht="25.9" customHeight="1">
      <c r="A3" s="408" t="s">
        <v>128</v>
      </c>
      <c r="B3" s="408"/>
      <c r="C3" s="408"/>
      <c r="D3" s="408"/>
      <c r="E3" s="408"/>
      <c r="F3" s="408"/>
      <c r="G3" s="408"/>
      <c r="H3" s="408"/>
      <c r="I3" s="408"/>
      <c r="J3" s="408"/>
      <c r="N3" s="408" t="s">
        <v>129</v>
      </c>
      <c r="O3" s="408"/>
      <c r="P3" s="408"/>
      <c r="Q3" s="408"/>
      <c r="R3" s="408"/>
      <c r="S3" s="408"/>
      <c r="T3" s="408"/>
      <c r="U3" s="408"/>
      <c r="V3" s="408"/>
      <c r="W3" s="408"/>
    </row>
    <row r="4" spans="1:35" ht="14.45" customHeight="1">
      <c r="G4" s="34"/>
      <c r="H4" s="34"/>
      <c r="K4" s="70" t="s">
        <v>152</v>
      </c>
      <c r="P4" s="34"/>
      <c r="Q4" s="34"/>
      <c r="W4" s="70" t="s">
        <v>152</v>
      </c>
    </row>
    <row r="5" spans="1:35" ht="34.15" customHeight="1" thickBot="1">
      <c r="B5" s="28" t="s">
        <v>45</v>
      </c>
      <c r="C5" s="108" t="s">
        <v>46</v>
      </c>
      <c r="D5" s="101" t="s">
        <v>44</v>
      </c>
      <c r="E5" s="101" t="s">
        <v>43</v>
      </c>
      <c r="F5" s="101" t="s">
        <v>42</v>
      </c>
      <c r="G5" s="101" t="s">
        <v>49</v>
      </c>
      <c r="H5" s="101" t="s">
        <v>47</v>
      </c>
      <c r="I5" s="101" t="s">
        <v>48</v>
      </c>
      <c r="J5" s="104"/>
      <c r="K5" s="109" t="s">
        <v>51</v>
      </c>
      <c r="L5" s="103"/>
      <c r="M5" s="103"/>
      <c r="N5" s="107" t="s">
        <v>45</v>
      </c>
      <c r="O5" s="108" t="s">
        <v>46</v>
      </c>
      <c r="P5" s="101" t="s">
        <v>44</v>
      </c>
      <c r="Q5" s="101" t="s">
        <v>43</v>
      </c>
      <c r="R5" s="101" t="s">
        <v>42</v>
      </c>
      <c r="S5" s="101" t="s">
        <v>49</v>
      </c>
      <c r="T5" s="101" t="s">
        <v>67</v>
      </c>
      <c r="U5" s="101" t="s">
        <v>66</v>
      </c>
      <c r="V5" s="104"/>
      <c r="W5" s="109" t="s">
        <v>83</v>
      </c>
      <c r="AA5"/>
      <c r="AB5"/>
      <c r="AC5"/>
      <c r="AD5"/>
      <c r="AE5"/>
      <c r="AF5"/>
      <c r="AG5"/>
    </row>
    <row r="6" spans="1:35" ht="15.75" thickBot="1">
      <c r="B6" s="28">
        <f>D6+E6+F6+G6+H6+I6</f>
        <v>73</v>
      </c>
      <c r="C6" s="82">
        <f>D6+E6+F6+G6</f>
        <v>5</v>
      </c>
      <c r="D6" s="1">
        <f>Algandmed!AG6</f>
        <v>0</v>
      </c>
      <c r="E6" s="1">
        <f>Algandmed!AH6</f>
        <v>1</v>
      </c>
      <c r="F6" s="1">
        <f>Algandmed!AI6</f>
        <v>2</v>
      </c>
      <c r="G6" s="1">
        <f>Algandmed!AJ6</f>
        <v>2</v>
      </c>
      <c r="H6" s="1">
        <f>Algandmed!AK6</f>
        <v>6</v>
      </c>
      <c r="I6" s="1">
        <f>Algandmed!AO6</f>
        <v>62</v>
      </c>
      <c r="J6" s="8" t="s">
        <v>5</v>
      </c>
      <c r="K6" s="1">
        <f>Algandmed!AF111</f>
        <v>0</v>
      </c>
      <c r="N6" s="28">
        <f>Algandmed!AU6</f>
        <v>155</v>
      </c>
      <c r="O6" s="82">
        <f>S6+Q6+P6+R6</f>
        <v>15</v>
      </c>
      <c r="P6" s="1">
        <f>Algandmed!AV6</f>
        <v>2</v>
      </c>
      <c r="Q6" s="1">
        <f>Algandmed!AW6</f>
        <v>6</v>
      </c>
      <c r="R6" s="1">
        <f>Algandmed!AX6</f>
        <v>5</v>
      </c>
      <c r="S6" s="1">
        <f>Algandmed!AY6</f>
        <v>2</v>
      </c>
      <c r="T6" s="1">
        <f>Algandmed!AZ6</f>
        <v>9</v>
      </c>
      <c r="U6" s="1">
        <f>Algandmed!BD6</f>
        <v>60</v>
      </c>
      <c r="V6" s="8" t="str">
        <f>Algandmed!AS111</f>
        <v>DD</v>
      </c>
      <c r="W6" s="1">
        <f>Algandmed!AT111</f>
        <v>0</v>
      </c>
      <c r="Z6"/>
      <c r="AA6"/>
      <c r="AB6"/>
      <c r="AC6"/>
      <c r="AD6"/>
      <c r="AE6"/>
      <c r="AF6"/>
      <c r="AG6"/>
      <c r="AH6"/>
      <c r="AI6"/>
    </row>
    <row r="7" spans="1:35">
      <c r="B7" s="10"/>
      <c r="C7" s="10"/>
      <c r="D7" s="10"/>
      <c r="E7" s="10"/>
      <c r="F7" s="10"/>
      <c r="G7" s="10"/>
      <c r="H7" s="10"/>
      <c r="I7" s="10"/>
      <c r="J7" s="8" t="s">
        <v>14</v>
      </c>
      <c r="K7" s="1">
        <f>Algandmed!AF112</f>
        <v>0</v>
      </c>
      <c r="N7" s="10"/>
      <c r="O7" s="10"/>
      <c r="P7" s="10"/>
      <c r="Q7" s="10"/>
      <c r="R7" s="10"/>
      <c r="S7" s="10"/>
      <c r="T7" s="10"/>
      <c r="U7" s="10"/>
      <c r="V7" s="8" t="str">
        <f>Algandmed!AS112</f>
        <v>AD</v>
      </c>
      <c r="W7" s="1">
        <f>Algandmed!AT112</f>
        <v>0</v>
      </c>
      <c r="Z7"/>
      <c r="AA7"/>
      <c r="AB7"/>
      <c r="AC7"/>
      <c r="AD7"/>
      <c r="AE7"/>
      <c r="AF7"/>
      <c r="AG7"/>
      <c r="AH7"/>
      <c r="AI7"/>
    </row>
    <row r="8" spans="1:35">
      <c r="K8" s="5"/>
      <c r="L8" s="5"/>
      <c r="V8" s="5"/>
      <c r="W8" s="5"/>
      <c r="X8" s="5"/>
      <c r="Z8"/>
      <c r="AA8"/>
      <c r="AB8"/>
      <c r="AC8"/>
      <c r="AD8"/>
      <c r="AE8"/>
      <c r="AF8"/>
      <c r="AG8"/>
      <c r="AH8"/>
      <c r="AI8"/>
    </row>
    <row r="9" spans="1:35">
      <c r="Z9"/>
      <c r="AA9"/>
      <c r="AB9"/>
      <c r="AC9"/>
      <c r="AD9"/>
      <c r="AE9"/>
      <c r="AF9"/>
      <c r="AG9"/>
      <c r="AH9"/>
      <c r="AI9"/>
    </row>
    <row r="10" spans="1:35">
      <c r="Z10"/>
      <c r="AA10"/>
      <c r="AB10"/>
      <c r="AC10"/>
      <c r="AD10"/>
      <c r="AE10"/>
      <c r="AF10"/>
      <c r="AG10"/>
      <c r="AH10"/>
      <c r="AI10"/>
    </row>
    <row r="11" spans="1:35">
      <c r="G11"/>
      <c r="H11"/>
      <c r="I11"/>
      <c r="J11"/>
      <c r="K11"/>
      <c r="Z11"/>
      <c r="AA11"/>
      <c r="AB11"/>
      <c r="AC11"/>
      <c r="AD11"/>
      <c r="AE11"/>
      <c r="AF11"/>
      <c r="AG11"/>
      <c r="AH11"/>
      <c r="AI11"/>
    </row>
    <row r="12" spans="1:35">
      <c r="Z12"/>
      <c r="AA12"/>
      <c r="AB12"/>
      <c r="AC12"/>
      <c r="AD12"/>
      <c r="AE12"/>
      <c r="AF12"/>
      <c r="AG12"/>
      <c r="AH12"/>
      <c r="AI12"/>
    </row>
    <row r="13" spans="1:35">
      <c r="Z13"/>
      <c r="AA13"/>
      <c r="AB13"/>
      <c r="AC13"/>
      <c r="AD13"/>
      <c r="AE13"/>
      <c r="AF13"/>
      <c r="AG13"/>
      <c r="AH13"/>
      <c r="AI13"/>
    </row>
    <row r="14" spans="1:35">
      <c r="Z14"/>
      <c r="AA14"/>
      <c r="AB14"/>
      <c r="AC14"/>
      <c r="AD14"/>
      <c r="AE14"/>
      <c r="AF14"/>
      <c r="AG14"/>
      <c r="AH14"/>
      <c r="AI14"/>
    </row>
    <row r="15" spans="1:35">
      <c r="Z15"/>
      <c r="AA15"/>
      <c r="AB15"/>
      <c r="AC15"/>
      <c r="AD15"/>
      <c r="AE15"/>
      <c r="AF15"/>
      <c r="AG15"/>
      <c r="AH15"/>
      <c r="AI15"/>
    </row>
    <row r="16" spans="1:35">
      <c r="Z16"/>
      <c r="AA16"/>
      <c r="AB16"/>
      <c r="AC16"/>
      <c r="AD16"/>
      <c r="AE16"/>
      <c r="AF16"/>
      <c r="AG16"/>
      <c r="AH16"/>
      <c r="AI16"/>
    </row>
    <row r="17" spans="3:35">
      <c r="Z17"/>
      <c r="AA17"/>
      <c r="AB17"/>
      <c r="AC17"/>
      <c r="AD17"/>
      <c r="AE17"/>
      <c r="AF17"/>
      <c r="AG17"/>
      <c r="AH17"/>
      <c r="AI17"/>
    </row>
    <row r="18" spans="3:35">
      <c r="Z18"/>
      <c r="AA18"/>
      <c r="AB18"/>
      <c r="AC18"/>
      <c r="AD18"/>
      <c r="AE18"/>
      <c r="AF18"/>
      <c r="AG18"/>
      <c r="AH18"/>
      <c r="AI18"/>
    </row>
    <row r="19" spans="3:35">
      <c r="Z19"/>
      <c r="AA19"/>
      <c r="AB19"/>
      <c r="AC19"/>
      <c r="AD19"/>
      <c r="AE19"/>
      <c r="AF19"/>
      <c r="AG19"/>
      <c r="AH19"/>
      <c r="AI19"/>
    </row>
    <row r="20" spans="3:35">
      <c r="Z20"/>
      <c r="AA20"/>
      <c r="AB20"/>
      <c r="AC20"/>
      <c r="AD20"/>
      <c r="AE20"/>
      <c r="AF20"/>
      <c r="AG20"/>
      <c r="AH20"/>
      <c r="AI20"/>
    </row>
    <row r="21" spans="3:35">
      <c r="Z21"/>
      <c r="AA21"/>
      <c r="AB21"/>
      <c r="AC21"/>
      <c r="AD21"/>
      <c r="AE21"/>
      <c r="AF21"/>
      <c r="AG21"/>
      <c r="AH21"/>
      <c r="AI21"/>
    </row>
    <row r="22" spans="3:35">
      <c r="Z22"/>
      <c r="AA22"/>
      <c r="AB22"/>
      <c r="AC22"/>
      <c r="AD22"/>
      <c r="AE22"/>
      <c r="AF22"/>
      <c r="AG22"/>
      <c r="AH22"/>
      <c r="AI22"/>
    </row>
    <row r="23" spans="3:35" ht="23.25">
      <c r="C23" s="427" t="s">
        <v>88</v>
      </c>
      <c r="D23" s="427"/>
      <c r="E23" s="427"/>
      <c r="F23" s="427"/>
      <c r="G23" s="427"/>
      <c r="H23" s="427"/>
      <c r="I23" s="427"/>
      <c r="J23" s="427"/>
      <c r="K23" s="427"/>
      <c r="L23" s="133"/>
      <c r="M23" s="133"/>
      <c r="N23" s="133"/>
      <c r="O23" s="427" t="s">
        <v>89</v>
      </c>
      <c r="P23" s="427"/>
      <c r="Q23" s="427"/>
      <c r="R23" s="427"/>
      <c r="S23" s="427"/>
      <c r="T23" s="427"/>
      <c r="U23" s="427"/>
      <c r="V23" s="427"/>
      <c r="W23" s="427"/>
      <c r="AA23"/>
      <c r="AB23"/>
      <c r="AC23"/>
      <c r="AD23"/>
      <c r="AE23"/>
      <c r="AF23"/>
      <c r="AG23"/>
    </row>
    <row r="24" spans="3:35">
      <c r="AA24"/>
      <c r="AB24"/>
      <c r="AC24"/>
      <c r="AD24"/>
      <c r="AE24"/>
      <c r="AF24"/>
      <c r="AG24"/>
    </row>
    <row r="25" spans="3:35" ht="15.75" thickBot="1">
      <c r="D25" s="9"/>
      <c r="E25" s="28" t="s">
        <v>45</v>
      </c>
      <c r="F25" s="4" t="s">
        <v>2</v>
      </c>
      <c r="G25" s="6" t="s">
        <v>6</v>
      </c>
      <c r="P25" s="9"/>
      <c r="Q25" s="28" t="s">
        <v>45</v>
      </c>
      <c r="R25" s="4" t="s">
        <v>2</v>
      </c>
      <c r="S25" s="6" t="s">
        <v>6</v>
      </c>
      <c r="AA25"/>
      <c r="AB25"/>
      <c r="AC25"/>
      <c r="AD25"/>
      <c r="AE25"/>
      <c r="AF25"/>
      <c r="AG25"/>
    </row>
    <row r="26" spans="3:35">
      <c r="D26" s="9" t="s">
        <v>5</v>
      </c>
      <c r="E26" s="81">
        <f>Algandmed!AF12</f>
        <v>62</v>
      </c>
      <c r="F26" s="1">
        <f>Algandmed!AG12</f>
        <v>21</v>
      </c>
      <c r="G26" s="1">
        <f>Algandmed!AH12</f>
        <v>37</v>
      </c>
      <c r="P26" s="32" t="s">
        <v>1</v>
      </c>
      <c r="Q26" s="81">
        <f>Algandmed!AU12</f>
        <v>71</v>
      </c>
      <c r="R26" s="31">
        <f>Algandmed!AV12</f>
        <v>40</v>
      </c>
      <c r="S26" s="31">
        <f>Algandmed!AW12</f>
        <v>28</v>
      </c>
      <c r="AA26"/>
      <c r="AB26"/>
      <c r="AC26"/>
      <c r="AD26"/>
      <c r="AE26"/>
      <c r="AF26"/>
      <c r="AG26"/>
    </row>
    <row r="27" spans="3:35" ht="15.75" thickBot="1">
      <c r="D27" s="9" t="s">
        <v>14</v>
      </c>
      <c r="E27" s="80">
        <f>Algandmed!AF13</f>
        <v>35</v>
      </c>
      <c r="F27" s="1">
        <f>Algandmed!AG13</f>
        <v>9</v>
      </c>
      <c r="G27" s="1">
        <f>Algandmed!AH13</f>
        <v>25</v>
      </c>
      <c r="P27" s="32" t="s">
        <v>17</v>
      </c>
      <c r="Q27" s="80">
        <f>Algandmed!AU13</f>
        <v>47</v>
      </c>
      <c r="R27" s="31">
        <f>Algandmed!AV13</f>
        <v>20</v>
      </c>
      <c r="S27" s="31">
        <f>Algandmed!AW13</f>
        <v>26</v>
      </c>
      <c r="AA27"/>
      <c r="AB27"/>
      <c r="AC27"/>
      <c r="AD27"/>
      <c r="AE27"/>
      <c r="AF27"/>
      <c r="AG27"/>
    </row>
    <row r="28" spans="3:35">
      <c r="D28" s="9"/>
      <c r="E28" s="9"/>
      <c r="F28" s="4" t="s">
        <v>2</v>
      </c>
      <c r="G28" s="6" t="s">
        <v>6</v>
      </c>
      <c r="P28" s="9"/>
      <c r="Q28" s="9"/>
      <c r="R28" s="4" t="s">
        <v>2</v>
      </c>
      <c r="S28" s="6" t="s">
        <v>6</v>
      </c>
      <c r="AA28"/>
      <c r="AB28"/>
      <c r="AC28"/>
      <c r="AD28"/>
      <c r="AE28"/>
      <c r="AF28"/>
      <c r="AG28"/>
      <c r="AH28" s="27"/>
    </row>
    <row r="29" spans="3:35">
      <c r="D29" s="9" t="s">
        <v>5</v>
      </c>
      <c r="F29" s="7">
        <f>F26/E26</f>
        <v>0.33870967741935482</v>
      </c>
      <c r="G29" s="7">
        <f>G26/E26</f>
        <v>0.59677419354838712</v>
      </c>
      <c r="K29" s="27"/>
      <c r="P29" s="9" t="s">
        <v>1</v>
      </c>
      <c r="R29" s="7">
        <f>R26/Q26</f>
        <v>0.56338028169014087</v>
      </c>
      <c r="S29" s="7">
        <f>S26/Q26</f>
        <v>0.39436619718309857</v>
      </c>
      <c r="AH29" s="27"/>
    </row>
    <row r="30" spans="3:35">
      <c r="D30" s="9" t="s">
        <v>14</v>
      </c>
      <c r="F30" s="7">
        <f>F27/E27</f>
        <v>0.25714285714285712</v>
      </c>
      <c r="G30" s="7">
        <f>G27/E27</f>
        <v>0.7142857142857143</v>
      </c>
      <c r="K30" s="27"/>
      <c r="P30" s="9" t="s">
        <v>17</v>
      </c>
      <c r="R30" s="7">
        <f>R27/Q27</f>
        <v>0.42553191489361702</v>
      </c>
      <c r="S30" s="7">
        <f>S27/Q27</f>
        <v>0.55319148936170215</v>
      </c>
    </row>
    <row r="31" spans="3:35">
      <c r="D31" s="10"/>
      <c r="E31" s="10"/>
      <c r="F31" s="10"/>
      <c r="G31" s="10"/>
      <c r="P31" s="10"/>
      <c r="Q31" s="10"/>
      <c r="R31" s="10"/>
      <c r="S31" s="10"/>
    </row>
    <row r="46" spans="1:19">
      <c r="A46" s="5"/>
      <c r="B46" s="35"/>
      <c r="C46" s="23"/>
      <c r="D46" s="23"/>
      <c r="E46" s="23"/>
      <c r="F46" s="5"/>
      <c r="N46" s="5"/>
      <c r="O46" s="35"/>
      <c r="P46" s="23"/>
      <c r="Q46" s="23"/>
      <c r="R46" s="23"/>
      <c r="S46" s="5"/>
    </row>
    <row r="47" spans="1:19" s="117" customFormat="1">
      <c r="A47" s="5"/>
      <c r="B47" s="35"/>
      <c r="C47" s="23"/>
      <c r="D47" s="23"/>
      <c r="E47" s="23"/>
      <c r="F47" s="5"/>
      <c r="N47" s="5"/>
      <c r="O47" s="35"/>
      <c r="P47" s="23"/>
      <c r="Q47" s="23"/>
      <c r="R47" s="23"/>
      <c r="S47" s="5"/>
    </row>
    <row r="48" spans="1:19" s="117" customFormat="1">
      <c r="A48" s="5"/>
      <c r="B48" s="35"/>
      <c r="C48" s="23"/>
      <c r="D48" s="23"/>
      <c r="E48" s="23"/>
      <c r="F48" s="5"/>
      <c r="N48" s="5"/>
      <c r="O48" s="35"/>
      <c r="P48" s="23"/>
      <c r="Q48" s="23"/>
      <c r="R48" s="23"/>
      <c r="S48" s="5"/>
    </row>
    <row r="49" spans="1:33" ht="23.25">
      <c r="B49" s="408" t="s">
        <v>84</v>
      </c>
      <c r="C49" s="408"/>
      <c r="D49" s="408"/>
      <c r="E49" s="408"/>
      <c r="F49" s="408"/>
      <c r="G49" s="408"/>
      <c r="H49" s="408"/>
      <c r="I49" s="408"/>
      <c r="J49" s="408"/>
      <c r="N49" s="408" t="s">
        <v>84</v>
      </c>
      <c r="O49" s="408"/>
      <c r="P49" s="408"/>
      <c r="Q49" s="408"/>
      <c r="R49" s="408"/>
      <c r="S49" s="408"/>
      <c r="T49" s="408"/>
      <c r="U49" s="408"/>
      <c r="V49" s="408"/>
    </row>
    <row r="50" spans="1:33">
      <c r="A50" s="139"/>
      <c r="B50" s="139"/>
      <c r="C50" s="139"/>
      <c r="D50" s="139"/>
      <c r="E50" s="139"/>
      <c r="F50" s="139" t="s">
        <v>183</v>
      </c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 t="s">
        <v>184</v>
      </c>
      <c r="S50" s="139"/>
      <c r="T50" s="139"/>
      <c r="U50" s="139"/>
      <c r="V50" s="139"/>
    </row>
    <row r="51" spans="1:33" ht="34.5" thickBot="1">
      <c r="A51" s="8"/>
      <c r="B51" s="8"/>
      <c r="C51" s="26" t="s">
        <v>45</v>
      </c>
      <c r="D51" s="101" t="s">
        <v>46</v>
      </c>
      <c r="E51" s="101" t="s">
        <v>44</v>
      </c>
      <c r="F51" s="101" t="s">
        <v>43</v>
      </c>
      <c r="G51" s="101" t="s">
        <v>42</v>
      </c>
      <c r="H51" s="101" t="s">
        <v>49</v>
      </c>
      <c r="I51" s="101" t="s">
        <v>47</v>
      </c>
      <c r="J51" s="101" t="s">
        <v>48</v>
      </c>
      <c r="L51" s="103"/>
      <c r="M51" s="104"/>
      <c r="N51" s="104"/>
      <c r="O51" s="107" t="s">
        <v>45</v>
      </c>
      <c r="P51" s="101" t="s">
        <v>46</v>
      </c>
      <c r="Q51" s="101" t="s">
        <v>44</v>
      </c>
      <c r="R51" s="101" t="s">
        <v>43</v>
      </c>
      <c r="S51" s="101" t="s">
        <v>42</v>
      </c>
      <c r="T51" s="101" t="s">
        <v>49</v>
      </c>
      <c r="U51" s="101" t="s">
        <v>67</v>
      </c>
      <c r="V51" s="101" t="s">
        <v>66</v>
      </c>
    </row>
    <row r="52" spans="1:33">
      <c r="A52" s="8" t="s">
        <v>37</v>
      </c>
      <c r="B52" s="36" t="s">
        <v>52</v>
      </c>
      <c r="C52" s="81">
        <f>Algandmed!AG116</f>
        <v>0</v>
      </c>
      <c r="D52" s="9">
        <f>E52+F52+G52+H52</f>
        <v>0</v>
      </c>
      <c r="E52" s="1">
        <f>Algandmed!AJ116</f>
        <v>0</v>
      </c>
      <c r="F52" s="1">
        <f>Algandmed!AL116</f>
        <v>0</v>
      </c>
      <c r="G52" s="1">
        <f>Algandmed!AM116</f>
        <v>0</v>
      </c>
      <c r="H52" s="1">
        <f>Algandmed!AN116</f>
        <v>0</v>
      </c>
      <c r="I52" s="1">
        <f>Algandmed!AQ116</f>
        <v>0</v>
      </c>
      <c r="J52" s="1">
        <f>Algandmed!AU116</f>
        <v>0</v>
      </c>
      <c r="M52" s="8" t="s">
        <v>1</v>
      </c>
      <c r="N52" s="36" t="s">
        <v>52</v>
      </c>
      <c r="O52" s="81">
        <f>Q52+R52+S52+T52+U52+V52</f>
        <v>0</v>
      </c>
      <c r="P52" s="9">
        <f>Q52+R52+S52+T52</f>
        <v>0</v>
      </c>
      <c r="Q52" s="1">
        <f>Algandmed!BC116</f>
        <v>0</v>
      </c>
      <c r="R52" s="1">
        <f>Algandmed!BE116</f>
        <v>0</v>
      </c>
      <c r="S52" s="1">
        <f>Algandmed!BF116</f>
        <v>0</v>
      </c>
      <c r="T52" s="1">
        <f>Algandmed!BG116</f>
        <v>0</v>
      </c>
      <c r="U52" s="1">
        <f>Algandmed!BJ116</f>
        <v>0</v>
      </c>
      <c r="V52" s="1">
        <f>Algandmed!BN116</f>
        <v>0</v>
      </c>
      <c r="Z52"/>
      <c r="AA52"/>
      <c r="AB52"/>
      <c r="AC52"/>
      <c r="AD52"/>
      <c r="AE52"/>
      <c r="AF52"/>
      <c r="AG52"/>
    </row>
    <row r="53" spans="1:33">
      <c r="A53" s="8"/>
      <c r="B53" s="36" t="s">
        <v>53</v>
      </c>
      <c r="C53" s="83">
        <f>Algandmed!AG117</f>
        <v>0</v>
      </c>
      <c r="D53" s="9">
        <f>E53+F53+G53+H53</f>
        <v>0</v>
      </c>
      <c r="E53" s="1">
        <f>Algandmed!AJ117</f>
        <v>0</v>
      </c>
      <c r="F53" s="1">
        <f>Algandmed!AL117</f>
        <v>0</v>
      </c>
      <c r="G53" s="1">
        <f>Algandmed!AM117</f>
        <v>0</v>
      </c>
      <c r="H53" s="1">
        <f>Algandmed!AN117</f>
        <v>0</v>
      </c>
      <c r="I53" s="1">
        <f>Algandmed!AQ117</f>
        <v>0</v>
      </c>
      <c r="J53" s="1">
        <f>Algandmed!AU117</f>
        <v>0</v>
      </c>
      <c r="M53" s="8"/>
      <c r="N53" s="36" t="s">
        <v>53</v>
      </c>
      <c r="O53" s="83">
        <f>Q53+R53+S53+T53+U53+V53</f>
        <v>0</v>
      </c>
      <c r="P53" s="9">
        <f>Q53+R53+S53+T53</f>
        <v>0</v>
      </c>
      <c r="Q53" s="1">
        <f>Algandmed!BC117</f>
        <v>0</v>
      </c>
      <c r="R53" s="1">
        <f>Algandmed!BE117</f>
        <v>0</v>
      </c>
      <c r="S53" s="1">
        <f>Algandmed!BF117</f>
        <v>0</v>
      </c>
      <c r="T53" s="1">
        <f>Algandmed!BG117</f>
        <v>0</v>
      </c>
      <c r="U53" s="1">
        <f>Algandmed!BJ117</f>
        <v>0</v>
      </c>
      <c r="V53" s="1">
        <f>Algandmed!BN117</f>
        <v>0</v>
      </c>
      <c r="Z53"/>
      <c r="AA53"/>
      <c r="AB53"/>
      <c r="AC53"/>
      <c r="AD53"/>
      <c r="AE53"/>
      <c r="AF53"/>
      <c r="AG53"/>
    </row>
    <row r="54" spans="1:33" ht="15.75" thickBot="1">
      <c r="A54" s="8"/>
      <c r="B54" s="48" t="s">
        <v>54</v>
      </c>
      <c r="C54" s="80">
        <f>Algandmed!AG118</f>
        <v>0</v>
      </c>
      <c r="D54" s="9">
        <f>E54+F54+G54+H54</f>
        <v>0</v>
      </c>
      <c r="E54" s="1">
        <f>Algandmed!AJ118</f>
        <v>0</v>
      </c>
      <c r="F54" s="1">
        <f>Algandmed!AL118</f>
        <v>0</v>
      </c>
      <c r="G54" s="1">
        <f>Algandmed!AM118</f>
        <v>0</v>
      </c>
      <c r="H54" s="1">
        <f>Algandmed!AN118</f>
        <v>0</v>
      </c>
      <c r="I54" s="1">
        <f>Algandmed!AQ118</f>
        <v>0</v>
      </c>
      <c r="J54" s="1">
        <f>Algandmed!AU118</f>
        <v>0</v>
      </c>
      <c r="M54" s="8"/>
      <c r="N54" s="48" t="s">
        <v>54</v>
      </c>
      <c r="O54" s="80">
        <f>Q54+R54+S54+T54+U54+V54</f>
        <v>0</v>
      </c>
      <c r="P54" s="9">
        <f>Q54+R54+S54+T54</f>
        <v>0</v>
      </c>
      <c r="Q54" s="1">
        <f>Algandmed!BC118</f>
        <v>0</v>
      </c>
      <c r="R54" s="1">
        <f>Algandmed!BE118</f>
        <v>0</v>
      </c>
      <c r="S54" s="1">
        <f>Algandmed!BF118</f>
        <v>0</v>
      </c>
      <c r="T54" s="1">
        <f>Algandmed!BG118</f>
        <v>0</v>
      </c>
      <c r="U54" s="1">
        <f>Algandmed!BJ118</f>
        <v>0</v>
      </c>
      <c r="V54" s="1">
        <f>Algandmed!BN118</f>
        <v>0</v>
      </c>
      <c r="Z54"/>
      <c r="AA54"/>
      <c r="AB54"/>
      <c r="AC54"/>
      <c r="AD54"/>
      <c r="AE54"/>
      <c r="AF54"/>
      <c r="AG54"/>
    </row>
    <row r="55" spans="1:33" ht="15.75" thickBot="1">
      <c r="A55" s="9"/>
      <c r="B55" s="25" t="s">
        <v>45</v>
      </c>
      <c r="C55" s="90">
        <f>C52+C53+C54</f>
        <v>0</v>
      </c>
      <c r="D55" s="89">
        <f>D52+D53+D54</f>
        <v>0</v>
      </c>
      <c r="E55" s="84">
        <f t="shared" ref="E55:J55" si="0">E52+E53+E54</f>
        <v>0</v>
      </c>
      <c r="F55" s="86">
        <f t="shared" si="0"/>
        <v>0</v>
      </c>
      <c r="G55" s="86">
        <f t="shared" si="0"/>
        <v>0</v>
      </c>
      <c r="H55" s="86">
        <f t="shared" si="0"/>
        <v>0</v>
      </c>
      <c r="I55" s="86">
        <f t="shared" si="0"/>
        <v>0</v>
      </c>
      <c r="J55" s="86">
        <f t="shared" si="0"/>
        <v>0</v>
      </c>
      <c r="M55" s="9"/>
      <c r="N55" s="25" t="s">
        <v>45</v>
      </c>
      <c r="O55" s="90">
        <f>O52+O53+O54</f>
        <v>0</v>
      </c>
      <c r="P55" s="89">
        <f>P52+P53+P54</f>
        <v>0</v>
      </c>
      <c r="Q55" s="84">
        <f t="shared" ref="Q55:V55" si="1">Q52+Q53+Q54</f>
        <v>0</v>
      </c>
      <c r="R55" s="86">
        <f t="shared" si="1"/>
        <v>0</v>
      </c>
      <c r="S55" s="86">
        <f t="shared" si="1"/>
        <v>0</v>
      </c>
      <c r="T55" s="86">
        <f t="shared" si="1"/>
        <v>0</v>
      </c>
      <c r="U55" s="86">
        <f t="shared" si="1"/>
        <v>0</v>
      </c>
      <c r="V55" s="86">
        <f t="shared" si="1"/>
        <v>0</v>
      </c>
      <c r="Z55"/>
      <c r="AA55"/>
      <c r="AB55"/>
      <c r="AC55"/>
      <c r="AD55"/>
      <c r="AE55"/>
      <c r="AF55"/>
      <c r="AG55"/>
    </row>
    <row r="56" spans="1:33">
      <c r="A56" s="10"/>
      <c r="B56" s="10"/>
      <c r="C56" s="10"/>
      <c r="D56" s="17"/>
      <c r="E56" s="10"/>
      <c r="F56" s="10"/>
      <c r="G56" s="10"/>
      <c r="H56" s="10"/>
      <c r="I56" s="10"/>
      <c r="J56" s="17"/>
      <c r="M56" s="10"/>
      <c r="N56" s="10"/>
      <c r="O56" s="10"/>
      <c r="P56" s="17"/>
      <c r="Q56" s="10"/>
      <c r="R56" s="10"/>
      <c r="S56" s="10"/>
      <c r="T56" s="10"/>
      <c r="U56" s="10"/>
      <c r="V56" s="17"/>
      <c r="Z56"/>
      <c r="AA56"/>
      <c r="AB56"/>
      <c r="AC56"/>
      <c r="AD56"/>
      <c r="AE56"/>
      <c r="AF56"/>
      <c r="AG56"/>
    </row>
    <row r="57" spans="1:33">
      <c r="D57"/>
      <c r="J57"/>
      <c r="M57"/>
      <c r="N57"/>
      <c r="Z57"/>
      <c r="AA57"/>
      <c r="AB57"/>
      <c r="AC57"/>
      <c r="AD57"/>
      <c r="AE57"/>
      <c r="AF57"/>
      <c r="AG57"/>
    </row>
    <row r="58" spans="1:33">
      <c r="D58"/>
      <c r="J58"/>
      <c r="M58"/>
      <c r="N58"/>
      <c r="Z58"/>
      <c r="AA58"/>
      <c r="AB58"/>
      <c r="AC58"/>
      <c r="AD58"/>
      <c r="AE58"/>
      <c r="AF58"/>
      <c r="AG58"/>
    </row>
    <row r="59" spans="1:33" ht="33.75">
      <c r="A59" s="8"/>
      <c r="B59" s="8"/>
      <c r="C59" s="9"/>
      <c r="D59" s="101" t="s">
        <v>46</v>
      </c>
      <c r="E59" s="101" t="s">
        <v>44</v>
      </c>
      <c r="F59" s="101" t="s">
        <v>43</v>
      </c>
      <c r="G59" s="101" t="s">
        <v>42</v>
      </c>
      <c r="H59" s="101" t="s">
        <v>49</v>
      </c>
      <c r="I59" s="101" t="s">
        <v>47</v>
      </c>
      <c r="J59" s="101" t="s">
        <v>48</v>
      </c>
      <c r="L59" s="103"/>
      <c r="M59" s="104"/>
      <c r="N59" s="104"/>
      <c r="O59" s="104"/>
      <c r="P59" s="101" t="s">
        <v>46</v>
      </c>
      <c r="Q59" s="101" t="s">
        <v>44</v>
      </c>
      <c r="R59" s="101" t="s">
        <v>43</v>
      </c>
      <c r="S59" s="101" t="s">
        <v>42</v>
      </c>
      <c r="T59" s="101" t="s">
        <v>49</v>
      </c>
      <c r="U59" s="101" t="s">
        <v>67</v>
      </c>
      <c r="V59" s="101" t="s">
        <v>66</v>
      </c>
      <c r="Z59"/>
      <c r="AA59"/>
      <c r="AB59"/>
      <c r="AC59"/>
      <c r="AD59"/>
      <c r="AE59"/>
      <c r="AF59"/>
      <c r="AG59"/>
    </row>
    <row r="60" spans="1:33">
      <c r="A60" s="8" t="s">
        <v>5</v>
      </c>
      <c r="B60" s="36" t="s">
        <v>52</v>
      </c>
      <c r="C60" s="9"/>
      <c r="D60" s="14" t="e">
        <f t="shared" ref="D60:J62" si="2">D52/$C52</f>
        <v>#DIV/0!</v>
      </c>
      <c r="E60" s="13" t="e">
        <f t="shared" si="2"/>
        <v>#DIV/0!</v>
      </c>
      <c r="F60" s="13" t="e">
        <f t="shared" si="2"/>
        <v>#DIV/0!</v>
      </c>
      <c r="G60" s="13" t="e">
        <f t="shared" si="2"/>
        <v>#DIV/0!</v>
      </c>
      <c r="H60" s="13" t="e">
        <f t="shared" si="2"/>
        <v>#DIV/0!</v>
      </c>
      <c r="I60" s="13" t="e">
        <f t="shared" si="2"/>
        <v>#DIV/0!</v>
      </c>
      <c r="J60" s="13" t="e">
        <f t="shared" si="2"/>
        <v>#DIV/0!</v>
      </c>
      <c r="M60" s="8" t="s">
        <v>1</v>
      </c>
      <c r="N60" s="36" t="s">
        <v>52</v>
      </c>
      <c r="O60" s="9"/>
      <c r="P60" s="14" t="e">
        <f t="shared" ref="P60:V62" si="3">P52/$O52</f>
        <v>#DIV/0!</v>
      </c>
      <c r="Q60" s="13" t="e">
        <f t="shared" si="3"/>
        <v>#DIV/0!</v>
      </c>
      <c r="R60" s="13" t="e">
        <f t="shared" si="3"/>
        <v>#DIV/0!</v>
      </c>
      <c r="S60" s="13" t="e">
        <f t="shared" si="3"/>
        <v>#DIV/0!</v>
      </c>
      <c r="T60" s="13" t="e">
        <f t="shared" si="3"/>
        <v>#DIV/0!</v>
      </c>
      <c r="U60" s="13" t="e">
        <f t="shared" si="3"/>
        <v>#DIV/0!</v>
      </c>
      <c r="V60" s="13" t="e">
        <f t="shared" si="3"/>
        <v>#DIV/0!</v>
      </c>
      <c r="Z60"/>
      <c r="AA60"/>
      <c r="AB60"/>
      <c r="AC60"/>
      <c r="AD60"/>
      <c r="AE60"/>
      <c r="AF60"/>
      <c r="AG60"/>
    </row>
    <row r="61" spans="1:33">
      <c r="A61" s="8"/>
      <c r="B61" s="36" t="s">
        <v>53</v>
      </c>
      <c r="C61" s="9"/>
      <c r="D61" s="14" t="e">
        <f t="shared" si="2"/>
        <v>#DIV/0!</v>
      </c>
      <c r="E61" s="13" t="e">
        <f t="shared" si="2"/>
        <v>#DIV/0!</v>
      </c>
      <c r="F61" s="13" t="e">
        <f t="shared" si="2"/>
        <v>#DIV/0!</v>
      </c>
      <c r="G61" s="13" t="e">
        <f t="shared" si="2"/>
        <v>#DIV/0!</v>
      </c>
      <c r="H61" s="13" t="e">
        <f t="shared" si="2"/>
        <v>#DIV/0!</v>
      </c>
      <c r="I61" s="13" t="e">
        <f t="shared" si="2"/>
        <v>#DIV/0!</v>
      </c>
      <c r="J61" s="13" t="e">
        <f t="shared" si="2"/>
        <v>#DIV/0!</v>
      </c>
      <c r="M61" s="8"/>
      <c r="N61" s="36" t="s">
        <v>53</v>
      </c>
      <c r="O61" s="9"/>
      <c r="P61" s="14" t="e">
        <f t="shared" si="3"/>
        <v>#DIV/0!</v>
      </c>
      <c r="Q61" s="13" t="e">
        <f t="shared" si="3"/>
        <v>#DIV/0!</v>
      </c>
      <c r="R61" s="13" t="e">
        <f t="shared" si="3"/>
        <v>#DIV/0!</v>
      </c>
      <c r="S61" s="13" t="e">
        <f t="shared" si="3"/>
        <v>#DIV/0!</v>
      </c>
      <c r="T61" s="13" t="e">
        <f t="shared" si="3"/>
        <v>#DIV/0!</v>
      </c>
      <c r="U61" s="13" t="e">
        <f t="shared" si="3"/>
        <v>#DIV/0!</v>
      </c>
      <c r="V61" s="13" t="e">
        <f t="shared" si="3"/>
        <v>#DIV/0!</v>
      </c>
      <c r="Z61"/>
      <c r="AA61"/>
      <c r="AB61"/>
      <c r="AC61"/>
      <c r="AD61"/>
      <c r="AE61"/>
      <c r="AF61"/>
      <c r="AG61"/>
    </row>
    <row r="62" spans="1:33">
      <c r="A62" s="8"/>
      <c r="B62" s="48" t="s">
        <v>54</v>
      </c>
      <c r="C62" s="9"/>
      <c r="D62" s="14" t="e">
        <f t="shared" si="2"/>
        <v>#DIV/0!</v>
      </c>
      <c r="E62" s="13" t="e">
        <f t="shared" si="2"/>
        <v>#DIV/0!</v>
      </c>
      <c r="F62" s="13" t="e">
        <f t="shared" si="2"/>
        <v>#DIV/0!</v>
      </c>
      <c r="G62" s="13" t="e">
        <f t="shared" si="2"/>
        <v>#DIV/0!</v>
      </c>
      <c r="H62" s="13" t="e">
        <f t="shared" si="2"/>
        <v>#DIV/0!</v>
      </c>
      <c r="I62" s="13" t="e">
        <f t="shared" si="2"/>
        <v>#DIV/0!</v>
      </c>
      <c r="J62" s="13" t="e">
        <f t="shared" si="2"/>
        <v>#DIV/0!</v>
      </c>
      <c r="M62" s="8"/>
      <c r="N62" s="48" t="s">
        <v>54</v>
      </c>
      <c r="O62" s="9"/>
      <c r="P62" s="14" t="e">
        <f t="shared" si="3"/>
        <v>#DIV/0!</v>
      </c>
      <c r="Q62" s="13" t="e">
        <f t="shared" si="3"/>
        <v>#DIV/0!</v>
      </c>
      <c r="R62" s="13" t="e">
        <f t="shared" si="3"/>
        <v>#DIV/0!</v>
      </c>
      <c r="S62" s="13" t="e">
        <f t="shared" si="3"/>
        <v>#DIV/0!</v>
      </c>
      <c r="T62" s="13" t="e">
        <f t="shared" si="3"/>
        <v>#DIV/0!</v>
      </c>
      <c r="U62" s="13" t="e">
        <f t="shared" si="3"/>
        <v>#DIV/0!</v>
      </c>
      <c r="V62" s="13" t="e">
        <f t="shared" si="3"/>
        <v>#DIV/0!</v>
      </c>
    </row>
    <row r="63" spans="1:33">
      <c r="A63" s="10"/>
      <c r="B63" s="10"/>
      <c r="C63" s="10"/>
      <c r="D63" s="10"/>
      <c r="E63" s="15"/>
      <c r="F63" s="15"/>
      <c r="G63" s="15"/>
      <c r="H63" s="15"/>
      <c r="I63" s="15"/>
      <c r="J63" s="15"/>
      <c r="M63" s="10"/>
      <c r="N63" s="10"/>
      <c r="O63" s="10"/>
      <c r="P63" s="10"/>
      <c r="Q63" s="15"/>
      <c r="R63" s="15"/>
      <c r="S63" s="15"/>
      <c r="T63" s="15"/>
      <c r="U63" s="15"/>
      <c r="V63" s="15"/>
    </row>
    <row r="64" spans="1:33">
      <c r="N64"/>
      <c r="O64"/>
      <c r="P64"/>
      <c r="Q64"/>
      <c r="R64"/>
      <c r="S64"/>
      <c r="T64"/>
      <c r="Z64"/>
      <c r="AA64"/>
    </row>
    <row r="65" spans="14:27">
      <c r="N65"/>
      <c r="O65"/>
      <c r="P65"/>
      <c r="Q65"/>
      <c r="R65"/>
      <c r="S65"/>
      <c r="T65"/>
      <c r="Z65"/>
      <c r="AA65"/>
    </row>
    <row r="66" spans="14:27">
      <c r="N66"/>
      <c r="O66"/>
      <c r="P66"/>
      <c r="Q66"/>
      <c r="R66"/>
      <c r="S66"/>
      <c r="T66"/>
      <c r="Z66"/>
      <c r="AA66"/>
    </row>
    <row r="67" spans="14:27">
      <c r="N67"/>
      <c r="O67"/>
      <c r="P67"/>
      <c r="Q67"/>
      <c r="R67"/>
      <c r="S67"/>
      <c r="T67"/>
      <c r="Z67"/>
      <c r="AA67"/>
    </row>
    <row r="68" spans="14:27">
      <c r="N68"/>
      <c r="O68"/>
      <c r="P68"/>
      <c r="Q68"/>
      <c r="R68"/>
      <c r="S68"/>
      <c r="T68"/>
      <c r="Z68"/>
      <c r="AA68"/>
    </row>
    <row r="69" spans="14:27">
      <c r="N69"/>
      <c r="O69"/>
      <c r="P69"/>
      <c r="Q69"/>
      <c r="R69"/>
      <c r="S69"/>
      <c r="T69"/>
      <c r="Z69"/>
      <c r="AA69"/>
    </row>
    <row r="70" spans="14:27">
      <c r="N70"/>
      <c r="O70"/>
      <c r="P70"/>
      <c r="Q70"/>
      <c r="R70"/>
      <c r="S70"/>
      <c r="T70"/>
      <c r="Z70"/>
      <c r="AA70"/>
    </row>
    <row r="71" spans="14:27">
      <c r="N71"/>
      <c r="O71"/>
      <c r="P71"/>
      <c r="Q71"/>
      <c r="R71"/>
      <c r="S71"/>
      <c r="T71"/>
      <c r="Z71"/>
      <c r="AA71"/>
    </row>
    <row r="72" spans="14:27">
      <c r="N72"/>
      <c r="O72"/>
      <c r="P72"/>
      <c r="Q72"/>
      <c r="R72"/>
      <c r="S72"/>
      <c r="T72"/>
      <c r="Z72"/>
      <c r="AA72"/>
    </row>
    <row r="73" spans="14:27">
      <c r="N73"/>
      <c r="O73"/>
      <c r="P73"/>
      <c r="Q73"/>
      <c r="R73"/>
      <c r="S73"/>
      <c r="T73"/>
      <c r="Z73"/>
      <c r="AA73"/>
    </row>
    <row r="74" spans="14:27">
      <c r="N74"/>
      <c r="O74"/>
      <c r="P74"/>
      <c r="Q74"/>
      <c r="R74"/>
      <c r="S74"/>
      <c r="T74"/>
      <c r="Z74"/>
      <c r="AA74"/>
    </row>
    <row r="75" spans="14:27">
      <c r="N75"/>
      <c r="O75"/>
      <c r="P75"/>
      <c r="Q75"/>
      <c r="R75"/>
      <c r="S75"/>
      <c r="T75"/>
      <c r="Z75"/>
      <c r="AA75"/>
    </row>
    <row r="76" spans="14:27">
      <c r="N76"/>
      <c r="O76"/>
      <c r="P76"/>
      <c r="Q76"/>
      <c r="R76"/>
      <c r="S76"/>
      <c r="T76"/>
      <c r="Z76"/>
      <c r="AA76"/>
    </row>
    <row r="77" spans="14:27">
      <c r="N77"/>
      <c r="O77"/>
      <c r="P77"/>
      <c r="Q77"/>
      <c r="R77"/>
      <c r="S77"/>
      <c r="T77"/>
      <c r="Z77"/>
      <c r="AA77"/>
    </row>
    <row r="78" spans="14:27">
      <c r="N78"/>
      <c r="O78"/>
      <c r="P78"/>
      <c r="Q78"/>
      <c r="R78"/>
      <c r="S78"/>
      <c r="T78"/>
      <c r="Z78"/>
      <c r="AA78"/>
    </row>
    <row r="79" spans="14:27">
      <c r="N79"/>
      <c r="O79"/>
      <c r="P79"/>
      <c r="Q79"/>
      <c r="R79"/>
      <c r="S79"/>
      <c r="T79"/>
      <c r="Z79"/>
      <c r="AA79"/>
    </row>
    <row r="80" spans="14:27">
      <c r="N80"/>
      <c r="O80"/>
      <c r="P80"/>
      <c r="Q80"/>
      <c r="R80"/>
      <c r="S80"/>
      <c r="T80"/>
      <c r="Z80"/>
      <c r="AA80"/>
    </row>
    <row r="81" spans="14:27">
      <c r="N81"/>
      <c r="O81"/>
      <c r="P81"/>
      <c r="Q81"/>
      <c r="R81"/>
      <c r="S81"/>
      <c r="T81"/>
      <c r="Z81"/>
      <c r="AA81"/>
    </row>
    <row r="82" spans="14:27">
      <c r="N82"/>
      <c r="O82"/>
      <c r="P82"/>
      <c r="Q82"/>
      <c r="R82"/>
      <c r="S82"/>
      <c r="T82"/>
      <c r="Z82"/>
      <c r="AA82"/>
    </row>
    <row r="83" spans="14:27">
      <c r="N83"/>
      <c r="O83"/>
      <c r="P83"/>
      <c r="Q83"/>
      <c r="R83"/>
      <c r="S83"/>
      <c r="T83"/>
      <c r="Z83"/>
      <c r="AA83"/>
    </row>
    <row r="84" spans="14:27">
      <c r="N84"/>
      <c r="O84"/>
      <c r="P84"/>
      <c r="Q84"/>
      <c r="R84"/>
      <c r="S84"/>
      <c r="T84"/>
      <c r="Z84"/>
      <c r="AA84"/>
    </row>
    <row r="85" spans="14:27">
      <c r="N85"/>
      <c r="O85"/>
      <c r="P85"/>
      <c r="Q85"/>
      <c r="R85"/>
      <c r="S85"/>
      <c r="T85"/>
      <c r="Z85"/>
      <c r="AA85"/>
    </row>
    <row r="86" spans="14:27">
      <c r="N86"/>
      <c r="O86"/>
      <c r="P86"/>
      <c r="Q86"/>
      <c r="R86"/>
      <c r="S86"/>
      <c r="T86"/>
      <c r="Z86"/>
      <c r="AA86"/>
    </row>
    <row r="87" spans="14:27">
      <c r="N87"/>
      <c r="O87"/>
      <c r="P87"/>
      <c r="Q87"/>
      <c r="R87"/>
      <c r="S87"/>
      <c r="T87"/>
      <c r="Z87"/>
      <c r="AA87"/>
    </row>
    <row r="88" spans="14:27">
      <c r="N88"/>
      <c r="O88"/>
      <c r="P88"/>
      <c r="Q88"/>
      <c r="R88"/>
      <c r="S88"/>
      <c r="T88"/>
      <c r="Z88"/>
      <c r="AA88"/>
    </row>
    <row r="89" spans="14:27">
      <c r="N89"/>
      <c r="O89"/>
      <c r="P89"/>
      <c r="Q89"/>
      <c r="R89"/>
      <c r="S89"/>
      <c r="T89"/>
      <c r="Z89"/>
      <c r="AA89"/>
    </row>
    <row r="90" spans="14:27">
      <c r="N90"/>
      <c r="O90"/>
      <c r="P90"/>
      <c r="Q90"/>
      <c r="R90"/>
      <c r="S90"/>
      <c r="T90"/>
      <c r="Z90"/>
      <c r="AA90"/>
    </row>
    <row r="91" spans="14:27">
      <c r="N91"/>
      <c r="O91"/>
      <c r="P91"/>
      <c r="Q91"/>
      <c r="R91"/>
      <c r="S91"/>
      <c r="T91"/>
      <c r="Z91"/>
      <c r="AA91"/>
    </row>
    <row r="92" spans="14:27">
      <c r="N92"/>
      <c r="O92"/>
      <c r="P92"/>
      <c r="Q92"/>
      <c r="R92"/>
      <c r="S92"/>
      <c r="T92"/>
      <c r="Z92"/>
      <c r="AA92"/>
    </row>
    <row r="93" spans="14:27">
      <c r="N93"/>
      <c r="O93"/>
      <c r="P93"/>
      <c r="Q93"/>
      <c r="R93"/>
      <c r="S93"/>
      <c r="T93"/>
      <c r="Z93"/>
      <c r="AA93"/>
    </row>
    <row r="94" spans="14:27">
      <c r="N94"/>
      <c r="O94"/>
      <c r="P94"/>
      <c r="Q94"/>
      <c r="R94"/>
      <c r="S94"/>
      <c r="T94"/>
      <c r="Z94"/>
      <c r="AA94"/>
    </row>
    <row r="95" spans="14:27">
      <c r="N95"/>
      <c r="O95"/>
      <c r="P95"/>
      <c r="Q95"/>
      <c r="R95"/>
      <c r="S95"/>
      <c r="T95"/>
      <c r="Z95"/>
      <c r="AA95"/>
    </row>
    <row r="96" spans="14:27" s="97" customFormat="1">
      <c r="N96" s="100"/>
      <c r="O96" s="100"/>
      <c r="P96" s="100"/>
      <c r="Q96" s="100"/>
      <c r="R96" s="100"/>
      <c r="S96" s="100"/>
      <c r="T96" s="100"/>
      <c r="Z96" s="100"/>
      <c r="AA96" s="100"/>
    </row>
    <row r="97" spans="1:34" s="117" customFormat="1">
      <c r="N97" s="115"/>
      <c r="O97" s="115"/>
      <c r="P97" s="115"/>
      <c r="Q97" s="115"/>
      <c r="R97" s="115"/>
      <c r="S97" s="115"/>
      <c r="T97" s="115"/>
      <c r="Z97" s="115"/>
      <c r="AA97" s="115"/>
    </row>
    <row r="98" spans="1:34" s="117" customFormat="1">
      <c r="N98" s="115"/>
      <c r="O98" s="115"/>
      <c r="P98" s="115"/>
      <c r="Q98" s="115"/>
      <c r="R98" s="115"/>
      <c r="S98" s="115"/>
      <c r="T98" s="115"/>
      <c r="Z98" s="115"/>
      <c r="AA98" s="115"/>
    </row>
    <row r="99" spans="1:34" ht="23.25">
      <c r="A99" s="408" t="s">
        <v>130</v>
      </c>
      <c r="B99" s="408"/>
      <c r="C99" s="408"/>
      <c r="D99" s="408"/>
      <c r="E99" s="408"/>
      <c r="F99" s="408"/>
      <c r="G99" s="408"/>
      <c r="H99" s="408"/>
      <c r="I99" s="408"/>
      <c r="J99" s="408"/>
      <c r="K99" s="408"/>
      <c r="L99" s="408"/>
      <c r="M99" s="408" t="s">
        <v>131</v>
      </c>
      <c r="N99" s="408"/>
      <c r="O99" s="408"/>
      <c r="P99" s="408"/>
      <c r="Q99" s="408"/>
      <c r="R99" s="408"/>
      <c r="S99" s="408"/>
      <c r="T99" s="408"/>
      <c r="U99" s="408"/>
      <c r="V99" s="408"/>
      <c r="W99" s="408"/>
      <c r="X99" s="408"/>
      <c r="Z99"/>
      <c r="AA99"/>
    </row>
    <row r="100" spans="1:34">
      <c r="A100" s="139"/>
      <c r="B100" s="139"/>
      <c r="C100" s="139"/>
      <c r="D100" s="139"/>
      <c r="E100" s="139"/>
      <c r="F100" s="139" t="s">
        <v>185</v>
      </c>
      <c r="G100" s="139"/>
      <c r="H100" s="139"/>
      <c r="I100" s="139"/>
      <c r="J100" s="139"/>
      <c r="K100" s="139"/>
      <c r="L100" s="139"/>
      <c r="M100" s="139"/>
      <c r="N100" s="115"/>
      <c r="O100" s="115"/>
      <c r="P100" s="115"/>
      <c r="Q100" s="115"/>
      <c r="R100" s="139" t="s">
        <v>186</v>
      </c>
      <c r="S100" s="115"/>
      <c r="T100" s="115"/>
      <c r="U100" s="139"/>
      <c r="V100" s="139"/>
      <c r="Z100"/>
      <c r="AA100"/>
    </row>
    <row r="101" spans="1:34" ht="34.5" thickBot="1">
      <c r="A101" s="8"/>
      <c r="B101" s="8"/>
      <c r="C101" s="107" t="s">
        <v>45</v>
      </c>
      <c r="D101" s="101" t="s">
        <v>46</v>
      </c>
      <c r="E101" s="101" t="s">
        <v>44</v>
      </c>
      <c r="F101" s="101" t="s">
        <v>43</v>
      </c>
      <c r="G101" s="101" t="s">
        <v>42</v>
      </c>
      <c r="H101" s="101" t="s">
        <v>49</v>
      </c>
      <c r="I101" s="101" t="s">
        <v>47</v>
      </c>
      <c r="J101" s="101" t="s">
        <v>48</v>
      </c>
      <c r="M101" s="104"/>
      <c r="N101" s="104"/>
      <c r="O101" s="107" t="s">
        <v>45</v>
      </c>
      <c r="P101" s="101" t="s">
        <v>46</v>
      </c>
      <c r="Q101" s="101" t="s">
        <v>44</v>
      </c>
      <c r="R101" s="101" t="s">
        <v>43</v>
      </c>
      <c r="S101" s="101" t="s">
        <v>42</v>
      </c>
      <c r="T101" s="101" t="s">
        <v>49</v>
      </c>
      <c r="U101" s="101" t="s">
        <v>67</v>
      </c>
      <c r="V101" s="101" t="s">
        <v>66</v>
      </c>
    </row>
    <row r="102" spans="1:34">
      <c r="A102" s="8" t="s">
        <v>5</v>
      </c>
      <c r="B102" s="36" t="s">
        <v>50</v>
      </c>
      <c r="C102" s="81">
        <f>E102+F102+G102+H102+I102+J102</f>
        <v>0</v>
      </c>
      <c r="D102" s="9">
        <f>E102+F102+G102+H102</f>
        <v>0</v>
      </c>
      <c r="E102" s="5">
        <f>Algandmed!AJ18</f>
        <v>0</v>
      </c>
      <c r="F102" s="5">
        <f>Algandmed!AL18</f>
        <v>0</v>
      </c>
      <c r="G102" s="5">
        <f>Algandmed!AM18</f>
        <v>0</v>
      </c>
      <c r="H102" s="5">
        <f>Algandmed!AN18</f>
        <v>0</v>
      </c>
      <c r="I102" s="1">
        <f>Algandmed!AQ18</f>
        <v>0</v>
      </c>
      <c r="J102" s="1">
        <f>Algandmed!AU18</f>
        <v>0</v>
      </c>
      <c r="M102" s="8" t="s">
        <v>1</v>
      </c>
      <c r="N102" s="36" t="s">
        <v>50</v>
      </c>
      <c r="O102" s="81">
        <f>Q102+R102+S102+T102+U102+V102</f>
        <v>0</v>
      </c>
      <c r="P102" s="9">
        <f>Q102+R102+S102+T102</f>
        <v>0</v>
      </c>
      <c r="Q102" s="5">
        <f>Algandmed!BB18</f>
        <v>0</v>
      </c>
      <c r="R102" s="5">
        <f>Algandmed!BD18</f>
        <v>0</v>
      </c>
      <c r="S102" s="5">
        <f>Algandmed!BE18</f>
        <v>0</v>
      </c>
      <c r="T102" s="5">
        <f>Algandmed!BF18</f>
        <v>0</v>
      </c>
      <c r="U102" s="5">
        <f>Algandmed!BJ18</f>
        <v>0</v>
      </c>
      <c r="V102" s="5">
        <f>Algandmed!BN18</f>
        <v>0</v>
      </c>
      <c r="AA102"/>
      <c r="AB102"/>
      <c r="AC102"/>
      <c r="AD102"/>
      <c r="AE102"/>
      <c r="AF102"/>
      <c r="AG102"/>
      <c r="AH102"/>
    </row>
    <row r="103" spans="1:34">
      <c r="A103" s="8"/>
      <c r="B103" s="36" t="s">
        <v>55</v>
      </c>
      <c r="C103" s="83" t="e">
        <f>E103+F103+G103+H103+I103+J103</f>
        <v>#REF!</v>
      </c>
      <c r="D103" s="9" t="e">
        <f>E103+F103+G103+H103</f>
        <v>#REF!</v>
      </c>
      <c r="E103" s="5" t="e">
        <f>Algandmed!#REF!</f>
        <v>#REF!</v>
      </c>
      <c r="F103" s="5" t="e">
        <f>Algandmed!#REF!</f>
        <v>#REF!</v>
      </c>
      <c r="G103" s="5" t="e">
        <f>Algandmed!#REF!</f>
        <v>#REF!</v>
      </c>
      <c r="H103" s="5" t="e">
        <f>Algandmed!#REF!</f>
        <v>#REF!</v>
      </c>
      <c r="I103" s="1" t="e">
        <f>Algandmed!#REF!</f>
        <v>#REF!</v>
      </c>
      <c r="J103" s="1" t="e">
        <f>Algandmed!#REF!</f>
        <v>#REF!</v>
      </c>
      <c r="M103" s="8"/>
      <c r="N103" s="36" t="s">
        <v>55</v>
      </c>
      <c r="O103" s="83" t="e">
        <f>Q103+R103+S103+T103+U103+V103</f>
        <v>#REF!</v>
      </c>
      <c r="P103" s="9" t="e">
        <f>Q103+R103+S103+T103</f>
        <v>#REF!</v>
      </c>
      <c r="Q103" s="5" t="e">
        <f>Algandmed!#REF!</f>
        <v>#REF!</v>
      </c>
      <c r="R103" s="5" t="e">
        <f>Algandmed!#REF!</f>
        <v>#REF!</v>
      </c>
      <c r="S103" s="5" t="e">
        <f>Algandmed!#REF!</f>
        <v>#REF!</v>
      </c>
      <c r="T103" s="5" t="e">
        <f>Algandmed!#REF!</f>
        <v>#REF!</v>
      </c>
      <c r="U103" s="5" t="e">
        <f>Algandmed!#REF!</f>
        <v>#REF!</v>
      </c>
      <c r="V103" s="5" t="e">
        <f>Algandmed!#REF!</f>
        <v>#REF!</v>
      </c>
      <c r="AA103"/>
      <c r="AB103"/>
      <c r="AC103"/>
      <c r="AD103"/>
      <c r="AE103"/>
      <c r="AF103"/>
      <c r="AG103"/>
      <c r="AH103"/>
    </row>
    <row r="104" spans="1:34">
      <c r="A104" s="8"/>
      <c r="B104" s="36" t="s">
        <v>56</v>
      </c>
      <c r="C104" s="83">
        <f>E104+F104+G104+H104+I104+J104</f>
        <v>0</v>
      </c>
      <c r="D104" s="9">
        <f>E104+F104+G104+H104</f>
        <v>0</v>
      </c>
      <c r="E104" s="5">
        <f>Algandmed!AJ19</f>
        <v>0</v>
      </c>
      <c r="F104" s="5">
        <f>Algandmed!AL19</f>
        <v>0</v>
      </c>
      <c r="G104" s="5">
        <f>Algandmed!AM19</f>
        <v>0</v>
      </c>
      <c r="H104" s="5">
        <f>Algandmed!AN19</f>
        <v>0</v>
      </c>
      <c r="I104" s="1">
        <f>Algandmed!AQ19</f>
        <v>0</v>
      </c>
      <c r="J104" s="1">
        <f>Algandmed!AU19</f>
        <v>0</v>
      </c>
      <c r="M104" s="8"/>
      <c r="N104" s="36" t="s">
        <v>56</v>
      </c>
      <c r="O104" s="83">
        <f>Q104+R104+S104+T104+U104+V104</f>
        <v>0</v>
      </c>
      <c r="P104" s="9">
        <f>Q104+R104+S104+T104</f>
        <v>0</v>
      </c>
      <c r="Q104" s="5">
        <f>Algandmed!BB19</f>
        <v>0</v>
      </c>
      <c r="R104" s="5">
        <f>Algandmed!BD19</f>
        <v>0</v>
      </c>
      <c r="S104" s="5">
        <f>Algandmed!BE19</f>
        <v>0</v>
      </c>
      <c r="T104" s="5">
        <f>Algandmed!BF19</f>
        <v>0</v>
      </c>
      <c r="U104" s="5">
        <f>Algandmed!BJ19</f>
        <v>0</v>
      </c>
      <c r="V104" s="5">
        <f>Algandmed!BN19</f>
        <v>0</v>
      </c>
      <c r="AA104"/>
      <c r="AB104"/>
      <c r="AC104"/>
      <c r="AD104"/>
      <c r="AE104"/>
      <c r="AF104"/>
      <c r="AG104"/>
      <c r="AH104"/>
    </row>
    <row r="105" spans="1:34" ht="15.75" thickBot="1">
      <c r="A105" s="8"/>
      <c r="B105" s="36" t="s">
        <v>57</v>
      </c>
      <c r="C105" s="80">
        <f>E105+F105+G105+H105+I105+J105</f>
        <v>0</v>
      </c>
      <c r="D105" s="9">
        <f>E105+F105+G105+H105</f>
        <v>0</v>
      </c>
      <c r="E105" s="5">
        <f>Algandmed!AJ20</f>
        <v>0</v>
      </c>
      <c r="F105" s="5">
        <f>Algandmed!AL20</f>
        <v>0</v>
      </c>
      <c r="G105" s="5">
        <f>Algandmed!AM20</f>
        <v>0</v>
      </c>
      <c r="H105" s="5">
        <f>Algandmed!AN20</f>
        <v>0</v>
      </c>
      <c r="I105" s="1">
        <f>Algandmed!AQ20</f>
        <v>0</v>
      </c>
      <c r="J105" s="1">
        <f>Algandmed!AU20</f>
        <v>0</v>
      </c>
      <c r="M105" s="8"/>
      <c r="N105" s="36" t="s">
        <v>57</v>
      </c>
      <c r="O105" s="80">
        <f>Q105+R105+S105+T105+U105+V105</f>
        <v>0</v>
      </c>
      <c r="P105" s="9">
        <f>Q105+R105+S105+T105</f>
        <v>0</v>
      </c>
      <c r="Q105" s="5">
        <f>Algandmed!BB20</f>
        <v>0</v>
      </c>
      <c r="R105" s="5">
        <f>Algandmed!BD20</f>
        <v>0</v>
      </c>
      <c r="S105" s="5">
        <f>Algandmed!BE20</f>
        <v>0</v>
      </c>
      <c r="T105" s="5">
        <f>Algandmed!BF20</f>
        <v>0</v>
      </c>
      <c r="U105" s="5">
        <f>Algandmed!BJ20</f>
        <v>0</v>
      </c>
      <c r="V105" s="5">
        <f>Algandmed!BN20</f>
        <v>0</v>
      </c>
      <c r="AA105"/>
      <c r="AB105"/>
      <c r="AC105"/>
      <c r="AD105"/>
      <c r="AE105"/>
      <c r="AF105"/>
      <c r="AG105"/>
      <c r="AH105"/>
    </row>
    <row r="106" spans="1:34" ht="15.75" thickBot="1">
      <c r="A106" s="8"/>
      <c r="B106" s="26" t="s">
        <v>45</v>
      </c>
      <c r="C106" s="82" t="e">
        <f>C105+C104+C103+C102</f>
        <v>#REF!</v>
      </c>
      <c r="D106" s="85" t="e">
        <f>E106+F106+G106+H106</f>
        <v>#REF!</v>
      </c>
      <c r="E106" s="85" t="e">
        <f t="shared" ref="E106:J106" si="4">E105+E104+E103+E102</f>
        <v>#REF!</v>
      </c>
      <c r="F106" s="85" t="e">
        <f t="shared" si="4"/>
        <v>#REF!</v>
      </c>
      <c r="G106" s="85" t="e">
        <f t="shared" si="4"/>
        <v>#REF!</v>
      </c>
      <c r="H106" s="85" t="e">
        <f t="shared" si="4"/>
        <v>#REF!</v>
      </c>
      <c r="I106" s="85" t="e">
        <f t="shared" si="4"/>
        <v>#REF!</v>
      </c>
      <c r="J106" s="88" t="e">
        <f t="shared" si="4"/>
        <v>#REF!</v>
      </c>
      <c r="M106" s="8"/>
      <c r="N106" s="26" t="s">
        <v>45</v>
      </c>
      <c r="O106" s="82" t="e">
        <f>O105+O104+O103+O102</f>
        <v>#REF!</v>
      </c>
      <c r="P106" s="85" t="e">
        <f>Q106+R106+S106+T106</f>
        <v>#REF!</v>
      </c>
      <c r="Q106" s="85" t="e">
        <f t="shared" ref="Q106:V106" si="5">Q105+Q104+Q103+Q102</f>
        <v>#REF!</v>
      </c>
      <c r="R106" s="85" t="e">
        <f t="shared" si="5"/>
        <v>#REF!</v>
      </c>
      <c r="S106" s="85" t="e">
        <f t="shared" si="5"/>
        <v>#REF!</v>
      </c>
      <c r="T106" s="85" t="e">
        <f t="shared" si="5"/>
        <v>#REF!</v>
      </c>
      <c r="U106" s="85" t="e">
        <f t="shared" si="5"/>
        <v>#REF!</v>
      </c>
      <c r="V106" s="88" t="e">
        <f t="shared" si="5"/>
        <v>#REF!</v>
      </c>
      <c r="AA106"/>
      <c r="AB106"/>
      <c r="AC106"/>
      <c r="AD106"/>
      <c r="AE106"/>
      <c r="AF106"/>
      <c r="AG106"/>
      <c r="AH106"/>
    </row>
    <row r="107" spans="1:34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AA107"/>
      <c r="AB107"/>
      <c r="AC107"/>
      <c r="AD107"/>
      <c r="AE107"/>
      <c r="AF107"/>
      <c r="AG107"/>
      <c r="AH107"/>
    </row>
    <row r="108" spans="1:34">
      <c r="A108" s="5"/>
      <c r="B108" s="5"/>
      <c r="C108" s="5"/>
      <c r="D108" s="5"/>
      <c r="E108" s="5"/>
      <c r="F108" s="5"/>
      <c r="G108" s="5"/>
      <c r="H108" s="5"/>
      <c r="AA108"/>
      <c r="AB108"/>
      <c r="AC108"/>
      <c r="AD108"/>
      <c r="AE108"/>
      <c r="AF108"/>
      <c r="AG108"/>
      <c r="AH108"/>
    </row>
    <row r="109" spans="1:34" ht="33.75">
      <c r="A109" s="8"/>
      <c r="B109" s="8"/>
      <c r="C109" s="9"/>
      <c r="D109" s="101" t="s">
        <v>46</v>
      </c>
      <c r="E109" s="101" t="s">
        <v>44</v>
      </c>
      <c r="F109" s="101" t="s">
        <v>43</v>
      </c>
      <c r="G109" s="101" t="s">
        <v>42</v>
      </c>
      <c r="H109" s="101" t="s">
        <v>49</v>
      </c>
      <c r="I109" s="101" t="s">
        <v>47</v>
      </c>
      <c r="J109" s="101" t="s">
        <v>48</v>
      </c>
      <c r="M109" s="104"/>
      <c r="N109" s="104"/>
      <c r="O109" s="104"/>
      <c r="P109" s="101" t="s">
        <v>46</v>
      </c>
      <c r="Q109" s="101" t="s">
        <v>44</v>
      </c>
      <c r="R109" s="101" t="s">
        <v>43</v>
      </c>
      <c r="S109" s="101" t="s">
        <v>42</v>
      </c>
      <c r="T109" s="101" t="s">
        <v>49</v>
      </c>
      <c r="U109" s="101" t="s">
        <v>67</v>
      </c>
      <c r="V109" s="101" t="s">
        <v>66</v>
      </c>
      <c r="AA109"/>
      <c r="AB109"/>
      <c r="AC109"/>
      <c r="AD109"/>
      <c r="AE109"/>
      <c r="AF109"/>
      <c r="AG109"/>
      <c r="AH109"/>
    </row>
    <row r="110" spans="1:34">
      <c r="A110" s="8" t="s">
        <v>5</v>
      </c>
      <c r="B110" s="36" t="s">
        <v>50</v>
      </c>
      <c r="C110" s="9"/>
      <c r="D110" s="14" t="e">
        <f>D102/C102</f>
        <v>#DIV/0!</v>
      </c>
      <c r="E110" s="13" t="e">
        <f>E102/C102</f>
        <v>#DIV/0!</v>
      </c>
      <c r="F110" s="13" t="e">
        <f>F102/C102</f>
        <v>#DIV/0!</v>
      </c>
      <c r="G110" s="13" t="e">
        <f>G102/C102</f>
        <v>#DIV/0!</v>
      </c>
      <c r="H110" s="13" t="e">
        <f>H102/C102</f>
        <v>#DIV/0!</v>
      </c>
      <c r="I110" s="7" t="e">
        <f>I102/C102</f>
        <v>#DIV/0!</v>
      </c>
      <c r="J110" s="7" t="e">
        <f>J102/C102</f>
        <v>#DIV/0!</v>
      </c>
      <c r="M110" s="8" t="s">
        <v>1</v>
      </c>
      <c r="N110" s="36" t="s">
        <v>50</v>
      </c>
      <c r="O110" s="9"/>
      <c r="P110" s="14" t="e">
        <f>P102/O102</f>
        <v>#DIV/0!</v>
      </c>
      <c r="Q110" s="13" t="e">
        <f>Q102/O102</f>
        <v>#DIV/0!</v>
      </c>
      <c r="R110" s="13" t="e">
        <f>R102/O102</f>
        <v>#DIV/0!</v>
      </c>
      <c r="S110" s="13" t="e">
        <f>S102/O102</f>
        <v>#DIV/0!</v>
      </c>
      <c r="T110" s="13" t="e">
        <f>T102/O102</f>
        <v>#DIV/0!</v>
      </c>
      <c r="U110" s="7" t="e">
        <f>U102/O102</f>
        <v>#DIV/0!</v>
      </c>
      <c r="V110" s="7" t="e">
        <f>V102/O102</f>
        <v>#DIV/0!</v>
      </c>
      <c r="AA110"/>
      <c r="AB110"/>
      <c r="AC110"/>
      <c r="AD110"/>
      <c r="AE110"/>
      <c r="AF110"/>
      <c r="AG110"/>
      <c r="AH110"/>
    </row>
    <row r="111" spans="1:34">
      <c r="A111" s="8"/>
      <c r="B111" s="36" t="s">
        <v>55</v>
      </c>
      <c r="C111" s="9"/>
      <c r="D111" s="14" t="e">
        <f>D103/C103</f>
        <v>#REF!</v>
      </c>
      <c r="E111" s="13" t="e">
        <f>E103/C103</f>
        <v>#REF!</v>
      </c>
      <c r="F111" s="13" t="e">
        <f>F103/C103</f>
        <v>#REF!</v>
      </c>
      <c r="G111" s="13" t="e">
        <f>G103/C103</f>
        <v>#REF!</v>
      </c>
      <c r="H111" s="13" t="e">
        <f>H103/C103</f>
        <v>#REF!</v>
      </c>
      <c r="I111" s="7" t="e">
        <f>I103/C103</f>
        <v>#REF!</v>
      </c>
      <c r="J111" s="7" t="e">
        <f>J103/C103</f>
        <v>#REF!</v>
      </c>
      <c r="M111" s="8"/>
      <c r="N111" s="36" t="s">
        <v>55</v>
      </c>
      <c r="O111" s="9"/>
      <c r="P111" s="14" t="e">
        <f>P103/O103</f>
        <v>#REF!</v>
      </c>
      <c r="Q111" s="13" t="e">
        <f>Q103/O103</f>
        <v>#REF!</v>
      </c>
      <c r="R111" s="13" t="e">
        <f>R103/O103</f>
        <v>#REF!</v>
      </c>
      <c r="S111" s="13" t="e">
        <f>S103/O103</f>
        <v>#REF!</v>
      </c>
      <c r="T111" s="13" t="e">
        <f>T103/O103</f>
        <v>#REF!</v>
      </c>
      <c r="U111" s="7" t="e">
        <f>U103/O103</f>
        <v>#REF!</v>
      </c>
      <c r="V111" s="7" t="e">
        <f>V103/O103</f>
        <v>#REF!</v>
      </c>
      <c r="AA111"/>
      <c r="AB111"/>
      <c r="AC111"/>
      <c r="AD111"/>
      <c r="AE111"/>
      <c r="AF111"/>
      <c r="AG111"/>
      <c r="AH111"/>
    </row>
    <row r="112" spans="1:34">
      <c r="A112" s="8"/>
      <c r="B112" s="36" t="s">
        <v>56</v>
      </c>
      <c r="C112" s="9"/>
      <c r="D112" s="14" t="e">
        <f>D104/C104</f>
        <v>#DIV/0!</v>
      </c>
      <c r="E112" s="13" t="e">
        <f>E104/C104</f>
        <v>#DIV/0!</v>
      </c>
      <c r="F112" s="13" t="e">
        <f>F104/C104</f>
        <v>#DIV/0!</v>
      </c>
      <c r="G112" s="13" t="e">
        <f>G104/C104</f>
        <v>#DIV/0!</v>
      </c>
      <c r="H112" s="13" t="e">
        <f>H104/C104</f>
        <v>#DIV/0!</v>
      </c>
      <c r="I112" s="7" t="e">
        <f>I104/C104</f>
        <v>#DIV/0!</v>
      </c>
      <c r="J112" s="7" t="e">
        <f>J104/C104</f>
        <v>#DIV/0!</v>
      </c>
      <c r="M112" s="8"/>
      <c r="N112" s="36" t="s">
        <v>56</v>
      </c>
      <c r="O112" s="9"/>
      <c r="P112" s="14" t="e">
        <f>P104/O104</f>
        <v>#DIV/0!</v>
      </c>
      <c r="Q112" s="13" t="e">
        <f>Q104/O104</f>
        <v>#DIV/0!</v>
      </c>
      <c r="R112" s="13" t="e">
        <f>R104/O104</f>
        <v>#DIV/0!</v>
      </c>
      <c r="S112" s="13" t="e">
        <f>S104/O104</f>
        <v>#DIV/0!</v>
      </c>
      <c r="T112" s="13" t="e">
        <f>T104/O104</f>
        <v>#DIV/0!</v>
      </c>
      <c r="U112" s="7" t="e">
        <f>U104/O104</f>
        <v>#DIV/0!</v>
      </c>
      <c r="V112" s="7" t="e">
        <f>V104/O104</f>
        <v>#DIV/0!</v>
      </c>
      <c r="AA112"/>
      <c r="AB112"/>
      <c r="AC112"/>
      <c r="AD112"/>
      <c r="AE112"/>
      <c r="AF112"/>
      <c r="AG112"/>
      <c r="AH112"/>
    </row>
    <row r="113" spans="1:34">
      <c r="A113" s="8"/>
      <c r="B113" s="36" t="s">
        <v>57</v>
      </c>
      <c r="C113" s="9"/>
      <c r="D113" s="14" t="e">
        <f>D105/C105</f>
        <v>#DIV/0!</v>
      </c>
      <c r="E113" s="13" t="e">
        <f>E105/C105</f>
        <v>#DIV/0!</v>
      </c>
      <c r="F113" s="13" t="e">
        <f>F105/C105</f>
        <v>#DIV/0!</v>
      </c>
      <c r="G113" s="13" t="e">
        <f>G105/C105</f>
        <v>#DIV/0!</v>
      </c>
      <c r="H113" s="13" t="e">
        <f>H105/C105</f>
        <v>#DIV/0!</v>
      </c>
      <c r="I113" s="7" t="e">
        <f>I105/C105</f>
        <v>#DIV/0!</v>
      </c>
      <c r="J113" s="7" t="e">
        <f>J105/C105</f>
        <v>#DIV/0!</v>
      </c>
      <c r="M113" s="8"/>
      <c r="N113" s="36" t="s">
        <v>57</v>
      </c>
      <c r="O113" s="9"/>
      <c r="P113" s="14" t="e">
        <f>P105/O105</f>
        <v>#DIV/0!</v>
      </c>
      <c r="Q113" s="13" t="e">
        <f>Q105/O105</f>
        <v>#DIV/0!</v>
      </c>
      <c r="R113" s="13" t="e">
        <f>R105/O105</f>
        <v>#DIV/0!</v>
      </c>
      <c r="S113" s="13" t="e">
        <f>S105/O105</f>
        <v>#DIV/0!</v>
      </c>
      <c r="T113" s="13" t="e">
        <f>T105/O105</f>
        <v>#DIV/0!</v>
      </c>
      <c r="U113" s="7" t="e">
        <f>U105/O105</f>
        <v>#DIV/0!</v>
      </c>
      <c r="V113" s="7" t="e">
        <f>V105/O105</f>
        <v>#DIV/0!</v>
      </c>
      <c r="AA113"/>
      <c r="AB113"/>
      <c r="AC113"/>
      <c r="AD113"/>
      <c r="AE113"/>
      <c r="AF113"/>
      <c r="AG113"/>
      <c r="AH113"/>
    </row>
    <row r="114" spans="1:34">
      <c r="A114" s="37"/>
      <c r="B114" s="37"/>
      <c r="C114" s="37"/>
      <c r="D114" s="37"/>
      <c r="E114" s="38"/>
      <c r="F114" s="38"/>
      <c r="G114" s="38"/>
      <c r="H114" s="38"/>
      <c r="I114" s="38"/>
      <c r="J114" s="38"/>
      <c r="M114" s="37"/>
      <c r="N114" s="37"/>
      <c r="O114" s="37"/>
      <c r="P114" s="37"/>
      <c r="Q114" s="38"/>
      <c r="R114" s="38"/>
      <c r="S114" s="38"/>
      <c r="T114" s="38"/>
      <c r="U114" s="38"/>
      <c r="V114" s="38"/>
    </row>
    <row r="115" spans="1:34">
      <c r="O115" s="5"/>
    </row>
    <row r="146" spans="1:24" s="45" customFormat="1"/>
    <row r="147" spans="1:24" s="117" customFormat="1"/>
    <row r="148" spans="1:24" s="117" customFormat="1"/>
    <row r="149" spans="1:24" ht="23.25">
      <c r="A149" s="408" t="s">
        <v>132</v>
      </c>
      <c r="B149" s="408"/>
      <c r="C149" s="408"/>
      <c r="D149" s="408"/>
      <c r="E149" s="408"/>
      <c r="F149" s="408"/>
      <c r="G149" s="408"/>
      <c r="H149" s="408"/>
      <c r="I149" s="408"/>
      <c r="J149" s="408"/>
      <c r="K149" s="408"/>
      <c r="L149" s="408"/>
      <c r="M149" s="408" t="s">
        <v>133</v>
      </c>
      <c r="N149" s="408"/>
      <c r="O149" s="408"/>
      <c r="P149" s="408"/>
      <c r="Q149" s="408"/>
      <c r="R149" s="408"/>
      <c r="S149" s="408"/>
      <c r="T149" s="408"/>
      <c r="U149" s="408"/>
      <c r="V149" s="408"/>
      <c r="W149" s="408"/>
      <c r="X149" s="408"/>
    </row>
    <row r="150" spans="1:24">
      <c r="A150" s="139"/>
      <c r="B150" s="139"/>
      <c r="C150" s="139"/>
      <c r="D150" s="139"/>
      <c r="E150" s="139"/>
      <c r="F150" s="139" t="s">
        <v>187</v>
      </c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 t="s">
        <v>188</v>
      </c>
      <c r="S150" s="139"/>
      <c r="T150" s="139"/>
      <c r="U150" s="139"/>
      <c r="V150" s="139"/>
    </row>
    <row r="151" spans="1:24" ht="34.5" thickBot="1">
      <c r="A151" s="8"/>
      <c r="B151" s="9"/>
      <c r="C151" s="107" t="s">
        <v>45</v>
      </c>
      <c r="D151" s="101" t="s">
        <v>46</v>
      </c>
      <c r="E151" s="101" t="s">
        <v>44</v>
      </c>
      <c r="F151" s="101" t="s">
        <v>43</v>
      </c>
      <c r="G151" s="101" t="s">
        <v>42</v>
      </c>
      <c r="H151" s="101" t="s">
        <v>49</v>
      </c>
      <c r="I151" s="101" t="s">
        <v>47</v>
      </c>
      <c r="J151" s="101" t="s">
        <v>48</v>
      </c>
      <c r="L151" s="103"/>
      <c r="M151" s="104"/>
      <c r="N151" s="104"/>
      <c r="O151" s="107" t="s">
        <v>45</v>
      </c>
      <c r="P151" s="101" t="s">
        <v>46</v>
      </c>
      <c r="Q151" s="101" t="s">
        <v>44</v>
      </c>
      <c r="R151" s="101" t="s">
        <v>43</v>
      </c>
      <c r="S151" s="101" t="s">
        <v>42</v>
      </c>
      <c r="T151" s="101" t="s">
        <v>49</v>
      </c>
      <c r="U151" s="101" t="s">
        <v>67</v>
      </c>
      <c r="V151" s="101" t="s">
        <v>66</v>
      </c>
    </row>
    <row r="152" spans="1:24">
      <c r="A152" s="18" t="s">
        <v>74</v>
      </c>
      <c r="B152" s="36" t="s">
        <v>50</v>
      </c>
      <c r="C152" s="81">
        <f>E152+F152+G152+H152+I152+J152</f>
        <v>0</v>
      </c>
      <c r="D152" s="9">
        <f>F152+G152+H152+E152</f>
        <v>0</v>
      </c>
      <c r="E152" s="1">
        <f>Algandmed!AI31</f>
        <v>0</v>
      </c>
      <c r="F152" s="1">
        <f>Algandmed!AJ31</f>
        <v>0</v>
      </c>
      <c r="G152" s="1">
        <f>Algandmed!AK31</f>
        <v>0</v>
      </c>
      <c r="H152" s="1">
        <f>Algandmed!AL31</f>
        <v>0</v>
      </c>
      <c r="I152" s="1">
        <f>Algandmed!AM31</f>
        <v>0</v>
      </c>
      <c r="J152" s="1">
        <f>Algandmed!AQ31</f>
        <v>0</v>
      </c>
      <c r="M152" s="18" t="s">
        <v>90</v>
      </c>
      <c r="N152" s="36" t="s">
        <v>50</v>
      </c>
      <c r="O152" s="81">
        <f>Q152+R152+S152+T152+U152+V152</f>
        <v>0</v>
      </c>
      <c r="P152" s="9">
        <f>R152+S152+T152+Q152</f>
        <v>0</v>
      </c>
      <c r="Q152" s="1">
        <f>Algandmed!AX31</f>
        <v>0</v>
      </c>
      <c r="R152" s="1">
        <f>Algandmed!AY31</f>
        <v>0</v>
      </c>
      <c r="S152" s="1">
        <f>Algandmed!AZ31</f>
        <v>0</v>
      </c>
      <c r="T152" s="1">
        <f>Algandmed!BA31</f>
        <v>0</v>
      </c>
      <c r="U152" s="1">
        <f>Algandmed!BB31</f>
        <v>0</v>
      </c>
      <c r="V152" s="1">
        <f>Algandmed!BF31</f>
        <v>0</v>
      </c>
    </row>
    <row r="153" spans="1:24">
      <c r="A153" s="8"/>
      <c r="B153" s="36" t="s">
        <v>55</v>
      </c>
      <c r="C153" s="83" t="e">
        <f>E153+F153+G153+H153+I153+J153</f>
        <v>#REF!</v>
      </c>
      <c r="D153" s="9" t="e">
        <f>F153+G153+H153+E153</f>
        <v>#REF!</v>
      </c>
      <c r="E153" s="1" t="e">
        <f>Algandmed!#REF!</f>
        <v>#REF!</v>
      </c>
      <c r="F153" s="1" t="e">
        <f>Algandmed!#REF!</f>
        <v>#REF!</v>
      </c>
      <c r="G153" s="1" t="e">
        <f>Algandmed!#REF!</f>
        <v>#REF!</v>
      </c>
      <c r="H153" s="1" t="e">
        <f>Algandmed!#REF!</f>
        <v>#REF!</v>
      </c>
      <c r="I153" s="1" t="e">
        <f>Algandmed!#REF!</f>
        <v>#REF!</v>
      </c>
      <c r="J153" s="1" t="e">
        <f>Algandmed!#REF!</f>
        <v>#REF!</v>
      </c>
      <c r="M153" s="8"/>
      <c r="N153" s="36" t="s">
        <v>55</v>
      </c>
      <c r="O153" s="83" t="e">
        <f>Q153+R153+S153+T153+U153+V153</f>
        <v>#REF!</v>
      </c>
      <c r="P153" s="9" t="e">
        <f>R153+S153+T153+Q153</f>
        <v>#REF!</v>
      </c>
      <c r="Q153" s="1" t="e">
        <f>Algandmed!#REF!</f>
        <v>#REF!</v>
      </c>
      <c r="R153" s="1" t="e">
        <f>Algandmed!#REF!</f>
        <v>#REF!</v>
      </c>
      <c r="S153" s="1" t="e">
        <f>Algandmed!#REF!</f>
        <v>#REF!</v>
      </c>
      <c r="T153" s="1" t="e">
        <f>Algandmed!#REF!</f>
        <v>#REF!</v>
      </c>
      <c r="U153" s="1" t="e">
        <f>Algandmed!#REF!</f>
        <v>#REF!</v>
      </c>
      <c r="V153" s="1" t="e">
        <f>Algandmed!#REF!</f>
        <v>#REF!</v>
      </c>
    </row>
    <row r="154" spans="1:24">
      <c r="A154" s="8"/>
      <c r="B154" s="36" t="s">
        <v>56</v>
      </c>
      <c r="C154" s="83">
        <f>E154+F154+G154+H154+I154+J154</f>
        <v>0</v>
      </c>
      <c r="D154" s="9">
        <f>F154+G154+H154+E154</f>
        <v>0</v>
      </c>
      <c r="E154" s="1">
        <f>Algandmed!AI32</f>
        <v>0</v>
      </c>
      <c r="F154" s="1">
        <f>Algandmed!AJ32</f>
        <v>0</v>
      </c>
      <c r="G154" s="1">
        <f>Algandmed!AK32</f>
        <v>0</v>
      </c>
      <c r="H154" s="1">
        <f>Algandmed!AL32</f>
        <v>0</v>
      </c>
      <c r="I154" s="1">
        <f>Algandmed!AM32</f>
        <v>0</v>
      </c>
      <c r="J154" s="1">
        <f>Algandmed!AQ32</f>
        <v>0</v>
      </c>
      <c r="M154" s="8"/>
      <c r="N154" s="36" t="s">
        <v>56</v>
      </c>
      <c r="O154" s="83">
        <f>Q154+R154+S154+T154+U154+V154</f>
        <v>0</v>
      </c>
      <c r="P154" s="9">
        <f>R154+S154+T154+Q154</f>
        <v>0</v>
      </c>
      <c r="Q154" s="1">
        <f>Algandmed!AX32</f>
        <v>0</v>
      </c>
      <c r="R154" s="1">
        <f>Algandmed!AY32</f>
        <v>0</v>
      </c>
      <c r="S154" s="1">
        <f>Algandmed!AZ32</f>
        <v>0</v>
      </c>
      <c r="T154" s="1">
        <f>Algandmed!BA32</f>
        <v>0</v>
      </c>
      <c r="U154" s="1">
        <f>Algandmed!BB32</f>
        <v>0</v>
      </c>
      <c r="V154" s="1">
        <f>Algandmed!BF32</f>
        <v>0</v>
      </c>
    </row>
    <row r="155" spans="1:24" ht="15.75" thickBot="1">
      <c r="A155" s="8"/>
      <c r="B155" s="36" t="s">
        <v>57</v>
      </c>
      <c r="C155" s="80">
        <f>E155+F155+G155+H155+I155+J155</f>
        <v>0</v>
      </c>
      <c r="D155" s="9">
        <f>F155+G155+H155+E155</f>
        <v>0</v>
      </c>
      <c r="E155" s="1">
        <f>Algandmed!AI33</f>
        <v>0</v>
      </c>
      <c r="F155" s="1">
        <f>Algandmed!AJ33</f>
        <v>0</v>
      </c>
      <c r="G155" s="1">
        <f>Algandmed!AK33</f>
        <v>0</v>
      </c>
      <c r="H155" s="1">
        <f>Algandmed!AL33</f>
        <v>0</v>
      </c>
      <c r="I155" s="1">
        <f>Algandmed!AM33</f>
        <v>0</v>
      </c>
      <c r="J155" s="1">
        <f>Algandmed!AQ33</f>
        <v>0</v>
      </c>
      <c r="M155" s="8"/>
      <c r="N155" s="36" t="s">
        <v>57</v>
      </c>
      <c r="O155" s="80">
        <f>Q155+R155+S155+T155+U155+V155</f>
        <v>0</v>
      </c>
      <c r="P155" s="9">
        <f>R155+S155+T155+Q155</f>
        <v>0</v>
      </c>
      <c r="Q155" s="1">
        <f>Algandmed!AX33</f>
        <v>0</v>
      </c>
      <c r="R155" s="1">
        <f>Algandmed!AY33</f>
        <v>0</v>
      </c>
      <c r="S155" s="1">
        <f>Algandmed!AZ33</f>
        <v>0</v>
      </c>
      <c r="T155" s="1">
        <f>Algandmed!BA33</f>
        <v>0</v>
      </c>
      <c r="U155" s="1">
        <f>Algandmed!BB33</f>
        <v>0</v>
      </c>
      <c r="V155" s="1">
        <f>Algandmed!BF33</f>
        <v>0</v>
      </c>
    </row>
    <row r="156" spans="1:24" ht="15.75" thickBot="1">
      <c r="A156" s="8"/>
      <c r="B156" s="26" t="s">
        <v>45</v>
      </c>
      <c r="C156" s="82">
        <f>Algandmed!AH34</f>
        <v>0</v>
      </c>
      <c r="D156" s="88">
        <f>F156+G156+H156</f>
        <v>0</v>
      </c>
      <c r="E156" s="87">
        <f>Algandmed!AI34</f>
        <v>0</v>
      </c>
      <c r="F156" s="85">
        <f>Algandmed!AJ34</f>
        <v>0</v>
      </c>
      <c r="G156" s="85">
        <f>Algandmed!AK34</f>
        <v>0</v>
      </c>
      <c r="H156" s="85">
        <f>Algandmed!AL34</f>
        <v>0</v>
      </c>
      <c r="I156" s="85">
        <f>Algandmed!AM34</f>
        <v>0</v>
      </c>
      <c r="J156" s="85">
        <f>Algandmed!AQ34</f>
        <v>0</v>
      </c>
      <c r="M156" s="8"/>
      <c r="N156" s="26" t="s">
        <v>45</v>
      </c>
      <c r="O156" s="82" t="e">
        <f>O152+O153+O154+O155</f>
        <v>#REF!</v>
      </c>
      <c r="P156" s="88" t="e">
        <f>P152+P153+P154+P155</f>
        <v>#REF!</v>
      </c>
      <c r="Q156" s="87" t="e">
        <f t="shared" ref="Q156:V156" si="6">Q152+Q153+Q154+Q155</f>
        <v>#REF!</v>
      </c>
      <c r="R156" s="85" t="e">
        <f t="shared" si="6"/>
        <v>#REF!</v>
      </c>
      <c r="S156" s="85" t="e">
        <f t="shared" si="6"/>
        <v>#REF!</v>
      </c>
      <c r="T156" s="85" t="e">
        <f t="shared" si="6"/>
        <v>#REF!</v>
      </c>
      <c r="U156" s="85" t="e">
        <f t="shared" si="6"/>
        <v>#REF!</v>
      </c>
      <c r="V156" s="85" t="e">
        <f t="shared" si="6"/>
        <v>#REF!</v>
      </c>
    </row>
    <row r="157" spans="1:24">
      <c r="A157" s="39"/>
      <c r="B157" s="39"/>
      <c r="C157" s="37"/>
      <c r="D157" s="37"/>
      <c r="E157" s="37"/>
      <c r="F157" s="37"/>
      <c r="G157" s="37"/>
      <c r="H157" s="37"/>
      <c r="I157" s="37"/>
      <c r="J157" s="37"/>
      <c r="M157" s="39"/>
      <c r="N157" s="39"/>
      <c r="O157" s="39"/>
      <c r="P157" s="37"/>
      <c r="Q157" s="39"/>
      <c r="R157" s="39"/>
      <c r="S157" s="39"/>
      <c r="T157" s="39"/>
      <c r="U157" s="39"/>
      <c r="V157" s="39"/>
    </row>
    <row r="158" spans="1:24">
      <c r="A158"/>
      <c r="B158"/>
      <c r="C158" s="20"/>
      <c r="D158" s="20"/>
      <c r="E158" s="20"/>
      <c r="F158" s="20"/>
      <c r="G158" s="20"/>
      <c r="H158" s="20"/>
      <c r="I158" s="20"/>
      <c r="J158" s="20"/>
    </row>
    <row r="159" spans="1:24" ht="33.75">
      <c r="A159" s="8"/>
      <c r="B159" s="9"/>
      <c r="C159" s="9"/>
      <c r="D159" s="101" t="s">
        <v>46</v>
      </c>
      <c r="E159" s="101" t="s">
        <v>44</v>
      </c>
      <c r="F159" s="101" t="s">
        <v>43</v>
      </c>
      <c r="G159" s="101" t="s">
        <v>42</v>
      </c>
      <c r="H159" s="101" t="s">
        <v>49</v>
      </c>
      <c r="I159" s="101" t="s">
        <v>47</v>
      </c>
      <c r="J159" s="101" t="s">
        <v>48</v>
      </c>
      <c r="L159" s="103"/>
      <c r="M159" s="104"/>
      <c r="N159" s="104"/>
      <c r="O159" s="104"/>
      <c r="P159" s="101" t="s">
        <v>46</v>
      </c>
      <c r="Q159" s="101" t="s">
        <v>44</v>
      </c>
      <c r="R159" s="101" t="s">
        <v>43</v>
      </c>
      <c r="S159" s="101" t="s">
        <v>42</v>
      </c>
      <c r="T159" s="101" t="s">
        <v>49</v>
      </c>
      <c r="U159" s="101" t="s">
        <v>67</v>
      </c>
      <c r="V159" s="101" t="s">
        <v>66</v>
      </c>
    </row>
    <row r="160" spans="1:24">
      <c r="A160" s="18" t="s">
        <v>74</v>
      </c>
      <c r="B160" s="36" t="s">
        <v>50</v>
      </c>
      <c r="C160" s="9"/>
      <c r="D160" s="14" t="e">
        <f t="shared" ref="D160:J163" si="7">D152/$C152</f>
        <v>#DIV/0!</v>
      </c>
      <c r="E160" s="7" t="e">
        <f t="shared" si="7"/>
        <v>#DIV/0!</v>
      </c>
      <c r="F160" s="7" t="e">
        <f t="shared" si="7"/>
        <v>#DIV/0!</v>
      </c>
      <c r="G160" s="7" t="e">
        <f t="shared" si="7"/>
        <v>#DIV/0!</v>
      </c>
      <c r="H160" s="7" t="e">
        <f t="shared" si="7"/>
        <v>#DIV/0!</v>
      </c>
      <c r="I160" s="7" t="e">
        <f t="shared" si="7"/>
        <v>#DIV/0!</v>
      </c>
      <c r="J160" s="7" t="e">
        <f t="shared" si="7"/>
        <v>#DIV/0!</v>
      </c>
      <c r="M160" s="18" t="s">
        <v>90</v>
      </c>
      <c r="N160" s="36" t="s">
        <v>50</v>
      </c>
      <c r="O160" s="9"/>
      <c r="P160" s="14" t="e">
        <f t="shared" ref="P160:V163" si="8">P152/$O152</f>
        <v>#DIV/0!</v>
      </c>
      <c r="Q160" s="7" t="e">
        <f t="shared" si="8"/>
        <v>#DIV/0!</v>
      </c>
      <c r="R160" s="7" t="e">
        <f t="shared" si="8"/>
        <v>#DIV/0!</v>
      </c>
      <c r="S160" s="7" t="e">
        <f t="shared" si="8"/>
        <v>#DIV/0!</v>
      </c>
      <c r="T160" s="7" t="e">
        <f t="shared" si="8"/>
        <v>#DIV/0!</v>
      </c>
      <c r="U160" s="7" t="e">
        <f t="shared" si="8"/>
        <v>#DIV/0!</v>
      </c>
      <c r="V160" s="7" t="e">
        <f t="shared" si="8"/>
        <v>#DIV/0!</v>
      </c>
    </row>
    <row r="161" spans="1:32">
      <c r="A161" s="8"/>
      <c r="B161" s="36" t="s">
        <v>55</v>
      </c>
      <c r="C161" s="9"/>
      <c r="D161" s="14" t="e">
        <f t="shared" si="7"/>
        <v>#REF!</v>
      </c>
      <c r="E161" s="7" t="e">
        <f t="shared" si="7"/>
        <v>#REF!</v>
      </c>
      <c r="F161" s="7" t="e">
        <f t="shared" si="7"/>
        <v>#REF!</v>
      </c>
      <c r="G161" s="7" t="e">
        <f t="shared" si="7"/>
        <v>#REF!</v>
      </c>
      <c r="H161" s="7" t="e">
        <f t="shared" si="7"/>
        <v>#REF!</v>
      </c>
      <c r="I161" s="7" t="e">
        <f t="shared" si="7"/>
        <v>#REF!</v>
      </c>
      <c r="J161" s="7" t="e">
        <f t="shared" si="7"/>
        <v>#REF!</v>
      </c>
      <c r="M161" s="8"/>
      <c r="N161" s="36" t="s">
        <v>55</v>
      </c>
      <c r="O161" s="9"/>
      <c r="P161" s="14" t="e">
        <f t="shared" si="8"/>
        <v>#REF!</v>
      </c>
      <c r="Q161" s="7" t="e">
        <f t="shared" si="8"/>
        <v>#REF!</v>
      </c>
      <c r="R161" s="7" t="e">
        <f t="shared" si="8"/>
        <v>#REF!</v>
      </c>
      <c r="S161" s="7" t="e">
        <f t="shared" si="8"/>
        <v>#REF!</v>
      </c>
      <c r="T161" s="7" t="e">
        <f t="shared" si="8"/>
        <v>#REF!</v>
      </c>
      <c r="U161" s="7" t="e">
        <f t="shared" si="8"/>
        <v>#REF!</v>
      </c>
      <c r="V161" s="7" t="e">
        <f t="shared" si="8"/>
        <v>#REF!</v>
      </c>
    </row>
    <row r="162" spans="1:32">
      <c r="A162" s="8"/>
      <c r="B162" s="36" t="s">
        <v>56</v>
      </c>
      <c r="C162" s="9"/>
      <c r="D162" s="14" t="e">
        <f t="shared" si="7"/>
        <v>#DIV/0!</v>
      </c>
      <c r="E162" s="7" t="e">
        <f t="shared" si="7"/>
        <v>#DIV/0!</v>
      </c>
      <c r="F162" s="7" t="e">
        <f t="shared" si="7"/>
        <v>#DIV/0!</v>
      </c>
      <c r="G162" s="7" t="e">
        <f t="shared" si="7"/>
        <v>#DIV/0!</v>
      </c>
      <c r="H162" s="7" t="e">
        <f t="shared" si="7"/>
        <v>#DIV/0!</v>
      </c>
      <c r="I162" s="7" t="e">
        <f t="shared" si="7"/>
        <v>#DIV/0!</v>
      </c>
      <c r="J162" s="7" t="e">
        <f t="shared" si="7"/>
        <v>#DIV/0!</v>
      </c>
      <c r="M162" s="8"/>
      <c r="N162" s="36" t="s">
        <v>56</v>
      </c>
      <c r="O162" s="9"/>
      <c r="P162" s="14" t="e">
        <f t="shared" si="8"/>
        <v>#DIV/0!</v>
      </c>
      <c r="Q162" s="7" t="e">
        <f t="shared" si="8"/>
        <v>#DIV/0!</v>
      </c>
      <c r="R162" s="7" t="e">
        <f t="shared" si="8"/>
        <v>#DIV/0!</v>
      </c>
      <c r="S162" s="7" t="e">
        <f t="shared" si="8"/>
        <v>#DIV/0!</v>
      </c>
      <c r="T162" s="7" t="e">
        <f t="shared" si="8"/>
        <v>#DIV/0!</v>
      </c>
      <c r="U162" s="7" t="e">
        <f t="shared" si="8"/>
        <v>#DIV/0!</v>
      </c>
      <c r="V162" s="7" t="e">
        <f t="shared" si="8"/>
        <v>#DIV/0!</v>
      </c>
      <c r="AB162" s="5"/>
    </row>
    <row r="163" spans="1:32">
      <c r="A163" s="8"/>
      <c r="B163" s="36" t="s">
        <v>57</v>
      </c>
      <c r="C163" s="9"/>
      <c r="D163" s="14" t="e">
        <f t="shared" si="7"/>
        <v>#DIV/0!</v>
      </c>
      <c r="E163" s="7" t="e">
        <f t="shared" si="7"/>
        <v>#DIV/0!</v>
      </c>
      <c r="F163" s="7" t="e">
        <f t="shared" si="7"/>
        <v>#DIV/0!</v>
      </c>
      <c r="G163" s="7" t="e">
        <f t="shared" si="7"/>
        <v>#DIV/0!</v>
      </c>
      <c r="H163" s="7" t="e">
        <f t="shared" si="7"/>
        <v>#DIV/0!</v>
      </c>
      <c r="I163" s="7" t="e">
        <f t="shared" si="7"/>
        <v>#DIV/0!</v>
      </c>
      <c r="J163" s="7" t="e">
        <f t="shared" si="7"/>
        <v>#DIV/0!</v>
      </c>
      <c r="M163" s="8"/>
      <c r="N163" s="36" t="s">
        <v>57</v>
      </c>
      <c r="O163" s="9"/>
      <c r="P163" s="14" t="e">
        <f t="shared" si="8"/>
        <v>#DIV/0!</v>
      </c>
      <c r="Q163" s="7" t="e">
        <f t="shared" si="8"/>
        <v>#DIV/0!</v>
      </c>
      <c r="R163" s="7" t="e">
        <f t="shared" si="8"/>
        <v>#DIV/0!</v>
      </c>
      <c r="S163" s="7" t="e">
        <f t="shared" si="8"/>
        <v>#DIV/0!</v>
      </c>
      <c r="T163" s="7" t="e">
        <f t="shared" si="8"/>
        <v>#DIV/0!</v>
      </c>
      <c r="U163" s="7" t="e">
        <f t="shared" si="8"/>
        <v>#DIV/0!</v>
      </c>
      <c r="V163" s="7" t="e">
        <f t="shared" si="8"/>
        <v>#DIV/0!</v>
      </c>
      <c r="AA163" s="120"/>
      <c r="AB163" s="120"/>
      <c r="AC163" s="120"/>
      <c r="AD163" s="120"/>
      <c r="AE163" s="120"/>
      <c r="AF163" s="120"/>
    </row>
    <row r="164" spans="1:32">
      <c r="A164" s="39"/>
      <c r="B164" s="39"/>
      <c r="C164" s="37"/>
      <c r="D164" s="39"/>
      <c r="E164" s="39"/>
      <c r="F164" s="39"/>
      <c r="G164" s="39"/>
      <c r="H164" s="39"/>
      <c r="I164" s="39"/>
      <c r="J164" s="39"/>
      <c r="M164" s="39"/>
      <c r="N164" s="39"/>
      <c r="O164" s="37"/>
      <c r="P164" s="39"/>
      <c r="Q164" s="39"/>
      <c r="R164" s="39"/>
      <c r="S164" s="39"/>
      <c r="T164" s="39"/>
      <c r="U164" s="39"/>
      <c r="V164" s="39"/>
      <c r="AA164" s="120"/>
      <c r="AB164" s="120"/>
      <c r="AC164" s="120"/>
      <c r="AD164" s="120"/>
      <c r="AE164" s="120"/>
      <c r="AF164" s="120"/>
    </row>
    <row r="165" spans="1:32">
      <c r="F165"/>
      <c r="G165"/>
      <c r="H165" s="20"/>
      <c r="I165" s="20"/>
      <c r="J165" s="20"/>
      <c r="K165" s="20"/>
      <c r="L165" s="20"/>
      <c r="M165" s="20"/>
      <c r="N165" s="20"/>
      <c r="O165" s="20"/>
      <c r="P165" s="5"/>
      <c r="AA165" s="120"/>
      <c r="AB165" s="120"/>
      <c r="AC165" s="120"/>
      <c r="AD165" s="120"/>
      <c r="AE165" s="120"/>
      <c r="AF165" s="120"/>
    </row>
    <row r="166" spans="1:32">
      <c r="F166"/>
      <c r="G166"/>
      <c r="H166" s="20"/>
      <c r="I166" s="20"/>
      <c r="J166" s="20"/>
      <c r="K166" s="20"/>
      <c r="L166" s="20"/>
      <c r="M166" s="20"/>
      <c r="N166" s="20"/>
      <c r="O166" s="20"/>
      <c r="P166" s="5"/>
    </row>
    <row r="167" spans="1:32">
      <c r="F167"/>
      <c r="G167"/>
      <c r="H167" s="20"/>
      <c r="I167" s="20"/>
      <c r="J167" s="20"/>
      <c r="K167" s="20"/>
      <c r="L167" s="20"/>
      <c r="M167" s="20"/>
      <c r="N167" s="20"/>
      <c r="O167" s="20"/>
      <c r="P167" s="5"/>
    </row>
    <row r="168" spans="1:32">
      <c r="F168"/>
      <c r="G168"/>
      <c r="H168" s="20"/>
      <c r="I168" s="20"/>
      <c r="J168" s="20"/>
      <c r="K168" s="20"/>
      <c r="L168" s="20"/>
      <c r="M168" s="20"/>
      <c r="N168" s="20"/>
      <c r="O168" s="20"/>
      <c r="P168" s="5"/>
    </row>
    <row r="169" spans="1:32">
      <c r="F169"/>
      <c r="G169"/>
      <c r="H169" s="20"/>
      <c r="I169" s="20"/>
      <c r="J169" s="20"/>
      <c r="K169" s="20"/>
      <c r="L169" s="20"/>
      <c r="M169" s="20"/>
      <c r="N169" s="20"/>
      <c r="O169" s="20"/>
      <c r="P169" s="5"/>
    </row>
    <row r="170" spans="1:32">
      <c r="F170"/>
      <c r="G170"/>
      <c r="H170" s="20"/>
      <c r="I170" s="20"/>
      <c r="J170" s="20"/>
      <c r="K170" s="20"/>
      <c r="L170" s="20"/>
      <c r="M170" s="20"/>
      <c r="N170" s="20"/>
      <c r="O170" s="20"/>
      <c r="P170" s="5"/>
    </row>
    <row r="171" spans="1:32">
      <c r="F171"/>
      <c r="G171"/>
      <c r="H171" s="20"/>
      <c r="I171" s="20"/>
      <c r="J171" s="20"/>
      <c r="K171" s="20"/>
      <c r="L171" s="20"/>
      <c r="M171" s="20"/>
      <c r="N171" s="20"/>
      <c r="O171" s="20"/>
      <c r="P171" s="5"/>
    </row>
    <row r="172" spans="1:32">
      <c r="F172"/>
      <c r="G172"/>
      <c r="H172" s="20"/>
      <c r="I172" s="20"/>
      <c r="J172" s="20"/>
      <c r="K172" s="20"/>
      <c r="L172" s="20"/>
      <c r="M172" s="20"/>
      <c r="N172" s="20"/>
      <c r="O172" s="20"/>
      <c r="P172" s="5"/>
    </row>
    <row r="173" spans="1:32">
      <c r="F173"/>
      <c r="G173"/>
      <c r="H173" s="20"/>
      <c r="I173" s="20"/>
      <c r="J173" s="20"/>
      <c r="K173" s="20"/>
      <c r="L173" s="20"/>
      <c r="M173" s="20"/>
      <c r="N173" s="20"/>
      <c r="O173" s="20"/>
      <c r="P173" s="5"/>
    </row>
    <row r="174" spans="1:32">
      <c r="F174"/>
      <c r="G174"/>
      <c r="H174" s="20"/>
      <c r="I174" s="20"/>
      <c r="J174" s="20"/>
      <c r="K174" s="20"/>
      <c r="L174" s="20"/>
      <c r="M174" s="20"/>
      <c r="N174" s="20"/>
      <c r="O174" s="20"/>
      <c r="P174" s="5"/>
    </row>
    <row r="175" spans="1:32">
      <c r="F175"/>
      <c r="G175"/>
      <c r="H175" s="20"/>
      <c r="I175" s="20"/>
      <c r="J175" s="20"/>
      <c r="K175" s="20"/>
      <c r="L175" s="20"/>
      <c r="M175" s="20"/>
      <c r="N175" s="20"/>
      <c r="O175" s="20"/>
      <c r="P175" s="5"/>
    </row>
    <row r="176" spans="1:32">
      <c r="F176"/>
      <c r="G176"/>
      <c r="H176" s="20"/>
      <c r="I176" s="20"/>
      <c r="J176" s="20"/>
      <c r="K176" s="20"/>
      <c r="L176" s="20"/>
      <c r="M176" s="20"/>
      <c r="N176" s="20"/>
      <c r="O176" s="20"/>
      <c r="P176" s="5"/>
    </row>
    <row r="177" spans="6:16">
      <c r="F177"/>
      <c r="G177"/>
      <c r="H177" s="20"/>
      <c r="I177" s="20"/>
      <c r="J177" s="20"/>
      <c r="K177" s="20"/>
      <c r="L177" s="20"/>
      <c r="M177" s="20"/>
      <c r="N177" s="20"/>
      <c r="O177" s="20"/>
      <c r="P177" s="5"/>
    </row>
    <row r="178" spans="6:16">
      <c r="F178"/>
      <c r="G178"/>
      <c r="H178" s="20"/>
      <c r="I178" s="20"/>
      <c r="J178" s="20"/>
      <c r="K178" s="20"/>
      <c r="L178" s="20"/>
      <c r="M178" s="20"/>
      <c r="N178" s="20"/>
      <c r="O178" s="20"/>
      <c r="P178" s="5"/>
    </row>
    <row r="179" spans="6:16">
      <c r="F179"/>
      <c r="G179"/>
      <c r="H179" s="20"/>
      <c r="I179" s="20"/>
      <c r="J179" s="20"/>
      <c r="K179" s="20"/>
      <c r="L179" s="20"/>
      <c r="M179" s="20"/>
      <c r="N179" s="20"/>
      <c r="O179" s="20"/>
      <c r="P179" s="5"/>
    </row>
    <row r="180" spans="6:16">
      <c r="F180"/>
      <c r="G180"/>
      <c r="H180" s="20"/>
      <c r="I180" s="20"/>
      <c r="J180" s="20"/>
      <c r="K180" s="20"/>
      <c r="L180" s="20"/>
      <c r="M180" s="20"/>
      <c r="N180" s="20"/>
      <c r="O180" s="20"/>
      <c r="P180" s="5"/>
    </row>
    <row r="181" spans="6:16">
      <c r="F181"/>
      <c r="G181"/>
      <c r="H181" s="20"/>
      <c r="I181" s="20"/>
      <c r="J181" s="20"/>
      <c r="K181" s="20"/>
      <c r="L181" s="20"/>
      <c r="M181" s="20"/>
      <c r="N181" s="20"/>
      <c r="O181" s="20"/>
      <c r="P181" s="5"/>
    </row>
    <row r="182" spans="6:16">
      <c r="F182"/>
      <c r="G182"/>
      <c r="H182" s="20"/>
      <c r="I182" s="20"/>
      <c r="J182" s="20"/>
      <c r="K182" s="20"/>
      <c r="L182" s="20"/>
      <c r="M182" s="20"/>
      <c r="N182" s="20"/>
      <c r="O182" s="20"/>
      <c r="P182" s="5"/>
    </row>
    <row r="183" spans="6:16">
      <c r="F183"/>
      <c r="G183"/>
      <c r="H183" s="20"/>
      <c r="I183" s="20"/>
      <c r="J183" s="20"/>
      <c r="K183" s="20"/>
      <c r="L183" s="20"/>
      <c r="M183" s="20"/>
      <c r="N183" s="20"/>
      <c r="O183" s="20"/>
      <c r="P183" s="5"/>
    </row>
    <row r="184" spans="6:16">
      <c r="F184"/>
      <c r="G184"/>
      <c r="H184" s="20"/>
      <c r="I184" s="20"/>
      <c r="J184" s="20"/>
      <c r="K184" s="20"/>
      <c r="L184" s="20"/>
      <c r="M184" s="20"/>
      <c r="N184" s="20"/>
      <c r="O184" s="20"/>
      <c r="P184" s="5"/>
    </row>
    <row r="185" spans="6:16">
      <c r="F185"/>
      <c r="G185"/>
      <c r="H185" s="20"/>
      <c r="I185" s="20"/>
      <c r="J185" s="20"/>
      <c r="K185" s="20"/>
      <c r="L185" s="20"/>
      <c r="M185" s="20"/>
      <c r="N185" s="20"/>
      <c r="O185" s="20"/>
      <c r="P185" s="5"/>
    </row>
    <row r="186" spans="6:16">
      <c r="F186"/>
      <c r="G186"/>
      <c r="H186" s="20"/>
      <c r="I186" s="20"/>
      <c r="J186" s="20"/>
      <c r="K186" s="20"/>
      <c r="L186" s="20"/>
      <c r="M186" s="20"/>
      <c r="N186" s="20"/>
      <c r="O186" s="20"/>
      <c r="P186" s="5"/>
    </row>
    <row r="187" spans="6:16">
      <c r="F187"/>
      <c r="G187"/>
      <c r="H187" s="20"/>
      <c r="I187" s="20"/>
      <c r="J187" s="20"/>
      <c r="K187" s="20"/>
      <c r="L187" s="20"/>
      <c r="M187" s="20"/>
      <c r="N187" s="20"/>
      <c r="O187" s="20"/>
      <c r="P187" s="5"/>
    </row>
    <row r="188" spans="6:16">
      <c r="F188"/>
      <c r="G188"/>
      <c r="H188" s="20"/>
      <c r="I188" s="20"/>
      <c r="J188" s="20"/>
      <c r="K188" s="20"/>
      <c r="L188" s="20"/>
      <c r="M188" s="20"/>
      <c r="N188" s="20"/>
      <c r="O188" s="20"/>
      <c r="P188" s="5"/>
    </row>
    <row r="189" spans="6:16">
      <c r="F189"/>
      <c r="G189"/>
      <c r="H189" s="20"/>
      <c r="I189" s="20"/>
      <c r="J189" s="20"/>
      <c r="K189" s="20"/>
      <c r="L189" s="20"/>
      <c r="M189" s="20"/>
      <c r="N189" s="20"/>
      <c r="O189" s="20"/>
      <c r="P189" s="5"/>
    </row>
    <row r="190" spans="6:16">
      <c r="F190"/>
      <c r="G190"/>
      <c r="H190" s="20"/>
      <c r="I190" s="20"/>
      <c r="J190" s="20"/>
      <c r="K190" s="20"/>
      <c r="L190" s="20"/>
      <c r="M190" s="20"/>
      <c r="N190" s="20"/>
      <c r="O190" s="20"/>
      <c r="P190" s="5"/>
    </row>
    <row r="191" spans="6:16">
      <c r="F191"/>
      <c r="G191"/>
      <c r="H191" s="20"/>
      <c r="I191" s="20"/>
      <c r="J191" s="20"/>
      <c r="K191" s="20"/>
      <c r="L191" s="20"/>
      <c r="M191" s="20"/>
      <c r="N191" s="20"/>
      <c r="O191" s="20"/>
      <c r="P191" s="5"/>
    </row>
    <row r="192" spans="6:16">
      <c r="F192"/>
      <c r="G192"/>
      <c r="H192" s="20"/>
      <c r="I192" s="20"/>
      <c r="J192" s="20"/>
      <c r="K192" s="20"/>
      <c r="L192" s="20"/>
      <c r="M192" s="20"/>
      <c r="N192" s="20"/>
      <c r="O192" s="20"/>
      <c r="P192" s="5"/>
    </row>
    <row r="193" spans="1:34">
      <c r="F193"/>
      <c r="G193"/>
      <c r="H193" s="20"/>
      <c r="I193" s="20"/>
      <c r="J193" s="20"/>
      <c r="K193" s="20"/>
      <c r="L193" s="20"/>
      <c r="M193" s="20"/>
      <c r="N193" s="20"/>
      <c r="O193" s="20"/>
      <c r="P193" s="5"/>
    </row>
    <row r="194" spans="1:34">
      <c r="F194"/>
      <c r="G194"/>
      <c r="H194" s="20"/>
      <c r="I194" s="20"/>
      <c r="J194" s="20"/>
      <c r="K194" s="20"/>
      <c r="L194" s="20"/>
      <c r="M194" s="20"/>
      <c r="N194" s="20"/>
      <c r="O194" s="20"/>
      <c r="P194" s="5"/>
    </row>
    <row r="195" spans="1:34">
      <c r="F195"/>
      <c r="G195"/>
      <c r="H195" s="20"/>
      <c r="I195" s="20"/>
      <c r="J195" s="20"/>
      <c r="K195" s="20"/>
      <c r="L195" s="20"/>
      <c r="M195" s="20"/>
      <c r="N195" s="20"/>
      <c r="O195" s="20"/>
      <c r="P195" s="5"/>
    </row>
    <row r="196" spans="1:34" s="97" customFormat="1">
      <c r="F196" s="100"/>
      <c r="G196" s="100"/>
      <c r="H196" s="20"/>
      <c r="I196" s="20"/>
      <c r="J196" s="20"/>
      <c r="K196" s="20"/>
      <c r="L196" s="20"/>
      <c r="M196" s="20"/>
      <c r="N196" s="20"/>
      <c r="O196" s="20"/>
      <c r="P196" s="5"/>
    </row>
    <row r="197" spans="1:34" s="117" customFormat="1">
      <c r="F197" s="115"/>
      <c r="G197" s="115"/>
      <c r="H197" s="20"/>
      <c r="I197" s="20"/>
      <c r="J197" s="20"/>
      <c r="K197" s="20"/>
      <c r="L197" s="20"/>
      <c r="M197" s="20"/>
      <c r="N197" s="20"/>
      <c r="O197" s="20"/>
      <c r="P197" s="5"/>
    </row>
    <row r="198" spans="1:34" s="117" customFormat="1">
      <c r="F198" s="115"/>
      <c r="G198" s="115"/>
      <c r="H198" s="20"/>
      <c r="I198" s="20"/>
      <c r="J198" s="20"/>
      <c r="K198" s="20"/>
      <c r="L198" s="20"/>
      <c r="M198" s="20"/>
      <c r="N198" s="20"/>
      <c r="O198" s="20"/>
      <c r="P198" s="5"/>
    </row>
    <row r="199" spans="1:34" ht="23.25">
      <c r="B199" s="408" t="s">
        <v>135</v>
      </c>
      <c r="C199" s="408"/>
      <c r="D199" s="408"/>
      <c r="E199" s="408"/>
      <c r="F199" s="408"/>
      <c r="G199" s="408"/>
      <c r="H199" s="408"/>
      <c r="I199" s="408"/>
      <c r="J199" s="408"/>
      <c r="K199" s="408"/>
      <c r="M199" s="408" t="s">
        <v>134</v>
      </c>
      <c r="N199" s="408"/>
      <c r="O199" s="408"/>
      <c r="P199" s="408"/>
      <c r="Q199" s="408"/>
      <c r="R199" s="408"/>
      <c r="S199" s="408"/>
      <c r="T199" s="408"/>
      <c r="U199" s="408"/>
      <c r="V199" s="408"/>
      <c r="W199" s="408"/>
      <c r="X199" s="408"/>
    </row>
    <row r="200" spans="1:34">
      <c r="A200" s="139"/>
      <c r="B200" s="139"/>
      <c r="C200" s="139"/>
      <c r="D200" s="139"/>
      <c r="E200" s="139"/>
      <c r="F200" s="115"/>
      <c r="G200" s="139" t="s">
        <v>189</v>
      </c>
      <c r="H200" s="20"/>
      <c r="I200" s="20"/>
      <c r="J200" s="20"/>
      <c r="K200" s="20"/>
      <c r="L200" s="20"/>
      <c r="M200" s="20"/>
      <c r="N200" s="20"/>
      <c r="O200" s="20"/>
      <c r="P200" s="5"/>
      <c r="Q200" s="139"/>
      <c r="R200" s="139"/>
      <c r="S200" s="139" t="s">
        <v>190</v>
      </c>
      <c r="T200" s="139"/>
      <c r="U200" s="139"/>
      <c r="V200" s="139"/>
      <c r="W200" s="139"/>
    </row>
    <row r="201" spans="1:34" ht="34.5" thickBot="1">
      <c r="B201" s="8"/>
      <c r="C201" s="9"/>
      <c r="D201" s="107" t="s">
        <v>45</v>
      </c>
      <c r="E201" s="101" t="s">
        <v>46</v>
      </c>
      <c r="F201" s="101" t="s">
        <v>44</v>
      </c>
      <c r="G201" s="101" t="s">
        <v>43</v>
      </c>
      <c r="H201" s="101" t="s">
        <v>42</v>
      </c>
      <c r="I201" s="101" t="s">
        <v>49</v>
      </c>
      <c r="J201" s="101" t="s">
        <v>47</v>
      </c>
      <c r="K201" s="101" t="s">
        <v>48</v>
      </c>
      <c r="M201" s="110"/>
      <c r="N201" s="104"/>
      <c r="O201" s="104"/>
      <c r="P201" s="107" t="s">
        <v>45</v>
      </c>
      <c r="Q201" s="101" t="s">
        <v>46</v>
      </c>
      <c r="R201" s="101" t="s">
        <v>44</v>
      </c>
      <c r="S201" s="101" t="s">
        <v>43</v>
      </c>
      <c r="T201" s="101" t="s">
        <v>42</v>
      </c>
      <c r="U201" s="101" t="s">
        <v>49</v>
      </c>
      <c r="V201" s="101" t="s">
        <v>67</v>
      </c>
      <c r="W201" s="101" t="s">
        <v>66</v>
      </c>
    </row>
    <row r="202" spans="1:34" ht="23.25">
      <c r="B202" s="12" t="s">
        <v>75</v>
      </c>
      <c r="C202" s="36" t="s">
        <v>50</v>
      </c>
      <c r="D202" s="81">
        <f>F202+G202+H202+I202+J202+K202</f>
        <v>0</v>
      </c>
      <c r="E202" s="9">
        <f>F202+G202+H202+I202</f>
        <v>0</v>
      </c>
      <c r="F202" s="1">
        <f>Algandmed!AI37</f>
        <v>0</v>
      </c>
      <c r="G202" s="1">
        <f>Algandmed!AJ37</f>
        <v>0</v>
      </c>
      <c r="H202" s="1">
        <f>Algandmed!AK37</f>
        <v>0</v>
      </c>
      <c r="I202" s="1">
        <f>Algandmed!AL37</f>
        <v>0</v>
      </c>
      <c r="J202" s="1">
        <f>Algandmed!AM37</f>
        <v>0</v>
      </c>
      <c r="K202" s="1">
        <f>Algandmed!AQ37</f>
        <v>0</v>
      </c>
      <c r="M202" s="20"/>
      <c r="N202" s="12" t="s">
        <v>75</v>
      </c>
      <c r="O202" s="36" t="s">
        <v>50</v>
      </c>
      <c r="P202" s="81">
        <f>R202+S202+T202+U202+V202+W202</f>
        <v>0</v>
      </c>
      <c r="Q202" s="9">
        <f>R202+S202+T202+U202</f>
        <v>0</v>
      </c>
      <c r="R202" s="1">
        <f>Algandmed!AX37</f>
        <v>0</v>
      </c>
      <c r="S202" s="1">
        <f>Algandmed!AY37</f>
        <v>0</v>
      </c>
      <c r="T202" s="1">
        <f>Algandmed!AZ37</f>
        <v>0</v>
      </c>
      <c r="U202" s="1">
        <f>Algandmed!BA37</f>
        <v>0</v>
      </c>
      <c r="V202" s="1">
        <f>Algandmed!BB37</f>
        <v>0</v>
      </c>
      <c r="W202" s="1">
        <f>Algandmed!BF37</f>
        <v>0</v>
      </c>
      <c r="AA202"/>
      <c r="AB202"/>
      <c r="AC202"/>
      <c r="AD202"/>
      <c r="AE202"/>
      <c r="AF202"/>
      <c r="AG202"/>
      <c r="AH202"/>
    </row>
    <row r="203" spans="1:34">
      <c r="B203" s="8"/>
      <c r="C203" s="36" t="s">
        <v>55</v>
      </c>
      <c r="D203" s="83" t="e">
        <f>F203+G203+H203+I203+J203+K203</f>
        <v>#REF!</v>
      </c>
      <c r="E203" s="9" t="e">
        <f>F203+G203+H203+I203</f>
        <v>#REF!</v>
      </c>
      <c r="F203" s="1" t="e">
        <f>Algandmed!#REF!</f>
        <v>#REF!</v>
      </c>
      <c r="G203" s="1" t="e">
        <f>Algandmed!#REF!</f>
        <v>#REF!</v>
      </c>
      <c r="H203" s="1" t="e">
        <f>Algandmed!#REF!</f>
        <v>#REF!</v>
      </c>
      <c r="I203" s="1" t="e">
        <f>Algandmed!#REF!</f>
        <v>#REF!</v>
      </c>
      <c r="J203" s="1" t="e">
        <f>Algandmed!#REF!</f>
        <v>#REF!</v>
      </c>
      <c r="K203" s="1" t="e">
        <f>Algandmed!#REF!</f>
        <v>#REF!</v>
      </c>
      <c r="M203" s="20"/>
      <c r="N203" s="8"/>
      <c r="O203" s="36" t="s">
        <v>55</v>
      </c>
      <c r="P203" s="83" t="e">
        <f>R203+S203+T203+U203+V203+W203</f>
        <v>#REF!</v>
      </c>
      <c r="Q203" s="9" t="e">
        <f>R203+S203+T203+U203</f>
        <v>#REF!</v>
      </c>
      <c r="R203" s="1" t="e">
        <f>Algandmed!#REF!</f>
        <v>#REF!</v>
      </c>
      <c r="S203" s="1" t="e">
        <f>Algandmed!#REF!</f>
        <v>#REF!</v>
      </c>
      <c r="T203" s="1" t="e">
        <f>Algandmed!#REF!</f>
        <v>#REF!</v>
      </c>
      <c r="U203" s="1" t="e">
        <f>Algandmed!#REF!</f>
        <v>#REF!</v>
      </c>
      <c r="V203" s="1" t="e">
        <f>Algandmed!#REF!</f>
        <v>#REF!</v>
      </c>
      <c r="W203" s="1" t="e">
        <f>Algandmed!#REF!</f>
        <v>#REF!</v>
      </c>
      <c r="AA203"/>
      <c r="AB203"/>
      <c r="AC203"/>
      <c r="AD203"/>
      <c r="AE203"/>
      <c r="AF203"/>
      <c r="AG203"/>
      <c r="AH203"/>
    </row>
    <row r="204" spans="1:34">
      <c r="B204" s="8"/>
      <c r="C204" s="36" t="s">
        <v>56</v>
      </c>
      <c r="D204" s="83">
        <f>Algandmed!AH38</f>
        <v>0</v>
      </c>
      <c r="E204" s="9">
        <f>F204+G204+H204+I204</f>
        <v>0</v>
      </c>
      <c r="F204" s="1">
        <f>Algandmed!AI38</f>
        <v>0</v>
      </c>
      <c r="G204" s="1">
        <f>Algandmed!AJ38</f>
        <v>0</v>
      </c>
      <c r="H204" s="1">
        <f>Algandmed!AK38</f>
        <v>0</v>
      </c>
      <c r="I204" s="1">
        <f>Algandmed!AL38</f>
        <v>0</v>
      </c>
      <c r="J204" s="1">
        <f>Algandmed!AM38</f>
        <v>0</v>
      </c>
      <c r="K204" s="1">
        <f>Algandmed!AQ38</f>
        <v>0</v>
      </c>
      <c r="M204" s="20"/>
      <c r="N204" s="8"/>
      <c r="O204" s="36" t="s">
        <v>56</v>
      </c>
      <c r="P204" s="83">
        <f>R204+S204+T204+U204+V204+W204</f>
        <v>0</v>
      </c>
      <c r="Q204" s="9">
        <f>R204+S204+T204+U204</f>
        <v>0</v>
      </c>
      <c r="R204" s="1">
        <f>Algandmed!AX38</f>
        <v>0</v>
      </c>
      <c r="S204" s="1">
        <f>Algandmed!AY38</f>
        <v>0</v>
      </c>
      <c r="T204" s="1">
        <f>Algandmed!AZ38</f>
        <v>0</v>
      </c>
      <c r="U204" s="1">
        <f>Algandmed!BA38</f>
        <v>0</v>
      </c>
      <c r="V204" s="1">
        <f>Algandmed!BB38</f>
        <v>0</v>
      </c>
      <c r="W204" s="1">
        <f>Algandmed!BF38</f>
        <v>0</v>
      </c>
      <c r="AA204"/>
      <c r="AB204"/>
      <c r="AC204"/>
      <c r="AD204"/>
      <c r="AE204"/>
      <c r="AF204"/>
      <c r="AG204"/>
      <c r="AH204"/>
    </row>
    <row r="205" spans="1:34" ht="15.75" thickBot="1">
      <c r="B205" s="8"/>
      <c r="C205" s="36" t="s">
        <v>57</v>
      </c>
      <c r="D205" s="80">
        <f>F205+G205+H205+I205+J205+K205</f>
        <v>0</v>
      </c>
      <c r="E205" s="9">
        <f>F205+G205+H205+I205</f>
        <v>0</v>
      </c>
      <c r="F205" s="1">
        <f>Algandmed!AI39</f>
        <v>0</v>
      </c>
      <c r="G205" s="1">
        <f>Algandmed!AJ39</f>
        <v>0</v>
      </c>
      <c r="H205" s="1">
        <f>Algandmed!AK39</f>
        <v>0</v>
      </c>
      <c r="I205" s="1">
        <f>Algandmed!AL39</f>
        <v>0</v>
      </c>
      <c r="J205" s="1">
        <f>Algandmed!AM39</f>
        <v>0</v>
      </c>
      <c r="K205" s="1">
        <f>Algandmed!AQ39</f>
        <v>0</v>
      </c>
      <c r="M205" s="20"/>
      <c r="N205" s="8"/>
      <c r="O205" s="36" t="s">
        <v>57</v>
      </c>
      <c r="P205" s="80">
        <f>R205+S205+T205+U205+V205+W205</f>
        <v>0</v>
      </c>
      <c r="Q205" s="9">
        <f>R205+S205+T205+U205</f>
        <v>0</v>
      </c>
      <c r="R205" s="1">
        <f>Algandmed!AX39</f>
        <v>0</v>
      </c>
      <c r="S205" s="1">
        <f>Algandmed!AY39</f>
        <v>0</v>
      </c>
      <c r="T205" s="1">
        <f>Algandmed!AZ39</f>
        <v>0</v>
      </c>
      <c r="U205" s="1">
        <f>Algandmed!BA39</f>
        <v>0</v>
      </c>
      <c r="V205" s="1">
        <f>Algandmed!BB39</f>
        <v>0</v>
      </c>
      <c r="W205" s="1">
        <f>Algandmed!BF39</f>
        <v>0</v>
      </c>
      <c r="AA205"/>
      <c r="AB205"/>
      <c r="AC205"/>
      <c r="AD205"/>
      <c r="AE205"/>
      <c r="AF205"/>
      <c r="AG205"/>
      <c r="AH205"/>
    </row>
    <row r="206" spans="1:34" ht="15.75" thickBot="1">
      <c r="B206" s="8"/>
      <c r="C206" s="26" t="s">
        <v>45</v>
      </c>
      <c r="D206" s="82">
        <f>Algandmed!AH40</f>
        <v>0</v>
      </c>
      <c r="E206" s="88">
        <f>F206+G206+H206+I206</f>
        <v>0</v>
      </c>
      <c r="F206" s="87">
        <f>Algandmed!AI40</f>
        <v>0</v>
      </c>
      <c r="G206" s="85">
        <f>Algandmed!AJ40</f>
        <v>0</v>
      </c>
      <c r="H206" s="85">
        <f>Algandmed!AK40</f>
        <v>0</v>
      </c>
      <c r="I206" s="85">
        <f>Algandmed!AL40</f>
        <v>0</v>
      </c>
      <c r="J206" s="85">
        <f>Algandmed!AM40</f>
        <v>0</v>
      </c>
      <c r="K206" s="85">
        <f>Algandmed!AQ40</f>
        <v>0</v>
      </c>
      <c r="M206" s="20"/>
      <c r="N206" s="8"/>
      <c r="O206" s="26" t="s">
        <v>45</v>
      </c>
      <c r="P206" s="82" t="e">
        <f>P202+P203+P204+P205</f>
        <v>#REF!</v>
      </c>
      <c r="Q206" s="88" t="e">
        <f>Q202+Q203+Q204+Q205</f>
        <v>#REF!</v>
      </c>
      <c r="R206" s="87" t="e">
        <f t="shared" ref="R206:W206" si="9">R202+R203+R204+R205</f>
        <v>#REF!</v>
      </c>
      <c r="S206" s="85" t="e">
        <f t="shared" si="9"/>
        <v>#REF!</v>
      </c>
      <c r="T206" s="85" t="e">
        <f t="shared" si="9"/>
        <v>#REF!</v>
      </c>
      <c r="U206" s="85" t="e">
        <f t="shared" si="9"/>
        <v>#REF!</v>
      </c>
      <c r="V206" s="85" t="e">
        <f t="shared" si="9"/>
        <v>#REF!</v>
      </c>
      <c r="W206" s="85" t="e">
        <f t="shared" si="9"/>
        <v>#REF!</v>
      </c>
      <c r="AA206"/>
      <c r="AB206"/>
      <c r="AC206"/>
      <c r="AD206"/>
      <c r="AE206"/>
      <c r="AF206"/>
      <c r="AG206"/>
      <c r="AH206"/>
    </row>
    <row r="207" spans="1:34">
      <c r="B207" s="39"/>
      <c r="C207" s="39"/>
      <c r="D207" s="37"/>
      <c r="E207" s="37"/>
      <c r="F207" s="37"/>
      <c r="G207" s="37"/>
      <c r="H207" s="37"/>
      <c r="I207" s="37"/>
      <c r="J207" s="37"/>
      <c r="K207" s="37"/>
      <c r="M207" s="20"/>
      <c r="N207" s="39"/>
      <c r="O207" s="39"/>
      <c r="P207" s="37"/>
      <c r="Q207" s="37"/>
      <c r="R207" s="37"/>
      <c r="S207" s="37"/>
      <c r="T207" s="37"/>
      <c r="U207" s="37"/>
      <c r="V207" s="37"/>
      <c r="W207" s="37"/>
      <c r="AA207"/>
      <c r="AB207"/>
      <c r="AC207"/>
      <c r="AD207"/>
      <c r="AE207"/>
      <c r="AF207"/>
      <c r="AG207"/>
      <c r="AH207"/>
    </row>
    <row r="208" spans="1:34">
      <c r="M208" s="5"/>
      <c r="AA208"/>
      <c r="AB208"/>
      <c r="AC208"/>
      <c r="AD208"/>
      <c r="AE208"/>
      <c r="AF208"/>
      <c r="AG208"/>
      <c r="AH208"/>
    </row>
    <row r="209" spans="2:34" ht="33.75">
      <c r="B209" s="8"/>
      <c r="C209" s="9"/>
      <c r="D209" s="9"/>
      <c r="E209" s="101" t="s">
        <v>46</v>
      </c>
      <c r="F209" s="101" t="s">
        <v>44</v>
      </c>
      <c r="G209" s="101" t="s">
        <v>43</v>
      </c>
      <c r="H209" s="101" t="s">
        <v>42</v>
      </c>
      <c r="I209" s="101" t="s">
        <v>49</v>
      </c>
      <c r="J209" s="101" t="s">
        <v>47</v>
      </c>
      <c r="K209" s="101" t="s">
        <v>48</v>
      </c>
      <c r="M209" s="110"/>
      <c r="N209" s="104"/>
      <c r="O209" s="104"/>
      <c r="P209" s="104"/>
      <c r="Q209" s="101" t="s">
        <v>46</v>
      </c>
      <c r="R209" s="101" t="s">
        <v>44</v>
      </c>
      <c r="S209" s="101" t="s">
        <v>43</v>
      </c>
      <c r="T209" s="101" t="s">
        <v>42</v>
      </c>
      <c r="U209" s="101" t="s">
        <v>49</v>
      </c>
      <c r="V209" s="101" t="s">
        <v>67</v>
      </c>
      <c r="W209" s="101" t="s">
        <v>66</v>
      </c>
      <c r="AA209"/>
      <c r="AB209"/>
      <c r="AC209"/>
      <c r="AD209"/>
      <c r="AE209"/>
      <c r="AF209"/>
      <c r="AG209"/>
      <c r="AH209"/>
    </row>
    <row r="210" spans="2:34" ht="23.25">
      <c r="B210" s="12" t="s">
        <v>75</v>
      </c>
      <c r="C210" s="36" t="s">
        <v>50</v>
      </c>
      <c r="D210" s="9"/>
      <c r="E210" s="14" t="e">
        <f t="shared" ref="E210:K213" si="10">E202/$D202</f>
        <v>#DIV/0!</v>
      </c>
      <c r="F210" s="7" t="e">
        <f t="shared" si="10"/>
        <v>#DIV/0!</v>
      </c>
      <c r="G210" s="7" t="e">
        <f t="shared" si="10"/>
        <v>#DIV/0!</v>
      </c>
      <c r="H210" s="7" t="e">
        <f t="shared" si="10"/>
        <v>#DIV/0!</v>
      </c>
      <c r="I210" s="7" t="e">
        <f t="shared" si="10"/>
        <v>#DIV/0!</v>
      </c>
      <c r="J210" s="7" t="e">
        <f t="shared" si="10"/>
        <v>#DIV/0!</v>
      </c>
      <c r="K210" s="7" t="e">
        <f t="shared" si="10"/>
        <v>#DIV/0!</v>
      </c>
      <c r="M210" s="20"/>
      <c r="N210" s="12" t="s">
        <v>75</v>
      </c>
      <c r="O210" s="36" t="s">
        <v>50</v>
      </c>
      <c r="P210" s="9"/>
      <c r="Q210" s="14" t="e">
        <f t="shared" ref="Q210:W213" si="11">Q202/$P202</f>
        <v>#DIV/0!</v>
      </c>
      <c r="R210" s="7" t="e">
        <f t="shared" si="11"/>
        <v>#DIV/0!</v>
      </c>
      <c r="S210" s="7" t="e">
        <f t="shared" si="11"/>
        <v>#DIV/0!</v>
      </c>
      <c r="T210" s="7" t="e">
        <f t="shared" si="11"/>
        <v>#DIV/0!</v>
      </c>
      <c r="U210" s="7" t="e">
        <f t="shared" si="11"/>
        <v>#DIV/0!</v>
      </c>
      <c r="V210" s="7" t="e">
        <f t="shared" si="11"/>
        <v>#DIV/0!</v>
      </c>
      <c r="W210" s="7" t="e">
        <f t="shared" si="11"/>
        <v>#DIV/0!</v>
      </c>
      <c r="AA210"/>
      <c r="AB210"/>
      <c r="AC210"/>
      <c r="AD210"/>
      <c r="AE210"/>
      <c r="AF210"/>
      <c r="AG210"/>
      <c r="AH210"/>
    </row>
    <row r="211" spans="2:34">
      <c r="B211" s="8"/>
      <c r="C211" s="36" t="s">
        <v>55</v>
      </c>
      <c r="D211" s="9"/>
      <c r="E211" s="14" t="e">
        <f t="shared" si="10"/>
        <v>#REF!</v>
      </c>
      <c r="F211" s="7" t="e">
        <f t="shared" si="10"/>
        <v>#REF!</v>
      </c>
      <c r="G211" s="7" t="e">
        <f t="shared" si="10"/>
        <v>#REF!</v>
      </c>
      <c r="H211" s="7" t="e">
        <f t="shared" si="10"/>
        <v>#REF!</v>
      </c>
      <c r="I211" s="7" t="e">
        <f t="shared" si="10"/>
        <v>#REF!</v>
      </c>
      <c r="J211" s="7" t="e">
        <f t="shared" si="10"/>
        <v>#REF!</v>
      </c>
      <c r="K211" s="7" t="e">
        <f t="shared" si="10"/>
        <v>#REF!</v>
      </c>
      <c r="M211" s="20"/>
      <c r="N211" s="8"/>
      <c r="O211" s="36" t="s">
        <v>55</v>
      </c>
      <c r="P211" s="9"/>
      <c r="Q211" s="14" t="e">
        <f t="shared" si="11"/>
        <v>#REF!</v>
      </c>
      <c r="R211" s="7" t="e">
        <f t="shared" si="11"/>
        <v>#REF!</v>
      </c>
      <c r="S211" s="7" t="e">
        <f t="shared" si="11"/>
        <v>#REF!</v>
      </c>
      <c r="T211" s="7" t="e">
        <f t="shared" si="11"/>
        <v>#REF!</v>
      </c>
      <c r="U211" s="7" t="e">
        <f t="shared" si="11"/>
        <v>#REF!</v>
      </c>
      <c r="V211" s="7" t="e">
        <f t="shared" si="11"/>
        <v>#REF!</v>
      </c>
      <c r="W211" s="7" t="e">
        <f t="shared" si="11"/>
        <v>#REF!</v>
      </c>
      <c r="AA211"/>
      <c r="AB211"/>
      <c r="AC211"/>
      <c r="AD211"/>
      <c r="AE211"/>
      <c r="AF211"/>
      <c r="AG211"/>
      <c r="AH211"/>
    </row>
    <row r="212" spans="2:34">
      <c r="B212" s="8"/>
      <c r="C212" s="36" t="s">
        <v>56</v>
      </c>
      <c r="D212" s="9"/>
      <c r="E212" s="14" t="e">
        <f t="shared" si="10"/>
        <v>#DIV/0!</v>
      </c>
      <c r="F212" s="7" t="e">
        <f t="shared" si="10"/>
        <v>#DIV/0!</v>
      </c>
      <c r="G212" s="7" t="e">
        <f t="shared" si="10"/>
        <v>#DIV/0!</v>
      </c>
      <c r="H212" s="7" t="e">
        <f t="shared" si="10"/>
        <v>#DIV/0!</v>
      </c>
      <c r="I212" s="7" t="e">
        <f t="shared" si="10"/>
        <v>#DIV/0!</v>
      </c>
      <c r="J212" s="7" t="e">
        <f t="shared" si="10"/>
        <v>#DIV/0!</v>
      </c>
      <c r="K212" s="7" t="e">
        <f t="shared" si="10"/>
        <v>#DIV/0!</v>
      </c>
      <c r="M212" s="20"/>
      <c r="N212" s="8"/>
      <c r="O212" s="36" t="s">
        <v>56</v>
      </c>
      <c r="P212" s="9"/>
      <c r="Q212" s="14" t="e">
        <f t="shared" si="11"/>
        <v>#DIV/0!</v>
      </c>
      <c r="R212" s="7" t="e">
        <f t="shared" si="11"/>
        <v>#DIV/0!</v>
      </c>
      <c r="S212" s="7" t="e">
        <f t="shared" si="11"/>
        <v>#DIV/0!</v>
      </c>
      <c r="T212" s="7" t="e">
        <f t="shared" si="11"/>
        <v>#DIV/0!</v>
      </c>
      <c r="U212" s="7" t="e">
        <f t="shared" si="11"/>
        <v>#DIV/0!</v>
      </c>
      <c r="V212" s="7" t="e">
        <f t="shared" si="11"/>
        <v>#DIV/0!</v>
      </c>
      <c r="W212" s="7" t="e">
        <f t="shared" si="11"/>
        <v>#DIV/0!</v>
      </c>
      <c r="AA212"/>
      <c r="AB212"/>
      <c r="AC212"/>
      <c r="AD212"/>
      <c r="AE212"/>
      <c r="AF212"/>
      <c r="AG212"/>
      <c r="AH212"/>
    </row>
    <row r="213" spans="2:34">
      <c r="B213" s="8"/>
      <c r="C213" s="36" t="s">
        <v>57</v>
      </c>
      <c r="D213" s="9"/>
      <c r="E213" s="14" t="e">
        <f t="shared" si="10"/>
        <v>#DIV/0!</v>
      </c>
      <c r="F213" s="7" t="e">
        <f t="shared" si="10"/>
        <v>#DIV/0!</v>
      </c>
      <c r="G213" s="7" t="e">
        <f t="shared" si="10"/>
        <v>#DIV/0!</v>
      </c>
      <c r="H213" s="7" t="e">
        <f t="shared" si="10"/>
        <v>#DIV/0!</v>
      </c>
      <c r="I213" s="7" t="e">
        <f t="shared" si="10"/>
        <v>#DIV/0!</v>
      </c>
      <c r="J213" s="7" t="e">
        <f t="shared" si="10"/>
        <v>#DIV/0!</v>
      </c>
      <c r="K213" s="7" t="e">
        <f t="shared" si="10"/>
        <v>#DIV/0!</v>
      </c>
      <c r="M213" s="20"/>
      <c r="N213" s="8"/>
      <c r="O213" s="36" t="s">
        <v>57</v>
      </c>
      <c r="P213" s="9"/>
      <c r="Q213" s="14" t="e">
        <f t="shared" si="11"/>
        <v>#DIV/0!</v>
      </c>
      <c r="R213" s="7" t="e">
        <f t="shared" si="11"/>
        <v>#DIV/0!</v>
      </c>
      <c r="S213" s="7" t="e">
        <f t="shared" si="11"/>
        <v>#DIV/0!</v>
      </c>
      <c r="T213" s="7" t="e">
        <f t="shared" si="11"/>
        <v>#DIV/0!</v>
      </c>
      <c r="U213" s="7" t="e">
        <f t="shared" si="11"/>
        <v>#DIV/0!</v>
      </c>
      <c r="V213" s="7" t="e">
        <f t="shared" si="11"/>
        <v>#DIV/0!</v>
      </c>
      <c r="W213" s="7" t="e">
        <f t="shared" si="11"/>
        <v>#DIV/0!</v>
      </c>
    </row>
    <row r="214" spans="2:34">
      <c r="B214" s="39"/>
      <c r="C214" s="39"/>
      <c r="D214" s="37"/>
      <c r="E214" s="37"/>
      <c r="F214" s="37"/>
      <c r="G214" s="37"/>
      <c r="H214" s="37"/>
      <c r="I214" s="37"/>
      <c r="J214" s="37"/>
      <c r="K214" s="37"/>
      <c r="M214" s="20"/>
      <c r="N214" s="39"/>
      <c r="O214" s="39"/>
      <c r="P214" s="37"/>
      <c r="Q214" s="37"/>
      <c r="R214" s="37"/>
      <c r="S214" s="37"/>
      <c r="T214" s="37"/>
      <c r="U214" s="37"/>
      <c r="V214" s="37"/>
      <c r="W214" s="37"/>
    </row>
    <row r="217" spans="2:34">
      <c r="F217"/>
      <c r="G217"/>
      <c r="H217"/>
      <c r="I217"/>
      <c r="J217"/>
      <c r="K217"/>
      <c r="L217"/>
      <c r="M217"/>
      <c r="N217"/>
      <c r="O217"/>
    </row>
    <row r="218" spans="2:34">
      <c r="F218"/>
      <c r="G218"/>
      <c r="H218"/>
      <c r="I218"/>
      <c r="J218"/>
      <c r="K218"/>
      <c r="L218"/>
      <c r="M218"/>
      <c r="N218"/>
      <c r="O218"/>
    </row>
    <row r="219" spans="2:34">
      <c r="F219"/>
      <c r="G219"/>
      <c r="H219"/>
      <c r="I219"/>
      <c r="J219"/>
      <c r="K219"/>
      <c r="L219"/>
      <c r="M219"/>
      <c r="N219"/>
      <c r="O219"/>
    </row>
    <row r="220" spans="2:34">
      <c r="F220"/>
      <c r="G220"/>
      <c r="H220"/>
      <c r="I220"/>
      <c r="J220"/>
      <c r="K220"/>
      <c r="L220"/>
      <c r="M220"/>
      <c r="N220"/>
      <c r="O220"/>
    </row>
    <row r="221" spans="2:34">
      <c r="F221"/>
      <c r="G221"/>
      <c r="H221"/>
      <c r="I221"/>
      <c r="J221"/>
      <c r="K221"/>
      <c r="L221"/>
      <c r="M221"/>
      <c r="N221"/>
      <c r="O221"/>
    </row>
    <row r="222" spans="2:34">
      <c r="F222"/>
      <c r="G222"/>
      <c r="H222"/>
      <c r="I222"/>
      <c r="J222"/>
      <c r="K222"/>
      <c r="L222"/>
      <c r="M222"/>
      <c r="N222"/>
      <c r="O222"/>
    </row>
    <row r="223" spans="2:34">
      <c r="F223"/>
      <c r="G223"/>
      <c r="H223"/>
      <c r="I223"/>
      <c r="J223"/>
      <c r="K223"/>
      <c r="L223"/>
      <c r="M223"/>
      <c r="N223"/>
      <c r="O223"/>
    </row>
    <row r="224" spans="2:34">
      <c r="F224"/>
      <c r="G224"/>
      <c r="H224"/>
      <c r="I224"/>
      <c r="J224"/>
      <c r="K224"/>
      <c r="L224"/>
      <c r="M224"/>
      <c r="N224"/>
      <c r="O224"/>
    </row>
    <row r="225" spans="6:15">
      <c r="F225"/>
      <c r="G225"/>
      <c r="H225"/>
      <c r="I225"/>
      <c r="J225"/>
      <c r="K225"/>
      <c r="L225"/>
      <c r="M225"/>
      <c r="N225"/>
      <c r="O225"/>
    </row>
    <row r="226" spans="6:15">
      <c r="F226"/>
      <c r="G226"/>
      <c r="H226"/>
      <c r="I226"/>
      <c r="J226"/>
      <c r="K226"/>
      <c r="L226"/>
      <c r="M226"/>
      <c r="N226"/>
      <c r="O226"/>
    </row>
    <row r="227" spans="6:15">
      <c r="F227"/>
      <c r="G227"/>
      <c r="H227"/>
      <c r="I227"/>
      <c r="J227"/>
      <c r="K227"/>
      <c r="L227"/>
      <c r="M227"/>
      <c r="N227"/>
      <c r="O227"/>
    </row>
    <row r="228" spans="6:15">
      <c r="F228"/>
      <c r="G228"/>
      <c r="H228"/>
      <c r="I228"/>
      <c r="J228"/>
      <c r="K228"/>
      <c r="L228"/>
      <c r="M228"/>
      <c r="N228"/>
      <c r="O228"/>
    </row>
    <row r="229" spans="6:15">
      <c r="F229"/>
      <c r="G229"/>
      <c r="H229"/>
      <c r="I229"/>
      <c r="J229"/>
      <c r="K229"/>
      <c r="L229"/>
      <c r="M229"/>
      <c r="N229"/>
      <c r="O229"/>
    </row>
    <row r="230" spans="6:15">
      <c r="F230"/>
      <c r="G230"/>
      <c r="H230"/>
      <c r="I230"/>
      <c r="J230"/>
      <c r="K230"/>
      <c r="L230"/>
      <c r="M230"/>
      <c r="N230"/>
      <c r="O230"/>
    </row>
    <row r="231" spans="6:15">
      <c r="F231"/>
      <c r="G231"/>
      <c r="H231"/>
      <c r="I231"/>
      <c r="J231"/>
      <c r="K231"/>
      <c r="L231"/>
      <c r="M231"/>
      <c r="N231"/>
      <c r="O231"/>
    </row>
    <row r="232" spans="6:15">
      <c r="F232"/>
      <c r="G232"/>
      <c r="H232"/>
      <c r="I232"/>
      <c r="J232"/>
      <c r="K232"/>
      <c r="L232"/>
      <c r="M232"/>
      <c r="N232"/>
      <c r="O232"/>
    </row>
    <row r="233" spans="6:15">
      <c r="F233"/>
      <c r="G233"/>
      <c r="H233"/>
      <c r="I233"/>
      <c r="J233"/>
      <c r="K233"/>
      <c r="L233"/>
      <c r="M233"/>
      <c r="N233"/>
      <c r="O233"/>
    </row>
    <row r="234" spans="6:15">
      <c r="F234"/>
      <c r="G234"/>
      <c r="H234"/>
      <c r="I234"/>
      <c r="J234"/>
      <c r="K234"/>
      <c r="L234"/>
      <c r="M234"/>
      <c r="N234"/>
      <c r="O234"/>
    </row>
    <row r="235" spans="6:15">
      <c r="F235"/>
      <c r="G235"/>
      <c r="H235"/>
      <c r="I235"/>
      <c r="J235"/>
      <c r="K235"/>
      <c r="L235"/>
      <c r="M235"/>
      <c r="N235"/>
      <c r="O235"/>
    </row>
    <row r="236" spans="6:15">
      <c r="F236"/>
      <c r="G236"/>
      <c r="H236"/>
      <c r="I236"/>
      <c r="J236"/>
      <c r="K236"/>
      <c r="L236"/>
      <c r="M236"/>
      <c r="N236"/>
      <c r="O236"/>
    </row>
    <row r="237" spans="6:15">
      <c r="F237"/>
      <c r="G237"/>
      <c r="H237"/>
      <c r="I237"/>
      <c r="J237"/>
      <c r="K237"/>
      <c r="L237"/>
      <c r="M237"/>
      <c r="N237"/>
      <c r="O237"/>
    </row>
    <row r="238" spans="6:15">
      <c r="F238"/>
      <c r="G238"/>
      <c r="H238"/>
      <c r="I238"/>
      <c r="J238"/>
      <c r="K238"/>
      <c r="L238"/>
      <c r="M238"/>
      <c r="N238"/>
      <c r="O238"/>
    </row>
    <row r="239" spans="6:15">
      <c r="F239"/>
      <c r="G239"/>
      <c r="H239"/>
      <c r="I239"/>
      <c r="J239"/>
      <c r="K239"/>
      <c r="L239"/>
      <c r="M239"/>
      <c r="N239"/>
      <c r="O239"/>
    </row>
    <row r="240" spans="6:15">
      <c r="F240"/>
      <c r="G240"/>
      <c r="H240"/>
      <c r="I240"/>
      <c r="J240"/>
      <c r="K240"/>
      <c r="L240"/>
      <c r="M240"/>
      <c r="N240"/>
      <c r="O240"/>
    </row>
    <row r="241" spans="1:24">
      <c r="F241"/>
      <c r="G241"/>
      <c r="H241"/>
      <c r="I241"/>
      <c r="J241"/>
      <c r="K241"/>
      <c r="L241"/>
      <c r="M241"/>
      <c r="N241"/>
      <c r="O241"/>
    </row>
    <row r="242" spans="1:24">
      <c r="F242"/>
      <c r="G242"/>
      <c r="H242"/>
      <c r="I242"/>
      <c r="J242"/>
      <c r="K242"/>
      <c r="L242"/>
      <c r="M242"/>
      <c r="N242"/>
      <c r="O242"/>
    </row>
    <row r="243" spans="1:24">
      <c r="F243"/>
      <c r="G243"/>
      <c r="H243"/>
      <c r="I243"/>
      <c r="J243"/>
      <c r="K243"/>
      <c r="L243"/>
      <c r="M243"/>
      <c r="N243"/>
      <c r="O243"/>
    </row>
    <row r="244" spans="1:24">
      <c r="F244"/>
      <c r="G244"/>
      <c r="H244"/>
      <c r="I244"/>
      <c r="J244"/>
      <c r="K244"/>
      <c r="L244"/>
      <c r="M244"/>
      <c r="N244"/>
      <c r="O244"/>
    </row>
    <row r="245" spans="1:24" s="97" customFormat="1">
      <c r="F245" s="100"/>
      <c r="G245" s="100"/>
      <c r="H245" s="100"/>
      <c r="I245" s="100"/>
      <c r="J245" s="100"/>
      <c r="K245" s="100"/>
      <c r="L245" s="100"/>
      <c r="M245" s="100"/>
      <c r="N245" s="100"/>
      <c r="O245" s="100"/>
    </row>
    <row r="246" spans="1:24" s="117" customFormat="1"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</row>
    <row r="247" spans="1:24" s="117" customFormat="1"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</row>
    <row r="248" spans="1:24" ht="23.25">
      <c r="B248" s="408" t="s">
        <v>137</v>
      </c>
      <c r="C248" s="408"/>
      <c r="D248" s="408"/>
      <c r="E248" s="408"/>
      <c r="F248" s="408"/>
      <c r="G248" s="408"/>
      <c r="H248" s="408"/>
      <c r="I248" s="408"/>
      <c r="J248" s="408"/>
      <c r="K248" s="408"/>
      <c r="M248" s="408" t="s">
        <v>136</v>
      </c>
      <c r="N248" s="408"/>
      <c r="O248" s="408"/>
      <c r="P248" s="408"/>
      <c r="Q248" s="408"/>
      <c r="R248" s="408"/>
      <c r="S248" s="408"/>
      <c r="T248" s="408"/>
      <c r="U248" s="408"/>
      <c r="V248" s="408"/>
      <c r="W248" s="408"/>
      <c r="X248" s="408"/>
    </row>
    <row r="249" spans="1:24">
      <c r="A249" s="139"/>
      <c r="B249" s="139"/>
      <c r="C249" s="139"/>
      <c r="D249" s="139"/>
      <c r="E249" s="139"/>
      <c r="F249" s="115"/>
      <c r="G249" s="139" t="s">
        <v>191</v>
      </c>
      <c r="H249" s="115"/>
      <c r="I249" s="115"/>
      <c r="J249" s="115"/>
      <c r="K249" s="115"/>
      <c r="L249" s="115"/>
      <c r="M249" s="115"/>
      <c r="N249" s="115"/>
      <c r="O249" s="115"/>
      <c r="P249" s="139"/>
      <c r="Q249" s="139"/>
      <c r="R249" s="139"/>
      <c r="S249" s="139" t="s">
        <v>192</v>
      </c>
      <c r="T249" s="139"/>
      <c r="U249" s="139"/>
      <c r="V249" s="139"/>
      <c r="W249" s="139"/>
    </row>
    <row r="250" spans="1:24" ht="34.5" thickBot="1">
      <c r="B250" s="8"/>
      <c r="C250" s="9"/>
      <c r="D250" s="107" t="s">
        <v>45</v>
      </c>
      <c r="E250" s="101" t="s">
        <v>46</v>
      </c>
      <c r="F250" s="101" t="s">
        <v>44</v>
      </c>
      <c r="G250" s="101" t="s">
        <v>43</v>
      </c>
      <c r="H250" s="101" t="s">
        <v>42</v>
      </c>
      <c r="I250" s="101" t="s">
        <v>49</v>
      </c>
      <c r="J250" s="101" t="s">
        <v>47</v>
      </c>
      <c r="K250" s="101" t="s">
        <v>48</v>
      </c>
      <c r="M250" s="110"/>
      <c r="N250" s="104"/>
      <c r="O250" s="104"/>
      <c r="P250" s="107" t="s">
        <v>45</v>
      </c>
      <c r="Q250" s="101" t="s">
        <v>46</v>
      </c>
      <c r="R250" s="101" t="s">
        <v>44</v>
      </c>
      <c r="S250" s="101" t="s">
        <v>43</v>
      </c>
      <c r="T250" s="101" t="s">
        <v>42</v>
      </c>
      <c r="U250" s="101" t="s">
        <v>49</v>
      </c>
      <c r="V250" s="101" t="s">
        <v>67</v>
      </c>
      <c r="W250" s="101" t="s">
        <v>66</v>
      </c>
    </row>
    <row r="251" spans="1:24">
      <c r="B251" s="19" t="s">
        <v>76</v>
      </c>
      <c r="C251" s="36" t="s">
        <v>50</v>
      </c>
      <c r="D251" s="81">
        <f>F251+G251+H251+I251+J251+K251</f>
        <v>0</v>
      </c>
      <c r="E251" s="9">
        <f>F251+G251+H251+I251</f>
        <v>0</v>
      </c>
      <c r="F251" s="1">
        <f>Algandmed!AI43</f>
        <v>0</v>
      </c>
      <c r="G251" s="1">
        <f>Algandmed!AJ43</f>
        <v>0</v>
      </c>
      <c r="H251" s="1">
        <f>Algandmed!AK43</f>
        <v>0</v>
      </c>
      <c r="I251" s="1">
        <f>Algandmed!AL43</f>
        <v>0</v>
      </c>
      <c r="J251" s="1">
        <f>Algandmed!AM43</f>
        <v>0</v>
      </c>
      <c r="K251" s="1">
        <f>Algandmed!AQ43</f>
        <v>0</v>
      </c>
      <c r="M251" s="20"/>
      <c r="N251" s="19" t="s">
        <v>76</v>
      </c>
      <c r="O251" s="36" t="s">
        <v>50</v>
      </c>
      <c r="P251" s="81">
        <f>R251+S251+T251+U251+V251+W251</f>
        <v>0</v>
      </c>
      <c r="Q251" s="9">
        <f>R251+S251+T251+U251</f>
        <v>0</v>
      </c>
      <c r="R251" s="1">
        <f>Algandmed!AX43</f>
        <v>0</v>
      </c>
      <c r="S251" s="1">
        <f>Algandmed!AY43</f>
        <v>0</v>
      </c>
      <c r="T251" s="1">
        <f>Algandmed!AZ43</f>
        <v>0</v>
      </c>
      <c r="U251" s="1">
        <f>Algandmed!BA43</f>
        <v>0</v>
      </c>
      <c r="V251" s="1">
        <f>Algandmed!BB43</f>
        <v>0</v>
      </c>
      <c r="W251" s="1">
        <f>Algandmed!BF43</f>
        <v>0</v>
      </c>
    </row>
    <row r="252" spans="1:24">
      <c r="B252" s="8"/>
      <c r="C252" s="36" t="s">
        <v>55</v>
      </c>
      <c r="D252" s="83" t="e">
        <f>F252+G252+H252+I252+J252+K252</f>
        <v>#REF!</v>
      </c>
      <c r="E252" s="9" t="e">
        <f>F252+G252+H252+I252</f>
        <v>#REF!</v>
      </c>
      <c r="F252" s="1" t="e">
        <f>Algandmed!#REF!</f>
        <v>#REF!</v>
      </c>
      <c r="G252" s="1" t="e">
        <f>Algandmed!#REF!</f>
        <v>#REF!</v>
      </c>
      <c r="H252" s="1" t="e">
        <f>Algandmed!#REF!</f>
        <v>#REF!</v>
      </c>
      <c r="I252" s="1" t="e">
        <f>Algandmed!#REF!</f>
        <v>#REF!</v>
      </c>
      <c r="J252" s="1" t="e">
        <f>Algandmed!#REF!</f>
        <v>#REF!</v>
      </c>
      <c r="K252" s="1" t="e">
        <f>Algandmed!#REF!</f>
        <v>#REF!</v>
      </c>
      <c r="M252" s="20"/>
      <c r="N252" s="8"/>
      <c r="O252" s="36" t="s">
        <v>55</v>
      </c>
      <c r="P252" s="83" t="e">
        <f>R252+S252+T252+U252+V252+W252</f>
        <v>#REF!</v>
      </c>
      <c r="Q252" s="9" t="e">
        <f>R252+S252+T252+U252</f>
        <v>#REF!</v>
      </c>
      <c r="R252" s="1" t="e">
        <f>Algandmed!#REF!</f>
        <v>#REF!</v>
      </c>
      <c r="S252" s="1" t="e">
        <f>Algandmed!#REF!</f>
        <v>#REF!</v>
      </c>
      <c r="T252" s="1" t="e">
        <f>Algandmed!#REF!</f>
        <v>#REF!</v>
      </c>
      <c r="U252" s="1" t="e">
        <f>Algandmed!#REF!</f>
        <v>#REF!</v>
      </c>
      <c r="V252" s="1" t="e">
        <f>Algandmed!#REF!</f>
        <v>#REF!</v>
      </c>
      <c r="W252" s="1" t="e">
        <f>Algandmed!#REF!</f>
        <v>#REF!</v>
      </c>
    </row>
    <row r="253" spans="1:24">
      <c r="B253" s="8"/>
      <c r="C253" s="36" t="s">
        <v>56</v>
      </c>
      <c r="D253" s="83">
        <f>F253+G253+H253+I253+J253+K253</f>
        <v>0</v>
      </c>
      <c r="E253" s="9">
        <f>F253+G253+H253+I253</f>
        <v>0</v>
      </c>
      <c r="F253" s="1">
        <f>Algandmed!AI44</f>
        <v>0</v>
      </c>
      <c r="G253" s="1">
        <f>Algandmed!AJ44</f>
        <v>0</v>
      </c>
      <c r="H253" s="1">
        <f>Algandmed!AK44</f>
        <v>0</v>
      </c>
      <c r="I253" s="1">
        <f>Algandmed!AL44</f>
        <v>0</v>
      </c>
      <c r="J253" s="1">
        <f>Algandmed!AM44</f>
        <v>0</v>
      </c>
      <c r="K253" s="1">
        <f>Algandmed!AQ44</f>
        <v>0</v>
      </c>
      <c r="M253" s="20"/>
      <c r="N253" s="8"/>
      <c r="O253" s="36" t="s">
        <v>56</v>
      </c>
      <c r="P253" s="83">
        <f>R253+S253+T253+U253+V253+W253</f>
        <v>0</v>
      </c>
      <c r="Q253" s="9">
        <f>R253+S253+T253+U253</f>
        <v>0</v>
      </c>
      <c r="R253" s="1">
        <f>Algandmed!AX44</f>
        <v>0</v>
      </c>
      <c r="S253" s="1">
        <f>Algandmed!AY44</f>
        <v>0</v>
      </c>
      <c r="T253" s="1">
        <f>Algandmed!AZ44</f>
        <v>0</v>
      </c>
      <c r="U253" s="1">
        <f>Algandmed!BA44</f>
        <v>0</v>
      </c>
      <c r="V253" s="1">
        <f>Algandmed!BB44</f>
        <v>0</v>
      </c>
      <c r="W253" s="1">
        <f>Algandmed!BF44</f>
        <v>0</v>
      </c>
    </row>
    <row r="254" spans="1:24" ht="15.75" thickBot="1">
      <c r="B254" s="8"/>
      <c r="C254" s="36" t="s">
        <v>57</v>
      </c>
      <c r="D254" s="80">
        <f>F254+G254+H254+I254+J254+K254</f>
        <v>0</v>
      </c>
      <c r="E254" s="9">
        <f>F254+G254+H254+I254</f>
        <v>0</v>
      </c>
      <c r="F254" s="1">
        <f>Algandmed!AI45</f>
        <v>0</v>
      </c>
      <c r="G254" s="1">
        <f>Algandmed!AJ45</f>
        <v>0</v>
      </c>
      <c r="H254" s="1">
        <f>Algandmed!AK45</f>
        <v>0</v>
      </c>
      <c r="I254" s="1">
        <f>Algandmed!AL45</f>
        <v>0</v>
      </c>
      <c r="J254" s="1">
        <f>Algandmed!AM45</f>
        <v>0</v>
      </c>
      <c r="K254" s="1">
        <f>Algandmed!AQ45</f>
        <v>0</v>
      </c>
      <c r="M254" s="20"/>
      <c r="N254" s="8"/>
      <c r="O254" s="36" t="s">
        <v>57</v>
      </c>
      <c r="P254" s="80">
        <f>R254+S254+T254+U254+V254+W254</f>
        <v>0</v>
      </c>
      <c r="Q254" s="9">
        <f>R254+S254+T254+U254</f>
        <v>0</v>
      </c>
      <c r="R254" s="1">
        <f>Algandmed!AX45</f>
        <v>0</v>
      </c>
      <c r="S254" s="1">
        <f>Algandmed!AY45</f>
        <v>0</v>
      </c>
      <c r="T254" s="1">
        <f>Algandmed!AZ45</f>
        <v>0</v>
      </c>
      <c r="U254" s="1">
        <f>Algandmed!BA45</f>
        <v>0</v>
      </c>
      <c r="V254" s="1">
        <f>Algandmed!BB45</f>
        <v>0</v>
      </c>
      <c r="W254" s="1">
        <f>Algandmed!BF45</f>
        <v>0</v>
      </c>
    </row>
    <row r="255" spans="1:24" ht="15.75" thickBot="1">
      <c r="B255" s="8"/>
      <c r="C255" s="26" t="s">
        <v>45</v>
      </c>
      <c r="D255" s="87" t="e">
        <f>D251+D252+D253+D254</f>
        <v>#REF!</v>
      </c>
      <c r="E255" s="82">
        <f>F255+G255+H255+I255</f>
        <v>0</v>
      </c>
      <c r="F255" s="85">
        <f>Algandmed!AI46</f>
        <v>0</v>
      </c>
      <c r="G255" s="85">
        <f>Algandmed!AJ46</f>
        <v>0</v>
      </c>
      <c r="H255" s="85">
        <f>Algandmed!AK46</f>
        <v>0</v>
      </c>
      <c r="I255" s="85">
        <f>Algandmed!AL46</f>
        <v>0</v>
      </c>
      <c r="J255" s="85">
        <f>Algandmed!AM46</f>
        <v>0</v>
      </c>
      <c r="K255" s="88">
        <f>Algandmed!AQ46</f>
        <v>0</v>
      </c>
      <c r="M255" s="20"/>
      <c r="N255" s="8"/>
      <c r="O255" s="26" t="s">
        <v>45</v>
      </c>
      <c r="P255" s="82" t="e">
        <f>P251+P252+P253+P254</f>
        <v>#REF!</v>
      </c>
      <c r="Q255" s="88" t="e">
        <f>Q251+Q252+Q253+Q254</f>
        <v>#REF!</v>
      </c>
      <c r="R255" s="87" t="e">
        <f t="shared" ref="R255:W255" si="12">R251+R252+R253+R254</f>
        <v>#REF!</v>
      </c>
      <c r="S255" s="85" t="e">
        <f t="shared" si="12"/>
        <v>#REF!</v>
      </c>
      <c r="T255" s="85" t="e">
        <f t="shared" si="12"/>
        <v>#REF!</v>
      </c>
      <c r="U255" s="85" t="e">
        <f t="shared" si="12"/>
        <v>#REF!</v>
      </c>
      <c r="V255" s="85" t="e">
        <f t="shared" si="12"/>
        <v>#REF!</v>
      </c>
      <c r="W255" s="88" t="e">
        <f t="shared" si="12"/>
        <v>#REF!</v>
      </c>
    </row>
    <row r="256" spans="1:24"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M256" s="5"/>
      <c r="N256" s="37"/>
      <c r="O256" s="37"/>
      <c r="P256" s="37"/>
      <c r="Q256" s="37"/>
      <c r="R256" s="37"/>
      <c r="S256" s="37"/>
      <c r="T256" s="37"/>
      <c r="U256" s="37"/>
      <c r="V256" s="37"/>
      <c r="W256" s="37"/>
    </row>
    <row r="257" spans="2:23">
      <c r="M257" s="5"/>
    </row>
    <row r="258" spans="2:23" ht="33.75">
      <c r="B258" s="8"/>
      <c r="C258" s="9"/>
      <c r="D258" s="9"/>
      <c r="E258" s="101" t="s">
        <v>46</v>
      </c>
      <c r="F258" s="101" t="s">
        <v>44</v>
      </c>
      <c r="G258" s="101" t="s">
        <v>43</v>
      </c>
      <c r="H258" s="101" t="s">
        <v>42</v>
      </c>
      <c r="I258" s="101" t="s">
        <v>49</v>
      </c>
      <c r="J258" s="101" t="s">
        <v>47</v>
      </c>
      <c r="K258" s="101" t="s">
        <v>48</v>
      </c>
      <c r="M258" s="110"/>
      <c r="N258" s="104"/>
      <c r="O258" s="104"/>
      <c r="P258" s="104"/>
      <c r="Q258" s="101" t="s">
        <v>46</v>
      </c>
      <c r="R258" s="101" t="s">
        <v>44</v>
      </c>
      <c r="S258" s="101" t="s">
        <v>43</v>
      </c>
      <c r="T258" s="101" t="s">
        <v>42</v>
      </c>
      <c r="U258" s="101" t="s">
        <v>49</v>
      </c>
      <c r="V258" s="101" t="s">
        <v>67</v>
      </c>
      <c r="W258" s="101" t="s">
        <v>66</v>
      </c>
    </row>
    <row r="259" spans="2:23">
      <c r="B259" s="18" t="s">
        <v>77</v>
      </c>
      <c r="C259" s="36" t="s">
        <v>50</v>
      </c>
      <c r="D259" s="9"/>
      <c r="E259" s="14" t="e">
        <f t="shared" ref="E259:K262" si="13">E251/$D251</f>
        <v>#DIV/0!</v>
      </c>
      <c r="F259" s="7" t="e">
        <f t="shared" si="13"/>
        <v>#DIV/0!</v>
      </c>
      <c r="G259" s="7" t="e">
        <f t="shared" si="13"/>
        <v>#DIV/0!</v>
      </c>
      <c r="H259" s="7" t="e">
        <f t="shared" si="13"/>
        <v>#DIV/0!</v>
      </c>
      <c r="I259" s="7" t="e">
        <f t="shared" si="13"/>
        <v>#DIV/0!</v>
      </c>
      <c r="J259" s="7" t="e">
        <f t="shared" si="13"/>
        <v>#DIV/0!</v>
      </c>
      <c r="K259" s="7" t="e">
        <f t="shared" si="13"/>
        <v>#DIV/0!</v>
      </c>
      <c r="M259" s="20"/>
      <c r="N259" s="19" t="s">
        <v>76</v>
      </c>
      <c r="O259" s="36" t="s">
        <v>50</v>
      </c>
      <c r="P259" s="9"/>
      <c r="Q259" s="14" t="e">
        <f t="shared" ref="Q259:W262" si="14">Q251/$P251</f>
        <v>#DIV/0!</v>
      </c>
      <c r="R259" s="7" t="e">
        <f t="shared" si="14"/>
        <v>#DIV/0!</v>
      </c>
      <c r="S259" s="7" t="e">
        <f t="shared" si="14"/>
        <v>#DIV/0!</v>
      </c>
      <c r="T259" s="7" t="e">
        <f t="shared" si="14"/>
        <v>#DIV/0!</v>
      </c>
      <c r="U259" s="7" t="e">
        <f t="shared" si="14"/>
        <v>#DIV/0!</v>
      </c>
      <c r="V259" s="7" t="e">
        <f t="shared" si="14"/>
        <v>#DIV/0!</v>
      </c>
      <c r="W259" s="7" t="e">
        <f t="shared" si="14"/>
        <v>#DIV/0!</v>
      </c>
    </row>
    <row r="260" spans="2:23">
      <c r="B260" s="8"/>
      <c r="C260" s="36" t="s">
        <v>55</v>
      </c>
      <c r="D260" s="9"/>
      <c r="E260" s="14" t="e">
        <f t="shared" si="13"/>
        <v>#REF!</v>
      </c>
      <c r="F260" s="7" t="e">
        <f t="shared" si="13"/>
        <v>#REF!</v>
      </c>
      <c r="G260" s="7" t="e">
        <f t="shared" si="13"/>
        <v>#REF!</v>
      </c>
      <c r="H260" s="7" t="e">
        <f t="shared" si="13"/>
        <v>#REF!</v>
      </c>
      <c r="I260" s="7" t="e">
        <f t="shared" si="13"/>
        <v>#REF!</v>
      </c>
      <c r="J260" s="7" t="e">
        <f t="shared" si="13"/>
        <v>#REF!</v>
      </c>
      <c r="K260" s="7" t="e">
        <f t="shared" si="13"/>
        <v>#REF!</v>
      </c>
      <c r="M260" s="20"/>
      <c r="N260" s="8"/>
      <c r="O260" s="36" t="s">
        <v>55</v>
      </c>
      <c r="P260" s="9"/>
      <c r="Q260" s="14" t="e">
        <f t="shared" si="14"/>
        <v>#REF!</v>
      </c>
      <c r="R260" s="7" t="e">
        <f t="shared" si="14"/>
        <v>#REF!</v>
      </c>
      <c r="S260" s="7" t="e">
        <f t="shared" si="14"/>
        <v>#REF!</v>
      </c>
      <c r="T260" s="7" t="e">
        <f t="shared" si="14"/>
        <v>#REF!</v>
      </c>
      <c r="U260" s="7" t="e">
        <f t="shared" si="14"/>
        <v>#REF!</v>
      </c>
      <c r="V260" s="7" t="e">
        <f t="shared" si="14"/>
        <v>#REF!</v>
      </c>
      <c r="W260" s="7" t="e">
        <f t="shared" si="14"/>
        <v>#REF!</v>
      </c>
    </row>
    <row r="261" spans="2:23">
      <c r="B261" s="8"/>
      <c r="C261" s="36" t="s">
        <v>56</v>
      </c>
      <c r="D261" s="9"/>
      <c r="E261" s="14" t="e">
        <f t="shared" si="13"/>
        <v>#DIV/0!</v>
      </c>
      <c r="F261" s="7" t="e">
        <f t="shared" si="13"/>
        <v>#DIV/0!</v>
      </c>
      <c r="G261" s="7" t="e">
        <f t="shared" si="13"/>
        <v>#DIV/0!</v>
      </c>
      <c r="H261" s="7" t="e">
        <f t="shared" si="13"/>
        <v>#DIV/0!</v>
      </c>
      <c r="I261" s="7" t="e">
        <f t="shared" si="13"/>
        <v>#DIV/0!</v>
      </c>
      <c r="J261" s="7" t="e">
        <f t="shared" si="13"/>
        <v>#DIV/0!</v>
      </c>
      <c r="K261" s="7" t="e">
        <f t="shared" si="13"/>
        <v>#DIV/0!</v>
      </c>
      <c r="M261" s="20"/>
      <c r="N261" s="8"/>
      <c r="O261" s="36" t="s">
        <v>56</v>
      </c>
      <c r="P261" s="9"/>
      <c r="Q261" s="14" t="e">
        <f t="shared" si="14"/>
        <v>#DIV/0!</v>
      </c>
      <c r="R261" s="7" t="e">
        <f t="shared" si="14"/>
        <v>#DIV/0!</v>
      </c>
      <c r="S261" s="7" t="e">
        <f t="shared" si="14"/>
        <v>#DIV/0!</v>
      </c>
      <c r="T261" s="7" t="e">
        <f t="shared" si="14"/>
        <v>#DIV/0!</v>
      </c>
      <c r="U261" s="7" t="e">
        <f t="shared" si="14"/>
        <v>#DIV/0!</v>
      </c>
      <c r="V261" s="7" t="e">
        <f t="shared" si="14"/>
        <v>#DIV/0!</v>
      </c>
      <c r="W261" s="7" t="e">
        <f t="shared" si="14"/>
        <v>#DIV/0!</v>
      </c>
    </row>
    <row r="262" spans="2:23">
      <c r="B262" s="8"/>
      <c r="C262" s="36" t="s">
        <v>57</v>
      </c>
      <c r="D262" s="9"/>
      <c r="E262" s="14" t="e">
        <f t="shared" si="13"/>
        <v>#DIV/0!</v>
      </c>
      <c r="F262" s="7" t="e">
        <f t="shared" si="13"/>
        <v>#DIV/0!</v>
      </c>
      <c r="G262" s="7" t="e">
        <f t="shared" si="13"/>
        <v>#DIV/0!</v>
      </c>
      <c r="H262" s="7" t="e">
        <f t="shared" si="13"/>
        <v>#DIV/0!</v>
      </c>
      <c r="I262" s="7" t="e">
        <f t="shared" si="13"/>
        <v>#DIV/0!</v>
      </c>
      <c r="J262" s="7" t="e">
        <f t="shared" si="13"/>
        <v>#DIV/0!</v>
      </c>
      <c r="K262" s="7" t="e">
        <f t="shared" si="13"/>
        <v>#DIV/0!</v>
      </c>
      <c r="M262" s="20"/>
      <c r="N262" s="8"/>
      <c r="O262" s="36" t="s">
        <v>57</v>
      </c>
      <c r="P262" s="9"/>
      <c r="Q262" s="14" t="e">
        <f t="shared" si="14"/>
        <v>#DIV/0!</v>
      </c>
      <c r="R262" s="7" t="e">
        <f t="shared" si="14"/>
        <v>#DIV/0!</v>
      </c>
      <c r="S262" s="7" t="e">
        <f t="shared" si="14"/>
        <v>#DIV/0!</v>
      </c>
      <c r="T262" s="7" t="e">
        <f t="shared" si="14"/>
        <v>#DIV/0!</v>
      </c>
      <c r="U262" s="7" t="e">
        <f t="shared" si="14"/>
        <v>#DIV/0!</v>
      </c>
      <c r="V262" s="7" t="e">
        <f t="shared" si="14"/>
        <v>#DIV/0!</v>
      </c>
      <c r="W262" s="7" t="e">
        <f t="shared" si="14"/>
        <v>#DIV/0!</v>
      </c>
    </row>
    <row r="263" spans="2:23">
      <c r="B263" s="39"/>
      <c r="C263" s="39"/>
      <c r="D263" s="37"/>
      <c r="E263" s="37"/>
      <c r="F263" s="37"/>
      <c r="G263" s="37"/>
      <c r="H263" s="37"/>
      <c r="I263" s="37"/>
      <c r="J263" s="37"/>
      <c r="K263" s="37"/>
      <c r="M263" s="20"/>
      <c r="N263" s="39"/>
      <c r="O263" s="39"/>
      <c r="P263" s="37"/>
      <c r="Q263" s="37"/>
      <c r="R263" s="37"/>
      <c r="S263" s="37"/>
      <c r="T263" s="37"/>
      <c r="U263" s="37"/>
      <c r="V263" s="37"/>
      <c r="W263" s="37"/>
    </row>
    <row r="295" spans="1:34" s="97" customFormat="1"/>
    <row r="296" spans="1:34" s="117" customFormat="1"/>
    <row r="297" spans="1:34" s="117" customFormat="1"/>
    <row r="298" spans="1:34" ht="23.25">
      <c r="A298" s="408" t="s">
        <v>85</v>
      </c>
      <c r="B298" s="408"/>
      <c r="C298" s="408"/>
      <c r="D298" s="408"/>
      <c r="E298" s="408"/>
      <c r="F298" s="408"/>
      <c r="G298" s="408"/>
      <c r="H298" s="408"/>
      <c r="I298" s="408"/>
      <c r="J298" s="408"/>
      <c r="K298" s="408"/>
      <c r="M298" s="408" t="s">
        <v>86</v>
      </c>
      <c r="N298" s="408"/>
      <c r="O298" s="408"/>
      <c r="P298" s="408"/>
      <c r="Q298" s="408"/>
      <c r="R298" s="408"/>
      <c r="S298" s="408"/>
      <c r="T298" s="408"/>
      <c r="U298" s="408"/>
      <c r="V298" s="408"/>
      <c r="W298" s="408"/>
      <c r="X298" s="408"/>
    </row>
    <row r="299" spans="1:34">
      <c r="A299" s="139"/>
      <c r="B299" s="139"/>
      <c r="C299" s="139"/>
      <c r="D299" s="139"/>
      <c r="E299" s="139"/>
      <c r="F299" s="139"/>
      <c r="G299" s="139" t="s">
        <v>193</v>
      </c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 t="s">
        <v>194</v>
      </c>
      <c r="T299" s="139"/>
      <c r="U299" s="139"/>
      <c r="V299" s="139"/>
      <c r="W299" s="139"/>
      <c r="X299" s="139"/>
    </row>
    <row r="300" spans="1:34" ht="34.5" thickBot="1">
      <c r="A300" s="104" t="s">
        <v>24</v>
      </c>
      <c r="B300" s="107" t="s">
        <v>45</v>
      </c>
      <c r="C300" s="107" t="s">
        <v>2</v>
      </c>
      <c r="D300" s="107" t="s">
        <v>6</v>
      </c>
      <c r="E300" s="101" t="s">
        <v>46</v>
      </c>
      <c r="F300" s="101" t="s">
        <v>44</v>
      </c>
      <c r="G300" s="101" t="s">
        <v>43</v>
      </c>
      <c r="H300" s="101" t="s">
        <v>42</v>
      </c>
      <c r="I300" s="101" t="s">
        <v>49</v>
      </c>
      <c r="J300" s="101" t="s">
        <v>47</v>
      </c>
      <c r="K300" s="101" t="s">
        <v>157</v>
      </c>
      <c r="L300" s="101" t="s">
        <v>48</v>
      </c>
      <c r="M300" s="104" t="s">
        <v>17</v>
      </c>
      <c r="N300" s="107" t="s">
        <v>45</v>
      </c>
      <c r="O300" s="107" t="s">
        <v>2</v>
      </c>
      <c r="P300" s="107" t="s">
        <v>6</v>
      </c>
      <c r="Q300" s="101" t="s">
        <v>46</v>
      </c>
      <c r="R300" s="101" t="s">
        <v>44</v>
      </c>
      <c r="S300" s="101" t="s">
        <v>43</v>
      </c>
      <c r="T300" s="101" t="s">
        <v>42</v>
      </c>
      <c r="U300" s="101" t="s">
        <v>49</v>
      </c>
      <c r="V300" s="101" t="s">
        <v>67</v>
      </c>
      <c r="W300" s="101" t="s">
        <v>158</v>
      </c>
      <c r="X300" s="101" t="s">
        <v>66</v>
      </c>
    </row>
    <row r="301" spans="1:34">
      <c r="A301" s="41" t="s">
        <v>50</v>
      </c>
      <c r="B301" s="83">
        <f t="shared" ref="B301:B302" si="15">C301+D301</f>
        <v>17</v>
      </c>
      <c r="C301" s="9">
        <f>Algandmed!AH105</f>
        <v>4</v>
      </c>
      <c r="D301" s="9">
        <f>Algandmed!AI105</f>
        <v>13</v>
      </c>
      <c r="E301" s="9">
        <f>F301+G301+H301+I301</f>
        <v>0</v>
      </c>
      <c r="F301" s="1">
        <f>Algandmed!AJ22</f>
        <v>0</v>
      </c>
      <c r="G301" s="5">
        <f>Algandmed!AL22</f>
        <v>0</v>
      </c>
      <c r="H301" s="5">
        <f>Algandmed!AM22</f>
        <v>0</v>
      </c>
      <c r="I301" s="5">
        <f>Algandmed!AN22</f>
        <v>0</v>
      </c>
      <c r="J301" s="1">
        <f>Algandmed!AQ22</f>
        <v>3</v>
      </c>
      <c r="K301" s="77">
        <f>Algandmed!AT22</f>
        <v>0</v>
      </c>
      <c r="L301" s="1">
        <f>Algandmed!AU22</f>
        <v>13</v>
      </c>
      <c r="M301" s="43" t="s">
        <v>50</v>
      </c>
      <c r="N301" s="81">
        <f>O301+P301</f>
        <v>5</v>
      </c>
      <c r="O301" s="9">
        <f>Algandmed!AV105</f>
        <v>3</v>
      </c>
      <c r="P301" s="9">
        <f>Algandmed!AW105</f>
        <v>2</v>
      </c>
      <c r="Q301" s="9">
        <f>R301+S301+T301+U301</f>
        <v>1</v>
      </c>
      <c r="R301" s="1">
        <f>Algandmed!BB22</f>
        <v>0</v>
      </c>
      <c r="S301" s="1">
        <f>Algandmed!BD22</f>
        <v>1</v>
      </c>
      <c r="T301" s="1">
        <f>Algandmed!BE22</f>
        <v>0</v>
      </c>
      <c r="U301" s="1">
        <f>Algandmed!BF22</f>
        <v>0</v>
      </c>
      <c r="V301" s="1">
        <f>Algandmed!BJ22</f>
        <v>0</v>
      </c>
      <c r="W301" s="77">
        <f>Algandmed!BM22</f>
        <v>0</v>
      </c>
      <c r="X301" s="1">
        <f>Algandmed!BN22</f>
        <v>3</v>
      </c>
      <c r="Z301"/>
      <c r="AA301"/>
      <c r="AB301"/>
      <c r="AC301"/>
      <c r="AD301"/>
      <c r="AE301"/>
      <c r="AF301"/>
      <c r="AG301"/>
      <c r="AH301"/>
    </row>
    <row r="302" spans="1:34">
      <c r="A302" s="41" t="s">
        <v>55</v>
      </c>
      <c r="B302" s="83" t="e">
        <f t="shared" si="15"/>
        <v>#REF!</v>
      </c>
      <c r="C302" s="9" t="e">
        <f>Algandmed!#REF!</f>
        <v>#REF!</v>
      </c>
      <c r="D302" s="9" t="e">
        <f>Algandmed!#REF!</f>
        <v>#REF!</v>
      </c>
      <c r="E302" s="9" t="e">
        <f>F302+G302+H302+I302</f>
        <v>#REF!</v>
      </c>
      <c r="F302" s="1" t="e">
        <f>Algandmed!#REF!</f>
        <v>#REF!</v>
      </c>
      <c r="G302" s="5" t="e">
        <f>Algandmed!#REF!</f>
        <v>#REF!</v>
      </c>
      <c r="H302" s="5" t="e">
        <f>Algandmed!#REF!</f>
        <v>#REF!</v>
      </c>
      <c r="I302" s="5" t="e">
        <f>Algandmed!#REF!</f>
        <v>#REF!</v>
      </c>
      <c r="J302" s="1" t="e">
        <f>Algandmed!#REF!</f>
        <v>#REF!</v>
      </c>
      <c r="K302" s="77" t="e">
        <f>Algandmed!#REF!</f>
        <v>#REF!</v>
      </c>
      <c r="L302" s="1" t="e">
        <f>Algandmed!#REF!</f>
        <v>#REF!</v>
      </c>
      <c r="M302" s="43" t="s">
        <v>55</v>
      </c>
      <c r="N302" s="83" t="e">
        <f>O302+P302</f>
        <v>#REF!</v>
      </c>
      <c r="O302" s="9" t="e">
        <f>Algandmed!#REF!</f>
        <v>#REF!</v>
      </c>
      <c r="P302" s="9" t="e">
        <f>Algandmed!#REF!</f>
        <v>#REF!</v>
      </c>
      <c r="Q302" s="9" t="e">
        <f>R302+S302+T302+U302</f>
        <v>#REF!</v>
      </c>
      <c r="R302" s="1" t="e">
        <f>Algandmed!#REF!</f>
        <v>#REF!</v>
      </c>
      <c r="S302" s="1" t="e">
        <f>Algandmed!#REF!</f>
        <v>#REF!</v>
      </c>
      <c r="T302" s="1" t="e">
        <f>Algandmed!#REF!</f>
        <v>#REF!</v>
      </c>
      <c r="U302" s="1" t="e">
        <f>Algandmed!#REF!</f>
        <v>#REF!</v>
      </c>
      <c r="V302" s="1" t="e">
        <f>Algandmed!#REF!</f>
        <v>#REF!</v>
      </c>
      <c r="W302" s="77" t="e">
        <f>Algandmed!#REF!</f>
        <v>#REF!</v>
      </c>
      <c r="X302" s="1" t="e">
        <f>Algandmed!#REF!</f>
        <v>#REF!</v>
      </c>
      <c r="Z302"/>
      <c r="AA302"/>
      <c r="AB302"/>
      <c r="AC302"/>
      <c r="AD302"/>
      <c r="AE302"/>
      <c r="AF302"/>
      <c r="AG302"/>
      <c r="AH302"/>
    </row>
    <row r="303" spans="1:34">
      <c r="A303" s="41" t="s">
        <v>56</v>
      </c>
      <c r="B303" s="83">
        <f>C303+D303</f>
        <v>13</v>
      </c>
      <c r="C303" s="9">
        <f>Algandmed!AH106</f>
        <v>3</v>
      </c>
      <c r="D303" s="9">
        <f>Algandmed!AI106</f>
        <v>10</v>
      </c>
      <c r="E303" s="9">
        <f>F303+G303+H303+I303</f>
        <v>0</v>
      </c>
      <c r="F303" s="1">
        <f>Algandmed!AJ23</f>
        <v>0</v>
      </c>
      <c r="G303" s="5">
        <f>Algandmed!AL23</f>
        <v>0</v>
      </c>
      <c r="H303" s="5">
        <f>Algandmed!AM23</f>
        <v>0</v>
      </c>
      <c r="I303" s="5">
        <f>Algandmed!AN23</f>
        <v>0</v>
      </c>
      <c r="J303" s="1">
        <f>Algandmed!AQ23</f>
        <v>0</v>
      </c>
      <c r="K303" s="77">
        <f>Algandmed!AT23</f>
        <v>1</v>
      </c>
      <c r="L303" s="1">
        <f>Algandmed!AU23</f>
        <v>10</v>
      </c>
      <c r="M303" s="43" t="s">
        <v>56</v>
      </c>
      <c r="N303" s="83">
        <f>O303+P303</f>
        <v>21</v>
      </c>
      <c r="O303" s="9">
        <f>Algandmed!AV106</f>
        <v>9</v>
      </c>
      <c r="P303" s="9">
        <f>Algandmed!AW106</f>
        <v>12</v>
      </c>
      <c r="Q303" s="9">
        <f>R303+S303+T303+U303</f>
        <v>1</v>
      </c>
      <c r="R303" s="1">
        <f>Algandmed!BB23</f>
        <v>0</v>
      </c>
      <c r="S303" s="1">
        <f>Algandmed!BD23</f>
        <v>0</v>
      </c>
      <c r="T303" s="1">
        <f>Algandmed!BE23</f>
        <v>1</v>
      </c>
      <c r="U303" s="1">
        <f>Algandmed!BF23</f>
        <v>0</v>
      </c>
      <c r="V303" s="1">
        <f>Algandmed!BJ23</f>
        <v>1</v>
      </c>
      <c r="W303" s="77">
        <f>Algandmed!BM23</f>
        <v>0</v>
      </c>
      <c r="X303" s="1">
        <f>Algandmed!BN23</f>
        <v>9</v>
      </c>
      <c r="Z303"/>
      <c r="AA303"/>
      <c r="AB303"/>
      <c r="AC303"/>
      <c r="AD303"/>
      <c r="AE303"/>
      <c r="AF303"/>
      <c r="AG303"/>
      <c r="AH303"/>
    </row>
    <row r="304" spans="1:34" ht="15.75" thickBot="1">
      <c r="A304" s="41" t="s">
        <v>57</v>
      </c>
      <c r="B304" s="83">
        <f>C304+D304</f>
        <v>4</v>
      </c>
      <c r="C304" s="9">
        <f>Algandmed!AH107</f>
        <v>2</v>
      </c>
      <c r="D304" s="9">
        <f>Algandmed!AI107</f>
        <v>2</v>
      </c>
      <c r="E304" s="9">
        <f>F304+G304+H304+I304</f>
        <v>0</v>
      </c>
      <c r="F304" s="1">
        <f>Algandmed!AJ24</f>
        <v>0</v>
      </c>
      <c r="G304" s="5">
        <f>Algandmed!AL24</f>
        <v>0</v>
      </c>
      <c r="H304" s="5">
        <f>Algandmed!AM24</f>
        <v>0</v>
      </c>
      <c r="I304" s="5">
        <f>Algandmed!AN24</f>
        <v>0</v>
      </c>
      <c r="J304" s="1">
        <f>Algandmed!AQ24</f>
        <v>0</v>
      </c>
      <c r="K304" s="77">
        <f>Algandmed!AT24</f>
        <v>0</v>
      </c>
      <c r="L304" s="1">
        <f>Algandmed!AU24</f>
        <v>2</v>
      </c>
      <c r="M304" s="43" t="s">
        <v>57</v>
      </c>
      <c r="N304" s="80">
        <f>O304+P304</f>
        <v>19</v>
      </c>
      <c r="O304" s="9">
        <f>Algandmed!AV107</f>
        <v>7</v>
      </c>
      <c r="P304" s="9">
        <f>Algandmed!AW107</f>
        <v>12</v>
      </c>
      <c r="Q304" s="9">
        <f>R304+S304+T304+U304</f>
        <v>3</v>
      </c>
      <c r="R304" s="1">
        <f>Algandmed!BB24</f>
        <v>0</v>
      </c>
      <c r="S304" s="1">
        <f>Algandmed!BD24</f>
        <v>1</v>
      </c>
      <c r="T304" s="1">
        <f>Algandmed!BE24</f>
        <v>2</v>
      </c>
      <c r="U304" s="1">
        <f>Algandmed!BF24</f>
        <v>0</v>
      </c>
      <c r="V304" s="1">
        <f>Algandmed!BJ24</f>
        <v>2</v>
      </c>
      <c r="W304" s="77">
        <f>Algandmed!BM24</f>
        <v>0</v>
      </c>
      <c r="X304" s="1">
        <f>Algandmed!BN24</f>
        <v>7</v>
      </c>
      <c r="Z304"/>
      <c r="AA304"/>
      <c r="AB304"/>
      <c r="AC304"/>
      <c r="AD304"/>
      <c r="AE304"/>
      <c r="AF304"/>
      <c r="AG304"/>
      <c r="AH304"/>
    </row>
    <row r="305" spans="1:34" ht="15.75" thickBot="1">
      <c r="A305" s="26" t="s">
        <v>45</v>
      </c>
      <c r="B305" s="82" t="e">
        <f>B301+B302+B303+B304</f>
        <v>#REF!</v>
      </c>
      <c r="C305" s="87" t="e">
        <f>C301+C302+C303+C304</f>
        <v>#REF!</v>
      </c>
      <c r="D305" s="85" t="e">
        <f>D301+D302+D303+D304</f>
        <v>#REF!</v>
      </c>
      <c r="E305" s="85" t="e">
        <f>F305+G305+H305+I305</f>
        <v>#REF!</v>
      </c>
      <c r="F305" s="85" t="e">
        <f t="shared" ref="F305:L305" si="16">F301+F302+F303+F304</f>
        <v>#REF!</v>
      </c>
      <c r="G305" s="85" t="e">
        <f t="shared" si="16"/>
        <v>#REF!</v>
      </c>
      <c r="H305" s="85" t="e">
        <f t="shared" si="16"/>
        <v>#REF!</v>
      </c>
      <c r="I305" s="85" t="e">
        <f t="shared" si="16"/>
        <v>#REF!</v>
      </c>
      <c r="J305" s="85" t="e">
        <f t="shared" si="16"/>
        <v>#REF!</v>
      </c>
      <c r="K305" s="85" t="e">
        <f t="shared" si="16"/>
        <v>#REF!</v>
      </c>
      <c r="L305" s="88" t="e">
        <f t="shared" si="16"/>
        <v>#REF!</v>
      </c>
      <c r="M305" s="26" t="s">
        <v>45</v>
      </c>
      <c r="N305" s="82" t="e">
        <f t="shared" ref="N305:W305" si="17">N301+N302+N303+N304</f>
        <v>#REF!</v>
      </c>
      <c r="O305" s="85" t="e">
        <f t="shared" si="17"/>
        <v>#REF!</v>
      </c>
      <c r="P305" s="85" t="e">
        <f t="shared" si="17"/>
        <v>#REF!</v>
      </c>
      <c r="Q305" s="85" t="e">
        <f t="shared" si="17"/>
        <v>#REF!</v>
      </c>
      <c r="R305" s="85" t="e">
        <f t="shared" si="17"/>
        <v>#REF!</v>
      </c>
      <c r="S305" s="85" t="e">
        <f t="shared" si="17"/>
        <v>#REF!</v>
      </c>
      <c r="T305" s="85" t="e">
        <f t="shared" si="17"/>
        <v>#REF!</v>
      </c>
      <c r="U305" s="85" t="e">
        <f t="shared" si="17"/>
        <v>#REF!</v>
      </c>
      <c r="V305" s="85" t="e">
        <f t="shared" si="17"/>
        <v>#REF!</v>
      </c>
      <c r="W305" s="85" t="e">
        <f t="shared" si="17"/>
        <v>#REF!</v>
      </c>
      <c r="X305" s="88" t="e">
        <f>X301+X302+X303+X304</f>
        <v>#REF!</v>
      </c>
      <c r="Z305"/>
      <c r="AA305"/>
      <c r="AB305"/>
      <c r="AC305"/>
      <c r="AD305"/>
      <c r="AE305"/>
      <c r="AF305"/>
      <c r="AG305"/>
      <c r="AH305"/>
    </row>
    <row r="306" spans="1:34">
      <c r="A306" s="42"/>
      <c r="B306" s="37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42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Z306"/>
      <c r="AA306"/>
      <c r="AB306"/>
      <c r="AC306"/>
      <c r="AD306"/>
      <c r="AE306"/>
      <c r="AF306"/>
      <c r="AG306"/>
      <c r="AH306"/>
    </row>
    <row r="307" spans="1:34">
      <c r="A307" s="5"/>
      <c r="B307" s="16"/>
      <c r="C307" s="5"/>
      <c r="D307" s="5"/>
      <c r="E307" s="5"/>
      <c r="F307" s="5"/>
      <c r="G307" s="5"/>
      <c r="H307" s="5"/>
      <c r="I307" s="5"/>
      <c r="Z307"/>
      <c r="AA307"/>
      <c r="AB307"/>
      <c r="AC307"/>
      <c r="AD307"/>
      <c r="AE307"/>
      <c r="AF307"/>
      <c r="AG307"/>
      <c r="AH307"/>
    </row>
    <row r="308" spans="1:34" ht="34.5">
      <c r="A308" s="8" t="s">
        <v>24</v>
      </c>
      <c r="B308" s="9"/>
      <c r="C308" s="28" t="s">
        <v>2</v>
      </c>
      <c r="D308" s="28" t="s">
        <v>6</v>
      </c>
      <c r="E308" s="21" t="s">
        <v>46</v>
      </c>
      <c r="F308" s="21" t="s">
        <v>44</v>
      </c>
      <c r="G308" s="21" t="s">
        <v>43</v>
      </c>
      <c r="H308" s="21" t="s">
        <v>42</v>
      </c>
      <c r="I308" s="21" t="s">
        <v>49</v>
      </c>
      <c r="J308" s="21" t="s">
        <v>47</v>
      </c>
      <c r="K308" s="21" t="s">
        <v>157</v>
      </c>
      <c r="L308" s="21" t="s">
        <v>48</v>
      </c>
      <c r="M308" s="53" t="s">
        <v>17</v>
      </c>
      <c r="N308" s="53"/>
      <c r="O308" s="54" t="s">
        <v>2</v>
      </c>
      <c r="P308" s="54" t="s">
        <v>6</v>
      </c>
      <c r="Q308" s="21" t="s">
        <v>46</v>
      </c>
      <c r="R308" s="21" t="s">
        <v>44</v>
      </c>
      <c r="S308" s="21" t="s">
        <v>43</v>
      </c>
      <c r="T308" s="21" t="s">
        <v>42</v>
      </c>
      <c r="U308" s="21" t="s">
        <v>49</v>
      </c>
      <c r="V308" s="21" t="s">
        <v>67</v>
      </c>
      <c r="W308" s="21" t="s">
        <v>158</v>
      </c>
      <c r="X308" s="21" t="s">
        <v>66</v>
      </c>
      <c r="Z308"/>
      <c r="AA308"/>
      <c r="AB308"/>
      <c r="AC308"/>
      <c r="AD308"/>
      <c r="AE308"/>
      <c r="AF308"/>
      <c r="AG308"/>
      <c r="AH308"/>
    </row>
    <row r="309" spans="1:34">
      <c r="A309" s="41" t="s">
        <v>50</v>
      </c>
      <c r="B309" s="9"/>
      <c r="C309" s="14">
        <f>C301/B301</f>
        <v>0.23529411764705882</v>
      </c>
      <c r="D309" s="14">
        <f>D301/B301</f>
        <v>0.76470588235294112</v>
      </c>
      <c r="E309" s="14">
        <f t="shared" ref="E309:L312" si="18">E301/$B301</f>
        <v>0</v>
      </c>
      <c r="F309" s="13">
        <f t="shared" si="18"/>
        <v>0</v>
      </c>
      <c r="G309" s="13">
        <f t="shared" si="18"/>
        <v>0</v>
      </c>
      <c r="H309" s="13">
        <f t="shared" si="18"/>
        <v>0</v>
      </c>
      <c r="I309" s="13">
        <f t="shared" si="18"/>
        <v>0</v>
      </c>
      <c r="J309" s="13">
        <f t="shared" si="18"/>
        <v>0.17647058823529413</v>
      </c>
      <c r="K309" s="13">
        <f t="shared" si="18"/>
        <v>0</v>
      </c>
      <c r="L309" s="13">
        <f t="shared" si="18"/>
        <v>0.76470588235294112</v>
      </c>
      <c r="M309" s="43" t="s">
        <v>50</v>
      </c>
      <c r="N309" s="9"/>
      <c r="O309" s="14">
        <f>O301/N301</f>
        <v>0.6</v>
      </c>
      <c r="P309" s="14">
        <f>P301/N301</f>
        <v>0.4</v>
      </c>
      <c r="Q309" s="14">
        <f t="shared" ref="Q309:X312" si="19">Q301/$N301</f>
        <v>0.2</v>
      </c>
      <c r="R309" s="13">
        <f t="shared" si="19"/>
        <v>0</v>
      </c>
      <c r="S309" s="13">
        <f t="shared" si="19"/>
        <v>0.2</v>
      </c>
      <c r="T309" s="13">
        <f t="shared" si="19"/>
        <v>0</v>
      </c>
      <c r="U309" s="13">
        <f t="shared" si="19"/>
        <v>0</v>
      </c>
      <c r="V309" s="13">
        <f t="shared" si="19"/>
        <v>0</v>
      </c>
      <c r="W309" s="13">
        <f t="shared" si="19"/>
        <v>0</v>
      </c>
      <c r="X309" s="13">
        <f t="shared" si="19"/>
        <v>0.6</v>
      </c>
      <c r="Z309"/>
      <c r="AA309"/>
      <c r="AB309"/>
      <c r="AC309"/>
      <c r="AD309"/>
      <c r="AE309"/>
      <c r="AF309"/>
      <c r="AG309"/>
      <c r="AH309"/>
    </row>
    <row r="310" spans="1:34">
      <c r="A310" s="41" t="s">
        <v>55</v>
      </c>
      <c r="B310" s="9"/>
      <c r="C310" s="14" t="e">
        <f>C302/B302</f>
        <v>#REF!</v>
      </c>
      <c r="D310" s="14" t="e">
        <f>D302/B302</f>
        <v>#REF!</v>
      </c>
      <c r="E310" s="14" t="e">
        <f t="shared" si="18"/>
        <v>#REF!</v>
      </c>
      <c r="F310" s="13" t="e">
        <f t="shared" si="18"/>
        <v>#REF!</v>
      </c>
      <c r="G310" s="13" t="e">
        <f t="shared" si="18"/>
        <v>#REF!</v>
      </c>
      <c r="H310" s="13" t="e">
        <f t="shared" si="18"/>
        <v>#REF!</v>
      </c>
      <c r="I310" s="13" t="e">
        <f t="shared" si="18"/>
        <v>#REF!</v>
      </c>
      <c r="J310" s="13" t="e">
        <f t="shared" si="18"/>
        <v>#REF!</v>
      </c>
      <c r="K310" s="13" t="e">
        <f t="shared" si="18"/>
        <v>#REF!</v>
      </c>
      <c r="L310" s="13" t="e">
        <f t="shared" si="18"/>
        <v>#REF!</v>
      </c>
      <c r="M310" s="43" t="s">
        <v>55</v>
      </c>
      <c r="N310" s="9"/>
      <c r="O310" s="14" t="e">
        <f>O302/N302</f>
        <v>#REF!</v>
      </c>
      <c r="P310" s="14" t="e">
        <f>P302/N302</f>
        <v>#REF!</v>
      </c>
      <c r="Q310" s="14" t="e">
        <f t="shared" si="19"/>
        <v>#REF!</v>
      </c>
      <c r="R310" s="13" t="e">
        <f t="shared" si="19"/>
        <v>#REF!</v>
      </c>
      <c r="S310" s="13" t="e">
        <f t="shared" si="19"/>
        <v>#REF!</v>
      </c>
      <c r="T310" s="13" t="e">
        <f t="shared" si="19"/>
        <v>#REF!</v>
      </c>
      <c r="U310" s="13" t="e">
        <f t="shared" si="19"/>
        <v>#REF!</v>
      </c>
      <c r="V310" s="13" t="e">
        <f t="shared" si="19"/>
        <v>#REF!</v>
      </c>
      <c r="W310" s="13" t="e">
        <f t="shared" si="19"/>
        <v>#REF!</v>
      </c>
      <c r="X310" s="13" t="e">
        <f t="shared" si="19"/>
        <v>#REF!</v>
      </c>
    </row>
    <row r="311" spans="1:34">
      <c r="A311" s="41" t="s">
        <v>56</v>
      </c>
      <c r="B311" s="9"/>
      <c r="C311" s="14">
        <f>C303/B303</f>
        <v>0.23076923076923078</v>
      </c>
      <c r="D311" s="14">
        <f>D303/B303</f>
        <v>0.76923076923076927</v>
      </c>
      <c r="E311" s="14">
        <f t="shared" si="18"/>
        <v>0</v>
      </c>
      <c r="F311" s="13">
        <f t="shared" si="18"/>
        <v>0</v>
      </c>
      <c r="G311" s="13">
        <f t="shared" si="18"/>
        <v>0</v>
      </c>
      <c r="H311" s="13">
        <f t="shared" si="18"/>
        <v>0</v>
      </c>
      <c r="I311" s="13">
        <f t="shared" si="18"/>
        <v>0</v>
      </c>
      <c r="J311" s="13">
        <f t="shared" si="18"/>
        <v>0</v>
      </c>
      <c r="K311" s="13">
        <f t="shared" si="18"/>
        <v>7.6923076923076927E-2</v>
      </c>
      <c r="L311" s="13">
        <f t="shared" si="18"/>
        <v>0.76923076923076927</v>
      </c>
      <c r="M311" s="43" t="s">
        <v>56</v>
      </c>
      <c r="N311" s="9"/>
      <c r="O311" s="14">
        <f>O303/N303</f>
        <v>0.42857142857142855</v>
      </c>
      <c r="P311" s="14">
        <f>P303/N303</f>
        <v>0.5714285714285714</v>
      </c>
      <c r="Q311" s="14">
        <f t="shared" si="19"/>
        <v>4.7619047619047616E-2</v>
      </c>
      <c r="R311" s="13">
        <f t="shared" si="19"/>
        <v>0</v>
      </c>
      <c r="S311" s="13">
        <f t="shared" si="19"/>
        <v>0</v>
      </c>
      <c r="T311" s="13">
        <f t="shared" si="19"/>
        <v>4.7619047619047616E-2</v>
      </c>
      <c r="U311" s="13">
        <f t="shared" si="19"/>
        <v>0</v>
      </c>
      <c r="V311" s="13">
        <f t="shared" si="19"/>
        <v>4.7619047619047616E-2</v>
      </c>
      <c r="W311" s="13">
        <f t="shared" si="19"/>
        <v>0</v>
      </c>
      <c r="X311" s="13">
        <f t="shared" si="19"/>
        <v>0.42857142857142855</v>
      </c>
    </row>
    <row r="312" spans="1:34">
      <c r="A312" s="41" t="s">
        <v>57</v>
      </c>
      <c r="B312" s="9"/>
      <c r="C312" s="14">
        <f>C304/B304</f>
        <v>0.5</v>
      </c>
      <c r="D312" s="14">
        <f>D304/B304</f>
        <v>0.5</v>
      </c>
      <c r="E312" s="14">
        <f t="shared" si="18"/>
        <v>0</v>
      </c>
      <c r="F312" s="13">
        <f t="shared" si="18"/>
        <v>0</v>
      </c>
      <c r="G312" s="13">
        <f t="shared" si="18"/>
        <v>0</v>
      </c>
      <c r="H312" s="13">
        <f t="shared" si="18"/>
        <v>0</v>
      </c>
      <c r="I312" s="13">
        <f t="shared" si="18"/>
        <v>0</v>
      </c>
      <c r="J312" s="13">
        <f t="shared" si="18"/>
        <v>0</v>
      </c>
      <c r="K312" s="13">
        <f t="shared" si="18"/>
        <v>0</v>
      </c>
      <c r="L312" s="13">
        <f t="shared" si="18"/>
        <v>0.5</v>
      </c>
      <c r="M312" s="43" t="s">
        <v>57</v>
      </c>
      <c r="N312" s="9"/>
      <c r="O312" s="14">
        <f>O304/N304</f>
        <v>0.36842105263157893</v>
      </c>
      <c r="P312" s="14">
        <f>P304/N304</f>
        <v>0.63157894736842102</v>
      </c>
      <c r="Q312" s="14">
        <f t="shared" si="19"/>
        <v>0.15789473684210525</v>
      </c>
      <c r="R312" s="13">
        <f t="shared" si="19"/>
        <v>0</v>
      </c>
      <c r="S312" s="13">
        <f t="shared" si="19"/>
        <v>5.2631578947368418E-2</v>
      </c>
      <c r="T312" s="13">
        <f t="shared" si="19"/>
        <v>0.10526315789473684</v>
      </c>
      <c r="U312" s="13">
        <f t="shared" si="19"/>
        <v>0</v>
      </c>
      <c r="V312" s="13">
        <f t="shared" si="19"/>
        <v>0.10526315789473684</v>
      </c>
      <c r="W312" s="13">
        <f t="shared" si="19"/>
        <v>0</v>
      </c>
      <c r="X312" s="13">
        <f t="shared" si="19"/>
        <v>0.36842105263157893</v>
      </c>
    </row>
    <row r="313" spans="1:34">
      <c r="A313" s="37"/>
      <c r="B313" s="37"/>
      <c r="C313" s="14" t="e">
        <f>C305/B305</f>
        <v>#REF!</v>
      </c>
      <c r="D313" s="14" t="e">
        <f>D305/B305</f>
        <v>#REF!</v>
      </c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14" t="e">
        <f>O305/N305</f>
        <v>#REF!</v>
      </c>
      <c r="P313" s="14" t="e">
        <f>P305/N305</f>
        <v>#REF!</v>
      </c>
      <c r="Q313" s="37"/>
      <c r="R313" s="37"/>
      <c r="S313" s="37"/>
      <c r="T313" s="37"/>
      <c r="U313" s="37"/>
      <c r="V313" s="37"/>
      <c r="W313" s="37"/>
      <c r="X313" s="37"/>
    </row>
    <row r="314" spans="1:34">
      <c r="Z314" s="5"/>
      <c r="AA314" s="5"/>
    </row>
    <row r="345" spans="1:24" s="172" customFormat="1"/>
    <row r="346" spans="1:24" s="172" customFormat="1" ht="23.25">
      <c r="A346" s="408" t="s">
        <v>303</v>
      </c>
      <c r="B346" s="408"/>
      <c r="C346" s="408"/>
      <c r="D346" s="408"/>
      <c r="E346" s="408"/>
      <c r="F346" s="408"/>
      <c r="G346" s="408"/>
      <c r="H346" s="408"/>
      <c r="I346" s="408"/>
      <c r="J346" s="408"/>
      <c r="K346" s="408"/>
      <c r="M346" s="408" t="s">
        <v>86</v>
      </c>
      <c r="N346" s="408"/>
      <c r="O346" s="408"/>
      <c r="P346" s="408"/>
      <c r="Q346" s="408"/>
      <c r="R346" s="408"/>
      <c r="S346" s="408"/>
      <c r="T346" s="408"/>
      <c r="U346" s="408"/>
      <c r="V346" s="408"/>
      <c r="W346" s="408"/>
      <c r="X346" s="408"/>
    </row>
    <row r="347" spans="1:24" s="172" customFormat="1">
      <c r="G347" s="172" t="s">
        <v>193</v>
      </c>
      <c r="S347" s="172" t="s">
        <v>194</v>
      </c>
    </row>
    <row r="348" spans="1:24" s="172" customFormat="1" ht="34.5" thickBot="1">
      <c r="A348" s="104" t="s">
        <v>24</v>
      </c>
      <c r="B348" s="107" t="s">
        <v>45</v>
      </c>
      <c r="C348" s="107" t="s">
        <v>2</v>
      </c>
      <c r="D348" s="107" t="s">
        <v>6</v>
      </c>
      <c r="E348" s="101" t="s">
        <v>46</v>
      </c>
      <c r="F348" s="101" t="s">
        <v>44</v>
      </c>
      <c r="G348" s="101" t="s">
        <v>43</v>
      </c>
      <c r="H348" s="101" t="s">
        <v>42</v>
      </c>
      <c r="I348" s="101" t="s">
        <v>49</v>
      </c>
      <c r="J348" s="101" t="s">
        <v>157</v>
      </c>
      <c r="K348" s="101" t="s">
        <v>47</v>
      </c>
      <c r="L348" s="101" t="s">
        <v>48</v>
      </c>
      <c r="M348" s="104" t="s">
        <v>17</v>
      </c>
      <c r="N348" s="107" t="s">
        <v>45</v>
      </c>
      <c r="O348" s="107" t="s">
        <v>2</v>
      </c>
      <c r="P348" s="107" t="s">
        <v>6</v>
      </c>
      <c r="Q348" s="101" t="s">
        <v>46</v>
      </c>
      <c r="R348" s="101" t="s">
        <v>44</v>
      </c>
      <c r="S348" s="101" t="s">
        <v>43</v>
      </c>
      <c r="T348" s="101" t="s">
        <v>42</v>
      </c>
      <c r="U348" s="101" t="s">
        <v>49</v>
      </c>
      <c r="V348" s="101" t="s">
        <v>158</v>
      </c>
      <c r="W348" s="101" t="s">
        <v>67</v>
      </c>
      <c r="X348" s="101" t="s">
        <v>66</v>
      </c>
    </row>
    <row r="349" spans="1:24" s="172" customFormat="1">
      <c r="A349" s="41" t="s">
        <v>11</v>
      </c>
      <c r="B349" s="83">
        <f>C349+D349</f>
        <v>0</v>
      </c>
      <c r="C349" s="9">
        <f>E349+J349+K349</f>
        <v>0</v>
      </c>
      <c r="D349" s="9">
        <f>L349</f>
        <v>0</v>
      </c>
      <c r="E349" s="9">
        <f>F349+G349+H349+I349</f>
        <v>0</v>
      </c>
      <c r="F349" s="172">
        <f>Algandmed!AJ122</f>
        <v>0</v>
      </c>
      <c r="G349" s="172">
        <f>Algandmed!AL122</f>
        <v>0</v>
      </c>
      <c r="H349" s="172">
        <f>Algandmed!AM122</f>
        <v>0</v>
      </c>
      <c r="I349" s="172">
        <f>Algandmed!AN122</f>
        <v>0</v>
      </c>
      <c r="J349" s="172">
        <f>Algandmed!AT122</f>
        <v>0</v>
      </c>
      <c r="K349" s="172">
        <f>Algandmed!AQ122+Algandmed!AR122</f>
        <v>0</v>
      </c>
      <c r="L349" s="172">
        <f>Algandmed!AU122</f>
        <v>0</v>
      </c>
      <c r="M349" s="43" t="s">
        <v>11</v>
      </c>
      <c r="N349" s="81">
        <f>O349+P349</f>
        <v>0</v>
      </c>
      <c r="O349" s="9">
        <f>Q349+V349+W349</f>
        <v>0</v>
      </c>
      <c r="P349" s="9">
        <f>X349</f>
        <v>0</v>
      </c>
      <c r="Q349" s="9">
        <f>R349+S349+T349+U349</f>
        <v>0</v>
      </c>
      <c r="R349" s="172">
        <f>Algandmed!BC122</f>
        <v>0</v>
      </c>
      <c r="S349" s="172">
        <f>Algandmed!BE122</f>
        <v>0</v>
      </c>
      <c r="T349" s="172">
        <f>Algandmed!BF122</f>
        <v>0</v>
      </c>
      <c r="U349" s="172">
        <f>Algandmed!BG122</f>
        <v>0</v>
      </c>
      <c r="V349" s="172">
        <f>Algandmed!BM122</f>
        <v>0</v>
      </c>
      <c r="W349" s="172">
        <f>Algandmed!BJ122+Algandmed!BK122</f>
        <v>0</v>
      </c>
      <c r="X349" s="172">
        <f>Algandmed!BN122</f>
        <v>0</v>
      </c>
    </row>
    <row r="350" spans="1:24" s="172" customFormat="1">
      <c r="A350" s="41" t="s">
        <v>23</v>
      </c>
      <c r="B350" s="83">
        <f>C350+D350</f>
        <v>0</v>
      </c>
      <c r="C350" s="9">
        <f>E350+J350+K350</f>
        <v>0</v>
      </c>
      <c r="D350" s="9">
        <f>L350</f>
        <v>0</v>
      </c>
      <c r="E350" s="9">
        <f>F350+G350+H350+I350</f>
        <v>0</v>
      </c>
      <c r="F350" s="172">
        <f>Algandmed!AJ123</f>
        <v>0</v>
      </c>
      <c r="G350" s="172">
        <f>Algandmed!AL123</f>
        <v>0</v>
      </c>
      <c r="H350" s="172">
        <f>Algandmed!AM123</f>
        <v>0</v>
      </c>
      <c r="I350" s="172">
        <f>Algandmed!AN123</f>
        <v>0</v>
      </c>
      <c r="J350" s="172">
        <f>Algandmed!AT123</f>
        <v>0</v>
      </c>
      <c r="K350" s="187">
        <f>Algandmed!AQ123+Algandmed!AR123</f>
        <v>0</v>
      </c>
      <c r="L350" s="172">
        <f>Algandmed!AU123</f>
        <v>0</v>
      </c>
      <c r="M350" s="43" t="s">
        <v>23</v>
      </c>
      <c r="N350" s="83">
        <f>O350+P350</f>
        <v>0</v>
      </c>
      <c r="O350" s="9">
        <f>Q350+V350+W350</f>
        <v>0</v>
      </c>
      <c r="P350" s="9">
        <f>X350</f>
        <v>0</v>
      </c>
      <c r="Q350" s="9">
        <f>R350+S350+T350+U350</f>
        <v>0</v>
      </c>
      <c r="R350" s="172">
        <f>Algandmed!BC123</f>
        <v>0</v>
      </c>
      <c r="S350" s="172">
        <f>Algandmed!BE123</f>
        <v>0</v>
      </c>
      <c r="T350" s="172">
        <f>Algandmed!BF123</f>
        <v>0</v>
      </c>
      <c r="U350" s="172">
        <f>Algandmed!BG123</f>
        <v>0</v>
      </c>
      <c r="V350" s="172">
        <f>Algandmed!BM123</f>
        <v>0</v>
      </c>
      <c r="W350" s="187">
        <f>Algandmed!BJ123+Algandmed!BK123</f>
        <v>0</v>
      </c>
      <c r="X350" s="172">
        <f>Algandmed!BN123</f>
        <v>0</v>
      </c>
    </row>
    <row r="351" spans="1:24" s="172" customFormat="1" ht="15.75" thickBot="1">
      <c r="A351" s="41" t="s">
        <v>18</v>
      </c>
      <c r="B351" s="83">
        <f>C351+D351</f>
        <v>0</v>
      </c>
      <c r="C351" s="9">
        <f>E351+J351+K351</f>
        <v>0</v>
      </c>
      <c r="D351" s="9">
        <f>L351</f>
        <v>0</v>
      </c>
      <c r="E351" s="9">
        <f>F351+G351+H351+I351</f>
        <v>0</v>
      </c>
      <c r="F351" s="172">
        <f>Algandmed!AJ124</f>
        <v>0</v>
      </c>
      <c r="G351" s="172">
        <f>Algandmed!AL124</f>
        <v>0</v>
      </c>
      <c r="H351" s="172">
        <f>Algandmed!AM124</f>
        <v>0</v>
      </c>
      <c r="I351" s="172">
        <f>Algandmed!AN124</f>
        <v>0</v>
      </c>
      <c r="J351" s="172">
        <f>Algandmed!AT124</f>
        <v>0</v>
      </c>
      <c r="K351" s="187">
        <f>Algandmed!AQ124+Algandmed!AR124</f>
        <v>0</v>
      </c>
      <c r="L351" s="172">
        <f>Algandmed!AU124</f>
        <v>0</v>
      </c>
      <c r="M351" s="43" t="s">
        <v>18</v>
      </c>
      <c r="N351" s="83">
        <f>O351+P351</f>
        <v>0</v>
      </c>
      <c r="O351" s="9">
        <f>Q351+V351+W351</f>
        <v>0</v>
      </c>
      <c r="P351" s="9">
        <f>X351</f>
        <v>0</v>
      </c>
      <c r="Q351" s="9">
        <f>R351+S351+T351+U351</f>
        <v>0</v>
      </c>
      <c r="R351" s="172">
        <f>Algandmed!BC124</f>
        <v>0</v>
      </c>
      <c r="S351" s="172">
        <f>Algandmed!BE124</f>
        <v>0</v>
      </c>
      <c r="T351" s="172">
        <f>Algandmed!BF124</f>
        <v>0</v>
      </c>
      <c r="U351" s="172">
        <f>Algandmed!BG124</f>
        <v>0</v>
      </c>
      <c r="V351" s="172">
        <f>Algandmed!BM124</f>
        <v>0</v>
      </c>
      <c r="W351" s="187">
        <f>Algandmed!BJ124+Algandmed!BK124</f>
        <v>0</v>
      </c>
      <c r="X351" s="172">
        <f>Algandmed!BN124</f>
        <v>0</v>
      </c>
    </row>
    <row r="352" spans="1:24" s="172" customFormat="1" ht="15.75" thickBot="1">
      <c r="A352" s="26" t="s">
        <v>45</v>
      </c>
      <c r="B352" s="82">
        <f>B349+B350+B351</f>
        <v>0</v>
      </c>
      <c r="C352" s="82">
        <f t="shared" ref="C352:L352" si="20">C349+C350+C351</f>
        <v>0</v>
      </c>
      <c r="D352" s="82">
        <f t="shared" si="20"/>
        <v>0</v>
      </c>
      <c r="E352" s="82">
        <f t="shared" si="20"/>
        <v>0</v>
      </c>
      <c r="F352" s="82">
        <f t="shared" si="20"/>
        <v>0</v>
      </c>
      <c r="G352" s="82">
        <f t="shared" si="20"/>
        <v>0</v>
      </c>
      <c r="H352" s="82">
        <f t="shared" si="20"/>
        <v>0</v>
      </c>
      <c r="I352" s="82">
        <f t="shared" si="20"/>
        <v>0</v>
      </c>
      <c r="J352" s="82">
        <f t="shared" si="20"/>
        <v>0</v>
      </c>
      <c r="K352" s="82">
        <f t="shared" si="20"/>
        <v>0</v>
      </c>
      <c r="L352" s="82">
        <f t="shared" si="20"/>
        <v>0</v>
      </c>
      <c r="M352" s="26" t="s">
        <v>45</v>
      </c>
      <c r="N352" s="82">
        <f>N349+N350+N351</f>
        <v>0</v>
      </c>
      <c r="O352" s="82">
        <f t="shared" ref="O352:X352" si="21">O349+O350+O351</f>
        <v>0</v>
      </c>
      <c r="P352" s="82">
        <f t="shared" si="21"/>
        <v>0</v>
      </c>
      <c r="Q352" s="82">
        <f t="shared" si="21"/>
        <v>0</v>
      </c>
      <c r="R352" s="82">
        <f t="shared" si="21"/>
        <v>0</v>
      </c>
      <c r="S352" s="82">
        <f t="shared" si="21"/>
        <v>0</v>
      </c>
      <c r="T352" s="82">
        <f t="shared" si="21"/>
        <v>0</v>
      </c>
      <c r="U352" s="82">
        <f t="shared" si="21"/>
        <v>0</v>
      </c>
      <c r="V352" s="82">
        <f t="shared" si="21"/>
        <v>0</v>
      </c>
      <c r="W352" s="82">
        <f t="shared" si="21"/>
        <v>0</v>
      </c>
      <c r="X352" s="82">
        <f t="shared" si="21"/>
        <v>0</v>
      </c>
    </row>
    <row r="353" spans="1:24" s="172" customFormat="1">
      <c r="A353" s="42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42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</row>
    <row r="354" spans="1:24" s="172" customFormat="1">
      <c r="A354" s="5"/>
      <c r="B354" s="16"/>
      <c r="C354" s="5"/>
      <c r="D354" s="5"/>
      <c r="E354" s="5"/>
      <c r="F354" s="5"/>
      <c r="G354" s="5"/>
      <c r="H354" s="5"/>
      <c r="I354" s="5"/>
    </row>
    <row r="355" spans="1:24" s="172" customFormat="1" ht="34.5">
      <c r="A355" s="8" t="s">
        <v>24</v>
      </c>
      <c r="B355" s="9"/>
      <c r="C355" s="28" t="s">
        <v>2</v>
      </c>
      <c r="D355" s="28" t="s">
        <v>6</v>
      </c>
      <c r="E355" s="21" t="s">
        <v>46</v>
      </c>
      <c r="F355" s="21" t="s">
        <v>44</v>
      </c>
      <c r="G355" s="21" t="s">
        <v>43</v>
      </c>
      <c r="H355" s="21" t="s">
        <v>42</v>
      </c>
      <c r="I355" s="21" t="s">
        <v>49</v>
      </c>
      <c r="J355" s="21" t="s">
        <v>47</v>
      </c>
      <c r="K355" s="21" t="s">
        <v>157</v>
      </c>
      <c r="L355" s="21" t="s">
        <v>48</v>
      </c>
      <c r="M355" s="53" t="s">
        <v>17</v>
      </c>
      <c r="N355" s="53"/>
      <c r="O355" s="54" t="s">
        <v>2</v>
      </c>
      <c r="P355" s="54" t="s">
        <v>6</v>
      </c>
      <c r="Q355" s="21" t="s">
        <v>46</v>
      </c>
      <c r="R355" s="21" t="s">
        <v>44</v>
      </c>
      <c r="S355" s="21" t="s">
        <v>43</v>
      </c>
      <c r="T355" s="21" t="s">
        <v>42</v>
      </c>
      <c r="U355" s="21" t="s">
        <v>49</v>
      </c>
      <c r="V355" s="21" t="s">
        <v>67</v>
      </c>
      <c r="W355" s="21" t="s">
        <v>158</v>
      </c>
      <c r="X355" s="21" t="s">
        <v>66</v>
      </c>
    </row>
    <row r="356" spans="1:24" s="172" customFormat="1">
      <c r="A356" s="41" t="s">
        <v>11</v>
      </c>
      <c r="B356" s="9"/>
      <c r="C356" s="14" t="e">
        <f>C349/B349</f>
        <v>#DIV/0!</v>
      </c>
      <c r="D356" s="14" t="e">
        <f>D349/B349</f>
        <v>#DIV/0!</v>
      </c>
      <c r="E356" s="14" t="e">
        <f t="shared" ref="E356:L358" si="22">E349/$B349</f>
        <v>#DIV/0!</v>
      </c>
      <c r="F356" s="13" t="e">
        <f t="shared" si="22"/>
        <v>#DIV/0!</v>
      </c>
      <c r="G356" s="13" t="e">
        <f t="shared" si="22"/>
        <v>#DIV/0!</v>
      </c>
      <c r="H356" s="13" t="e">
        <f t="shared" si="22"/>
        <v>#DIV/0!</v>
      </c>
      <c r="I356" s="13" t="e">
        <f t="shared" si="22"/>
        <v>#DIV/0!</v>
      </c>
      <c r="J356" s="13" t="e">
        <f t="shared" si="22"/>
        <v>#DIV/0!</v>
      </c>
      <c r="K356" s="13" t="e">
        <f t="shared" si="22"/>
        <v>#DIV/0!</v>
      </c>
      <c r="L356" s="13" t="e">
        <f t="shared" si="22"/>
        <v>#DIV/0!</v>
      </c>
      <c r="M356" s="43" t="s">
        <v>11</v>
      </c>
      <c r="N356" s="9"/>
      <c r="O356" s="14" t="e">
        <f>O349/N349</f>
        <v>#DIV/0!</v>
      </c>
      <c r="P356" s="14" t="e">
        <f>P349/N349</f>
        <v>#DIV/0!</v>
      </c>
      <c r="Q356" s="14" t="e">
        <f t="shared" ref="Q356:X358" si="23">Q349/$N349</f>
        <v>#DIV/0!</v>
      </c>
      <c r="R356" s="13" t="e">
        <f t="shared" si="23"/>
        <v>#DIV/0!</v>
      </c>
      <c r="S356" s="13" t="e">
        <f t="shared" si="23"/>
        <v>#DIV/0!</v>
      </c>
      <c r="T356" s="13" t="e">
        <f t="shared" si="23"/>
        <v>#DIV/0!</v>
      </c>
      <c r="U356" s="13" t="e">
        <f t="shared" si="23"/>
        <v>#DIV/0!</v>
      </c>
      <c r="V356" s="13" t="e">
        <f t="shared" si="23"/>
        <v>#DIV/0!</v>
      </c>
      <c r="W356" s="13" t="e">
        <f t="shared" si="23"/>
        <v>#DIV/0!</v>
      </c>
      <c r="X356" s="13" t="e">
        <f t="shared" si="23"/>
        <v>#DIV/0!</v>
      </c>
    </row>
    <row r="357" spans="1:24" s="172" customFormat="1">
      <c r="A357" s="41" t="s">
        <v>23</v>
      </c>
      <c r="B357" s="9"/>
      <c r="C357" s="14" t="e">
        <f>C350/B350</f>
        <v>#DIV/0!</v>
      </c>
      <c r="D357" s="14" t="e">
        <f>D350/B350</f>
        <v>#DIV/0!</v>
      </c>
      <c r="E357" s="14" t="e">
        <f t="shared" si="22"/>
        <v>#DIV/0!</v>
      </c>
      <c r="F357" s="13" t="e">
        <f t="shared" si="22"/>
        <v>#DIV/0!</v>
      </c>
      <c r="G357" s="13" t="e">
        <f t="shared" si="22"/>
        <v>#DIV/0!</v>
      </c>
      <c r="H357" s="13" t="e">
        <f t="shared" si="22"/>
        <v>#DIV/0!</v>
      </c>
      <c r="I357" s="13" t="e">
        <f t="shared" si="22"/>
        <v>#DIV/0!</v>
      </c>
      <c r="J357" s="13" t="e">
        <f t="shared" si="22"/>
        <v>#DIV/0!</v>
      </c>
      <c r="K357" s="13" t="e">
        <f t="shared" si="22"/>
        <v>#DIV/0!</v>
      </c>
      <c r="L357" s="13" t="e">
        <f t="shared" si="22"/>
        <v>#DIV/0!</v>
      </c>
      <c r="M357" s="43" t="s">
        <v>23</v>
      </c>
      <c r="N357" s="9"/>
      <c r="O357" s="14" t="e">
        <f>O350/N350</f>
        <v>#DIV/0!</v>
      </c>
      <c r="P357" s="14" t="e">
        <f>P350/N350</f>
        <v>#DIV/0!</v>
      </c>
      <c r="Q357" s="14" t="e">
        <f t="shared" si="23"/>
        <v>#DIV/0!</v>
      </c>
      <c r="R357" s="13" t="e">
        <f t="shared" si="23"/>
        <v>#DIV/0!</v>
      </c>
      <c r="S357" s="13" t="e">
        <f t="shared" si="23"/>
        <v>#DIV/0!</v>
      </c>
      <c r="T357" s="13" t="e">
        <f t="shared" si="23"/>
        <v>#DIV/0!</v>
      </c>
      <c r="U357" s="13" t="e">
        <f t="shared" si="23"/>
        <v>#DIV/0!</v>
      </c>
      <c r="V357" s="13" t="e">
        <f t="shared" si="23"/>
        <v>#DIV/0!</v>
      </c>
      <c r="W357" s="13" t="e">
        <f t="shared" si="23"/>
        <v>#DIV/0!</v>
      </c>
      <c r="X357" s="13" t="e">
        <f t="shared" si="23"/>
        <v>#DIV/0!</v>
      </c>
    </row>
    <row r="358" spans="1:24" s="172" customFormat="1">
      <c r="A358" s="41" t="s">
        <v>18</v>
      </c>
      <c r="B358" s="9"/>
      <c r="C358" s="14" t="e">
        <f>C351/B351</f>
        <v>#DIV/0!</v>
      </c>
      <c r="D358" s="14" t="e">
        <f>D351/B351</f>
        <v>#DIV/0!</v>
      </c>
      <c r="E358" s="14" t="e">
        <f t="shared" si="22"/>
        <v>#DIV/0!</v>
      </c>
      <c r="F358" s="13" t="e">
        <f t="shared" si="22"/>
        <v>#DIV/0!</v>
      </c>
      <c r="G358" s="13" t="e">
        <f t="shared" si="22"/>
        <v>#DIV/0!</v>
      </c>
      <c r="H358" s="13" t="e">
        <f t="shared" si="22"/>
        <v>#DIV/0!</v>
      </c>
      <c r="I358" s="13" t="e">
        <f t="shared" si="22"/>
        <v>#DIV/0!</v>
      </c>
      <c r="J358" s="13" t="e">
        <f t="shared" si="22"/>
        <v>#DIV/0!</v>
      </c>
      <c r="K358" s="13" t="e">
        <f t="shared" si="22"/>
        <v>#DIV/0!</v>
      </c>
      <c r="L358" s="13" t="e">
        <f t="shared" si="22"/>
        <v>#DIV/0!</v>
      </c>
      <c r="M358" s="43" t="s">
        <v>18</v>
      </c>
      <c r="N358" s="9"/>
      <c r="O358" s="14" t="e">
        <f>O351/N351</f>
        <v>#DIV/0!</v>
      </c>
      <c r="P358" s="14" t="e">
        <f>P351/N351</f>
        <v>#DIV/0!</v>
      </c>
      <c r="Q358" s="14" t="e">
        <f t="shared" si="23"/>
        <v>#DIV/0!</v>
      </c>
      <c r="R358" s="13" t="e">
        <f t="shared" si="23"/>
        <v>#DIV/0!</v>
      </c>
      <c r="S358" s="13" t="e">
        <f t="shared" si="23"/>
        <v>#DIV/0!</v>
      </c>
      <c r="T358" s="13" t="e">
        <f t="shared" si="23"/>
        <v>#DIV/0!</v>
      </c>
      <c r="U358" s="13" t="e">
        <f t="shared" si="23"/>
        <v>#DIV/0!</v>
      </c>
      <c r="V358" s="13" t="e">
        <f t="shared" si="23"/>
        <v>#DIV/0!</v>
      </c>
      <c r="W358" s="13" t="e">
        <f t="shared" si="23"/>
        <v>#DIV/0!</v>
      </c>
      <c r="X358" s="13" t="e">
        <f t="shared" si="23"/>
        <v>#DIV/0!</v>
      </c>
    </row>
    <row r="359" spans="1:24" s="172" customFormat="1">
      <c r="A359" s="37"/>
      <c r="B359" s="37"/>
      <c r="C359" s="14" t="e">
        <f>C352/B352</f>
        <v>#DIV/0!</v>
      </c>
      <c r="D359" s="14" t="e">
        <f>D352/B352</f>
        <v>#DIV/0!</v>
      </c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14" t="e">
        <f>O352/N352</f>
        <v>#DIV/0!</v>
      </c>
      <c r="P359" s="14" t="e">
        <f>P352/N352</f>
        <v>#DIV/0!</v>
      </c>
      <c r="Q359" s="37"/>
      <c r="R359" s="37"/>
      <c r="S359" s="37"/>
      <c r="T359" s="37"/>
      <c r="U359" s="37"/>
      <c r="V359" s="37"/>
      <c r="W359" s="37"/>
      <c r="X359" s="37"/>
    </row>
    <row r="360" spans="1:24" s="172" customFormat="1"/>
    <row r="361" spans="1:24" s="172" customFormat="1"/>
    <row r="362" spans="1:24" s="172" customFormat="1"/>
    <row r="363" spans="1:24" s="172" customFormat="1"/>
    <row r="364" spans="1:24" s="172" customFormat="1"/>
    <row r="365" spans="1:24" s="172" customFormat="1"/>
    <row r="366" spans="1:24" s="172" customFormat="1"/>
    <row r="367" spans="1:24" s="172" customFormat="1"/>
    <row r="368" spans="1:24" s="172" customFormat="1"/>
    <row r="369" s="172" customFormat="1"/>
    <row r="370" s="172" customFormat="1"/>
    <row r="371" s="172" customFormat="1"/>
    <row r="372" s="172" customFormat="1"/>
    <row r="373" s="172" customFormat="1"/>
    <row r="374" s="172" customFormat="1"/>
    <row r="375" s="172" customFormat="1"/>
    <row r="376" s="172" customFormat="1"/>
    <row r="377" s="172" customFormat="1"/>
    <row r="378" s="172" customFormat="1"/>
    <row r="379" s="172" customFormat="1"/>
    <row r="380" s="172" customFormat="1"/>
    <row r="381" s="172" customFormat="1"/>
    <row r="382" s="172" customFormat="1"/>
    <row r="383" s="172" customFormat="1"/>
    <row r="384" s="172" customFormat="1"/>
    <row r="385" spans="1:36" s="172" customFormat="1"/>
    <row r="386" spans="1:36" s="172" customFormat="1"/>
    <row r="387" spans="1:36" s="172" customFormat="1"/>
    <row r="388" spans="1:36" s="172" customFormat="1"/>
    <row r="389" spans="1:36" s="172" customFormat="1"/>
    <row r="390" spans="1:36" s="172" customFormat="1"/>
    <row r="391" spans="1:36" s="117" customFormat="1"/>
    <row r="392" spans="1:36" ht="23.25">
      <c r="B392" s="408" t="s">
        <v>87</v>
      </c>
      <c r="C392" s="408"/>
      <c r="D392" s="408"/>
      <c r="E392" s="408"/>
      <c r="F392" s="408"/>
      <c r="G392" s="408"/>
      <c r="H392" s="408"/>
      <c r="I392" s="408"/>
      <c r="J392" s="408"/>
      <c r="N392" s="408" t="s">
        <v>87</v>
      </c>
      <c r="O392" s="408"/>
      <c r="P392" s="408"/>
      <c r="Q392" s="408"/>
      <c r="R392" s="408"/>
      <c r="S392" s="408"/>
      <c r="T392" s="408"/>
      <c r="U392" s="408"/>
      <c r="V392" s="408"/>
    </row>
    <row r="393" spans="1:36">
      <c r="A393" s="139" t="s">
        <v>195</v>
      </c>
      <c r="B393" s="139" t="s">
        <v>13</v>
      </c>
      <c r="C393" s="139" t="s">
        <v>12</v>
      </c>
      <c r="D393" s="139" t="s">
        <v>16</v>
      </c>
      <c r="E393" s="139" t="s">
        <v>33</v>
      </c>
      <c r="F393" s="139" t="s">
        <v>28</v>
      </c>
      <c r="G393" s="139" t="s">
        <v>32</v>
      </c>
      <c r="H393" s="139" t="s">
        <v>34</v>
      </c>
      <c r="I393" s="139" t="s">
        <v>26</v>
      </c>
      <c r="J393" s="139" t="s">
        <v>31</v>
      </c>
      <c r="K393" s="139" t="s">
        <v>196</v>
      </c>
      <c r="L393" s="139"/>
      <c r="M393" s="139" t="s">
        <v>197</v>
      </c>
      <c r="N393" s="139" t="s">
        <v>13</v>
      </c>
      <c r="O393" s="139" t="s">
        <v>12</v>
      </c>
      <c r="P393" s="139" t="s">
        <v>16</v>
      </c>
      <c r="Q393" s="139" t="s">
        <v>33</v>
      </c>
      <c r="R393" s="139" t="s">
        <v>28</v>
      </c>
      <c r="S393" s="139" t="s">
        <v>32</v>
      </c>
      <c r="T393" s="139" t="s">
        <v>34</v>
      </c>
      <c r="U393" s="139" t="s">
        <v>26</v>
      </c>
      <c r="V393" s="139" t="s">
        <v>31</v>
      </c>
      <c r="W393" s="139" t="s">
        <v>196</v>
      </c>
    </row>
    <row r="394" spans="1:36" ht="33.75">
      <c r="A394" s="22" t="s">
        <v>68</v>
      </c>
      <c r="B394" s="101" t="s">
        <v>91</v>
      </c>
      <c r="C394" s="101" t="s">
        <v>65</v>
      </c>
      <c r="D394" s="101" t="s">
        <v>58</v>
      </c>
      <c r="E394" s="101" t="s">
        <v>59</v>
      </c>
      <c r="F394" s="101" t="s">
        <v>79</v>
      </c>
      <c r="G394" s="101" t="s">
        <v>61</v>
      </c>
      <c r="H394" s="101" t="s">
        <v>62</v>
      </c>
      <c r="I394" s="101" t="s">
        <v>63</v>
      </c>
      <c r="J394" s="101" t="s">
        <v>64</v>
      </c>
      <c r="K394" s="111" t="s">
        <v>22</v>
      </c>
      <c r="M394" s="112" t="s">
        <v>39</v>
      </c>
      <c r="N394" s="101" t="s">
        <v>91</v>
      </c>
      <c r="O394" s="101" t="s">
        <v>65</v>
      </c>
      <c r="P394" s="101" t="s">
        <v>58</v>
      </c>
      <c r="Q394" s="101" t="s">
        <v>59</v>
      </c>
      <c r="R394" s="101" t="s">
        <v>60</v>
      </c>
      <c r="S394" s="101" t="s">
        <v>61</v>
      </c>
      <c r="T394" s="101" t="s">
        <v>62</v>
      </c>
      <c r="U394" s="101" t="s">
        <v>63</v>
      </c>
      <c r="V394" s="101" t="s">
        <v>64</v>
      </c>
      <c r="W394" s="111" t="s">
        <v>22</v>
      </c>
      <c r="Y394" s="5"/>
    </row>
    <row r="395" spans="1:36" ht="19.149999999999999" customHeight="1">
      <c r="A395" s="12" t="s">
        <v>44</v>
      </c>
      <c r="B395" s="1">
        <f>Algandmed!AF52</f>
        <v>0</v>
      </c>
      <c r="C395" s="1">
        <f>Algandmed!AG52</f>
        <v>0</v>
      </c>
      <c r="D395" s="1">
        <f>Algandmed!AH52</f>
        <v>0</v>
      </c>
      <c r="E395" s="1">
        <f>Algandmed!AI52</f>
        <v>0</v>
      </c>
      <c r="F395" s="1">
        <f>Algandmed!AJ52</f>
        <v>0</v>
      </c>
      <c r="G395" s="1">
        <f>Algandmed!AK52</f>
        <v>0</v>
      </c>
      <c r="H395" s="1">
        <f>Algandmed!AL52</f>
        <v>0</v>
      </c>
      <c r="I395" s="1">
        <f>Algandmed!AM52</f>
        <v>0</v>
      </c>
      <c r="J395" s="1">
        <f>Algandmed!AN52</f>
        <v>0</v>
      </c>
      <c r="K395" s="1">
        <f>Algandmed!AO52</f>
        <v>0</v>
      </c>
      <c r="M395" s="12" t="s">
        <v>44</v>
      </c>
      <c r="N395" s="1">
        <f>Algandmed!AU52</f>
        <v>0</v>
      </c>
      <c r="O395" s="1">
        <f>Algandmed!AV52</f>
        <v>0</v>
      </c>
      <c r="P395" s="1">
        <f>Algandmed!AW52</f>
        <v>0</v>
      </c>
      <c r="Q395" s="1">
        <f>Algandmed!AX52</f>
        <v>0</v>
      </c>
      <c r="R395" s="1">
        <f>Algandmed!AZ52</f>
        <v>0</v>
      </c>
      <c r="S395" s="1">
        <f>Algandmed!BA52</f>
        <v>0</v>
      </c>
      <c r="T395" s="1">
        <f>Algandmed!BB52</f>
        <v>0</v>
      </c>
      <c r="U395" s="1">
        <f>Algandmed!BC52</f>
        <v>0</v>
      </c>
      <c r="V395" s="1">
        <f>Algandmed!BD52</f>
        <v>0</v>
      </c>
      <c r="W395" s="1">
        <f>Algandmed!BE52</f>
        <v>0</v>
      </c>
      <c r="Y395" s="5"/>
      <c r="Z395" s="1" t="s">
        <v>262</v>
      </c>
      <c r="AB395" s="1" t="s">
        <v>263</v>
      </c>
    </row>
    <row r="396" spans="1:36" ht="23.25">
      <c r="A396" s="12" t="s">
        <v>92</v>
      </c>
      <c r="B396" s="1">
        <f>Algandmed!AF53</f>
        <v>0</v>
      </c>
      <c r="C396" s="1">
        <f>Algandmed!AG53</f>
        <v>0</v>
      </c>
      <c r="D396" s="1">
        <f>Algandmed!AH53</f>
        <v>0</v>
      </c>
      <c r="E396" s="1">
        <f>Algandmed!AI53</f>
        <v>0</v>
      </c>
      <c r="F396" s="1">
        <f>Algandmed!AJ53</f>
        <v>0</v>
      </c>
      <c r="G396" s="1">
        <f>Algandmed!AK53</f>
        <v>0</v>
      </c>
      <c r="H396" s="1">
        <f>Algandmed!AL53</f>
        <v>0</v>
      </c>
      <c r="I396" s="1">
        <f>Algandmed!AM53</f>
        <v>0</v>
      </c>
      <c r="J396" s="1">
        <f>Algandmed!AN53</f>
        <v>0</v>
      </c>
      <c r="K396" s="1">
        <f>Algandmed!AO53</f>
        <v>0</v>
      </c>
      <c r="M396" s="12" t="s">
        <v>92</v>
      </c>
      <c r="N396" s="1">
        <f>Algandmed!AU53</f>
        <v>0</v>
      </c>
      <c r="O396" s="1">
        <f>Algandmed!AV53</f>
        <v>0</v>
      </c>
      <c r="P396" s="1">
        <f>Algandmed!AW53</f>
        <v>0</v>
      </c>
      <c r="Q396" s="1">
        <f>Algandmed!AX53</f>
        <v>0</v>
      </c>
      <c r="R396" s="1">
        <f>Algandmed!AZ53</f>
        <v>0</v>
      </c>
      <c r="S396" s="1">
        <f>Algandmed!BA53</f>
        <v>0</v>
      </c>
      <c r="T396" s="1">
        <f>Algandmed!BB53</f>
        <v>0</v>
      </c>
      <c r="U396" s="1">
        <f>Algandmed!BC53</f>
        <v>0</v>
      </c>
      <c r="V396" s="1">
        <f>Algandmed!BD53</f>
        <v>0</v>
      </c>
      <c r="W396" s="1">
        <f>Algandmed!BE53</f>
        <v>0</v>
      </c>
      <c r="Y396" s="5"/>
      <c r="Z396" s="7">
        <f>I405/C6</f>
        <v>0</v>
      </c>
      <c r="AB396" s="7">
        <f>U405/O6</f>
        <v>0</v>
      </c>
    </row>
    <row r="397" spans="1:36" ht="23.25">
      <c r="A397" s="12" t="s">
        <v>42</v>
      </c>
      <c r="B397" s="1">
        <f>Algandmed!AF54</f>
        <v>0</v>
      </c>
      <c r="C397" s="1">
        <f>Algandmed!AG54</f>
        <v>0</v>
      </c>
      <c r="D397" s="1">
        <f>Algandmed!AH54</f>
        <v>0</v>
      </c>
      <c r="E397" s="1">
        <f>Algandmed!AI54</f>
        <v>0</v>
      </c>
      <c r="F397" s="1">
        <f>Algandmed!AJ54</f>
        <v>0</v>
      </c>
      <c r="G397" s="1">
        <f>Algandmed!AK54</f>
        <v>0</v>
      </c>
      <c r="H397" s="1">
        <f>Algandmed!AL54</f>
        <v>0</v>
      </c>
      <c r="I397" s="1">
        <f>Algandmed!AM54</f>
        <v>0</v>
      </c>
      <c r="J397" s="1">
        <f>Algandmed!AN54</f>
        <v>0</v>
      </c>
      <c r="K397" s="1">
        <f>Algandmed!AO54</f>
        <v>0</v>
      </c>
      <c r="M397" s="12" t="s">
        <v>42</v>
      </c>
      <c r="N397" s="1">
        <f>Algandmed!AU54</f>
        <v>0</v>
      </c>
      <c r="O397" s="1">
        <f>Algandmed!AV54</f>
        <v>0</v>
      </c>
      <c r="P397" s="1">
        <f>Algandmed!AW54</f>
        <v>0</v>
      </c>
      <c r="Q397" s="1">
        <f>Algandmed!AX54</f>
        <v>0</v>
      </c>
      <c r="R397" s="1">
        <f>Algandmed!AZ54</f>
        <v>0</v>
      </c>
      <c r="S397" s="1">
        <f>Algandmed!BA54</f>
        <v>0</v>
      </c>
      <c r="T397" s="1">
        <f>Algandmed!BB54</f>
        <v>0</v>
      </c>
      <c r="U397" s="1">
        <f>Algandmed!BC54</f>
        <v>0</v>
      </c>
      <c r="V397" s="1">
        <f>Algandmed!BD54</f>
        <v>0</v>
      </c>
      <c r="W397" s="1">
        <f>Algandmed!BE54</f>
        <v>0</v>
      </c>
      <c r="Y397"/>
      <c r="Z397" t="str">
        <f>IF(Z396&gt;60%,"WARNING","")</f>
        <v/>
      </c>
      <c r="AA397"/>
      <c r="AB397"/>
      <c r="AC397"/>
      <c r="AD397"/>
      <c r="AE397"/>
      <c r="AF397"/>
      <c r="AG397"/>
      <c r="AH397"/>
      <c r="AI397"/>
      <c r="AJ397"/>
    </row>
    <row r="398" spans="1:36" ht="23.25">
      <c r="A398" s="12" t="s">
        <v>81</v>
      </c>
      <c r="B398" s="1">
        <f>Algandmed!AF55</f>
        <v>0</v>
      </c>
      <c r="C398" s="1">
        <f>Algandmed!AG55</f>
        <v>0</v>
      </c>
      <c r="D398" s="1">
        <f>Algandmed!AH55</f>
        <v>0</v>
      </c>
      <c r="E398" s="1">
        <f>Algandmed!AI55</f>
        <v>0</v>
      </c>
      <c r="F398" s="1">
        <f>Algandmed!AJ55</f>
        <v>0</v>
      </c>
      <c r="G398" s="1">
        <f>Algandmed!AK55</f>
        <v>0</v>
      </c>
      <c r="H398" s="1">
        <f>Algandmed!AL55</f>
        <v>0</v>
      </c>
      <c r="I398" s="1">
        <f>Algandmed!AM55</f>
        <v>0</v>
      </c>
      <c r="J398" s="1">
        <f>Algandmed!AN55</f>
        <v>0</v>
      </c>
      <c r="K398" s="1">
        <f>Algandmed!AO55</f>
        <v>0</v>
      </c>
      <c r="M398" s="12" t="s">
        <v>81</v>
      </c>
      <c r="N398" s="1">
        <f>Algandmed!AU55</f>
        <v>0</v>
      </c>
      <c r="O398" s="1">
        <f>Algandmed!AV55</f>
        <v>0</v>
      </c>
      <c r="P398" s="1">
        <f>Algandmed!AW55</f>
        <v>0</v>
      </c>
      <c r="Q398" s="1">
        <f>Algandmed!AX55</f>
        <v>0</v>
      </c>
      <c r="R398" s="1">
        <f>Algandmed!AZ55</f>
        <v>0</v>
      </c>
      <c r="S398" s="1">
        <f>Algandmed!BA55</f>
        <v>0</v>
      </c>
      <c r="T398" s="1">
        <f>Algandmed!BB55</f>
        <v>0</v>
      </c>
      <c r="U398" s="1">
        <f>Algandmed!BC55</f>
        <v>0</v>
      </c>
      <c r="V398" s="1">
        <f>Algandmed!BD55</f>
        <v>0</v>
      </c>
      <c r="W398" s="1">
        <f>Algandmed!BE55</f>
        <v>0</v>
      </c>
      <c r="Y398"/>
      <c r="Z398"/>
      <c r="AA398"/>
      <c r="AB398"/>
      <c r="AC398"/>
      <c r="AD398"/>
      <c r="AE398"/>
      <c r="AF398"/>
      <c r="AG398"/>
      <c r="AH398"/>
      <c r="AI398"/>
      <c r="AJ398"/>
    </row>
    <row r="399" spans="1:36" ht="23.25">
      <c r="A399" s="12" t="s">
        <v>94</v>
      </c>
      <c r="B399" s="1">
        <f>Algandmed!AF56</f>
        <v>0</v>
      </c>
      <c r="C399" s="1">
        <f>Algandmed!AG56</f>
        <v>0</v>
      </c>
      <c r="D399" s="1">
        <f>Algandmed!AH56</f>
        <v>0</v>
      </c>
      <c r="E399" s="1">
        <f>Algandmed!AI56</f>
        <v>0</v>
      </c>
      <c r="F399" s="1">
        <f>Algandmed!AJ56</f>
        <v>0</v>
      </c>
      <c r="G399" s="1">
        <f>Algandmed!AK56</f>
        <v>0</v>
      </c>
      <c r="H399" s="1">
        <f>Algandmed!AL56</f>
        <v>0</v>
      </c>
      <c r="I399" s="1">
        <f>Algandmed!AM56</f>
        <v>0</v>
      </c>
      <c r="J399" s="1">
        <f>Algandmed!AN56</f>
        <v>0</v>
      </c>
      <c r="K399" s="1">
        <f>Algandmed!AO56</f>
        <v>0</v>
      </c>
      <c r="M399" s="12" t="s">
        <v>93</v>
      </c>
      <c r="N399" s="1">
        <f>Algandmed!AU56</f>
        <v>0</v>
      </c>
      <c r="O399" s="1">
        <f>Algandmed!AV56</f>
        <v>0</v>
      </c>
      <c r="P399" s="1">
        <f>Algandmed!AW56</f>
        <v>0</v>
      </c>
      <c r="Q399" s="1">
        <f>Algandmed!AX56</f>
        <v>0</v>
      </c>
      <c r="R399" s="1">
        <f>Algandmed!AZ56</f>
        <v>0</v>
      </c>
      <c r="S399" s="1">
        <f>Algandmed!BA56</f>
        <v>0</v>
      </c>
      <c r="T399" s="1">
        <f>Algandmed!BB56</f>
        <v>0</v>
      </c>
      <c r="U399" s="1">
        <f>Algandmed!BC56</f>
        <v>0</v>
      </c>
      <c r="V399" s="1">
        <f>Algandmed!BD56</f>
        <v>0</v>
      </c>
      <c r="W399" s="1">
        <f>Algandmed!BE56</f>
        <v>0</v>
      </c>
      <c r="Y399"/>
      <c r="Z399" t="str">
        <f>IF(Z397=1,"WARNING","")</f>
        <v/>
      </c>
      <c r="AA399"/>
      <c r="AB399"/>
      <c r="AC399"/>
      <c r="AD399"/>
      <c r="AE399"/>
      <c r="AF399"/>
      <c r="AG399"/>
      <c r="AH399"/>
      <c r="AI399"/>
      <c r="AJ399"/>
    </row>
    <row r="400" spans="1:36" s="138" customFormat="1" ht="23.25">
      <c r="A400" s="12" t="s">
        <v>157</v>
      </c>
      <c r="B400" s="138">
        <f>Algandmed!AF59</f>
        <v>0</v>
      </c>
      <c r="C400" s="138">
        <f>Algandmed!AG59</f>
        <v>0</v>
      </c>
      <c r="D400" s="138">
        <f>Algandmed!AH59</f>
        <v>0</v>
      </c>
      <c r="E400" s="138">
        <f>Algandmed!AI59</f>
        <v>0</v>
      </c>
      <c r="F400" s="138">
        <f>Algandmed!AJ59</f>
        <v>0</v>
      </c>
      <c r="G400" s="138">
        <f>Algandmed!AK59</f>
        <v>0</v>
      </c>
      <c r="H400" s="138">
        <f>Algandmed!AL59</f>
        <v>0</v>
      </c>
      <c r="I400" s="138">
        <f>Algandmed!AM59</f>
        <v>0</v>
      </c>
      <c r="J400" s="138">
        <f>Algandmed!AN59</f>
        <v>0</v>
      </c>
      <c r="K400" s="138">
        <f>Algandmed!AO59</f>
        <v>0</v>
      </c>
      <c r="M400" s="12" t="s">
        <v>158</v>
      </c>
      <c r="N400" s="138">
        <f>Algandmed!AU59</f>
        <v>0</v>
      </c>
      <c r="O400" s="138">
        <f>Algandmed!AV59</f>
        <v>0</v>
      </c>
      <c r="P400" s="138">
        <f>Algandmed!AW59</f>
        <v>0</v>
      </c>
      <c r="Q400" s="138">
        <f>Algandmed!AX59</f>
        <v>0</v>
      </c>
      <c r="R400" s="138">
        <f>Algandmed!AY59</f>
        <v>0</v>
      </c>
      <c r="S400" s="138">
        <f>Algandmed!AZ59</f>
        <v>0</v>
      </c>
      <c r="T400" s="138">
        <f>Algandmed!BA59</f>
        <v>0</v>
      </c>
      <c r="U400" s="138">
        <f>Algandmed!BC59</f>
        <v>0</v>
      </c>
      <c r="V400" s="138">
        <f>Algandmed!BC59</f>
        <v>0</v>
      </c>
      <c r="W400" s="138">
        <f>Algandmed!BD59</f>
        <v>0</v>
      </c>
      <c r="Y400" s="115"/>
      <c r="Z400" s="115"/>
      <c r="AA400" s="115"/>
      <c r="AB400" s="115"/>
      <c r="AC400" s="115"/>
      <c r="AD400" s="115"/>
      <c r="AE400" s="115"/>
      <c r="AF400" s="115"/>
      <c r="AG400" s="115"/>
      <c r="AH400" s="115"/>
      <c r="AI400" s="115"/>
      <c r="AJ400" s="115"/>
    </row>
    <row r="401" spans="1:36" ht="23.25">
      <c r="A401" s="21" t="s">
        <v>48</v>
      </c>
      <c r="B401" s="1">
        <f>Algandmed!AF60</f>
        <v>0</v>
      </c>
      <c r="C401" s="1">
        <f>Algandmed!AG60</f>
        <v>0</v>
      </c>
      <c r="D401" s="1">
        <f>Algandmed!AH60</f>
        <v>0</v>
      </c>
      <c r="E401" s="1">
        <f>Algandmed!AI60</f>
        <v>0</v>
      </c>
      <c r="F401" s="1">
        <f>Algandmed!AJ60</f>
        <v>0</v>
      </c>
      <c r="G401" s="1">
        <f>Algandmed!AK60</f>
        <v>0</v>
      </c>
      <c r="H401" s="1">
        <f>Algandmed!AL60</f>
        <v>0</v>
      </c>
      <c r="I401" s="1">
        <f>Algandmed!AM60</f>
        <v>0</v>
      </c>
      <c r="J401" s="1">
        <f>Algandmed!AN60</f>
        <v>0</v>
      </c>
      <c r="K401" s="1">
        <f>Algandmed!AO60</f>
        <v>0</v>
      </c>
      <c r="M401" s="21" t="s">
        <v>66</v>
      </c>
      <c r="N401" s="1">
        <f>Algandmed!AU60</f>
        <v>0</v>
      </c>
      <c r="O401" s="1">
        <f>Algandmed!AV60</f>
        <v>0</v>
      </c>
      <c r="P401" s="1">
        <f>Algandmed!AW60</f>
        <v>0</v>
      </c>
      <c r="Q401" s="1">
        <f>Algandmed!AX60</f>
        <v>0</v>
      </c>
      <c r="R401" s="1">
        <f>Algandmed!AZ60</f>
        <v>0</v>
      </c>
      <c r="S401" s="1">
        <f>Algandmed!BA60</f>
        <v>0</v>
      </c>
      <c r="T401" s="1">
        <f>Algandmed!BB60</f>
        <v>0</v>
      </c>
      <c r="U401" s="1">
        <f>Algandmed!BC60</f>
        <v>0</v>
      </c>
      <c r="V401" s="1">
        <f>Algandmed!BD60</f>
        <v>0</v>
      </c>
      <c r="W401" s="1">
        <f>Algandmed!BE60</f>
        <v>0</v>
      </c>
      <c r="Y401"/>
      <c r="Z401"/>
      <c r="AA401"/>
      <c r="AB401"/>
      <c r="AC401"/>
      <c r="AD401"/>
      <c r="AE401"/>
      <c r="AF401"/>
      <c r="AG401"/>
      <c r="AH401"/>
      <c r="AI401"/>
      <c r="AJ401"/>
    </row>
    <row r="402" spans="1:36" ht="23.25">
      <c r="A402" s="8"/>
      <c r="B402" s="12" t="s">
        <v>78</v>
      </c>
      <c r="C402" s="12" t="s">
        <v>65</v>
      </c>
      <c r="D402" s="12" t="s">
        <v>58</v>
      </c>
      <c r="E402" s="12" t="s">
        <v>59</v>
      </c>
      <c r="F402" s="12" t="s">
        <v>60</v>
      </c>
      <c r="G402" s="12" t="s">
        <v>61</v>
      </c>
      <c r="H402" s="12" t="s">
        <v>62</v>
      </c>
      <c r="I402" s="12" t="s">
        <v>63</v>
      </c>
      <c r="J402" s="12" t="s">
        <v>64</v>
      </c>
      <c r="K402" s="44" t="s">
        <v>22</v>
      </c>
      <c r="M402" s="8"/>
      <c r="N402" s="21" t="s">
        <v>91</v>
      </c>
      <c r="O402" s="21" t="s">
        <v>65</v>
      </c>
      <c r="P402" s="21" t="s">
        <v>58</v>
      </c>
      <c r="Q402" s="21" t="s">
        <v>59</v>
      </c>
      <c r="R402" s="21" t="s">
        <v>60</v>
      </c>
      <c r="S402" s="21" t="s">
        <v>61</v>
      </c>
      <c r="T402" s="21" t="s">
        <v>62</v>
      </c>
      <c r="U402" s="21" t="s">
        <v>63</v>
      </c>
      <c r="V402" s="21" t="s">
        <v>64</v>
      </c>
      <c r="W402" s="52" t="s">
        <v>22</v>
      </c>
      <c r="Y402"/>
      <c r="Z402"/>
      <c r="AA402"/>
      <c r="AB402"/>
      <c r="AC402"/>
      <c r="AD402"/>
      <c r="AE402"/>
      <c r="AF402"/>
      <c r="AG402"/>
      <c r="AH402"/>
      <c r="AI402"/>
      <c r="AJ402"/>
    </row>
    <row r="403" spans="1:36">
      <c r="A403" s="8" t="s">
        <v>2</v>
      </c>
      <c r="B403" s="1">
        <f>B395+B396+B397+B398+B399+B400</f>
        <v>0</v>
      </c>
      <c r="C403" s="138">
        <f t="shared" ref="C403:K403" si="24">C395+C396+C397+C398+C399+C400</f>
        <v>0</v>
      </c>
      <c r="D403" s="138">
        <f t="shared" si="24"/>
        <v>0</v>
      </c>
      <c r="E403" s="138">
        <f t="shared" si="24"/>
        <v>0</v>
      </c>
      <c r="F403" s="138">
        <f t="shared" si="24"/>
        <v>0</v>
      </c>
      <c r="G403" s="138">
        <f t="shared" si="24"/>
        <v>0</v>
      </c>
      <c r="H403" s="138">
        <f t="shared" si="24"/>
        <v>0</v>
      </c>
      <c r="I403" s="138">
        <f t="shared" si="24"/>
        <v>0</v>
      </c>
      <c r="J403" s="138">
        <f t="shared" si="24"/>
        <v>0</v>
      </c>
      <c r="K403" s="138">
        <f t="shared" si="24"/>
        <v>0</v>
      </c>
      <c r="M403" s="8" t="s">
        <v>6</v>
      </c>
      <c r="N403" s="1">
        <f>N395+N396+N397+N398+N399+N400</f>
        <v>0</v>
      </c>
      <c r="O403" s="138">
        <f t="shared" ref="O403:W403" si="25">O395+O396+O397+O398+O399+O400</f>
        <v>0</v>
      </c>
      <c r="P403" s="138">
        <f t="shared" si="25"/>
        <v>0</v>
      </c>
      <c r="Q403" s="138">
        <f t="shared" si="25"/>
        <v>0</v>
      </c>
      <c r="R403" s="138">
        <f t="shared" si="25"/>
        <v>0</v>
      </c>
      <c r="S403" s="138">
        <f t="shared" si="25"/>
        <v>0</v>
      </c>
      <c r="T403" s="138">
        <f t="shared" si="25"/>
        <v>0</v>
      </c>
      <c r="U403" s="138">
        <f t="shared" si="25"/>
        <v>0</v>
      </c>
      <c r="V403" s="138">
        <f t="shared" si="25"/>
        <v>0</v>
      </c>
      <c r="W403" s="138">
        <f t="shared" si="25"/>
        <v>0</v>
      </c>
      <c r="Y403"/>
      <c r="Z403"/>
      <c r="AA403"/>
      <c r="AB403"/>
      <c r="AC403"/>
      <c r="AD403"/>
      <c r="AE403"/>
      <c r="AF403"/>
      <c r="AG403"/>
      <c r="AH403"/>
      <c r="AI403"/>
      <c r="AJ403"/>
    </row>
    <row r="404" spans="1:36" ht="15.75" thickBot="1">
      <c r="A404" s="8" t="s">
        <v>6</v>
      </c>
      <c r="B404" s="1">
        <f t="shared" ref="B404:K404" si="26">B401</f>
        <v>0</v>
      </c>
      <c r="C404" s="138">
        <f t="shared" si="26"/>
        <v>0</v>
      </c>
      <c r="D404" s="138">
        <f t="shared" si="26"/>
        <v>0</v>
      </c>
      <c r="E404" s="138">
        <f t="shared" si="26"/>
        <v>0</v>
      </c>
      <c r="F404" s="138">
        <f t="shared" si="26"/>
        <v>0</v>
      </c>
      <c r="G404" s="138">
        <f t="shared" si="26"/>
        <v>0</v>
      </c>
      <c r="H404" s="138">
        <f t="shared" si="26"/>
        <v>0</v>
      </c>
      <c r="I404" s="138">
        <f t="shared" si="26"/>
        <v>0</v>
      </c>
      <c r="J404" s="138">
        <f t="shared" si="26"/>
        <v>0</v>
      </c>
      <c r="K404" s="138">
        <f t="shared" si="26"/>
        <v>0</v>
      </c>
      <c r="M404" s="8" t="s">
        <v>2</v>
      </c>
      <c r="N404" s="1">
        <f t="shared" ref="N404:W404" si="27">N401</f>
        <v>0</v>
      </c>
      <c r="O404" s="138">
        <f t="shared" si="27"/>
        <v>0</v>
      </c>
      <c r="P404" s="138">
        <f t="shared" si="27"/>
        <v>0</v>
      </c>
      <c r="Q404" s="138">
        <f t="shared" si="27"/>
        <v>0</v>
      </c>
      <c r="R404" s="138">
        <f t="shared" si="27"/>
        <v>0</v>
      </c>
      <c r="S404" s="138">
        <f t="shared" si="27"/>
        <v>0</v>
      </c>
      <c r="T404" s="138">
        <f t="shared" si="27"/>
        <v>0</v>
      </c>
      <c r="U404" s="138">
        <f t="shared" si="27"/>
        <v>0</v>
      </c>
      <c r="V404" s="138">
        <f t="shared" si="27"/>
        <v>0</v>
      </c>
      <c r="W404" s="138">
        <f t="shared" si="27"/>
        <v>0</v>
      </c>
      <c r="Y404"/>
      <c r="Z404"/>
      <c r="AA404"/>
      <c r="AB404"/>
      <c r="AC404"/>
      <c r="AD404"/>
      <c r="AE404"/>
      <c r="AF404"/>
      <c r="AG404"/>
      <c r="AH404"/>
      <c r="AI404"/>
      <c r="AJ404"/>
    </row>
    <row r="405" spans="1:36" ht="15.75" thickBot="1">
      <c r="A405" s="22" t="s">
        <v>45</v>
      </c>
      <c r="B405" s="87">
        <f>B403+B404</f>
        <v>0</v>
      </c>
      <c r="C405" s="85">
        <f t="shared" ref="C405:K405" si="28">C403+C404</f>
        <v>0</v>
      </c>
      <c r="D405" s="85">
        <f t="shared" si="28"/>
        <v>0</v>
      </c>
      <c r="E405" s="85">
        <f t="shared" si="28"/>
        <v>0</v>
      </c>
      <c r="F405" s="85">
        <f t="shared" si="28"/>
        <v>0</v>
      </c>
      <c r="G405" s="85">
        <f t="shared" si="28"/>
        <v>0</v>
      </c>
      <c r="H405" s="85">
        <f t="shared" si="28"/>
        <v>0</v>
      </c>
      <c r="I405" s="85">
        <f t="shared" si="28"/>
        <v>0</v>
      </c>
      <c r="J405" s="85">
        <f t="shared" si="28"/>
        <v>0</v>
      </c>
      <c r="K405" s="88">
        <f t="shared" si="28"/>
        <v>0</v>
      </c>
      <c r="M405" s="22" t="s">
        <v>45</v>
      </c>
      <c r="N405" s="87">
        <f>N403+N404</f>
        <v>0</v>
      </c>
      <c r="O405" s="85">
        <f t="shared" ref="O405:W405" si="29">O403+O404</f>
        <v>0</v>
      </c>
      <c r="P405" s="85">
        <f t="shared" si="29"/>
        <v>0</v>
      </c>
      <c r="Q405" s="85">
        <f t="shared" si="29"/>
        <v>0</v>
      </c>
      <c r="R405" s="85">
        <f t="shared" si="29"/>
        <v>0</v>
      </c>
      <c r="S405" s="85">
        <f t="shared" si="29"/>
        <v>0</v>
      </c>
      <c r="T405" s="85">
        <f t="shared" si="29"/>
        <v>0</v>
      </c>
      <c r="U405" s="85">
        <f t="shared" si="29"/>
        <v>0</v>
      </c>
      <c r="V405" s="85">
        <f t="shared" si="29"/>
        <v>0</v>
      </c>
      <c r="W405" s="88">
        <f t="shared" si="29"/>
        <v>0</v>
      </c>
      <c r="Y405"/>
      <c r="Z405"/>
      <c r="AA405"/>
      <c r="AB405"/>
      <c r="AC405"/>
      <c r="AD405"/>
      <c r="AE405">
        <v>159</v>
      </c>
      <c r="AF405"/>
      <c r="AG405"/>
      <c r="AH405"/>
      <c r="AI405"/>
      <c r="AJ405"/>
    </row>
    <row r="406" spans="1:36">
      <c r="A406" s="39"/>
      <c r="B406" s="39"/>
      <c r="C406" s="39"/>
      <c r="D406" s="39"/>
      <c r="E406" s="39"/>
      <c r="F406" s="39"/>
      <c r="G406" s="39"/>
      <c r="H406" s="39"/>
      <c r="I406" s="39"/>
      <c r="J406" s="39"/>
      <c r="K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Y406"/>
      <c r="Z406"/>
      <c r="AA406"/>
      <c r="AB406"/>
      <c r="AC406"/>
      <c r="AD406"/>
      <c r="AE406">
        <v>104</v>
      </c>
      <c r="AF406"/>
      <c r="AG406"/>
      <c r="AH406"/>
      <c r="AI406"/>
      <c r="AJ406"/>
    </row>
    <row r="407" spans="1:36">
      <c r="A407" s="5"/>
      <c r="Y407"/>
      <c r="Z407"/>
      <c r="AA407"/>
      <c r="AB407"/>
      <c r="AC407"/>
      <c r="AD407"/>
      <c r="AE407">
        <v>152</v>
      </c>
      <c r="AF407"/>
      <c r="AG407"/>
      <c r="AH407"/>
      <c r="AI407"/>
      <c r="AJ407"/>
    </row>
    <row r="408" spans="1:36" ht="22.5">
      <c r="A408" s="22" t="s">
        <v>68</v>
      </c>
      <c r="B408" s="101" t="s">
        <v>91</v>
      </c>
      <c r="C408" s="101" t="s">
        <v>65</v>
      </c>
      <c r="D408" s="101" t="s">
        <v>58</v>
      </c>
      <c r="E408" s="101" t="s">
        <v>59</v>
      </c>
      <c r="F408" s="101" t="s">
        <v>60</v>
      </c>
      <c r="G408" s="101" t="s">
        <v>61</v>
      </c>
      <c r="H408" s="101" t="s">
        <v>62</v>
      </c>
      <c r="I408" s="101" t="s">
        <v>63</v>
      </c>
      <c r="J408" s="101" t="s">
        <v>64</v>
      </c>
      <c r="K408" s="111" t="s">
        <v>22</v>
      </c>
      <c r="M408" s="112" t="s">
        <v>39</v>
      </c>
      <c r="N408" s="101" t="s">
        <v>91</v>
      </c>
      <c r="O408" s="101" t="s">
        <v>65</v>
      </c>
      <c r="P408" s="101" t="s">
        <v>58</v>
      </c>
      <c r="Q408" s="101" t="s">
        <v>59</v>
      </c>
      <c r="R408" s="101" t="s">
        <v>60</v>
      </c>
      <c r="S408" s="101" t="s">
        <v>61</v>
      </c>
      <c r="T408" s="101" t="s">
        <v>62</v>
      </c>
      <c r="U408" s="101" t="s">
        <v>63</v>
      </c>
      <c r="V408" s="101" t="s">
        <v>64</v>
      </c>
      <c r="W408" s="111" t="s">
        <v>22</v>
      </c>
      <c r="Y408"/>
      <c r="Z408"/>
      <c r="AA408"/>
      <c r="AB408"/>
      <c r="AC408"/>
      <c r="AD408"/>
      <c r="AE408">
        <v>180</v>
      </c>
      <c r="AF408"/>
      <c r="AG408"/>
      <c r="AH408"/>
      <c r="AI408"/>
      <c r="AJ408"/>
    </row>
    <row r="409" spans="1:36">
      <c r="A409" s="8" t="s">
        <v>2</v>
      </c>
      <c r="B409" s="7" t="e">
        <f>B403/B405</f>
        <v>#DIV/0!</v>
      </c>
      <c r="C409" s="7" t="e">
        <f>C403/C405</f>
        <v>#DIV/0!</v>
      </c>
      <c r="D409" s="7" t="e">
        <f>D403/D405</f>
        <v>#DIV/0!</v>
      </c>
      <c r="E409" s="7" t="e">
        <f>E403/E405</f>
        <v>#DIV/0!</v>
      </c>
      <c r="F409" s="7" t="e">
        <f t="shared" ref="F409:K409" si="30">F403/F405</f>
        <v>#DIV/0!</v>
      </c>
      <c r="G409" s="7" t="e">
        <f t="shared" si="30"/>
        <v>#DIV/0!</v>
      </c>
      <c r="H409" s="7" t="e">
        <f t="shared" si="30"/>
        <v>#DIV/0!</v>
      </c>
      <c r="I409" s="7" t="e">
        <f t="shared" si="30"/>
        <v>#DIV/0!</v>
      </c>
      <c r="J409" s="13" t="e">
        <f t="shared" si="30"/>
        <v>#DIV/0!</v>
      </c>
      <c r="K409" s="13" t="e">
        <f t="shared" si="30"/>
        <v>#DIV/0!</v>
      </c>
      <c r="M409" s="8" t="s">
        <v>6</v>
      </c>
      <c r="N409" s="7" t="e">
        <f>N403/N405</f>
        <v>#DIV/0!</v>
      </c>
      <c r="O409" s="7" t="e">
        <f>O403/O405</f>
        <v>#DIV/0!</v>
      </c>
      <c r="P409" s="7" t="e">
        <f>P403/P405</f>
        <v>#DIV/0!</v>
      </c>
      <c r="Q409" s="7" t="e">
        <f>Q403/Q405</f>
        <v>#DIV/0!</v>
      </c>
      <c r="R409" s="7" t="e">
        <f t="shared" ref="R409:W409" si="31">R403/R405</f>
        <v>#DIV/0!</v>
      </c>
      <c r="S409" s="7" t="e">
        <f t="shared" si="31"/>
        <v>#DIV/0!</v>
      </c>
      <c r="T409" s="7" t="e">
        <f t="shared" si="31"/>
        <v>#DIV/0!</v>
      </c>
      <c r="U409" s="7" t="e">
        <f t="shared" si="31"/>
        <v>#DIV/0!</v>
      </c>
      <c r="V409" s="13" t="e">
        <f t="shared" si="31"/>
        <v>#DIV/0!</v>
      </c>
      <c r="W409" s="13" t="e">
        <f t="shared" si="31"/>
        <v>#DIV/0!</v>
      </c>
      <c r="Y409"/>
      <c r="Z409"/>
      <c r="AA409"/>
      <c r="AB409"/>
      <c r="AC409"/>
      <c r="AD409"/>
      <c r="AE409">
        <v>109</v>
      </c>
      <c r="AF409"/>
      <c r="AG409"/>
      <c r="AH409"/>
      <c r="AI409"/>
      <c r="AJ409"/>
    </row>
    <row r="410" spans="1:36">
      <c r="A410" s="8" t="s">
        <v>6</v>
      </c>
      <c r="B410" s="7" t="e">
        <f>B404/B405</f>
        <v>#DIV/0!</v>
      </c>
      <c r="C410" s="7" t="e">
        <f>C404/C405</f>
        <v>#DIV/0!</v>
      </c>
      <c r="D410" s="7" t="e">
        <f>D404/D405</f>
        <v>#DIV/0!</v>
      </c>
      <c r="E410" s="7" t="e">
        <f>E404/E405</f>
        <v>#DIV/0!</v>
      </c>
      <c r="F410" s="7" t="e">
        <f t="shared" ref="F410:K410" si="32">F404/F405</f>
        <v>#DIV/0!</v>
      </c>
      <c r="G410" s="7" t="e">
        <f t="shared" si="32"/>
        <v>#DIV/0!</v>
      </c>
      <c r="H410" s="7" t="e">
        <f t="shared" si="32"/>
        <v>#DIV/0!</v>
      </c>
      <c r="I410" s="7" t="e">
        <f t="shared" si="32"/>
        <v>#DIV/0!</v>
      </c>
      <c r="J410" s="13" t="e">
        <f t="shared" si="32"/>
        <v>#DIV/0!</v>
      </c>
      <c r="K410" s="13" t="e">
        <f t="shared" si="32"/>
        <v>#DIV/0!</v>
      </c>
      <c r="M410" s="8" t="s">
        <v>2</v>
      </c>
      <c r="N410" s="7" t="e">
        <f>N404/N405</f>
        <v>#DIV/0!</v>
      </c>
      <c r="O410" s="7" t="e">
        <f>O404/O405</f>
        <v>#DIV/0!</v>
      </c>
      <c r="P410" s="7" t="e">
        <f>P404/P405</f>
        <v>#DIV/0!</v>
      </c>
      <c r="Q410" s="7" t="e">
        <f>Q404/Q405</f>
        <v>#DIV/0!</v>
      </c>
      <c r="R410" s="7" t="e">
        <f t="shared" ref="R410:W410" si="33">R404/R405</f>
        <v>#DIV/0!</v>
      </c>
      <c r="S410" s="7" t="e">
        <f t="shared" si="33"/>
        <v>#DIV/0!</v>
      </c>
      <c r="T410" s="7" t="e">
        <f t="shared" si="33"/>
        <v>#DIV/0!</v>
      </c>
      <c r="U410" s="7" t="e">
        <f t="shared" si="33"/>
        <v>#DIV/0!</v>
      </c>
      <c r="V410" s="13" t="e">
        <f t="shared" si="33"/>
        <v>#DIV/0!</v>
      </c>
      <c r="W410" s="13" t="e">
        <f t="shared" si="33"/>
        <v>#DIV/0!</v>
      </c>
      <c r="Y410"/>
      <c r="Z410"/>
      <c r="AA410"/>
      <c r="AB410"/>
      <c r="AC410"/>
      <c r="AD410"/>
      <c r="AE410">
        <v>263</v>
      </c>
      <c r="AF410"/>
      <c r="AG410"/>
      <c r="AH410"/>
      <c r="AI410"/>
      <c r="AJ410"/>
    </row>
    <row r="411" spans="1:36">
      <c r="A411" s="26" t="s">
        <v>45</v>
      </c>
      <c r="B411" s="14" t="e">
        <f t="shared" ref="B411:J411" si="34">B405/($B$405+$C$405+$D$405+$E$405+$F$405+$G$405+$H$405+$I$405+$J$405+$K$405)</f>
        <v>#DIV/0!</v>
      </c>
      <c r="C411" s="14" t="e">
        <f t="shared" si="34"/>
        <v>#DIV/0!</v>
      </c>
      <c r="D411" s="14" t="e">
        <f t="shared" si="34"/>
        <v>#DIV/0!</v>
      </c>
      <c r="E411" s="14" t="e">
        <f t="shared" si="34"/>
        <v>#DIV/0!</v>
      </c>
      <c r="F411" s="14" t="e">
        <f t="shared" si="34"/>
        <v>#DIV/0!</v>
      </c>
      <c r="G411" s="14" t="e">
        <f t="shared" si="34"/>
        <v>#DIV/0!</v>
      </c>
      <c r="H411" s="14" t="e">
        <f t="shared" si="34"/>
        <v>#DIV/0!</v>
      </c>
      <c r="I411" s="14" t="e">
        <f t="shared" si="34"/>
        <v>#DIV/0!</v>
      </c>
      <c r="J411" s="14" t="e">
        <f t="shared" si="34"/>
        <v>#DIV/0!</v>
      </c>
      <c r="K411" s="14" t="e">
        <f>K405/($B$405+$C$405+$D$405+$E$405+$F$405+$G$405+$H$405+$I$405+$J$405+$K$405)</f>
        <v>#DIV/0!</v>
      </c>
      <c r="M411" s="28" t="s">
        <v>45</v>
      </c>
      <c r="N411" s="14" t="e">
        <f t="shared" ref="N411:W411" si="35">N405/($N$405+$O$405+$P$405+$Q$405+$R$405+$S$405+$T$405+$U$405+$V$405+$W$405)</f>
        <v>#DIV/0!</v>
      </c>
      <c r="O411" s="14" t="e">
        <f t="shared" si="35"/>
        <v>#DIV/0!</v>
      </c>
      <c r="P411" s="14" t="e">
        <f t="shared" si="35"/>
        <v>#DIV/0!</v>
      </c>
      <c r="Q411" s="14" t="e">
        <f t="shared" si="35"/>
        <v>#DIV/0!</v>
      </c>
      <c r="R411" s="14" t="e">
        <f t="shared" si="35"/>
        <v>#DIV/0!</v>
      </c>
      <c r="S411" s="14" t="e">
        <f t="shared" si="35"/>
        <v>#DIV/0!</v>
      </c>
      <c r="T411" s="14" t="e">
        <f t="shared" si="35"/>
        <v>#DIV/0!</v>
      </c>
      <c r="U411" s="14" t="e">
        <f t="shared" si="35"/>
        <v>#DIV/0!</v>
      </c>
      <c r="V411" s="14" t="e">
        <f t="shared" si="35"/>
        <v>#DIV/0!</v>
      </c>
      <c r="W411" s="14" t="e">
        <f t="shared" si="35"/>
        <v>#DIV/0!</v>
      </c>
      <c r="Y411"/>
      <c r="Z411"/>
      <c r="AA411"/>
      <c r="AB411"/>
      <c r="AC411"/>
      <c r="AD411"/>
      <c r="AE411">
        <v>65</v>
      </c>
      <c r="AF411"/>
      <c r="AG411"/>
      <c r="AH411"/>
      <c r="AI411"/>
      <c r="AJ411"/>
    </row>
    <row r="412" spans="1:36">
      <c r="A412" s="37"/>
      <c r="B412" s="37"/>
      <c r="C412" s="37"/>
      <c r="D412" s="37"/>
      <c r="E412" s="37"/>
      <c r="F412" s="37"/>
      <c r="G412" s="37"/>
      <c r="H412" s="37"/>
      <c r="I412" s="37"/>
      <c r="J412" s="37"/>
      <c r="K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Y412"/>
      <c r="Z412"/>
      <c r="AA412"/>
      <c r="AB412"/>
      <c r="AC412"/>
      <c r="AD412"/>
      <c r="AE412">
        <v>99</v>
      </c>
      <c r="AF412"/>
      <c r="AG412"/>
      <c r="AH412"/>
      <c r="AI412"/>
      <c r="AJ412"/>
    </row>
    <row r="413" spans="1:36">
      <c r="Y413"/>
      <c r="Z413"/>
      <c r="AA413"/>
      <c r="AB413"/>
      <c r="AC413"/>
      <c r="AD413"/>
      <c r="AE413">
        <v>61</v>
      </c>
      <c r="AF413"/>
      <c r="AG413"/>
      <c r="AH413"/>
      <c r="AI413"/>
      <c r="AJ413"/>
    </row>
    <row r="414" spans="1:36">
      <c r="Y414"/>
      <c r="Z414"/>
      <c r="AA414"/>
      <c r="AB414"/>
      <c r="AC414"/>
      <c r="AD414"/>
      <c r="AE414"/>
      <c r="AF414"/>
      <c r="AG414"/>
      <c r="AH414"/>
      <c r="AI414"/>
      <c r="AJ414"/>
    </row>
    <row r="415" spans="1:36">
      <c r="Y415"/>
      <c r="Z415"/>
      <c r="AA415"/>
      <c r="AB415"/>
      <c r="AC415"/>
      <c r="AD415"/>
      <c r="AE415">
        <f>AVERAGE(AE405:AE414)</f>
        <v>132.44444444444446</v>
      </c>
      <c r="AF415"/>
      <c r="AG415"/>
      <c r="AH415"/>
      <c r="AI415"/>
      <c r="AJ415"/>
    </row>
    <row r="416" spans="1:36">
      <c r="Y416"/>
      <c r="Z416"/>
      <c r="AA416"/>
      <c r="AB416"/>
      <c r="AC416"/>
      <c r="AD416"/>
      <c r="AE416"/>
      <c r="AF416"/>
      <c r="AG416"/>
      <c r="AH416"/>
      <c r="AI416"/>
      <c r="AJ416"/>
    </row>
    <row r="417" spans="4:36">
      <c r="Y417"/>
      <c r="Z417"/>
      <c r="AA417"/>
      <c r="AB417"/>
      <c r="AC417"/>
      <c r="AD417"/>
      <c r="AE417"/>
      <c r="AF417"/>
      <c r="AG417"/>
      <c r="AH417"/>
      <c r="AI417"/>
      <c r="AJ417"/>
    </row>
    <row r="422" spans="4:36">
      <c r="I422" s="379" t="s">
        <v>160</v>
      </c>
      <c r="J422" s="379"/>
      <c r="K422" s="379"/>
      <c r="U422" s="379" t="s">
        <v>160</v>
      </c>
      <c r="V422" s="379"/>
      <c r="W422" s="379"/>
    </row>
    <row r="423" spans="4:36">
      <c r="F423"/>
      <c r="G423"/>
      <c r="H423"/>
      <c r="I423"/>
      <c r="J423"/>
      <c r="K423"/>
      <c r="L423"/>
      <c r="M423"/>
      <c r="N423"/>
      <c r="O423"/>
      <c r="P423"/>
      <c r="Q423"/>
    </row>
    <row r="424" spans="4:36">
      <c r="J424"/>
      <c r="K424"/>
      <c r="L424"/>
      <c r="M424"/>
    </row>
    <row r="425" spans="4:36" ht="18.75">
      <c r="D425" s="409" t="s">
        <v>159</v>
      </c>
      <c r="E425" s="409"/>
      <c r="F425" s="409"/>
      <c r="G425" s="409"/>
      <c r="H425" s="409"/>
      <c r="I425" s="409"/>
      <c r="J425"/>
      <c r="K425"/>
      <c r="L425"/>
      <c r="M425"/>
      <c r="N425"/>
      <c r="O425" s="409" t="s">
        <v>159</v>
      </c>
      <c r="P425" s="409"/>
      <c r="Q425" s="409"/>
      <c r="R425" s="409"/>
      <c r="S425" s="409"/>
      <c r="T425" s="409"/>
    </row>
    <row r="426" spans="4:36">
      <c r="F426"/>
      <c r="G426"/>
      <c r="H426"/>
      <c r="I426"/>
      <c r="J426"/>
      <c r="K426"/>
      <c r="L426"/>
      <c r="M426"/>
      <c r="N426"/>
      <c r="O426"/>
      <c r="P426"/>
      <c r="Q426"/>
    </row>
    <row r="427" spans="4:36">
      <c r="F427"/>
      <c r="G427"/>
      <c r="H427"/>
      <c r="I427"/>
      <c r="J427"/>
      <c r="K427"/>
      <c r="L427"/>
      <c r="M427"/>
      <c r="N427"/>
      <c r="O427"/>
      <c r="P427"/>
      <c r="Q427"/>
    </row>
    <row r="428" spans="4:36">
      <c r="F428"/>
      <c r="G428"/>
      <c r="H428"/>
      <c r="I428"/>
      <c r="J428"/>
      <c r="K428"/>
      <c r="L428"/>
      <c r="M428"/>
      <c r="N428"/>
      <c r="O428"/>
      <c r="P428"/>
      <c r="Q428"/>
    </row>
    <row r="429" spans="4:36">
      <c r="F429"/>
      <c r="G429"/>
      <c r="H429"/>
      <c r="I429"/>
      <c r="J429"/>
      <c r="K429"/>
      <c r="L429"/>
      <c r="M429"/>
      <c r="N429"/>
      <c r="O429"/>
      <c r="P429"/>
      <c r="Q429"/>
    </row>
    <row r="430" spans="4:36">
      <c r="F430"/>
      <c r="G430"/>
      <c r="H430"/>
      <c r="I430"/>
      <c r="J430"/>
      <c r="K430"/>
      <c r="L430"/>
      <c r="M430"/>
      <c r="N430"/>
      <c r="O430"/>
      <c r="P430"/>
      <c r="Q430"/>
    </row>
    <row r="431" spans="4:36">
      <c r="F431"/>
      <c r="G431"/>
      <c r="H431"/>
      <c r="I431"/>
      <c r="J431"/>
      <c r="K431"/>
      <c r="L431"/>
      <c r="M431"/>
      <c r="N431"/>
      <c r="O431"/>
      <c r="P431"/>
      <c r="Q431"/>
    </row>
    <row r="432" spans="4:36"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</row>
    <row r="433" spans="1:24">
      <c r="F433" s="29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</row>
    <row r="434" spans="1:24"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</row>
    <row r="435" spans="1:24">
      <c r="F435" s="51"/>
      <c r="G435" s="51"/>
      <c r="H435" s="51"/>
      <c r="I435" s="51"/>
      <c r="J435" s="51"/>
      <c r="K435" s="51"/>
      <c r="L435" s="51"/>
      <c r="M435" s="51"/>
      <c r="N435" s="51"/>
      <c r="O435" s="51"/>
      <c r="P435" s="51"/>
      <c r="Q435" s="51"/>
    </row>
    <row r="436" spans="1:24" s="45" customFormat="1">
      <c r="F436" s="51"/>
      <c r="G436" s="51"/>
      <c r="H436" s="51"/>
      <c r="I436" s="51"/>
      <c r="J436" s="51"/>
      <c r="K436" s="51"/>
      <c r="L436" s="51"/>
      <c r="M436" s="51"/>
      <c r="N436" s="51"/>
      <c r="O436" s="51"/>
      <c r="P436" s="51"/>
      <c r="Q436" s="51"/>
    </row>
    <row r="437" spans="1:24" s="113" customFormat="1">
      <c r="F437" s="114"/>
      <c r="G437" s="114"/>
      <c r="H437" s="114"/>
      <c r="I437" s="114"/>
      <c r="J437" s="114"/>
      <c r="K437" s="114"/>
      <c r="L437" s="114"/>
      <c r="M437" s="114"/>
      <c r="N437" s="114"/>
      <c r="O437" s="114"/>
      <c r="P437" s="114"/>
      <c r="Q437" s="114"/>
    </row>
    <row r="438" spans="1:24" s="117" customFormat="1"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</row>
    <row r="439" spans="1:24" s="117" customFormat="1"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</row>
    <row r="440" spans="1:24" ht="23.25">
      <c r="A440" s="408" t="s">
        <v>138</v>
      </c>
      <c r="B440" s="408"/>
      <c r="C440" s="408"/>
      <c r="D440" s="408"/>
      <c r="E440" s="408"/>
      <c r="F440" s="408"/>
      <c r="G440" s="408"/>
      <c r="H440" s="408"/>
      <c r="I440" s="408"/>
      <c r="J440" s="408"/>
      <c r="K440" s="408"/>
      <c r="L440" s="408"/>
      <c r="M440" s="408" t="s">
        <v>139</v>
      </c>
      <c r="N440" s="408"/>
      <c r="O440" s="408"/>
      <c r="P440" s="408"/>
      <c r="Q440" s="408"/>
      <c r="R440" s="408"/>
      <c r="S440" s="408"/>
      <c r="T440" s="408"/>
      <c r="U440" s="408"/>
      <c r="V440" s="408"/>
      <c r="W440" s="408"/>
      <c r="X440" s="408"/>
    </row>
    <row r="441" spans="1:24">
      <c r="A441" s="139"/>
      <c r="B441" s="139"/>
      <c r="C441" s="139"/>
      <c r="D441" s="139"/>
      <c r="E441" s="142" t="s">
        <v>198</v>
      </c>
      <c r="F441" s="139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42" t="s">
        <v>199</v>
      </c>
      <c r="S441" s="139"/>
      <c r="T441" s="139"/>
      <c r="U441" s="139"/>
      <c r="V441" s="139"/>
    </row>
    <row r="442" spans="1:24" ht="34.5" thickBot="1">
      <c r="A442" s="9"/>
      <c r="B442" s="9"/>
      <c r="C442" s="107" t="s">
        <v>45</v>
      </c>
      <c r="D442" s="101" t="s">
        <v>46</v>
      </c>
      <c r="E442" s="101" t="s">
        <v>44</v>
      </c>
      <c r="F442" s="101" t="s">
        <v>43</v>
      </c>
      <c r="G442" s="101" t="s">
        <v>42</v>
      </c>
      <c r="H442" s="101" t="s">
        <v>49</v>
      </c>
      <c r="I442" s="101" t="s">
        <v>47</v>
      </c>
      <c r="J442" s="101" t="s">
        <v>157</v>
      </c>
      <c r="K442" s="101" t="s">
        <v>48</v>
      </c>
      <c r="L442" s="103"/>
      <c r="M442" s="104"/>
      <c r="N442" s="104"/>
      <c r="O442" s="107" t="s">
        <v>45</v>
      </c>
      <c r="P442" s="101" t="s">
        <v>46</v>
      </c>
      <c r="Q442" s="101" t="s">
        <v>44</v>
      </c>
      <c r="R442" s="101" t="s">
        <v>43</v>
      </c>
      <c r="S442" s="101" t="s">
        <v>42</v>
      </c>
      <c r="T442" s="101" t="s">
        <v>49</v>
      </c>
      <c r="U442" s="101" t="s">
        <v>67</v>
      </c>
      <c r="V442" s="101" t="s">
        <v>158</v>
      </c>
      <c r="W442" s="101" t="s">
        <v>66</v>
      </c>
    </row>
    <row r="443" spans="1:24" ht="23.25">
      <c r="A443" s="12" t="s">
        <v>59</v>
      </c>
      <c r="B443" s="41" t="s">
        <v>50</v>
      </c>
      <c r="C443" s="81">
        <f>E443+F443+G443+H443+I443+K443</f>
        <v>0</v>
      </c>
      <c r="D443" s="9">
        <f>E443+F443+G443+H443</f>
        <v>0</v>
      </c>
      <c r="E443" s="1">
        <f>Algandmed!AG66</f>
        <v>0</v>
      </c>
      <c r="F443" s="1">
        <f>Algandmed!AH66</f>
        <v>0</v>
      </c>
      <c r="G443" s="1">
        <f>Algandmed!AI66</f>
        <v>0</v>
      </c>
      <c r="H443" s="1">
        <f>Algandmed!AJ66</f>
        <v>0</v>
      </c>
      <c r="I443" s="1">
        <f>Algandmed!AK66</f>
        <v>0</v>
      </c>
      <c r="J443" s="138">
        <f>Algandmed!AN66</f>
        <v>0</v>
      </c>
      <c r="K443" s="1">
        <f>Algandmed!AO66</f>
        <v>0</v>
      </c>
      <c r="L443"/>
      <c r="M443" s="12" t="s">
        <v>59</v>
      </c>
      <c r="N443" s="43" t="s">
        <v>50</v>
      </c>
      <c r="O443" s="81">
        <f>Q443+R443+S443+T443+U443+W443</f>
        <v>0</v>
      </c>
      <c r="P443" s="9">
        <f>Q443+R443+S443+T443</f>
        <v>0</v>
      </c>
      <c r="Q443" s="1">
        <f>Algandmed!AV66</f>
        <v>0</v>
      </c>
      <c r="R443" s="1">
        <f>Algandmed!AW66</f>
        <v>0</v>
      </c>
      <c r="S443" s="1">
        <f>Algandmed!AX66</f>
        <v>0</v>
      </c>
      <c r="T443" s="1">
        <f>Algandmed!AY66</f>
        <v>0</v>
      </c>
      <c r="U443" s="1">
        <f>Algandmed!AZ66</f>
        <v>0</v>
      </c>
      <c r="V443" s="138">
        <f>Algandmed!BC66</f>
        <v>0</v>
      </c>
      <c r="W443" s="1">
        <f>Algandmed!BD66</f>
        <v>0</v>
      </c>
    </row>
    <row r="444" spans="1:24">
      <c r="A444" s="8"/>
      <c r="B444" s="41" t="s">
        <v>55</v>
      </c>
      <c r="C444" s="83" t="e">
        <f>E444+F444+G444+H444+I444+K444</f>
        <v>#REF!</v>
      </c>
      <c r="D444" s="9" t="e">
        <f>E444+F444+G444+H444</f>
        <v>#REF!</v>
      </c>
      <c r="E444" s="1" t="e">
        <f>Algandmed!#REF!</f>
        <v>#REF!</v>
      </c>
      <c r="F444" s="1" t="e">
        <f>Algandmed!#REF!</f>
        <v>#REF!</v>
      </c>
      <c r="G444" s="1" t="e">
        <f>Algandmed!#REF!</f>
        <v>#REF!</v>
      </c>
      <c r="H444" s="1" t="e">
        <f>Algandmed!#REF!</f>
        <v>#REF!</v>
      </c>
      <c r="I444" s="1" t="e">
        <f>Algandmed!#REF!</f>
        <v>#REF!</v>
      </c>
      <c r="J444" s="138" t="e">
        <f>Algandmed!#REF!</f>
        <v>#REF!</v>
      </c>
      <c r="K444" s="1" t="e">
        <f>Algandmed!#REF!</f>
        <v>#REF!</v>
      </c>
      <c r="L444"/>
      <c r="M444" s="8"/>
      <c r="N444" s="43" t="s">
        <v>55</v>
      </c>
      <c r="O444" s="83" t="e">
        <f>Q444+R444+S444+T444+U444+W444</f>
        <v>#REF!</v>
      </c>
      <c r="P444" s="9" t="e">
        <f>Q444+R444+S444+T444</f>
        <v>#REF!</v>
      </c>
      <c r="Q444" s="1" t="e">
        <f>Algandmed!#REF!</f>
        <v>#REF!</v>
      </c>
      <c r="R444" s="1" t="e">
        <f>Algandmed!#REF!</f>
        <v>#REF!</v>
      </c>
      <c r="S444" s="1" t="e">
        <f>Algandmed!#REF!</f>
        <v>#REF!</v>
      </c>
      <c r="T444" s="1" t="e">
        <f>Algandmed!#REF!</f>
        <v>#REF!</v>
      </c>
      <c r="U444" s="1" t="e">
        <f>Algandmed!#REF!</f>
        <v>#REF!</v>
      </c>
      <c r="V444" s="138" t="e">
        <f>Algandmed!#REF!</f>
        <v>#REF!</v>
      </c>
      <c r="W444" s="1" t="e">
        <f>Algandmed!#REF!</f>
        <v>#REF!</v>
      </c>
    </row>
    <row r="445" spans="1:24">
      <c r="A445" s="8"/>
      <c r="B445" s="41" t="s">
        <v>56</v>
      </c>
      <c r="C445" s="83">
        <f>E445+F445+G445+H445+I445+K445</f>
        <v>0</v>
      </c>
      <c r="D445" s="9">
        <f>E445+F445+G445+H445</f>
        <v>0</v>
      </c>
      <c r="E445" s="1">
        <f>Algandmed!AG65</f>
        <v>0</v>
      </c>
      <c r="F445" s="1">
        <f>Algandmed!AH65</f>
        <v>0</v>
      </c>
      <c r="G445" s="1">
        <f>Algandmed!AI65</f>
        <v>0</v>
      </c>
      <c r="H445" s="1">
        <f>Algandmed!AJ65</f>
        <v>0</v>
      </c>
      <c r="I445" s="1">
        <f>Algandmed!AK65</f>
        <v>0</v>
      </c>
      <c r="J445" s="138">
        <f>Algandmed!AN65</f>
        <v>0</v>
      </c>
      <c r="K445" s="1">
        <f>Algandmed!AO65</f>
        <v>0</v>
      </c>
      <c r="L445"/>
      <c r="M445" s="8"/>
      <c r="N445" s="43" t="s">
        <v>56</v>
      </c>
      <c r="O445" s="83">
        <f>Q445+R445+S445+T445+U445+W445</f>
        <v>0</v>
      </c>
      <c r="P445" s="9">
        <f>Q445+R445+S445+T445</f>
        <v>0</v>
      </c>
      <c r="Q445" s="1">
        <f>Algandmed!AV65</f>
        <v>0</v>
      </c>
      <c r="R445" s="1">
        <f>Algandmed!AW65</f>
        <v>0</v>
      </c>
      <c r="S445" s="1">
        <f>Algandmed!AX65</f>
        <v>0</v>
      </c>
      <c r="T445" s="1">
        <f>Algandmed!AY65</f>
        <v>0</v>
      </c>
      <c r="U445" s="1">
        <f>Algandmed!AZ65</f>
        <v>0</v>
      </c>
      <c r="V445" s="138">
        <f>Algandmed!BC65</f>
        <v>0</v>
      </c>
      <c r="W445" s="1">
        <f>Algandmed!BD65</f>
        <v>0</v>
      </c>
    </row>
    <row r="446" spans="1:24" ht="15.75" thickBot="1">
      <c r="A446" s="8"/>
      <c r="B446" s="41" t="s">
        <v>57</v>
      </c>
      <c r="C446" s="80">
        <f>E446+F446+G446+H446+I446+K446</f>
        <v>0</v>
      </c>
      <c r="D446" s="9">
        <f>E446+F446+G446+H446</f>
        <v>0</v>
      </c>
      <c r="E446" s="1">
        <f>Algandmed!AG64</f>
        <v>0</v>
      </c>
      <c r="F446" s="1">
        <f>Algandmed!AH64</f>
        <v>0</v>
      </c>
      <c r="G446" s="1">
        <f>Algandmed!AI64</f>
        <v>0</v>
      </c>
      <c r="H446" s="1">
        <f>Algandmed!AJ64</f>
        <v>0</v>
      </c>
      <c r="I446" s="1">
        <f>Algandmed!AK64</f>
        <v>0</v>
      </c>
      <c r="J446" s="138">
        <f>Algandmed!AN64</f>
        <v>0</v>
      </c>
      <c r="K446" s="1">
        <f>Algandmed!AO64</f>
        <v>0</v>
      </c>
      <c r="L446"/>
      <c r="M446" s="8"/>
      <c r="N446" s="43" t="s">
        <v>57</v>
      </c>
      <c r="O446" s="80">
        <f>Q446+R446+S446+T446+U446+W446</f>
        <v>0</v>
      </c>
      <c r="P446" s="9">
        <f>Q446+R446+S446+T446</f>
        <v>0</v>
      </c>
      <c r="Q446" s="1">
        <f>Algandmed!AV64</f>
        <v>0</v>
      </c>
      <c r="R446" s="1">
        <f>Algandmed!AW64</f>
        <v>0</v>
      </c>
      <c r="S446" s="1">
        <f>Algandmed!AX64</f>
        <v>0</v>
      </c>
      <c r="T446" s="1">
        <f>Algandmed!AY64</f>
        <v>0</v>
      </c>
      <c r="U446" s="1">
        <f>Algandmed!AZ64</f>
        <v>0</v>
      </c>
      <c r="V446" s="138">
        <f>Algandmed!BC64</f>
        <v>0</v>
      </c>
      <c r="W446" s="1">
        <f>Algandmed!BD64</f>
        <v>0</v>
      </c>
    </row>
    <row r="447" spans="1:24" ht="15.75" thickBot="1">
      <c r="A447" s="9"/>
      <c r="B447" s="28" t="s">
        <v>45</v>
      </c>
      <c r="C447" s="82" t="e">
        <f t="shared" ref="C447:K447" si="36">C443+C444+C445+C446</f>
        <v>#REF!</v>
      </c>
      <c r="D447" s="88" t="e">
        <f t="shared" si="36"/>
        <v>#REF!</v>
      </c>
      <c r="E447" s="87" t="e">
        <f t="shared" si="36"/>
        <v>#REF!</v>
      </c>
      <c r="F447" s="85" t="e">
        <f t="shared" si="36"/>
        <v>#REF!</v>
      </c>
      <c r="G447" s="85" t="e">
        <f t="shared" si="36"/>
        <v>#REF!</v>
      </c>
      <c r="H447" s="85" t="e">
        <f t="shared" si="36"/>
        <v>#REF!</v>
      </c>
      <c r="I447" s="85" t="e">
        <f t="shared" si="36"/>
        <v>#REF!</v>
      </c>
      <c r="J447" s="85" t="e">
        <f t="shared" si="36"/>
        <v>#REF!</v>
      </c>
      <c r="K447" s="85" t="e">
        <f t="shared" si="36"/>
        <v>#REF!</v>
      </c>
      <c r="L447"/>
      <c r="M447" s="9"/>
      <c r="N447" s="28" t="s">
        <v>45</v>
      </c>
      <c r="O447" s="82" t="e">
        <f t="shared" ref="O447:W447" si="37">O443+O444+O445+O446</f>
        <v>#REF!</v>
      </c>
      <c r="P447" s="88" t="e">
        <f t="shared" si="37"/>
        <v>#REF!</v>
      </c>
      <c r="Q447" s="87" t="e">
        <f t="shared" si="37"/>
        <v>#REF!</v>
      </c>
      <c r="R447" s="85" t="e">
        <f t="shared" si="37"/>
        <v>#REF!</v>
      </c>
      <c r="S447" s="85" t="e">
        <f t="shared" si="37"/>
        <v>#REF!</v>
      </c>
      <c r="T447" s="85" t="e">
        <f t="shared" si="37"/>
        <v>#REF!</v>
      </c>
      <c r="U447" s="85" t="e">
        <f t="shared" si="37"/>
        <v>#REF!</v>
      </c>
      <c r="V447" s="85" t="e">
        <f t="shared" si="37"/>
        <v>#REF!</v>
      </c>
      <c r="W447" s="85" t="e">
        <f t="shared" si="37"/>
        <v>#REF!</v>
      </c>
    </row>
    <row r="448" spans="1:24">
      <c r="A448" s="37"/>
      <c r="B448" s="37"/>
      <c r="C448" s="37"/>
      <c r="D448" s="37"/>
      <c r="E448" s="37"/>
      <c r="F448" s="37"/>
      <c r="G448" s="37"/>
      <c r="H448" s="37"/>
      <c r="I448" s="37"/>
      <c r="J448" s="37"/>
      <c r="K448" s="37"/>
      <c r="L448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</row>
    <row r="449" spans="1:22">
      <c r="L449"/>
    </row>
    <row r="450" spans="1:22" ht="33.75">
      <c r="A450" s="9"/>
      <c r="B450" s="9"/>
      <c r="C450" s="9"/>
      <c r="D450" s="101" t="s">
        <v>46</v>
      </c>
      <c r="E450" s="101" t="s">
        <v>44</v>
      </c>
      <c r="F450" s="101" t="s">
        <v>43</v>
      </c>
      <c r="G450" s="101" t="s">
        <v>42</v>
      </c>
      <c r="H450" s="101" t="s">
        <v>49</v>
      </c>
      <c r="I450" s="101" t="s">
        <v>47</v>
      </c>
      <c r="J450" s="101" t="s">
        <v>48</v>
      </c>
      <c r="L450" s="103"/>
      <c r="M450" s="104"/>
      <c r="N450" s="104"/>
      <c r="O450" s="104"/>
      <c r="P450" s="101" t="s">
        <v>46</v>
      </c>
      <c r="Q450" s="101" t="s">
        <v>44</v>
      </c>
      <c r="R450" s="101" t="s">
        <v>43</v>
      </c>
      <c r="S450" s="101" t="s">
        <v>42</v>
      </c>
      <c r="T450" s="101" t="s">
        <v>49</v>
      </c>
      <c r="U450" s="101" t="s">
        <v>67</v>
      </c>
      <c r="V450" s="101" t="s">
        <v>66</v>
      </c>
    </row>
    <row r="451" spans="1:22" ht="23.25">
      <c r="A451" s="12" t="s">
        <v>59</v>
      </c>
      <c r="B451" s="41" t="s">
        <v>50</v>
      </c>
      <c r="C451" s="9"/>
      <c r="D451" s="14" t="e">
        <f t="shared" ref="D451:I454" si="38">D443/$C443</f>
        <v>#DIV/0!</v>
      </c>
      <c r="E451" s="7" t="e">
        <f t="shared" si="38"/>
        <v>#DIV/0!</v>
      </c>
      <c r="F451" s="7" t="e">
        <f t="shared" si="38"/>
        <v>#DIV/0!</v>
      </c>
      <c r="G451" s="7" t="e">
        <f t="shared" si="38"/>
        <v>#DIV/0!</v>
      </c>
      <c r="H451" s="7" t="e">
        <f t="shared" si="38"/>
        <v>#DIV/0!</v>
      </c>
      <c r="I451" s="7" t="e">
        <f t="shared" si="38"/>
        <v>#DIV/0!</v>
      </c>
      <c r="J451" s="7" t="e">
        <f>K443/$C443</f>
        <v>#DIV/0!</v>
      </c>
      <c r="L451"/>
      <c r="M451" s="12" t="s">
        <v>59</v>
      </c>
      <c r="N451" s="43" t="s">
        <v>50</v>
      </c>
      <c r="O451" s="9"/>
      <c r="P451" s="14" t="e">
        <f t="shared" ref="P451:U454" si="39">P443/$O443</f>
        <v>#DIV/0!</v>
      </c>
      <c r="Q451" s="7" t="e">
        <f t="shared" si="39"/>
        <v>#DIV/0!</v>
      </c>
      <c r="R451" s="7" t="e">
        <f t="shared" si="39"/>
        <v>#DIV/0!</v>
      </c>
      <c r="S451" s="7" t="e">
        <f t="shared" si="39"/>
        <v>#DIV/0!</v>
      </c>
      <c r="T451" s="7" t="e">
        <f t="shared" si="39"/>
        <v>#DIV/0!</v>
      </c>
      <c r="U451" s="7" t="e">
        <f t="shared" si="39"/>
        <v>#DIV/0!</v>
      </c>
      <c r="V451" s="7" t="e">
        <f>W443/$O443</f>
        <v>#DIV/0!</v>
      </c>
    </row>
    <row r="452" spans="1:22">
      <c r="A452" s="8"/>
      <c r="B452" s="41" t="s">
        <v>55</v>
      </c>
      <c r="C452" s="9"/>
      <c r="D452" s="14" t="e">
        <f t="shared" si="38"/>
        <v>#REF!</v>
      </c>
      <c r="E452" s="7" t="e">
        <f t="shared" si="38"/>
        <v>#REF!</v>
      </c>
      <c r="F452" s="7" t="e">
        <f t="shared" si="38"/>
        <v>#REF!</v>
      </c>
      <c r="G452" s="7" t="e">
        <f t="shared" si="38"/>
        <v>#REF!</v>
      </c>
      <c r="H452" s="7" t="e">
        <f t="shared" si="38"/>
        <v>#REF!</v>
      </c>
      <c r="I452" s="7" t="e">
        <f t="shared" si="38"/>
        <v>#REF!</v>
      </c>
      <c r="J452" s="7" t="e">
        <f>K444/$C444</f>
        <v>#REF!</v>
      </c>
      <c r="L452"/>
      <c r="M452" s="8"/>
      <c r="N452" s="43" t="s">
        <v>55</v>
      </c>
      <c r="O452" s="9"/>
      <c r="P452" s="14" t="e">
        <f t="shared" si="39"/>
        <v>#REF!</v>
      </c>
      <c r="Q452" s="7" t="e">
        <f t="shared" si="39"/>
        <v>#REF!</v>
      </c>
      <c r="R452" s="7" t="e">
        <f t="shared" si="39"/>
        <v>#REF!</v>
      </c>
      <c r="S452" s="7" t="e">
        <f t="shared" si="39"/>
        <v>#REF!</v>
      </c>
      <c r="T452" s="7" t="e">
        <f t="shared" si="39"/>
        <v>#REF!</v>
      </c>
      <c r="U452" s="7" t="e">
        <f t="shared" si="39"/>
        <v>#REF!</v>
      </c>
      <c r="V452" s="7" t="e">
        <f>W444/$O444</f>
        <v>#REF!</v>
      </c>
    </row>
    <row r="453" spans="1:22">
      <c r="A453" s="8"/>
      <c r="B453" s="41" t="s">
        <v>56</v>
      </c>
      <c r="C453" s="9"/>
      <c r="D453" s="14" t="e">
        <f t="shared" si="38"/>
        <v>#DIV/0!</v>
      </c>
      <c r="E453" s="7" t="e">
        <f t="shared" si="38"/>
        <v>#DIV/0!</v>
      </c>
      <c r="F453" s="7" t="e">
        <f t="shared" si="38"/>
        <v>#DIV/0!</v>
      </c>
      <c r="G453" s="7" t="e">
        <f t="shared" si="38"/>
        <v>#DIV/0!</v>
      </c>
      <c r="H453" s="7" t="e">
        <f t="shared" si="38"/>
        <v>#DIV/0!</v>
      </c>
      <c r="I453" s="7" t="e">
        <f t="shared" si="38"/>
        <v>#DIV/0!</v>
      </c>
      <c r="J453" s="7" t="e">
        <f>K445/$C445</f>
        <v>#DIV/0!</v>
      </c>
      <c r="L453"/>
      <c r="M453" s="8"/>
      <c r="N453" s="43" t="s">
        <v>56</v>
      </c>
      <c r="O453" s="9"/>
      <c r="P453" s="14" t="e">
        <f t="shared" si="39"/>
        <v>#DIV/0!</v>
      </c>
      <c r="Q453" s="7" t="e">
        <f t="shared" si="39"/>
        <v>#DIV/0!</v>
      </c>
      <c r="R453" s="7" t="e">
        <f t="shared" si="39"/>
        <v>#DIV/0!</v>
      </c>
      <c r="S453" s="7" t="e">
        <f t="shared" si="39"/>
        <v>#DIV/0!</v>
      </c>
      <c r="T453" s="7" t="e">
        <f t="shared" si="39"/>
        <v>#DIV/0!</v>
      </c>
      <c r="U453" s="7" t="e">
        <f t="shared" si="39"/>
        <v>#DIV/0!</v>
      </c>
      <c r="V453" s="7" t="e">
        <f>W445/$O445</f>
        <v>#DIV/0!</v>
      </c>
    </row>
    <row r="454" spans="1:22">
      <c r="A454" s="8"/>
      <c r="B454" s="41" t="s">
        <v>57</v>
      </c>
      <c r="C454" s="9"/>
      <c r="D454" s="14" t="e">
        <f t="shared" si="38"/>
        <v>#DIV/0!</v>
      </c>
      <c r="E454" s="7" t="e">
        <f t="shared" si="38"/>
        <v>#DIV/0!</v>
      </c>
      <c r="F454" s="7" t="e">
        <f t="shared" si="38"/>
        <v>#DIV/0!</v>
      </c>
      <c r="G454" s="7" t="e">
        <f t="shared" si="38"/>
        <v>#DIV/0!</v>
      </c>
      <c r="H454" s="7" t="e">
        <f t="shared" si="38"/>
        <v>#DIV/0!</v>
      </c>
      <c r="I454" s="7" t="e">
        <f t="shared" si="38"/>
        <v>#DIV/0!</v>
      </c>
      <c r="J454" s="7" t="e">
        <f>K446/$C446</f>
        <v>#DIV/0!</v>
      </c>
      <c r="M454" s="8"/>
      <c r="N454" s="43" t="s">
        <v>57</v>
      </c>
      <c r="O454" s="9"/>
      <c r="P454" s="14" t="e">
        <f t="shared" si="39"/>
        <v>#DIV/0!</v>
      </c>
      <c r="Q454" s="7" t="e">
        <f t="shared" si="39"/>
        <v>#DIV/0!</v>
      </c>
      <c r="R454" s="7" t="e">
        <f t="shared" si="39"/>
        <v>#DIV/0!</v>
      </c>
      <c r="S454" s="7" t="e">
        <f t="shared" si="39"/>
        <v>#DIV/0!</v>
      </c>
      <c r="T454" s="7" t="e">
        <f t="shared" si="39"/>
        <v>#DIV/0!</v>
      </c>
      <c r="U454" s="7" t="e">
        <f t="shared" si="39"/>
        <v>#DIV/0!</v>
      </c>
      <c r="V454" s="7" t="e">
        <f>W446/$O446</f>
        <v>#DIV/0!</v>
      </c>
    </row>
    <row r="455" spans="1:22">
      <c r="A455" s="37"/>
      <c r="B455" s="40"/>
      <c r="C455" s="37"/>
      <c r="D455" s="40"/>
      <c r="E455" s="40"/>
      <c r="F455" s="40"/>
      <c r="G455" s="40"/>
      <c r="H455" s="40"/>
      <c r="I455" s="40"/>
      <c r="J455" s="40"/>
      <c r="M455" s="37"/>
      <c r="N455" s="40"/>
      <c r="O455" s="37"/>
      <c r="P455" s="40"/>
      <c r="Q455" s="40"/>
      <c r="R455" s="40"/>
      <c r="S455" s="40"/>
      <c r="T455" s="40"/>
      <c r="U455" s="40"/>
      <c r="V455" s="40"/>
    </row>
    <row r="456" spans="1:22">
      <c r="P456"/>
      <c r="Q456"/>
    </row>
    <row r="457" spans="1:22">
      <c r="P457"/>
      <c r="Q457"/>
    </row>
    <row r="468" spans="26:34">
      <c r="Z468" s="5"/>
      <c r="AA468" s="5"/>
      <c r="AB468" s="5"/>
      <c r="AC468" s="5"/>
      <c r="AD468" s="5"/>
      <c r="AE468" s="5"/>
      <c r="AF468" s="5"/>
      <c r="AG468" s="5"/>
      <c r="AH468" s="5"/>
    </row>
    <row r="486" spans="1:25" s="97" customFormat="1"/>
    <row r="487" spans="1:25" s="117" customFormat="1"/>
    <row r="488" spans="1:25" s="117" customFormat="1"/>
    <row r="489" spans="1:25" ht="23.25">
      <c r="A489" s="408" t="s">
        <v>140</v>
      </c>
      <c r="B489" s="408"/>
      <c r="C489" s="408"/>
      <c r="D489" s="408"/>
      <c r="E489" s="408"/>
      <c r="F489" s="408"/>
      <c r="G489" s="408"/>
      <c r="H489" s="408"/>
      <c r="I489" s="408"/>
      <c r="J489" s="408"/>
      <c r="K489" s="408"/>
      <c r="L489" s="408"/>
      <c r="M489" s="408" t="s">
        <v>142</v>
      </c>
      <c r="N489" s="408"/>
      <c r="O489" s="408"/>
      <c r="P489" s="408"/>
      <c r="Q489" s="408"/>
      <c r="R489" s="408"/>
      <c r="S489" s="408"/>
      <c r="T489" s="408"/>
      <c r="U489" s="408"/>
      <c r="V489" s="408"/>
      <c r="W489" s="408"/>
      <c r="X489" s="408"/>
      <c r="Y489" s="1" t="s">
        <v>141</v>
      </c>
    </row>
    <row r="490" spans="1:25">
      <c r="A490" s="139"/>
      <c r="B490" s="139"/>
      <c r="C490" s="139"/>
      <c r="D490" s="139"/>
      <c r="E490" s="139"/>
      <c r="F490" s="139"/>
      <c r="G490" s="139" t="s">
        <v>200</v>
      </c>
      <c r="H490" s="139"/>
      <c r="I490" s="139"/>
      <c r="J490" s="139"/>
      <c r="K490" s="139"/>
      <c r="L490" s="139"/>
      <c r="M490" s="139"/>
      <c r="N490" s="139"/>
      <c r="O490" s="139"/>
      <c r="P490" s="139"/>
      <c r="Q490" s="139"/>
      <c r="R490" s="139"/>
      <c r="S490" s="139" t="s">
        <v>201</v>
      </c>
      <c r="T490" s="139"/>
      <c r="U490" s="139"/>
      <c r="V490" s="139"/>
      <c r="W490" s="139"/>
      <c r="X490" s="139"/>
    </row>
    <row r="491" spans="1:25" ht="34.5" thickBot="1">
      <c r="A491" s="8"/>
      <c r="B491" s="8"/>
      <c r="C491" s="107" t="s">
        <v>45</v>
      </c>
      <c r="D491" s="101" t="s">
        <v>46</v>
      </c>
      <c r="E491" s="101" t="s">
        <v>44</v>
      </c>
      <c r="F491" s="101" t="s">
        <v>43</v>
      </c>
      <c r="G491" s="101" t="s">
        <v>42</v>
      </c>
      <c r="H491" s="101" t="s">
        <v>49</v>
      </c>
      <c r="I491" s="101" t="s">
        <v>47</v>
      </c>
      <c r="J491" s="101" t="s">
        <v>157</v>
      </c>
      <c r="K491" s="101" t="s">
        <v>180</v>
      </c>
      <c r="L491" s="101" t="s">
        <v>48</v>
      </c>
      <c r="M491" s="104"/>
      <c r="N491" s="104"/>
      <c r="O491" s="107" t="s">
        <v>45</v>
      </c>
      <c r="P491" s="101" t="s">
        <v>46</v>
      </c>
      <c r="Q491" s="101" t="s">
        <v>44</v>
      </c>
      <c r="R491" s="101" t="s">
        <v>43</v>
      </c>
      <c r="S491" s="101" t="s">
        <v>42</v>
      </c>
      <c r="T491" s="101" t="s">
        <v>49</v>
      </c>
      <c r="U491" s="101" t="s">
        <v>67</v>
      </c>
      <c r="V491" s="101" t="s">
        <v>158</v>
      </c>
      <c r="W491" s="102" t="s">
        <v>181</v>
      </c>
      <c r="X491" s="101" t="s">
        <v>66</v>
      </c>
    </row>
    <row r="492" spans="1:25" ht="15.75" thickBot="1">
      <c r="A492" s="8" t="s">
        <v>5</v>
      </c>
      <c r="B492" s="36" t="s">
        <v>72</v>
      </c>
      <c r="C492" s="82">
        <f>E492+F492+G492+H492+I492+J492+K492+L492</f>
        <v>2</v>
      </c>
      <c r="D492" s="9">
        <f>E492+F492+G492+H492</f>
        <v>2</v>
      </c>
      <c r="E492" s="31">
        <f>Algandmed!AG70</f>
        <v>0</v>
      </c>
      <c r="F492" s="31">
        <f>Algandmed!AH70</f>
        <v>0</v>
      </c>
      <c r="G492" s="31">
        <f>Algandmed!AI70</f>
        <v>0</v>
      </c>
      <c r="H492" s="31">
        <f>Algandmed!AJ70</f>
        <v>2</v>
      </c>
      <c r="I492" s="31">
        <f>Algandmed!AK70</f>
        <v>0</v>
      </c>
      <c r="J492" s="31">
        <f>Algandmed!AN70</f>
        <v>0</v>
      </c>
      <c r="K492" s="31">
        <f>Algandmed!AL70</f>
        <v>0</v>
      </c>
      <c r="L492" s="31">
        <f>Algandmed!AO70</f>
        <v>0</v>
      </c>
      <c r="M492" s="8" t="s">
        <v>1</v>
      </c>
      <c r="N492" s="36" t="s">
        <v>72</v>
      </c>
      <c r="O492" s="82">
        <f>Q492+R492+S492+T492+U492+X492+V492+W492</f>
        <v>5</v>
      </c>
      <c r="P492" s="9">
        <f>Q492+R492+S492+T492</f>
        <v>3</v>
      </c>
      <c r="Q492" s="31">
        <f>Algandmed!AV70</f>
        <v>1</v>
      </c>
      <c r="R492" s="31">
        <f>Algandmed!AW70</f>
        <v>0</v>
      </c>
      <c r="S492" s="31">
        <f>Algandmed!AX70</f>
        <v>0</v>
      </c>
      <c r="T492" s="31">
        <f>Algandmed!AY70</f>
        <v>2</v>
      </c>
      <c r="U492" s="31">
        <f>Algandmed!AZ70</f>
        <v>0</v>
      </c>
      <c r="V492" s="31">
        <f>Algandmed!BC70</f>
        <v>0</v>
      </c>
      <c r="W492" s="31">
        <f>Algandmed!BA70</f>
        <v>0</v>
      </c>
      <c r="X492" s="31">
        <f>Algandmed!BD70</f>
        <v>2</v>
      </c>
    </row>
    <row r="493" spans="1:25">
      <c r="A493" s="17"/>
      <c r="B493" s="17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7"/>
      <c r="N493" s="17"/>
      <c r="O493" s="10"/>
      <c r="P493" s="10"/>
      <c r="Q493" s="10"/>
      <c r="R493" s="10"/>
      <c r="S493" s="10"/>
      <c r="T493" s="10"/>
      <c r="U493" s="10"/>
      <c r="V493" s="10"/>
      <c r="W493" s="10"/>
      <c r="X493" s="10"/>
    </row>
    <row r="494" spans="1:25">
      <c r="A494" s="29"/>
      <c r="B494" s="29"/>
      <c r="J494" s="116"/>
      <c r="V494" s="116"/>
    </row>
    <row r="495" spans="1:25" ht="33.75">
      <c r="A495" s="8"/>
      <c r="B495" s="8"/>
      <c r="C495" s="9"/>
      <c r="D495" s="101" t="s">
        <v>46</v>
      </c>
      <c r="E495" s="101" t="s">
        <v>44</v>
      </c>
      <c r="F495" s="101" t="s">
        <v>43</v>
      </c>
      <c r="G495" s="101" t="s">
        <v>42</v>
      </c>
      <c r="H495" s="101" t="s">
        <v>49</v>
      </c>
      <c r="I495" s="101" t="s">
        <v>47</v>
      </c>
      <c r="J495" s="102" t="s">
        <v>157</v>
      </c>
      <c r="K495" s="102" t="s">
        <v>180</v>
      </c>
      <c r="L495" s="101" t="s">
        <v>48</v>
      </c>
      <c r="M495" s="104"/>
      <c r="N495" s="104"/>
      <c r="O495" s="104"/>
      <c r="P495" s="101" t="s">
        <v>46</v>
      </c>
      <c r="Q495" s="101" t="s">
        <v>44</v>
      </c>
      <c r="R495" s="101" t="s">
        <v>43</v>
      </c>
      <c r="S495" s="101" t="s">
        <v>42</v>
      </c>
      <c r="T495" s="101" t="s">
        <v>49</v>
      </c>
      <c r="U495" s="101" t="s">
        <v>67</v>
      </c>
      <c r="V495" s="102" t="s">
        <v>158</v>
      </c>
      <c r="W495" s="102" t="s">
        <v>181</v>
      </c>
      <c r="X495" s="101" t="s">
        <v>66</v>
      </c>
    </row>
    <row r="496" spans="1:25">
      <c r="A496" s="8" t="s">
        <v>5</v>
      </c>
      <c r="B496" s="36" t="s">
        <v>72</v>
      </c>
      <c r="C496" s="9"/>
      <c r="D496" s="46">
        <f t="shared" ref="D496:L496" si="40">D492/$C492</f>
        <v>1</v>
      </c>
      <c r="E496" s="50">
        <f t="shared" si="40"/>
        <v>0</v>
      </c>
      <c r="F496" s="50">
        <f t="shared" si="40"/>
        <v>0</v>
      </c>
      <c r="G496" s="50">
        <f t="shared" si="40"/>
        <v>0</v>
      </c>
      <c r="H496" s="50">
        <f t="shared" si="40"/>
        <v>1</v>
      </c>
      <c r="I496" s="50">
        <f t="shared" si="40"/>
        <v>0</v>
      </c>
      <c r="J496" s="50">
        <f t="shared" si="40"/>
        <v>0</v>
      </c>
      <c r="K496" s="50">
        <f t="shared" si="40"/>
        <v>0</v>
      </c>
      <c r="L496" s="50">
        <f t="shared" si="40"/>
        <v>0</v>
      </c>
      <c r="M496" s="8" t="s">
        <v>1</v>
      </c>
      <c r="N496" s="36" t="s">
        <v>72</v>
      </c>
      <c r="O496" s="9"/>
      <c r="P496" s="46">
        <f t="shared" ref="P496:X496" si="41">P492/$O492</f>
        <v>0.6</v>
      </c>
      <c r="Q496" s="50">
        <f t="shared" si="41"/>
        <v>0.2</v>
      </c>
      <c r="R496" s="50">
        <f t="shared" si="41"/>
        <v>0</v>
      </c>
      <c r="S496" s="50">
        <f t="shared" si="41"/>
        <v>0</v>
      </c>
      <c r="T496" s="50">
        <f t="shared" si="41"/>
        <v>0.4</v>
      </c>
      <c r="U496" s="50">
        <f t="shared" si="41"/>
        <v>0</v>
      </c>
      <c r="V496" s="50">
        <f t="shared" si="41"/>
        <v>0</v>
      </c>
      <c r="W496" s="50">
        <f t="shared" si="41"/>
        <v>0</v>
      </c>
      <c r="X496" s="50">
        <f t="shared" si="41"/>
        <v>0.4</v>
      </c>
    </row>
    <row r="497" spans="1:24">
      <c r="A497" s="17"/>
      <c r="B497" s="17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7"/>
      <c r="N497" s="17"/>
      <c r="O497" s="10"/>
      <c r="P497" s="10"/>
      <c r="Q497" s="10"/>
      <c r="R497" s="10"/>
      <c r="S497" s="10"/>
      <c r="T497" s="10"/>
      <c r="U497" s="10"/>
      <c r="V497" s="10"/>
      <c r="W497" s="10"/>
      <c r="X497" s="10"/>
    </row>
    <row r="512" spans="1:24" s="127" customFormat="1"/>
    <row r="513" spans="1:26" ht="23.25">
      <c r="B513" s="408" t="s">
        <v>143</v>
      </c>
      <c r="C513" s="408"/>
      <c r="D513" s="408"/>
      <c r="E513" s="408"/>
      <c r="F513" s="408"/>
      <c r="G513" s="408"/>
      <c r="H513" s="408"/>
      <c r="I513" s="408"/>
      <c r="J513" s="408"/>
      <c r="K513" s="408"/>
      <c r="N513" s="408" t="s">
        <v>144</v>
      </c>
      <c r="O513" s="408"/>
      <c r="P513" s="408"/>
      <c r="Q513" s="408"/>
      <c r="R513" s="408"/>
      <c r="S513" s="408"/>
      <c r="T513" s="408"/>
      <c r="U513" s="408"/>
      <c r="V513" s="408"/>
      <c r="W513" s="408"/>
    </row>
    <row r="514" spans="1:26" ht="15.6" customHeight="1">
      <c r="A514" s="139"/>
      <c r="B514" s="140"/>
      <c r="C514" s="140"/>
      <c r="D514" s="140"/>
      <c r="E514" s="140"/>
      <c r="F514" s="140"/>
      <c r="G514" s="31" t="s">
        <v>202</v>
      </c>
      <c r="H514" s="140"/>
      <c r="I514" s="140"/>
      <c r="J514" s="140"/>
      <c r="K514" s="140"/>
      <c r="L514" s="139"/>
      <c r="M514" s="139"/>
      <c r="N514" s="140"/>
      <c r="O514" s="140"/>
      <c r="P514" s="140"/>
      <c r="Q514" s="140"/>
      <c r="R514" s="140"/>
      <c r="S514" s="31" t="s">
        <v>203</v>
      </c>
      <c r="T514" s="140"/>
      <c r="U514" s="140"/>
      <c r="V514" s="140"/>
      <c r="W514" s="140"/>
      <c r="X514" s="139"/>
    </row>
    <row r="515" spans="1:26" ht="34.5" thickBot="1">
      <c r="A515" s="8"/>
      <c r="B515" s="8"/>
      <c r="C515" s="107" t="s">
        <v>45</v>
      </c>
      <c r="D515" s="101" t="s">
        <v>46</v>
      </c>
      <c r="E515" s="101" t="s">
        <v>44</v>
      </c>
      <c r="F515" s="101" t="s">
        <v>43</v>
      </c>
      <c r="G515" s="101" t="s">
        <v>42</v>
      </c>
      <c r="H515" s="101" t="s">
        <v>49</v>
      </c>
      <c r="I515" s="101" t="s">
        <v>47</v>
      </c>
      <c r="J515" s="101" t="s">
        <v>157</v>
      </c>
      <c r="K515" s="101" t="s">
        <v>180</v>
      </c>
      <c r="L515" s="101" t="s">
        <v>48</v>
      </c>
      <c r="M515" s="104"/>
      <c r="N515" s="104"/>
      <c r="O515" s="107" t="s">
        <v>45</v>
      </c>
      <c r="P515" s="101" t="s">
        <v>46</v>
      </c>
      <c r="Q515" s="101" t="s">
        <v>44</v>
      </c>
      <c r="R515" s="101" t="s">
        <v>43</v>
      </c>
      <c r="S515" s="101" t="s">
        <v>42</v>
      </c>
      <c r="T515" s="101" t="s">
        <v>49</v>
      </c>
      <c r="U515" s="101" t="s">
        <v>67</v>
      </c>
      <c r="V515" s="101" t="s">
        <v>158</v>
      </c>
      <c r="W515" s="102" t="s">
        <v>181</v>
      </c>
      <c r="X515" s="101" t="s">
        <v>66</v>
      </c>
    </row>
    <row r="516" spans="1:26" ht="15.75" thickBot="1">
      <c r="A516" s="8" t="s">
        <v>5</v>
      </c>
      <c r="B516" s="36" t="s">
        <v>73</v>
      </c>
      <c r="C516" s="82">
        <f>E516+F516+G516+H516+I516+J516+L516+K516</f>
        <v>10</v>
      </c>
      <c r="D516" s="9">
        <f>E516+F516+G516+H516</f>
        <v>2</v>
      </c>
      <c r="E516" s="31">
        <f>Algandmed!AG74</f>
        <v>0</v>
      </c>
      <c r="F516" s="31">
        <f>Algandmed!AH74</f>
        <v>0</v>
      </c>
      <c r="G516" s="31">
        <f>Algandmed!AI74</f>
        <v>2</v>
      </c>
      <c r="H516" s="31">
        <f>Algandmed!AJ74</f>
        <v>0</v>
      </c>
      <c r="I516" s="31">
        <f>Algandmed!AK74</f>
        <v>1</v>
      </c>
      <c r="J516" s="31">
        <f>Algandmed!AN74</f>
        <v>1</v>
      </c>
      <c r="K516" s="31">
        <f>Algandmed!AL74</f>
        <v>0</v>
      </c>
      <c r="L516" s="31">
        <f>Algandmed!AO74</f>
        <v>6</v>
      </c>
      <c r="M516" s="8" t="s">
        <v>1</v>
      </c>
      <c r="N516" s="36" t="s">
        <v>73</v>
      </c>
      <c r="O516" s="82">
        <f>Q516+R516+S516+T516+U516+X516+V516+W516</f>
        <v>8</v>
      </c>
      <c r="P516" s="9">
        <f>Q516+R516+S516+T516</f>
        <v>2</v>
      </c>
      <c r="Q516" s="31">
        <f>Algandmed!AV74</f>
        <v>0</v>
      </c>
      <c r="R516" s="31">
        <f>Algandmed!AW74</f>
        <v>1</v>
      </c>
      <c r="S516" s="31">
        <f>Algandmed!AX74</f>
        <v>1</v>
      </c>
      <c r="T516" s="31">
        <f>Algandmed!AY74</f>
        <v>0</v>
      </c>
      <c r="U516" s="31">
        <f>Algandmed!AZ74</f>
        <v>0</v>
      </c>
      <c r="V516" s="31">
        <f>Algandmed!BC74</f>
        <v>0</v>
      </c>
      <c r="W516" s="31">
        <f>Algandmed!BA74</f>
        <v>0</v>
      </c>
      <c r="X516" s="31">
        <f>Algandmed!BD74</f>
        <v>6</v>
      </c>
    </row>
    <row r="517" spans="1:26" ht="22.15" customHeight="1">
      <c r="A517" s="17"/>
      <c r="B517" s="17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7"/>
      <c r="N517" s="17"/>
      <c r="O517" s="10"/>
      <c r="P517" s="10"/>
      <c r="Q517" s="10"/>
      <c r="R517" s="10"/>
      <c r="S517" s="10"/>
      <c r="T517" s="10"/>
      <c r="U517" s="10"/>
      <c r="V517" s="10"/>
      <c r="W517" s="10"/>
      <c r="X517" s="10"/>
    </row>
    <row r="518" spans="1:26" ht="26.25">
      <c r="A518" s="29"/>
      <c r="B518" s="29"/>
      <c r="K518" s="120"/>
      <c r="W518" s="120"/>
      <c r="Z518" s="79"/>
    </row>
    <row r="519" spans="1:26" ht="33.75">
      <c r="A519" s="8"/>
      <c r="B519" s="8"/>
      <c r="C519" s="9"/>
      <c r="D519" s="101" t="s">
        <v>46</v>
      </c>
      <c r="E519" s="101" t="s">
        <v>44</v>
      </c>
      <c r="F519" s="101" t="s">
        <v>43</v>
      </c>
      <c r="G519" s="101" t="s">
        <v>42</v>
      </c>
      <c r="H519" s="101" t="s">
        <v>49</v>
      </c>
      <c r="I519" s="101" t="s">
        <v>47</v>
      </c>
      <c r="J519" s="102" t="s">
        <v>157</v>
      </c>
      <c r="K519" s="102" t="s">
        <v>180</v>
      </c>
      <c r="L519" s="101" t="s">
        <v>48</v>
      </c>
      <c r="M519" s="104"/>
      <c r="N519" s="104"/>
      <c r="O519" s="104"/>
      <c r="P519" s="101" t="s">
        <v>46</v>
      </c>
      <c r="Q519" s="101" t="s">
        <v>44</v>
      </c>
      <c r="R519" s="101" t="s">
        <v>43</v>
      </c>
      <c r="S519" s="101" t="s">
        <v>42</v>
      </c>
      <c r="T519" s="101" t="s">
        <v>49</v>
      </c>
      <c r="U519" s="101" t="s">
        <v>67</v>
      </c>
      <c r="V519" s="102" t="s">
        <v>158</v>
      </c>
      <c r="W519" s="102" t="s">
        <v>181</v>
      </c>
      <c r="X519" s="101" t="s">
        <v>66</v>
      </c>
    </row>
    <row r="520" spans="1:26">
      <c r="A520" s="8" t="s">
        <v>5</v>
      </c>
      <c r="B520" s="36" t="s">
        <v>73</v>
      </c>
      <c r="C520" s="9"/>
      <c r="D520" s="46">
        <f t="shared" ref="D520:L520" si="42">D516/$C516</f>
        <v>0.2</v>
      </c>
      <c r="E520" s="50">
        <f t="shared" si="42"/>
        <v>0</v>
      </c>
      <c r="F520" s="50">
        <f t="shared" si="42"/>
        <v>0</v>
      </c>
      <c r="G520" s="50">
        <f t="shared" si="42"/>
        <v>0.2</v>
      </c>
      <c r="H520" s="50">
        <f t="shared" si="42"/>
        <v>0</v>
      </c>
      <c r="I520" s="50">
        <f t="shared" si="42"/>
        <v>0.1</v>
      </c>
      <c r="J520" s="50">
        <f t="shared" si="42"/>
        <v>0.1</v>
      </c>
      <c r="K520" s="50">
        <f t="shared" si="42"/>
        <v>0</v>
      </c>
      <c r="L520" s="50">
        <f t="shared" si="42"/>
        <v>0.6</v>
      </c>
      <c r="M520" s="8" t="s">
        <v>1</v>
      </c>
      <c r="N520" s="36" t="s">
        <v>73</v>
      </c>
      <c r="O520" s="9"/>
      <c r="P520" s="46">
        <f t="shared" ref="P520:X520" si="43">P516/$O516</f>
        <v>0.25</v>
      </c>
      <c r="Q520" s="50">
        <f t="shared" si="43"/>
        <v>0</v>
      </c>
      <c r="R520" s="50">
        <f t="shared" si="43"/>
        <v>0.125</v>
      </c>
      <c r="S520" s="50">
        <f t="shared" si="43"/>
        <v>0.125</v>
      </c>
      <c r="T520" s="50">
        <f t="shared" si="43"/>
        <v>0</v>
      </c>
      <c r="U520" s="50">
        <f t="shared" si="43"/>
        <v>0</v>
      </c>
      <c r="V520" s="50">
        <f t="shared" si="43"/>
        <v>0</v>
      </c>
      <c r="W520" s="50">
        <f t="shared" si="43"/>
        <v>0</v>
      </c>
      <c r="X520" s="50">
        <f t="shared" si="43"/>
        <v>0.75</v>
      </c>
    </row>
    <row r="521" spans="1:26">
      <c r="A521" s="17"/>
      <c r="B521" s="17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7"/>
      <c r="N521" s="17"/>
      <c r="O521" s="10"/>
      <c r="P521" s="10"/>
      <c r="Q521" s="10"/>
      <c r="R521" s="10"/>
      <c r="S521" s="10"/>
      <c r="T521" s="10"/>
      <c r="U521" s="10"/>
      <c r="V521" s="10"/>
      <c r="W521" s="10"/>
      <c r="X521" s="10"/>
    </row>
    <row r="522" spans="1:26">
      <c r="L522" s="29"/>
      <c r="M522" s="29"/>
      <c r="N522" s="29"/>
    </row>
    <row r="523" spans="1:26">
      <c r="L523" s="29"/>
      <c r="M523" s="29"/>
      <c r="N523" s="29"/>
    </row>
    <row r="524" spans="1:26">
      <c r="L524" s="29"/>
      <c r="M524" s="29"/>
      <c r="N524" s="29"/>
    </row>
    <row r="525" spans="1:26">
      <c r="L525" s="29"/>
      <c r="M525" s="29"/>
      <c r="N525" s="29"/>
    </row>
    <row r="526" spans="1:26">
      <c r="F526" s="29"/>
      <c r="G526" s="29"/>
      <c r="H526" s="29"/>
      <c r="I526" s="29"/>
      <c r="J526" s="29"/>
      <c r="K526" s="29"/>
      <c r="L526" s="29"/>
      <c r="M526" s="29"/>
      <c r="N526" s="29"/>
    </row>
    <row r="527" spans="1:26">
      <c r="F527" s="29"/>
      <c r="G527" s="29"/>
      <c r="H527" s="29"/>
      <c r="I527" s="29"/>
      <c r="J527" s="29"/>
      <c r="K527" s="29"/>
      <c r="L527" s="29"/>
      <c r="M527" s="29"/>
      <c r="N527" s="29"/>
    </row>
    <row r="528" spans="1:26">
      <c r="F528" s="29"/>
      <c r="G528" s="29"/>
      <c r="H528" s="29"/>
      <c r="I528" s="29"/>
      <c r="J528" s="29"/>
      <c r="K528" s="29"/>
      <c r="L528" s="29"/>
      <c r="M528" s="29"/>
      <c r="N528" s="29"/>
    </row>
    <row r="529" spans="1:36">
      <c r="F529" s="29"/>
      <c r="G529" s="29"/>
      <c r="H529" s="29"/>
      <c r="I529" s="29"/>
      <c r="J529" s="29"/>
      <c r="K529" s="29"/>
      <c r="L529" s="29"/>
      <c r="M529" s="29"/>
      <c r="N529" s="29"/>
    </row>
    <row r="530" spans="1:36">
      <c r="F530" s="29"/>
      <c r="G530" s="29"/>
      <c r="H530" s="29"/>
      <c r="I530" s="29"/>
      <c r="J530" s="29"/>
      <c r="K530" s="29"/>
      <c r="L530" s="29"/>
      <c r="M530" s="29"/>
      <c r="N530" s="29"/>
    </row>
    <row r="531" spans="1:36">
      <c r="F531" s="29"/>
      <c r="G531" s="29"/>
      <c r="H531" s="29"/>
      <c r="I531" s="29"/>
      <c r="J531" s="29"/>
      <c r="K531" s="29"/>
      <c r="L531" s="29"/>
      <c r="M531" s="29"/>
      <c r="N531" s="29"/>
    </row>
    <row r="532" spans="1:36">
      <c r="F532" s="29"/>
      <c r="G532" s="29"/>
      <c r="H532" s="29"/>
      <c r="I532" s="29"/>
      <c r="J532" s="29"/>
      <c r="K532" s="29"/>
      <c r="L532" s="29"/>
      <c r="M532" s="29"/>
      <c r="N532" s="29"/>
    </row>
    <row r="533" spans="1:36" s="97" customFormat="1">
      <c r="A533" s="1"/>
      <c r="B533" s="1"/>
      <c r="C533" s="1"/>
      <c r="D533" s="1"/>
      <c r="E533" s="1"/>
      <c r="F533" s="29"/>
      <c r="G533" s="29"/>
      <c r="H533" s="29"/>
      <c r="I533" s="29"/>
      <c r="J533" s="29"/>
      <c r="K533" s="29"/>
      <c r="L533" s="29"/>
      <c r="M533" s="29"/>
      <c r="N533" s="29"/>
      <c r="O533" s="1"/>
      <c r="P533" s="1"/>
      <c r="Q533" s="1"/>
      <c r="R533" s="1"/>
      <c r="S533" s="1"/>
      <c r="T533" s="1"/>
      <c r="U533" s="1"/>
      <c r="V533" s="1"/>
      <c r="W533" s="1"/>
      <c r="X533" s="1"/>
    </row>
    <row r="534" spans="1:36" s="97" customFormat="1">
      <c r="F534" s="100"/>
      <c r="G534" s="100"/>
      <c r="H534" s="100"/>
      <c r="I534" s="100"/>
      <c r="J534" s="100"/>
      <c r="K534" s="100"/>
      <c r="L534" s="100"/>
      <c r="M534" s="100"/>
      <c r="N534" s="100"/>
    </row>
    <row r="535" spans="1:36" s="117" customFormat="1">
      <c r="A535" s="97"/>
      <c r="B535" s="97"/>
      <c r="C535" s="97"/>
      <c r="D535" s="97"/>
      <c r="E535" s="97"/>
      <c r="F535" s="100"/>
      <c r="G535" s="100"/>
      <c r="H535" s="100"/>
      <c r="I535" s="100"/>
      <c r="J535" s="100"/>
      <c r="K535" s="100"/>
      <c r="L535" s="100"/>
      <c r="M535" s="100"/>
      <c r="N535" s="100"/>
      <c r="O535" s="97"/>
      <c r="P535" s="97"/>
      <c r="Q535" s="97"/>
      <c r="R535" s="97"/>
      <c r="S535" s="97"/>
      <c r="T535" s="97"/>
      <c r="U535" s="97"/>
      <c r="V535" s="97"/>
      <c r="W535" s="97"/>
      <c r="X535" s="97"/>
    </row>
    <row r="536" spans="1:36" s="117" customFormat="1">
      <c r="F536" s="115"/>
      <c r="G536" s="115"/>
      <c r="H536" s="115"/>
      <c r="I536" s="115"/>
      <c r="J536" s="115"/>
      <c r="K536" s="115"/>
      <c r="L536" s="115"/>
      <c r="M536" s="115"/>
      <c r="N536" s="115"/>
    </row>
    <row r="537" spans="1:36" ht="23.25">
      <c r="B537" s="408" t="s">
        <v>171</v>
      </c>
      <c r="C537" s="408"/>
      <c r="D537" s="408"/>
      <c r="E537" s="408"/>
      <c r="F537" s="408"/>
      <c r="G537" s="408"/>
      <c r="H537" s="408"/>
      <c r="I537" s="408"/>
      <c r="J537" s="408"/>
      <c r="K537" s="408"/>
      <c r="M537" s="408" t="s">
        <v>172</v>
      </c>
      <c r="N537" s="408"/>
      <c r="O537" s="408"/>
      <c r="P537" s="408"/>
      <c r="Q537" s="408"/>
      <c r="R537" s="408"/>
      <c r="S537" s="408"/>
      <c r="T537" s="408"/>
      <c r="U537" s="408"/>
      <c r="V537" s="408"/>
      <c r="W537" s="408"/>
      <c r="X537" s="408"/>
    </row>
    <row r="538" spans="1:36">
      <c r="A538" s="139"/>
      <c r="B538" s="139"/>
      <c r="C538" s="139"/>
      <c r="D538" s="139"/>
      <c r="E538" s="139"/>
      <c r="F538" s="139"/>
      <c r="G538" s="139" t="s">
        <v>204</v>
      </c>
      <c r="H538" s="139"/>
      <c r="I538" s="139"/>
      <c r="J538" s="139"/>
      <c r="K538" s="139"/>
      <c r="L538" s="139"/>
      <c r="M538" s="139"/>
      <c r="N538" s="139"/>
      <c r="O538" s="139"/>
      <c r="P538" s="139"/>
      <c r="Q538" s="139"/>
      <c r="R538" s="139"/>
      <c r="S538" s="139" t="s">
        <v>205</v>
      </c>
      <c r="T538" s="139"/>
      <c r="U538" s="139"/>
      <c r="V538" s="139"/>
      <c r="W538" s="139"/>
      <c r="X538" s="139"/>
    </row>
    <row r="539" spans="1:36" ht="34.5" thickBot="1">
      <c r="A539" s="8"/>
      <c r="B539" s="8"/>
      <c r="C539" s="107" t="s">
        <v>45</v>
      </c>
      <c r="D539" s="101" t="s">
        <v>46</v>
      </c>
      <c r="E539" s="101" t="s">
        <v>44</v>
      </c>
      <c r="F539" s="101" t="s">
        <v>43</v>
      </c>
      <c r="G539" s="101" t="s">
        <v>42</v>
      </c>
      <c r="H539" s="101" t="s">
        <v>49</v>
      </c>
      <c r="I539" s="101" t="s">
        <v>47</v>
      </c>
      <c r="J539" s="102" t="s">
        <v>157</v>
      </c>
      <c r="K539" s="102" t="s">
        <v>180</v>
      </c>
      <c r="L539" s="101" t="s">
        <v>48</v>
      </c>
      <c r="M539" s="104"/>
      <c r="N539" s="104"/>
      <c r="O539" s="107" t="s">
        <v>45</v>
      </c>
      <c r="P539" s="101" t="s">
        <v>46</v>
      </c>
      <c r="Q539" s="101" t="s">
        <v>44</v>
      </c>
      <c r="R539" s="101" t="s">
        <v>43</v>
      </c>
      <c r="S539" s="101" t="s">
        <v>42</v>
      </c>
      <c r="T539" s="101" t="s">
        <v>49</v>
      </c>
      <c r="U539" s="101" t="s">
        <v>67</v>
      </c>
      <c r="V539" s="102" t="s">
        <v>158</v>
      </c>
      <c r="W539" s="102" t="s">
        <v>181</v>
      </c>
      <c r="X539" s="101" t="s">
        <v>66</v>
      </c>
      <c r="AA539"/>
      <c r="AB539"/>
      <c r="AC539"/>
      <c r="AD539"/>
      <c r="AE539"/>
      <c r="AF539"/>
      <c r="AG539"/>
      <c r="AH539"/>
      <c r="AI539"/>
      <c r="AJ539"/>
    </row>
    <row r="540" spans="1:36">
      <c r="A540" s="26" t="s">
        <v>5</v>
      </c>
      <c r="B540" s="36" t="s">
        <v>50</v>
      </c>
      <c r="C540" s="81">
        <f>E540+F540+G540+H540+I540+L540+J540+K540</f>
        <v>0</v>
      </c>
      <c r="D540" s="9">
        <f>E540+F540+G540+H540</f>
        <v>0</v>
      </c>
      <c r="E540" s="1">
        <f>Algandmed!AG96</f>
        <v>0</v>
      </c>
      <c r="F540" s="1">
        <f>Algandmed!AH96</f>
        <v>0</v>
      </c>
      <c r="G540" s="1">
        <f>Algandmed!AI96</f>
        <v>0</v>
      </c>
      <c r="H540" s="1">
        <f>Algandmed!AJ96</f>
        <v>0</v>
      </c>
      <c r="I540" s="1">
        <f>Algandmed!AK96</f>
        <v>0</v>
      </c>
      <c r="J540" s="77">
        <f>Algandmed!AN96</f>
        <v>0</v>
      </c>
      <c r="K540" s="120">
        <f>Algandmed!AL96</f>
        <v>0</v>
      </c>
      <c r="L540" s="1">
        <f>Algandmed!AO96</f>
        <v>0</v>
      </c>
      <c r="M540" s="26" t="s">
        <v>1</v>
      </c>
      <c r="N540" s="36" t="s">
        <v>50</v>
      </c>
      <c r="O540" s="81">
        <f>Q540+R540+S540+T540+U540+X540+V540+W540</f>
        <v>0</v>
      </c>
      <c r="P540" s="9">
        <f>Q540+R540+S540+T540</f>
        <v>0</v>
      </c>
      <c r="Q540" s="1">
        <f>Algandmed!AV96</f>
        <v>0</v>
      </c>
      <c r="R540" s="1">
        <f>Algandmed!AW96</f>
        <v>0</v>
      </c>
      <c r="S540" s="1">
        <f>Algandmed!AX96</f>
        <v>0</v>
      </c>
      <c r="T540" s="1">
        <f>Algandmed!AY96</f>
        <v>0</v>
      </c>
      <c r="U540" s="1">
        <f>Algandmed!AZ96</f>
        <v>0</v>
      </c>
      <c r="V540" s="77">
        <f>Algandmed!BC96</f>
        <v>0</v>
      </c>
      <c r="W540" s="120">
        <f>Algandmed!BA96</f>
        <v>0</v>
      </c>
      <c r="X540" s="1">
        <f>Algandmed!BD96</f>
        <v>0</v>
      </c>
      <c r="AA540"/>
      <c r="AB540"/>
      <c r="AC540"/>
      <c r="AD540"/>
      <c r="AE540"/>
      <c r="AF540"/>
      <c r="AG540"/>
      <c r="AH540"/>
      <c r="AI540"/>
      <c r="AJ540"/>
    </row>
    <row r="541" spans="1:36">
      <c r="A541" s="128" t="s">
        <v>73</v>
      </c>
      <c r="B541" s="36" t="s">
        <v>55</v>
      </c>
      <c r="C541" s="83" t="e">
        <f>E541+F541+G541+H541+I541+L541+J541+K541</f>
        <v>#REF!</v>
      </c>
      <c r="D541" s="9" t="e">
        <f>E541+F541+G541+H541</f>
        <v>#REF!</v>
      </c>
      <c r="E541" s="1" t="e">
        <f>Algandmed!#REF!</f>
        <v>#REF!</v>
      </c>
      <c r="F541" s="1" t="e">
        <f>Algandmed!#REF!</f>
        <v>#REF!</v>
      </c>
      <c r="G541" s="1" t="e">
        <f>Algandmed!#REF!</f>
        <v>#REF!</v>
      </c>
      <c r="H541" s="1" t="e">
        <f>Algandmed!#REF!</f>
        <v>#REF!</v>
      </c>
      <c r="I541" s="1" t="e">
        <f>Algandmed!#REF!</f>
        <v>#REF!</v>
      </c>
      <c r="J541" s="77" t="e">
        <f>Algandmed!#REF!</f>
        <v>#REF!</v>
      </c>
      <c r="K541" s="120" t="e">
        <f>Algandmed!#REF!</f>
        <v>#REF!</v>
      </c>
      <c r="L541" s="1" t="e">
        <f>Algandmed!#REF!</f>
        <v>#REF!</v>
      </c>
      <c r="M541" s="128" t="s">
        <v>73</v>
      </c>
      <c r="N541" s="36" t="s">
        <v>55</v>
      </c>
      <c r="O541" s="83" t="e">
        <f>Q541+R541+S541+T541+U541+X541+V541+W541</f>
        <v>#REF!</v>
      </c>
      <c r="P541" s="9" t="e">
        <f>Q541+R541+S541+T541</f>
        <v>#REF!</v>
      </c>
      <c r="Q541" s="1" t="e">
        <f>Algandmed!#REF!</f>
        <v>#REF!</v>
      </c>
      <c r="R541" s="1" t="e">
        <f>Algandmed!#REF!</f>
        <v>#REF!</v>
      </c>
      <c r="S541" s="1" t="e">
        <f>Algandmed!#REF!</f>
        <v>#REF!</v>
      </c>
      <c r="T541" s="1" t="e">
        <f>Algandmed!#REF!</f>
        <v>#REF!</v>
      </c>
      <c r="U541" s="1" t="e">
        <f>Algandmed!#REF!</f>
        <v>#REF!</v>
      </c>
      <c r="V541" s="77" t="e">
        <f>Algandmed!#REF!</f>
        <v>#REF!</v>
      </c>
      <c r="W541" s="120" t="e">
        <f>Algandmed!#REF!</f>
        <v>#REF!</v>
      </c>
      <c r="X541" s="1" t="e">
        <f>Algandmed!#REF!</f>
        <v>#REF!</v>
      </c>
      <c r="AA541"/>
      <c r="AB541"/>
      <c r="AC541"/>
      <c r="AD541"/>
      <c r="AE541"/>
      <c r="AF541"/>
      <c r="AG541"/>
      <c r="AH541"/>
      <c r="AI541"/>
      <c r="AJ541"/>
    </row>
    <row r="542" spans="1:36">
      <c r="A542" s="8"/>
      <c r="B542" s="36" t="s">
        <v>56</v>
      </c>
      <c r="C542" s="83">
        <f>E542+F542+G542+H542+I542+L542+J542+K542</f>
        <v>0</v>
      </c>
      <c r="D542" s="9">
        <f>E542+F542+G542+H542</f>
        <v>0</v>
      </c>
      <c r="E542" s="1">
        <f>Algandmed!AG97</f>
        <v>0</v>
      </c>
      <c r="F542" s="1">
        <f>Algandmed!AH97</f>
        <v>0</v>
      </c>
      <c r="G542" s="1">
        <f>Algandmed!AI97</f>
        <v>0</v>
      </c>
      <c r="H542" s="1">
        <f>Algandmed!AJ97</f>
        <v>0</v>
      </c>
      <c r="I542" s="1">
        <f>Algandmed!AK97</f>
        <v>0</v>
      </c>
      <c r="J542" s="77">
        <f>Algandmed!AN97</f>
        <v>0</v>
      </c>
      <c r="K542" s="120">
        <f>Algandmed!AL97</f>
        <v>0</v>
      </c>
      <c r="L542" s="1">
        <f>Algandmed!AO97</f>
        <v>0</v>
      </c>
      <c r="M542" s="8"/>
      <c r="N542" s="36" t="s">
        <v>56</v>
      </c>
      <c r="O542" s="83">
        <f>Q542+R542+S542+T542+U542+X542+V542+W542</f>
        <v>0</v>
      </c>
      <c r="P542" s="9">
        <f>Q542+R542+S542+T542</f>
        <v>0</v>
      </c>
      <c r="Q542" s="1">
        <f>Algandmed!AV97</f>
        <v>0</v>
      </c>
      <c r="R542" s="1">
        <f>Algandmed!AW97</f>
        <v>0</v>
      </c>
      <c r="S542" s="1">
        <f>Algandmed!AX97</f>
        <v>0</v>
      </c>
      <c r="T542" s="1">
        <f>Algandmed!AY97</f>
        <v>0</v>
      </c>
      <c r="U542" s="1">
        <f>Algandmed!AZ97</f>
        <v>0</v>
      </c>
      <c r="V542" s="77">
        <f>Algandmed!BC97</f>
        <v>0</v>
      </c>
      <c r="W542" s="120">
        <f>Algandmed!BA97</f>
        <v>0</v>
      </c>
      <c r="X542" s="1">
        <f>Algandmed!BD97</f>
        <v>0</v>
      </c>
      <c r="AA542"/>
      <c r="AB542"/>
      <c r="AC542"/>
      <c r="AD542"/>
      <c r="AE542"/>
      <c r="AF542"/>
      <c r="AG542"/>
      <c r="AH542"/>
      <c r="AI542"/>
      <c r="AJ542"/>
    </row>
    <row r="543" spans="1:36" ht="15.75" thickBot="1">
      <c r="A543" s="8"/>
      <c r="B543" s="36" t="s">
        <v>57</v>
      </c>
      <c r="C543" s="80">
        <f>E543+F543+G543+H543+I543+L543+J543+K543</f>
        <v>0</v>
      </c>
      <c r="D543" s="9">
        <f>E543+F543+G543+H543</f>
        <v>0</v>
      </c>
      <c r="E543" s="1">
        <f>Algandmed!AG98</f>
        <v>0</v>
      </c>
      <c r="F543" s="1">
        <f>Algandmed!AH98</f>
        <v>0</v>
      </c>
      <c r="G543" s="1">
        <f>Algandmed!AI98</f>
        <v>0</v>
      </c>
      <c r="H543" s="1">
        <f>Algandmed!AJ98</f>
        <v>0</v>
      </c>
      <c r="I543" s="1">
        <f>Algandmed!AK98</f>
        <v>0</v>
      </c>
      <c r="J543" s="77">
        <f>Algandmed!AN98</f>
        <v>0</v>
      </c>
      <c r="K543" s="120">
        <f>Algandmed!AL98</f>
        <v>0</v>
      </c>
      <c r="L543" s="1">
        <f>Algandmed!AO98</f>
        <v>0</v>
      </c>
      <c r="M543" s="8"/>
      <c r="N543" s="36" t="s">
        <v>57</v>
      </c>
      <c r="O543" s="80">
        <f>Q543+R543+S543+T543+U543+X543+V543+W543</f>
        <v>0</v>
      </c>
      <c r="P543" s="9">
        <f>Q543+R543+S543+T543</f>
        <v>0</v>
      </c>
      <c r="Q543" s="1">
        <f>Algandmed!AV98</f>
        <v>0</v>
      </c>
      <c r="R543" s="1">
        <f>Algandmed!AW98</f>
        <v>0</v>
      </c>
      <c r="S543" s="1">
        <f>Algandmed!AX98</f>
        <v>0</v>
      </c>
      <c r="T543" s="1">
        <f>Algandmed!AY98</f>
        <v>0</v>
      </c>
      <c r="U543" s="1">
        <f>Algandmed!AZ98</f>
        <v>0</v>
      </c>
      <c r="V543" s="77">
        <f>Algandmed!BC98</f>
        <v>0</v>
      </c>
      <c r="W543" s="120">
        <f>Algandmed!BA98</f>
        <v>0</v>
      </c>
      <c r="X543" s="1">
        <f>Algandmed!BD98</f>
        <v>0</v>
      </c>
      <c r="AA543"/>
      <c r="AB543"/>
      <c r="AC543"/>
      <c r="AD543"/>
      <c r="AE543"/>
      <c r="AF543"/>
      <c r="AG543"/>
      <c r="AH543"/>
      <c r="AI543"/>
      <c r="AJ543"/>
    </row>
    <row r="544" spans="1:36" ht="15.75" thickBot="1">
      <c r="A544" s="8"/>
      <c r="B544" s="26" t="s">
        <v>45</v>
      </c>
      <c r="C544" s="80" t="e">
        <f t="shared" ref="C544:L544" si="44">C540+C541+C542+C543</f>
        <v>#REF!</v>
      </c>
      <c r="D544" s="85" t="e">
        <f t="shared" si="44"/>
        <v>#REF!</v>
      </c>
      <c r="E544" s="87" t="e">
        <f t="shared" si="44"/>
        <v>#REF!</v>
      </c>
      <c r="F544" s="85" t="e">
        <f t="shared" si="44"/>
        <v>#REF!</v>
      </c>
      <c r="G544" s="85" t="e">
        <f t="shared" si="44"/>
        <v>#REF!</v>
      </c>
      <c r="H544" s="85" t="e">
        <f t="shared" si="44"/>
        <v>#REF!</v>
      </c>
      <c r="I544" s="85" t="e">
        <f t="shared" si="44"/>
        <v>#REF!</v>
      </c>
      <c r="J544" s="85" t="e">
        <f t="shared" si="44"/>
        <v>#REF!</v>
      </c>
      <c r="K544" s="85" t="e">
        <f t="shared" si="44"/>
        <v>#REF!</v>
      </c>
      <c r="L544" s="88" t="e">
        <f t="shared" si="44"/>
        <v>#REF!</v>
      </c>
      <c r="M544" s="8"/>
      <c r="N544" s="26" t="s">
        <v>45</v>
      </c>
      <c r="O544" s="80" t="e">
        <f t="shared" ref="O544:X544" si="45">O540+O541+O542+O543</f>
        <v>#REF!</v>
      </c>
      <c r="P544" s="85" t="e">
        <f t="shared" si="45"/>
        <v>#REF!</v>
      </c>
      <c r="Q544" s="87" t="e">
        <f t="shared" si="45"/>
        <v>#REF!</v>
      </c>
      <c r="R544" s="85" t="e">
        <f t="shared" si="45"/>
        <v>#REF!</v>
      </c>
      <c r="S544" s="85" t="e">
        <f t="shared" si="45"/>
        <v>#REF!</v>
      </c>
      <c r="T544" s="85" t="e">
        <f t="shared" si="45"/>
        <v>#REF!</v>
      </c>
      <c r="U544" s="85" t="e">
        <f t="shared" si="45"/>
        <v>#REF!</v>
      </c>
      <c r="V544" s="85" t="e">
        <f t="shared" si="45"/>
        <v>#REF!</v>
      </c>
      <c r="W544" s="85" t="e">
        <f t="shared" si="45"/>
        <v>#REF!</v>
      </c>
      <c r="X544" s="88" t="e">
        <f t="shared" si="45"/>
        <v>#REF!</v>
      </c>
      <c r="AA544"/>
      <c r="AB544"/>
      <c r="AC544"/>
      <c r="AD544"/>
      <c r="AE544"/>
      <c r="AF544"/>
      <c r="AG544"/>
      <c r="AH544"/>
      <c r="AI544"/>
      <c r="AJ544"/>
    </row>
    <row r="545" spans="1:36">
      <c r="A545" s="39"/>
      <c r="B545" s="39"/>
      <c r="C545" s="39"/>
      <c r="D545" s="37"/>
      <c r="E545" s="39"/>
      <c r="F545" s="39"/>
      <c r="G545" s="39"/>
      <c r="H545" s="39"/>
      <c r="I545" s="39"/>
      <c r="J545" s="37"/>
      <c r="K545" s="37"/>
      <c r="L545" s="39"/>
      <c r="M545" s="39"/>
      <c r="N545" s="39"/>
      <c r="O545" s="39"/>
      <c r="P545" s="37"/>
      <c r="Q545" s="39"/>
      <c r="R545" s="39"/>
      <c r="S545" s="39"/>
      <c r="T545" s="39"/>
      <c r="U545" s="39"/>
      <c r="V545" s="37"/>
      <c r="W545" s="37"/>
      <c r="X545" s="39"/>
      <c r="AA545"/>
      <c r="AB545"/>
      <c r="AC545"/>
      <c r="AD545"/>
      <c r="AE545"/>
      <c r="AF545"/>
      <c r="AG545"/>
      <c r="AH545"/>
      <c r="AI545"/>
      <c r="AJ545"/>
    </row>
    <row r="546" spans="1:36">
      <c r="A546" s="29"/>
      <c r="B546" s="29"/>
      <c r="C546" s="29"/>
      <c r="E546" s="29"/>
      <c r="F546" s="29"/>
      <c r="G546" s="29"/>
      <c r="H546" s="29"/>
      <c r="I546" s="29"/>
      <c r="L546" s="29"/>
      <c r="AA546"/>
      <c r="AB546"/>
      <c r="AC546"/>
      <c r="AD546"/>
      <c r="AE546"/>
      <c r="AF546"/>
      <c r="AG546"/>
      <c r="AH546"/>
      <c r="AI546"/>
      <c r="AJ546"/>
    </row>
    <row r="547" spans="1:36" ht="33.75">
      <c r="A547" s="8"/>
      <c r="B547" s="8"/>
      <c r="C547" s="9"/>
      <c r="D547" s="101" t="s">
        <v>46</v>
      </c>
      <c r="E547" s="101" t="s">
        <v>44</v>
      </c>
      <c r="F547" s="101" t="s">
        <v>43</v>
      </c>
      <c r="G547" s="101" t="s">
        <v>42</v>
      </c>
      <c r="H547" s="101" t="s">
        <v>49</v>
      </c>
      <c r="I547" s="101" t="s">
        <v>47</v>
      </c>
      <c r="J547" s="102" t="s">
        <v>157</v>
      </c>
      <c r="K547" s="102" t="s">
        <v>180</v>
      </c>
      <c r="L547" s="101" t="s">
        <v>48</v>
      </c>
      <c r="M547" s="104"/>
      <c r="N547" s="104"/>
      <c r="O547" s="104"/>
      <c r="P547" s="101" t="s">
        <v>46</v>
      </c>
      <c r="Q547" s="101" t="s">
        <v>44</v>
      </c>
      <c r="R547" s="101" t="s">
        <v>43</v>
      </c>
      <c r="S547" s="101" t="s">
        <v>42</v>
      </c>
      <c r="T547" s="101" t="s">
        <v>49</v>
      </c>
      <c r="U547" s="101" t="s">
        <v>67</v>
      </c>
      <c r="V547" s="102" t="s">
        <v>158</v>
      </c>
      <c r="W547" s="102" t="s">
        <v>181</v>
      </c>
      <c r="X547" s="101" t="s">
        <v>66</v>
      </c>
      <c r="AA547"/>
      <c r="AB547"/>
      <c r="AC547"/>
      <c r="AD547"/>
      <c r="AE547"/>
      <c r="AF547"/>
      <c r="AG547"/>
      <c r="AH547"/>
      <c r="AI547"/>
      <c r="AJ547"/>
    </row>
    <row r="548" spans="1:36">
      <c r="A548" s="26" t="s">
        <v>5</v>
      </c>
      <c r="B548" s="36" t="s">
        <v>50</v>
      </c>
      <c r="C548" s="9"/>
      <c r="D548" s="14" t="e">
        <f t="shared" ref="D548:L548" si="46">D540/$C540</f>
        <v>#DIV/0!</v>
      </c>
      <c r="E548" s="7" t="e">
        <f t="shared" si="46"/>
        <v>#DIV/0!</v>
      </c>
      <c r="F548" s="7" t="e">
        <f t="shared" si="46"/>
        <v>#DIV/0!</v>
      </c>
      <c r="G548" s="7" t="e">
        <f t="shared" si="46"/>
        <v>#DIV/0!</v>
      </c>
      <c r="H548" s="7" t="e">
        <f t="shared" si="46"/>
        <v>#DIV/0!</v>
      </c>
      <c r="I548" s="7" t="e">
        <f t="shared" si="46"/>
        <v>#DIV/0!</v>
      </c>
      <c r="J548" s="7" t="e">
        <f t="shared" si="46"/>
        <v>#DIV/0!</v>
      </c>
      <c r="K548" s="7" t="e">
        <f t="shared" si="46"/>
        <v>#DIV/0!</v>
      </c>
      <c r="L548" s="7" t="e">
        <f t="shared" si="46"/>
        <v>#DIV/0!</v>
      </c>
      <c r="M548" s="26" t="s">
        <v>1</v>
      </c>
      <c r="N548" s="36" t="s">
        <v>50</v>
      </c>
      <c r="O548" s="9"/>
      <c r="P548" s="14" t="e">
        <f t="shared" ref="P548:X548" si="47">P540/$O540</f>
        <v>#DIV/0!</v>
      </c>
      <c r="Q548" s="7" t="e">
        <f t="shared" si="47"/>
        <v>#DIV/0!</v>
      </c>
      <c r="R548" s="7" t="e">
        <f t="shared" si="47"/>
        <v>#DIV/0!</v>
      </c>
      <c r="S548" s="7" t="e">
        <f t="shared" si="47"/>
        <v>#DIV/0!</v>
      </c>
      <c r="T548" s="7" t="e">
        <f t="shared" si="47"/>
        <v>#DIV/0!</v>
      </c>
      <c r="U548" s="7" t="e">
        <f t="shared" si="47"/>
        <v>#DIV/0!</v>
      </c>
      <c r="V548" s="7" t="e">
        <f t="shared" si="47"/>
        <v>#DIV/0!</v>
      </c>
      <c r="W548" s="7" t="e">
        <f t="shared" si="47"/>
        <v>#DIV/0!</v>
      </c>
      <c r="X548" s="7" t="e">
        <f t="shared" si="47"/>
        <v>#DIV/0!</v>
      </c>
      <c r="AA548"/>
      <c r="AB548"/>
      <c r="AC548"/>
      <c r="AD548"/>
      <c r="AE548"/>
      <c r="AF548"/>
      <c r="AG548"/>
      <c r="AH548"/>
      <c r="AI548"/>
      <c r="AJ548"/>
    </row>
    <row r="549" spans="1:36">
      <c r="A549" s="128" t="s">
        <v>73</v>
      </c>
      <c r="B549" s="36" t="s">
        <v>55</v>
      </c>
      <c r="C549" s="9"/>
      <c r="D549" s="14" t="e">
        <f t="shared" ref="D549:L549" si="48">D541/$C541</f>
        <v>#REF!</v>
      </c>
      <c r="E549" s="7" t="e">
        <f t="shared" si="48"/>
        <v>#REF!</v>
      </c>
      <c r="F549" s="7" t="e">
        <f t="shared" si="48"/>
        <v>#REF!</v>
      </c>
      <c r="G549" s="7" t="e">
        <f t="shared" si="48"/>
        <v>#REF!</v>
      </c>
      <c r="H549" s="7" t="e">
        <f t="shared" si="48"/>
        <v>#REF!</v>
      </c>
      <c r="I549" s="7" t="e">
        <f t="shared" si="48"/>
        <v>#REF!</v>
      </c>
      <c r="J549" s="7" t="e">
        <f t="shared" si="48"/>
        <v>#REF!</v>
      </c>
      <c r="K549" s="7" t="e">
        <f t="shared" si="48"/>
        <v>#REF!</v>
      </c>
      <c r="L549" s="7" t="e">
        <f t="shared" si="48"/>
        <v>#REF!</v>
      </c>
      <c r="M549" s="128" t="s">
        <v>73</v>
      </c>
      <c r="N549" s="36" t="s">
        <v>55</v>
      </c>
      <c r="O549" s="9"/>
      <c r="P549" s="14" t="e">
        <f t="shared" ref="P549:X549" si="49">P541/$O541</f>
        <v>#REF!</v>
      </c>
      <c r="Q549" s="7" t="e">
        <f t="shared" si="49"/>
        <v>#REF!</v>
      </c>
      <c r="R549" s="7" t="e">
        <f t="shared" si="49"/>
        <v>#REF!</v>
      </c>
      <c r="S549" s="7" t="e">
        <f t="shared" si="49"/>
        <v>#REF!</v>
      </c>
      <c r="T549" s="7" t="e">
        <f t="shared" si="49"/>
        <v>#REF!</v>
      </c>
      <c r="U549" s="7" t="e">
        <f t="shared" si="49"/>
        <v>#REF!</v>
      </c>
      <c r="V549" s="7" t="e">
        <f t="shared" si="49"/>
        <v>#REF!</v>
      </c>
      <c r="W549" s="7" t="e">
        <f t="shared" si="49"/>
        <v>#REF!</v>
      </c>
      <c r="X549" s="7" t="e">
        <f t="shared" si="49"/>
        <v>#REF!</v>
      </c>
      <c r="AA549"/>
      <c r="AB549"/>
      <c r="AC549"/>
      <c r="AD549"/>
      <c r="AE549"/>
      <c r="AF549"/>
      <c r="AG549"/>
      <c r="AH549"/>
      <c r="AI549"/>
      <c r="AJ549"/>
    </row>
    <row r="550" spans="1:36">
      <c r="A550" s="8"/>
      <c r="B550" s="36" t="s">
        <v>56</v>
      </c>
      <c r="C550" s="9"/>
      <c r="D550" s="14" t="e">
        <f t="shared" ref="D550:L550" si="50">D542/$C542</f>
        <v>#DIV/0!</v>
      </c>
      <c r="E550" s="7" t="e">
        <f t="shared" si="50"/>
        <v>#DIV/0!</v>
      </c>
      <c r="F550" s="7" t="e">
        <f t="shared" si="50"/>
        <v>#DIV/0!</v>
      </c>
      <c r="G550" s="7" t="e">
        <f t="shared" si="50"/>
        <v>#DIV/0!</v>
      </c>
      <c r="H550" s="7" t="e">
        <f t="shared" si="50"/>
        <v>#DIV/0!</v>
      </c>
      <c r="I550" s="7" t="e">
        <f t="shared" si="50"/>
        <v>#DIV/0!</v>
      </c>
      <c r="J550" s="7" t="e">
        <f t="shared" si="50"/>
        <v>#DIV/0!</v>
      </c>
      <c r="K550" s="7" t="e">
        <f t="shared" si="50"/>
        <v>#DIV/0!</v>
      </c>
      <c r="L550" s="7" t="e">
        <f t="shared" si="50"/>
        <v>#DIV/0!</v>
      </c>
      <c r="M550" s="8"/>
      <c r="N550" s="36" t="s">
        <v>56</v>
      </c>
      <c r="O550" s="9"/>
      <c r="P550" s="14" t="e">
        <f t="shared" ref="P550:X550" si="51">P542/$O542</f>
        <v>#DIV/0!</v>
      </c>
      <c r="Q550" s="7" t="e">
        <f t="shared" si="51"/>
        <v>#DIV/0!</v>
      </c>
      <c r="R550" s="7" t="e">
        <f t="shared" si="51"/>
        <v>#DIV/0!</v>
      </c>
      <c r="S550" s="7" t="e">
        <f t="shared" si="51"/>
        <v>#DIV/0!</v>
      </c>
      <c r="T550" s="7" t="e">
        <f t="shared" si="51"/>
        <v>#DIV/0!</v>
      </c>
      <c r="U550" s="7" t="e">
        <f t="shared" si="51"/>
        <v>#DIV/0!</v>
      </c>
      <c r="V550" s="7" t="e">
        <f t="shared" si="51"/>
        <v>#DIV/0!</v>
      </c>
      <c r="W550" s="7" t="e">
        <f t="shared" si="51"/>
        <v>#DIV/0!</v>
      </c>
      <c r="X550" s="7" t="e">
        <f t="shared" si="51"/>
        <v>#DIV/0!</v>
      </c>
      <c r="AA550"/>
      <c r="AB550"/>
      <c r="AC550"/>
      <c r="AD550"/>
      <c r="AE550"/>
      <c r="AF550"/>
      <c r="AG550"/>
      <c r="AH550"/>
      <c r="AI550"/>
      <c r="AJ550"/>
    </row>
    <row r="551" spans="1:36">
      <c r="A551" s="8"/>
      <c r="B551" s="36" t="s">
        <v>57</v>
      </c>
      <c r="C551" s="9"/>
      <c r="D551" s="14" t="e">
        <f t="shared" ref="D551:L551" si="52">D543/$C543</f>
        <v>#DIV/0!</v>
      </c>
      <c r="E551" s="7" t="e">
        <f t="shared" si="52"/>
        <v>#DIV/0!</v>
      </c>
      <c r="F551" s="7" t="e">
        <f t="shared" si="52"/>
        <v>#DIV/0!</v>
      </c>
      <c r="G551" s="7" t="e">
        <f t="shared" si="52"/>
        <v>#DIV/0!</v>
      </c>
      <c r="H551" s="7" t="e">
        <f t="shared" si="52"/>
        <v>#DIV/0!</v>
      </c>
      <c r="I551" s="7" t="e">
        <f t="shared" si="52"/>
        <v>#DIV/0!</v>
      </c>
      <c r="J551" s="7" t="e">
        <f t="shared" si="52"/>
        <v>#DIV/0!</v>
      </c>
      <c r="K551" s="7" t="e">
        <f t="shared" si="52"/>
        <v>#DIV/0!</v>
      </c>
      <c r="L551" s="7" t="e">
        <f t="shared" si="52"/>
        <v>#DIV/0!</v>
      </c>
      <c r="M551" s="8"/>
      <c r="N551" s="36" t="s">
        <v>57</v>
      </c>
      <c r="O551" s="9"/>
      <c r="P551" s="14" t="e">
        <f t="shared" ref="P551:X551" si="53">P543/$O543</f>
        <v>#DIV/0!</v>
      </c>
      <c r="Q551" s="7" t="e">
        <f t="shared" si="53"/>
        <v>#DIV/0!</v>
      </c>
      <c r="R551" s="7" t="e">
        <f t="shared" si="53"/>
        <v>#DIV/0!</v>
      </c>
      <c r="S551" s="7" t="e">
        <f t="shared" si="53"/>
        <v>#DIV/0!</v>
      </c>
      <c r="T551" s="7" t="e">
        <f t="shared" si="53"/>
        <v>#DIV/0!</v>
      </c>
      <c r="U551" s="7" t="e">
        <f t="shared" si="53"/>
        <v>#DIV/0!</v>
      </c>
      <c r="V551" s="7" t="e">
        <f t="shared" si="53"/>
        <v>#DIV/0!</v>
      </c>
      <c r="W551" s="7" t="e">
        <f t="shared" si="53"/>
        <v>#DIV/0!</v>
      </c>
      <c r="X551" s="7" t="e">
        <f t="shared" si="53"/>
        <v>#DIV/0!</v>
      </c>
      <c r="AA551"/>
      <c r="AB551"/>
      <c r="AC551"/>
      <c r="AD551"/>
      <c r="AE551"/>
      <c r="AF551"/>
      <c r="AG551"/>
      <c r="AH551"/>
      <c r="AI551"/>
      <c r="AJ551"/>
    </row>
    <row r="552" spans="1:36">
      <c r="A552" s="39"/>
      <c r="B552" s="39"/>
      <c r="C552" s="37"/>
      <c r="D552" s="37"/>
      <c r="E552" s="39"/>
      <c r="F552" s="39"/>
      <c r="G552" s="39"/>
      <c r="H552" s="39"/>
      <c r="I552" s="39"/>
      <c r="J552" s="37"/>
      <c r="K552" s="37"/>
      <c r="L552" s="39"/>
      <c r="M552" s="39"/>
      <c r="N552" s="39"/>
      <c r="O552" s="37"/>
      <c r="P552" s="37"/>
      <c r="Q552" s="39"/>
      <c r="R552" s="39"/>
      <c r="S552" s="39"/>
      <c r="T552" s="39"/>
      <c r="U552" s="39"/>
      <c r="V552" s="37"/>
      <c r="W552" s="37"/>
      <c r="X552" s="39"/>
      <c r="AA552"/>
      <c r="AB552"/>
      <c r="AC552"/>
      <c r="AD552"/>
      <c r="AE552"/>
      <c r="AF552"/>
      <c r="AG552"/>
      <c r="AH552"/>
      <c r="AI552"/>
      <c r="AJ552"/>
    </row>
    <row r="553" spans="1:36">
      <c r="F553" s="29"/>
      <c r="G553" s="29"/>
      <c r="H553" s="29"/>
      <c r="I553" s="29"/>
      <c r="J553" s="29"/>
      <c r="K553" s="29"/>
      <c r="L553" s="29"/>
      <c r="M553" s="29"/>
      <c r="N553" s="29"/>
      <c r="AA553"/>
      <c r="AB553"/>
      <c r="AC553"/>
      <c r="AD553"/>
      <c r="AE553"/>
      <c r="AF553"/>
      <c r="AG553"/>
      <c r="AH553"/>
      <c r="AI553"/>
      <c r="AJ553"/>
    </row>
    <row r="554" spans="1:36">
      <c r="F554" s="29"/>
      <c r="G554" s="29"/>
      <c r="H554" s="29"/>
      <c r="I554" s="29"/>
      <c r="J554" s="29"/>
      <c r="K554" s="29"/>
      <c r="L554" s="29"/>
      <c r="M554" s="29"/>
      <c r="N554" s="29"/>
    </row>
    <row r="555" spans="1:36">
      <c r="F555" s="29"/>
      <c r="G555" s="29"/>
      <c r="H555" s="29"/>
      <c r="I555" s="29"/>
      <c r="J555" s="29"/>
      <c r="K555" s="29"/>
      <c r="L555" s="29"/>
      <c r="M555" s="29"/>
      <c r="N555" s="29"/>
    </row>
    <row r="556" spans="1:36">
      <c r="F556" s="29"/>
      <c r="G556" s="29"/>
      <c r="H556" s="29"/>
      <c r="I556" s="29"/>
      <c r="J556" s="29"/>
      <c r="K556" s="29"/>
      <c r="L556" s="29"/>
      <c r="M556" s="29"/>
      <c r="N556" s="29"/>
    </row>
    <row r="557" spans="1:36">
      <c r="F557" s="29"/>
      <c r="G557" s="29"/>
      <c r="H557" s="29"/>
      <c r="I557" s="29"/>
      <c r="J557" s="29"/>
      <c r="K557" s="29"/>
      <c r="L557" s="29"/>
      <c r="M557" s="29"/>
      <c r="N557" s="29"/>
    </row>
    <row r="558" spans="1:36">
      <c r="F558" s="29"/>
      <c r="G558" s="29"/>
      <c r="H558" s="29"/>
      <c r="I558" s="29"/>
      <c r="J558" s="29"/>
      <c r="K558" s="29"/>
      <c r="L558" s="29"/>
      <c r="M558" s="29"/>
      <c r="N558" s="29"/>
    </row>
    <row r="559" spans="1:36">
      <c r="F559" s="29"/>
      <c r="G559" s="29"/>
      <c r="H559" s="29"/>
      <c r="I559" s="29"/>
      <c r="J559" s="29"/>
      <c r="K559" s="29"/>
      <c r="L559" s="29"/>
      <c r="M559" s="29"/>
      <c r="N559" s="29"/>
    </row>
    <row r="560" spans="1:36">
      <c r="F560" s="29"/>
      <c r="G560" s="29"/>
      <c r="H560" s="29"/>
      <c r="I560" s="29"/>
      <c r="J560" s="29"/>
      <c r="K560" s="29"/>
      <c r="L560" s="29"/>
      <c r="M560" s="29"/>
      <c r="N560" s="29"/>
    </row>
    <row r="561" spans="6:14">
      <c r="F561" s="29"/>
      <c r="G561" s="29"/>
      <c r="H561" s="29"/>
      <c r="I561" s="29"/>
      <c r="J561" s="29"/>
      <c r="K561" s="29"/>
      <c r="L561" s="29"/>
      <c r="M561" s="29"/>
      <c r="N561" s="29"/>
    </row>
    <row r="562" spans="6:14">
      <c r="F562" s="29"/>
      <c r="G562" s="29"/>
      <c r="H562" s="29"/>
      <c r="I562" s="29"/>
      <c r="J562" s="29"/>
      <c r="K562" s="29"/>
      <c r="L562" s="29"/>
      <c r="M562" s="29"/>
      <c r="N562" s="29"/>
    </row>
    <row r="577" spans="1:38">
      <c r="F577" s="29"/>
      <c r="G577" s="29"/>
      <c r="H577" s="29"/>
      <c r="I577" s="29"/>
      <c r="J577" s="29"/>
      <c r="K577" s="29"/>
      <c r="L577" s="29"/>
      <c r="M577" s="29"/>
      <c r="N577" s="29"/>
    </row>
    <row r="578" spans="1:38">
      <c r="F578" s="29"/>
      <c r="G578" s="29"/>
      <c r="H578" s="29"/>
      <c r="I578" s="29"/>
      <c r="J578" s="29"/>
      <c r="K578" s="29"/>
      <c r="L578" s="29"/>
      <c r="M578" s="29"/>
      <c r="N578" s="29"/>
    </row>
    <row r="579" spans="1:38">
      <c r="F579" s="29"/>
      <c r="G579" s="29"/>
      <c r="H579" s="29"/>
      <c r="I579" s="29"/>
      <c r="J579" s="29"/>
      <c r="K579" s="29"/>
      <c r="L579" s="29"/>
      <c r="M579" s="29"/>
      <c r="N579" s="29"/>
    </row>
    <row r="580" spans="1:38">
      <c r="F580" s="29"/>
      <c r="G580" s="29"/>
      <c r="H580" s="29"/>
      <c r="I580" s="29"/>
      <c r="J580" s="29"/>
      <c r="K580" s="29"/>
      <c r="L580" s="29"/>
      <c r="M580" s="29"/>
      <c r="N580" s="29"/>
    </row>
    <row r="581" spans="1:38">
      <c r="F581" s="29"/>
      <c r="G581" s="29"/>
      <c r="H581" s="29"/>
      <c r="I581" s="29"/>
      <c r="J581" s="29"/>
      <c r="K581" s="29"/>
      <c r="L581" s="29"/>
      <c r="M581" s="29"/>
      <c r="N581" s="29"/>
    </row>
    <row r="582" spans="1:38" s="97" customFormat="1">
      <c r="A582" s="1"/>
      <c r="B582" s="1"/>
      <c r="C582" s="1"/>
      <c r="D582" s="1"/>
      <c r="E582" s="1"/>
      <c r="F582" s="29"/>
      <c r="G582" s="29"/>
      <c r="H582" s="29"/>
      <c r="I582" s="29"/>
      <c r="J582" s="29"/>
      <c r="K582" s="29"/>
      <c r="L582" s="29"/>
      <c r="M582" s="29"/>
      <c r="N582" s="29"/>
      <c r="O582" s="1"/>
      <c r="P582" s="1"/>
      <c r="Q582" s="1"/>
      <c r="R582" s="1"/>
      <c r="S582" s="1"/>
      <c r="T582" s="1"/>
      <c r="U582" s="1"/>
      <c r="V582" s="1"/>
      <c r="W582" s="1"/>
      <c r="X582" s="1"/>
    </row>
    <row r="583" spans="1:38" s="117" customFormat="1">
      <c r="A583" s="97"/>
      <c r="B583" s="97"/>
      <c r="C583" s="97"/>
      <c r="D583" s="97"/>
      <c r="E583" s="97"/>
      <c r="F583" s="100"/>
      <c r="G583" s="100"/>
      <c r="H583" s="100"/>
      <c r="I583" s="100"/>
      <c r="J583" s="100"/>
      <c r="K583" s="100"/>
      <c r="L583" s="100"/>
      <c r="M583" s="100"/>
      <c r="N583" s="100"/>
      <c r="O583" s="97"/>
      <c r="P583" s="97"/>
      <c r="Q583" s="97"/>
      <c r="R583" s="97"/>
      <c r="S583" s="97"/>
      <c r="T583" s="97"/>
      <c r="U583" s="97"/>
      <c r="V583" s="97"/>
      <c r="W583" s="97"/>
      <c r="X583" s="97"/>
    </row>
    <row r="584" spans="1:38" s="117" customFormat="1">
      <c r="F584" s="115"/>
      <c r="G584" s="115"/>
      <c r="H584" s="115"/>
      <c r="I584" s="115"/>
      <c r="J584" s="115"/>
      <c r="K584" s="115"/>
      <c r="L584" s="115"/>
      <c r="M584" s="115"/>
      <c r="N584" s="115"/>
    </row>
    <row r="585" spans="1:38" s="117" customFormat="1">
      <c r="F585" s="115"/>
      <c r="G585" s="115"/>
      <c r="H585" s="115"/>
      <c r="I585" s="115"/>
      <c r="J585" s="115"/>
      <c r="K585" s="115"/>
      <c r="L585" s="115"/>
      <c r="M585" s="115"/>
      <c r="N585" s="115"/>
    </row>
    <row r="586" spans="1:38">
      <c r="A586" s="117"/>
      <c r="B586" s="117"/>
      <c r="C586" s="117"/>
      <c r="D586" s="117"/>
      <c r="E586" s="117"/>
      <c r="F586" s="115"/>
      <c r="G586" s="115"/>
      <c r="H586" s="115"/>
      <c r="I586" s="115"/>
      <c r="J586" s="115"/>
      <c r="K586" s="115"/>
      <c r="L586" s="115"/>
      <c r="M586" s="115"/>
      <c r="N586" s="115"/>
      <c r="O586" s="117"/>
      <c r="P586" s="117"/>
      <c r="Q586" s="117"/>
      <c r="R586" s="117"/>
      <c r="S586" s="117"/>
      <c r="T586" s="117"/>
      <c r="U586" s="117"/>
      <c r="V586" s="117"/>
      <c r="W586" s="117"/>
      <c r="X586" s="117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</row>
    <row r="587" spans="1:38" ht="23.25">
      <c r="A587" s="408" t="s">
        <v>145</v>
      </c>
      <c r="B587" s="408"/>
      <c r="C587" s="408"/>
      <c r="D587" s="408"/>
      <c r="E587" s="408"/>
      <c r="F587" s="408"/>
      <c r="G587" s="408"/>
      <c r="H587" s="408"/>
      <c r="I587" s="408"/>
      <c r="J587" s="408"/>
      <c r="K587" s="408"/>
      <c r="L587" s="408"/>
      <c r="M587" s="408" t="s">
        <v>146</v>
      </c>
      <c r="N587" s="408"/>
      <c r="O587" s="408"/>
      <c r="P587" s="408"/>
      <c r="Q587" s="408"/>
      <c r="R587" s="408"/>
      <c r="S587" s="408"/>
      <c r="T587" s="408"/>
      <c r="U587" s="408"/>
      <c r="V587" s="408"/>
      <c r="W587" s="408"/>
      <c r="X587" s="408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</row>
    <row r="588" spans="1:38">
      <c r="A588" s="139"/>
      <c r="B588" s="139"/>
      <c r="C588" s="139"/>
      <c r="D588" s="139"/>
      <c r="E588" s="139"/>
      <c r="F588" s="115"/>
      <c r="G588" s="139" t="s">
        <v>206</v>
      </c>
      <c r="H588" s="115"/>
      <c r="I588" s="115"/>
      <c r="J588" s="115"/>
      <c r="K588" s="115"/>
      <c r="L588" s="115"/>
      <c r="M588" s="115"/>
      <c r="N588" s="115"/>
      <c r="O588" s="139"/>
      <c r="P588" s="139"/>
      <c r="Q588" s="139"/>
      <c r="R588" s="139"/>
      <c r="S588" s="139" t="s">
        <v>207</v>
      </c>
      <c r="T588" s="139"/>
      <c r="U588" s="139"/>
      <c r="V588" s="139"/>
      <c r="W588" s="139"/>
      <c r="X588" s="139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</row>
    <row r="589" spans="1:38" ht="34.5" thickBot="1">
      <c r="A589" s="8"/>
      <c r="B589" s="8"/>
      <c r="C589" s="105" t="s">
        <v>45</v>
      </c>
      <c r="D589" s="101" t="s">
        <v>46</v>
      </c>
      <c r="E589" s="101" t="s">
        <v>44</v>
      </c>
      <c r="F589" s="101" t="s">
        <v>43</v>
      </c>
      <c r="G589" s="101" t="s">
        <v>42</v>
      </c>
      <c r="H589" s="101" t="s">
        <v>49</v>
      </c>
      <c r="I589" s="101" t="s">
        <v>47</v>
      </c>
      <c r="J589" s="102" t="s">
        <v>157</v>
      </c>
      <c r="K589" s="102" t="s">
        <v>180</v>
      </c>
      <c r="L589" s="101" t="s">
        <v>48</v>
      </c>
      <c r="M589" s="104"/>
      <c r="N589" s="104"/>
      <c r="O589" s="107" t="s">
        <v>45</v>
      </c>
      <c r="P589" s="101" t="s">
        <v>46</v>
      </c>
      <c r="Q589" s="101" t="s">
        <v>44</v>
      </c>
      <c r="R589" s="101" t="s">
        <v>43</v>
      </c>
      <c r="S589" s="101" t="s">
        <v>42</v>
      </c>
      <c r="T589" s="101" t="s">
        <v>49</v>
      </c>
      <c r="U589" s="101" t="s">
        <v>67</v>
      </c>
      <c r="V589" s="102" t="s">
        <v>158</v>
      </c>
      <c r="W589" s="102" t="s">
        <v>181</v>
      </c>
      <c r="X589" s="101" t="s">
        <v>66</v>
      </c>
      <c r="Z589"/>
      <c r="AA589"/>
      <c r="AB589"/>
      <c r="AC589"/>
      <c r="AD589"/>
      <c r="AE589"/>
      <c r="AF589"/>
      <c r="AG589"/>
      <c r="AH589"/>
      <c r="AI589"/>
      <c r="AJ589"/>
      <c r="AK589"/>
      <c r="AL589"/>
    </row>
    <row r="590" spans="1:38" ht="15.75" thickBot="1">
      <c r="A590" s="8" t="s">
        <v>5</v>
      </c>
      <c r="B590" s="36" t="s">
        <v>52</v>
      </c>
      <c r="C590" s="81">
        <f>E590+F590+G590+H590+I590+L590+J590+K590</f>
        <v>0</v>
      </c>
      <c r="D590" s="9">
        <f>E590+F590+G590+H590</f>
        <v>0</v>
      </c>
      <c r="E590" s="1">
        <f>Algandmed!AH136</f>
        <v>0</v>
      </c>
      <c r="F590" s="1">
        <f>Algandmed!AI136</f>
        <v>0</v>
      </c>
      <c r="G590" s="1">
        <f>Algandmed!AJ136</f>
        <v>0</v>
      </c>
      <c r="H590" s="1">
        <f>Algandmed!AK136</f>
        <v>0</v>
      </c>
      <c r="I590" s="1">
        <f>Algandmed!AL136</f>
        <v>0</v>
      </c>
      <c r="J590" s="77">
        <f>Algandmed!AO136</f>
        <v>0</v>
      </c>
      <c r="K590" s="120">
        <f>Algandmed!AM136</f>
        <v>0</v>
      </c>
      <c r="L590" s="1">
        <f>Algandmed!AP136</f>
        <v>0</v>
      </c>
      <c r="M590" s="8" t="s">
        <v>1</v>
      </c>
      <c r="N590" s="36" t="s">
        <v>52</v>
      </c>
      <c r="O590" s="81">
        <f>Q590+R590+S590+T590+U590+X590+V590+W590</f>
        <v>0</v>
      </c>
      <c r="P590" s="9">
        <f>Q590+R590+S590+T590</f>
        <v>0</v>
      </c>
      <c r="Q590" s="1">
        <f>Algandmed!AW136</f>
        <v>0</v>
      </c>
      <c r="R590" s="1">
        <f>Algandmed!AX136</f>
        <v>0</v>
      </c>
      <c r="S590" s="1">
        <f>Algandmed!AY136</f>
        <v>0</v>
      </c>
      <c r="T590" s="1">
        <f>Algandmed!AZ136</f>
        <v>0</v>
      </c>
      <c r="U590" s="1">
        <f>Algandmed!BA136</f>
        <v>0</v>
      </c>
      <c r="V590" s="77">
        <f>Algandmed!BD136</f>
        <v>0</v>
      </c>
      <c r="W590" s="120">
        <f>Algandmed!BB136</f>
        <v>0</v>
      </c>
      <c r="X590" s="1">
        <f>Algandmed!BE136</f>
        <v>0</v>
      </c>
      <c r="Z590"/>
      <c r="AA590"/>
      <c r="AB590"/>
      <c r="AC590"/>
      <c r="AD590"/>
      <c r="AE590"/>
      <c r="AF590"/>
      <c r="AG590"/>
      <c r="AH590"/>
      <c r="AI590"/>
      <c r="AJ590"/>
      <c r="AK590"/>
      <c r="AL590"/>
    </row>
    <row r="591" spans="1:38" ht="24" thickBot="1">
      <c r="A591" s="47" t="s">
        <v>80</v>
      </c>
      <c r="B591" s="36" t="s">
        <v>53</v>
      </c>
      <c r="C591" s="81">
        <f>E591+F591+G591+H591+I591+L591+J591+K591</f>
        <v>0</v>
      </c>
      <c r="D591" s="9">
        <f>E591+F591+G591+H591</f>
        <v>0</v>
      </c>
      <c r="E591" s="1">
        <f>Algandmed!AH137</f>
        <v>0</v>
      </c>
      <c r="F591" s="1">
        <f>Algandmed!AI137</f>
        <v>0</v>
      </c>
      <c r="G591" s="1">
        <f>Algandmed!AJ137</f>
        <v>0</v>
      </c>
      <c r="H591" s="1">
        <f>Algandmed!AK137</f>
        <v>0</v>
      </c>
      <c r="I591" s="1">
        <f>Algandmed!AL137</f>
        <v>0</v>
      </c>
      <c r="J591" s="77">
        <f>Algandmed!AO137</f>
        <v>0</v>
      </c>
      <c r="K591" s="120">
        <f>Algandmed!AM137</f>
        <v>0</v>
      </c>
      <c r="L591" s="1">
        <f>Algandmed!AP137</f>
        <v>0</v>
      </c>
      <c r="M591" s="47" t="s">
        <v>80</v>
      </c>
      <c r="N591" s="36" t="s">
        <v>53</v>
      </c>
      <c r="O591" s="81">
        <f>Q591+R591+S591+T591+U591+X591+V591+W591</f>
        <v>0</v>
      </c>
      <c r="P591" s="9">
        <f>Q591+R591+S591+T591</f>
        <v>0</v>
      </c>
      <c r="Q591" s="1">
        <f>Algandmed!AW137</f>
        <v>0</v>
      </c>
      <c r="R591" s="1">
        <f>Algandmed!AX137</f>
        <v>0</v>
      </c>
      <c r="S591" s="1">
        <f>Algandmed!AY137</f>
        <v>0</v>
      </c>
      <c r="T591" s="1">
        <f>Algandmed!AZ137</f>
        <v>0</v>
      </c>
      <c r="U591" s="1">
        <f>Algandmed!BA137</f>
        <v>0</v>
      </c>
      <c r="V591" s="77">
        <f>Algandmed!BD137</f>
        <v>0</v>
      </c>
      <c r="W591" s="120">
        <f>Algandmed!BB137</f>
        <v>0</v>
      </c>
      <c r="X591" s="1">
        <f>Algandmed!BE137</f>
        <v>0</v>
      </c>
      <c r="Z591"/>
      <c r="AA591"/>
      <c r="AB591"/>
      <c r="AC591"/>
      <c r="AD591"/>
      <c r="AE591"/>
      <c r="AF591"/>
      <c r="AG591"/>
      <c r="AH591"/>
      <c r="AI591"/>
      <c r="AJ591"/>
      <c r="AK591"/>
      <c r="AL591"/>
    </row>
    <row r="592" spans="1:38">
      <c r="A592" s="8"/>
      <c r="B592" s="48" t="s">
        <v>54</v>
      </c>
      <c r="C592" s="81">
        <f>E592+F592+G592+H592+I592+L592+J592+K592</f>
        <v>0</v>
      </c>
      <c r="D592" s="9">
        <f>E592+F592+G592+H592</f>
        <v>0</v>
      </c>
      <c r="E592" s="1">
        <f>Algandmed!AH138</f>
        <v>0</v>
      </c>
      <c r="F592" s="1">
        <f>Algandmed!AI138</f>
        <v>0</v>
      </c>
      <c r="G592" s="1">
        <f>Algandmed!AJ138</f>
        <v>0</v>
      </c>
      <c r="H592" s="1">
        <f>Algandmed!AK138</f>
        <v>0</v>
      </c>
      <c r="I592" s="1">
        <f>Algandmed!AL138</f>
        <v>0</v>
      </c>
      <c r="J592" s="77">
        <f>Algandmed!AO138</f>
        <v>0</v>
      </c>
      <c r="K592" s="120">
        <f>Algandmed!AM138</f>
        <v>0</v>
      </c>
      <c r="L592" s="1">
        <f>Algandmed!AP138</f>
        <v>0</v>
      </c>
      <c r="M592" s="8"/>
      <c r="N592" s="48" t="s">
        <v>54</v>
      </c>
      <c r="O592" s="81">
        <f>Q592+R592+S592+T592+U592+X592+V592+W592</f>
        <v>0</v>
      </c>
      <c r="P592" s="9">
        <f>Q592+R592+S592+T592</f>
        <v>0</v>
      </c>
      <c r="Q592" s="1">
        <f>Algandmed!AW138</f>
        <v>0</v>
      </c>
      <c r="R592" s="1">
        <f>Algandmed!AX138</f>
        <v>0</v>
      </c>
      <c r="S592" s="1">
        <f>Algandmed!AY138</f>
        <v>0</v>
      </c>
      <c r="T592" s="1">
        <f>Algandmed!AZ138</f>
        <v>0</v>
      </c>
      <c r="U592" s="1">
        <f>Algandmed!BA138</f>
        <v>0</v>
      </c>
      <c r="V592" s="77">
        <f>Algandmed!BD138</f>
        <v>0</v>
      </c>
      <c r="W592" s="120">
        <f>Algandmed!BB138</f>
        <v>0</v>
      </c>
      <c r="X592" s="1">
        <f>Algandmed!BE138</f>
        <v>0</v>
      </c>
      <c r="Z592"/>
      <c r="AA592"/>
      <c r="AB592"/>
      <c r="AC592"/>
      <c r="AD592"/>
      <c r="AE592"/>
      <c r="AF592"/>
      <c r="AG592"/>
      <c r="AH592"/>
      <c r="AI592"/>
      <c r="AJ592"/>
      <c r="AK592"/>
      <c r="AL592"/>
    </row>
    <row r="593" spans="1:38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</row>
    <row r="594" spans="1:38">
      <c r="Z594"/>
      <c r="AA594"/>
      <c r="AB594"/>
      <c r="AC594"/>
      <c r="AD594"/>
      <c r="AE594"/>
      <c r="AF594"/>
      <c r="AG594"/>
      <c r="AH594"/>
      <c r="AI594"/>
      <c r="AJ594"/>
      <c r="AK594"/>
      <c r="AL594"/>
    </row>
    <row r="595" spans="1:38" ht="33.75">
      <c r="A595" s="8"/>
      <c r="B595" s="8"/>
      <c r="C595" s="9"/>
      <c r="D595" s="101" t="s">
        <v>46</v>
      </c>
      <c r="E595" s="101" t="s">
        <v>44</v>
      </c>
      <c r="F595" s="101" t="s">
        <v>43</v>
      </c>
      <c r="G595" s="101" t="s">
        <v>42</v>
      </c>
      <c r="H595" s="101" t="s">
        <v>49</v>
      </c>
      <c r="I595" s="101" t="s">
        <v>47</v>
      </c>
      <c r="J595" s="102" t="s">
        <v>157</v>
      </c>
      <c r="K595" s="102" t="s">
        <v>180</v>
      </c>
      <c r="L595" s="101" t="s">
        <v>48</v>
      </c>
      <c r="M595" s="104"/>
      <c r="N595" s="104"/>
      <c r="O595" s="104"/>
      <c r="P595" s="101" t="s">
        <v>46</v>
      </c>
      <c r="Q595" s="101" t="s">
        <v>44</v>
      </c>
      <c r="R595" s="101" t="s">
        <v>43</v>
      </c>
      <c r="S595" s="101" t="s">
        <v>42</v>
      </c>
      <c r="T595" s="101" t="s">
        <v>49</v>
      </c>
      <c r="U595" s="101" t="s">
        <v>67</v>
      </c>
      <c r="V595" s="102" t="s">
        <v>158</v>
      </c>
      <c r="W595" s="102" t="s">
        <v>181</v>
      </c>
      <c r="X595" s="101" t="s">
        <v>66</v>
      </c>
      <c r="Z595"/>
      <c r="AA595"/>
      <c r="AB595"/>
      <c r="AC595"/>
      <c r="AD595"/>
      <c r="AE595"/>
      <c r="AF595"/>
      <c r="AG595"/>
      <c r="AH595"/>
      <c r="AI595"/>
      <c r="AJ595"/>
      <c r="AK595"/>
      <c r="AL595"/>
    </row>
    <row r="596" spans="1:38">
      <c r="A596" s="8" t="s">
        <v>5</v>
      </c>
      <c r="B596" s="36" t="s">
        <v>52</v>
      </c>
      <c r="C596" s="9"/>
      <c r="D596" s="14" t="e">
        <f t="shared" ref="D596:L596" si="54">D590/$C590</f>
        <v>#DIV/0!</v>
      </c>
      <c r="E596" s="7" t="e">
        <f t="shared" si="54"/>
        <v>#DIV/0!</v>
      </c>
      <c r="F596" s="7" t="e">
        <f t="shared" si="54"/>
        <v>#DIV/0!</v>
      </c>
      <c r="G596" s="7" t="e">
        <f t="shared" si="54"/>
        <v>#DIV/0!</v>
      </c>
      <c r="H596" s="7" t="e">
        <f t="shared" si="54"/>
        <v>#DIV/0!</v>
      </c>
      <c r="I596" s="7" t="e">
        <f t="shared" si="54"/>
        <v>#DIV/0!</v>
      </c>
      <c r="J596" s="7" t="e">
        <f t="shared" si="54"/>
        <v>#DIV/0!</v>
      </c>
      <c r="K596" s="7" t="e">
        <f t="shared" si="54"/>
        <v>#DIV/0!</v>
      </c>
      <c r="L596" s="7" t="e">
        <f t="shared" si="54"/>
        <v>#DIV/0!</v>
      </c>
      <c r="M596" s="8" t="s">
        <v>1</v>
      </c>
      <c r="N596" s="36" t="s">
        <v>52</v>
      </c>
      <c r="O596" s="9"/>
      <c r="P596" s="14" t="e">
        <f t="shared" ref="P596:X596" si="55">P590/$O590</f>
        <v>#DIV/0!</v>
      </c>
      <c r="Q596" s="7" t="e">
        <f t="shared" si="55"/>
        <v>#DIV/0!</v>
      </c>
      <c r="R596" s="7" t="e">
        <f t="shared" si="55"/>
        <v>#DIV/0!</v>
      </c>
      <c r="S596" s="7" t="e">
        <f t="shared" si="55"/>
        <v>#DIV/0!</v>
      </c>
      <c r="T596" s="7" t="e">
        <f t="shared" si="55"/>
        <v>#DIV/0!</v>
      </c>
      <c r="U596" s="7" t="e">
        <f t="shared" si="55"/>
        <v>#DIV/0!</v>
      </c>
      <c r="V596" s="7" t="e">
        <f t="shared" si="55"/>
        <v>#DIV/0!</v>
      </c>
      <c r="W596" s="7" t="e">
        <f t="shared" si="55"/>
        <v>#DIV/0!</v>
      </c>
      <c r="X596" s="7" t="e">
        <f t="shared" si="55"/>
        <v>#DIV/0!</v>
      </c>
      <c r="Z596"/>
      <c r="AA596"/>
      <c r="AB596"/>
      <c r="AC596"/>
      <c r="AD596"/>
      <c r="AE596"/>
      <c r="AF596"/>
      <c r="AG596"/>
      <c r="AH596"/>
      <c r="AI596"/>
      <c r="AJ596"/>
      <c r="AK596"/>
      <c r="AL596"/>
    </row>
    <row r="597" spans="1:38" ht="23.25">
      <c r="A597" s="47" t="s">
        <v>80</v>
      </c>
      <c r="B597" s="36" t="s">
        <v>53</v>
      </c>
      <c r="C597" s="9"/>
      <c r="D597" s="14" t="e">
        <f t="shared" ref="D597:L597" si="56">D591/$C591</f>
        <v>#DIV/0!</v>
      </c>
      <c r="E597" s="7" t="e">
        <f t="shared" si="56"/>
        <v>#DIV/0!</v>
      </c>
      <c r="F597" s="7" t="e">
        <f t="shared" si="56"/>
        <v>#DIV/0!</v>
      </c>
      <c r="G597" s="7" t="e">
        <f t="shared" si="56"/>
        <v>#DIV/0!</v>
      </c>
      <c r="H597" s="7" t="e">
        <f t="shared" si="56"/>
        <v>#DIV/0!</v>
      </c>
      <c r="I597" s="7" t="e">
        <f t="shared" si="56"/>
        <v>#DIV/0!</v>
      </c>
      <c r="J597" s="7" t="e">
        <f t="shared" si="56"/>
        <v>#DIV/0!</v>
      </c>
      <c r="K597" s="7" t="e">
        <f t="shared" si="56"/>
        <v>#DIV/0!</v>
      </c>
      <c r="L597" s="7" t="e">
        <f t="shared" si="56"/>
        <v>#DIV/0!</v>
      </c>
      <c r="M597" s="47" t="s">
        <v>80</v>
      </c>
      <c r="N597" s="36" t="s">
        <v>53</v>
      </c>
      <c r="O597" s="9"/>
      <c r="P597" s="14" t="e">
        <f t="shared" ref="P597:X597" si="57">P591/$O591</f>
        <v>#DIV/0!</v>
      </c>
      <c r="Q597" s="7" t="e">
        <f t="shared" si="57"/>
        <v>#DIV/0!</v>
      </c>
      <c r="R597" s="7" t="e">
        <f t="shared" si="57"/>
        <v>#DIV/0!</v>
      </c>
      <c r="S597" s="7" t="e">
        <f t="shared" si="57"/>
        <v>#DIV/0!</v>
      </c>
      <c r="T597" s="7" t="e">
        <f t="shared" si="57"/>
        <v>#DIV/0!</v>
      </c>
      <c r="U597" s="7" t="e">
        <f t="shared" si="57"/>
        <v>#DIV/0!</v>
      </c>
      <c r="V597" s="7" t="e">
        <f t="shared" si="57"/>
        <v>#DIV/0!</v>
      </c>
      <c r="W597" s="7" t="e">
        <f t="shared" si="57"/>
        <v>#DIV/0!</v>
      </c>
      <c r="X597" s="7" t="e">
        <f t="shared" si="57"/>
        <v>#DIV/0!</v>
      </c>
      <c r="Z597"/>
      <c r="AA597"/>
      <c r="AB597"/>
      <c r="AC597"/>
      <c r="AD597"/>
      <c r="AE597"/>
      <c r="AF597"/>
      <c r="AG597"/>
      <c r="AH597"/>
      <c r="AI597"/>
      <c r="AJ597"/>
      <c r="AK597"/>
      <c r="AL597"/>
    </row>
    <row r="598" spans="1:38">
      <c r="A598" s="8"/>
      <c r="B598" s="48" t="s">
        <v>54</v>
      </c>
      <c r="C598" s="9"/>
      <c r="D598" s="14" t="e">
        <f t="shared" ref="D598:L598" si="58">D592/$C592</f>
        <v>#DIV/0!</v>
      </c>
      <c r="E598" s="7" t="e">
        <f t="shared" si="58"/>
        <v>#DIV/0!</v>
      </c>
      <c r="F598" s="7" t="e">
        <f t="shared" si="58"/>
        <v>#DIV/0!</v>
      </c>
      <c r="G598" s="7" t="e">
        <f t="shared" si="58"/>
        <v>#DIV/0!</v>
      </c>
      <c r="H598" s="7" t="e">
        <f t="shared" si="58"/>
        <v>#DIV/0!</v>
      </c>
      <c r="I598" s="7" t="e">
        <f t="shared" si="58"/>
        <v>#DIV/0!</v>
      </c>
      <c r="J598" s="7" t="e">
        <f t="shared" si="58"/>
        <v>#DIV/0!</v>
      </c>
      <c r="K598" s="7" t="e">
        <f t="shared" si="58"/>
        <v>#DIV/0!</v>
      </c>
      <c r="L598" s="7" t="e">
        <f t="shared" si="58"/>
        <v>#DIV/0!</v>
      </c>
      <c r="M598" s="8"/>
      <c r="N598" s="48" t="s">
        <v>54</v>
      </c>
      <c r="O598" s="9"/>
      <c r="P598" s="14" t="e">
        <f t="shared" ref="P598:X598" si="59">P592/$O592</f>
        <v>#DIV/0!</v>
      </c>
      <c r="Q598" s="7" t="e">
        <f t="shared" si="59"/>
        <v>#DIV/0!</v>
      </c>
      <c r="R598" s="7" t="e">
        <f t="shared" si="59"/>
        <v>#DIV/0!</v>
      </c>
      <c r="S598" s="7" t="e">
        <f t="shared" si="59"/>
        <v>#DIV/0!</v>
      </c>
      <c r="T598" s="7" t="e">
        <f t="shared" si="59"/>
        <v>#DIV/0!</v>
      </c>
      <c r="U598" s="7" t="e">
        <f t="shared" si="59"/>
        <v>#DIV/0!</v>
      </c>
      <c r="V598" s="7" t="e">
        <f t="shared" si="59"/>
        <v>#DIV/0!</v>
      </c>
      <c r="W598" s="7" t="e">
        <f t="shared" si="59"/>
        <v>#DIV/0!</v>
      </c>
      <c r="X598" s="7" t="e">
        <f t="shared" si="59"/>
        <v>#DIV/0!</v>
      </c>
      <c r="Z598"/>
      <c r="AA598"/>
      <c r="AB598"/>
      <c r="AC598"/>
      <c r="AD598"/>
      <c r="AE598"/>
      <c r="AF598"/>
      <c r="AG598"/>
      <c r="AH598"/>
      <c r="AI598"/>
      <c r="AJ598"/>
      <c r="AK598"/>
      <c r="AL598"/>
    </row>
    <row r="599" spans="1:38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</row>
    <row r="600" spans="1:38">
      <c r="F600" s="29"/>
      <c r="G600" s="29"/>
      <c r="H600" s="29"/>
      <c r="I600" s="29"/>
      <c r="J600" s="29"/>
      <c r="K600" s="29"/>
      <c r="L600" s="29"/>
      <c r="M600" s="29"/>
      <c r="N600" s="29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</row>
    <row r="601" spans="1:38">
      <c r="F601" s="29"/>
      <c r="G601" s="29"/>
      <c r="H601" s="29"/>
      <c r="I601" s="29"/>
      <c r="J601" s="29"/>
      <c r="K601" s="29"/>
      <c r="L601" s="29"/>
      <c r="M601" s="29"/>
      <c r="N601" s="29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</row>
    <row r="602" spans="1:38">
      <c r="F602" s="29"/>
      <c r="G602" s="29"/>
      <c r="H602" s="29"/>
      <c r="I602" s="29"/>
      <c r="J602" s="29"/>
      <c r="K602" s="29"/>
      <c r="L602" s="29"/>
      <c r="M602" s="29"/>
      <c r="N602" s="29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</row>
    <row r="603" spans="1:38">
      <c r="F603" s="29"/>
      <c r="G603" s="29"/>
      <c r="H603" s="29"/>
      <c r="I603" s="29"/>
      <c r="J603" s="29"/>
      <c r="K603" s="29"/>
      <c r="L603" s="29"/>
      <c r="M603" s="29"/>
      <c r="N603" s="29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</row>
    <row r="604" spans="1:38">
      <c r="F604" s="29"/>
      <c r="G604" s="29"/>
      <c r="H604" s="29"/>
      <c r="I604" s="29"/>
      <c r="J604" s="29"/>
      <c r="K604" s="29"/>
      <c r="L604" s="29"/>
      <c r="M604" s="29"/>
      <c r="N604" s="29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</row>
    <row r="605" spans="1:38">
      <c r="F605" s="29"/>
      <c r="G605" s="29"/>
      <c r="H605" s="29"/>
      <c r="I605" s="29"/>
      <c r="J605" s="29"/>
      <c r="K605" s="29"/>
      <c r="L605" s="29"/>
      <c r="M605" s="29"/>
      <c r="N605" s="29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</row>
    <row r="606" spans="1:38">
      <c r="F606" s="29"/>
      <c r="G606" s="29"/>
      <c r="H606" s="29"/>
      <c r="I606" s="29"/>
      <c r="J606" s="29"/>
      <c r="K606" s="29"/>
      <c r="L606" s="29"/>
      <c r="M606" s="29"/>
      <c r="N606" s="29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</row>
    <row r="607" spans="1:38">
      <c r="F607" s="29"/>
      <c r="G607" s="29"/>
      <c r="H607" s="29"/>
      <c r="I607" s="29"/>
      <c r="J607" s="29"/>
      <c r="K607" s="29"/>
      <c r="L607" s="29"/>
      <c r="M607" s="29"/>
      <c r="N607" s="29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</row>
    <row r="608" spans="1:38">
      <c r="F608" s="29"/>
      <c r="G608" s="29"/>
      <c r="H608" s="29"/>
      <c r="I608" s="29"/>
      <c r="J608" s="29"/>
      <c r="K608" s="29"/>
      <c r="L608" s="29"/>
      <c r="M608" s="29"/>
      <c r="N608" s="29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</row>
    <row r="609" spans="6:38">
      <c r="F609" s="29"/>
      <c r="G609" s="29"/>
      <c r="H609" s="29"/>
      <c r="I609" s="29"/>
      <c r="J609" s="29"/>
      <c r="K609" s="29"/>
      <c r="L609" s="29"/>
      <c r="M609" s="29"/>
      <c r="N609" s="2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</row>
    <row r="610" spans="6:38">
      <c r="F610" s="29"/>
      <c r="G610" s="29"/>
      <c r="H610" s="29"/>
      <c r="I610" s="29"/>
      <c r="J610" s="29"/>
      <c r="K610" s="29"/>
      <c r="L610" s="29"/>
      <c r="M610" s="29"/>
      <c r="N610" s="29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</row>
    <row r="611" spans="6:38">
      <c r="F611" s="29"/>
      <c r="G611" s="29"/>
      <c r="H611" s="29"/>
      <c r="I611" s="29"/>
      <c r="J611" s="29"/>
      <c r="K611" s="29"/>
      <c r="L611" s="29"/>
      <c r="M611" s="29"/>
      <c r="N611" s="29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</row>
    <row r="612" spans="6:38">
      <c r="F612" s="29"/>
      <c r="G612" s="29"/>
      <c r="H612" s="29"/>
      <c r="I612" s="29"/>
      <c r="J612" s="29"/>
      <c r="K612" s="29"/>
      <c r="L612" s="29"/>
      <c r="M612" s="29"/>
      <c r="N612" s="29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</row>
    <row r="613" spans="6:38">
      <c r="F613" s="29"/>
      <c r="G613" s="29"/>
      <c r="H613" s="29"/>
      <c r="I613" s="29"/>
      <c r="J613" s="29"/>
      <c r="K613" s="29"/>
      <c r="L613" s="29"/>
      <c r="M613" s="29"/>
      <c r="N613" s="29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</row>
    <row r="614" spans="6:38">
      <c r="F614" s="29"/>
      <c r="G614" s="29"/>
      <c r="H614" s="29"/>
      <c r="I614" s="29"/>
      <c r="J614" s="29"/>
      <c r="K614" s="29"/>
      <c r="L614" s="29"/>
      <c r="M614" s="29"/>
      <c r="N614" s="29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</row>
    <row r="615" spans="6:38">
      <c r="Z615"/>
      <c r="AA615"/>
      <c r="AB615"/>
      <c r="AC615"/>
      <c r="AD615"/>
      <c r="AE615"/>
      <c r="AF615"/>
      <c r="AG615"/>
      <c r="AH615"/>
      <c r="AI615"/>
      <c r="AJ615"/>
      <c r="AK615"/>
      <c r="AL615"/>
    </row>
    <row r="616" spans="6:38">
      <c r="Z616"/>
      <c r="AA616"/>
      <c r="AB616"/>
      <c r="AC616"/>
      <c r="AD616"/>
      <c r="AE616"/>
      <c r="AF616"/>
      <c r="AG616"/>
      <c r="AH616"/>
      <c r="AI616"/>
      <c r="AJ616"/>
      <c r="AK616"/>
      <c r="AL616"/>
    </row>
    <row r="617" spans="6:38">
      <c r="Z617"/>
      <c r="AA617"/>
      <c r="AB617"/>
      <c r="AC617"/>
      <c r="AD617"/>
      <c r="AE617"/>
      <c r="AF617"/>
      <c r="AG617"/>
      <c r="AH617"/>
      <c r="AI617"/>
      <c r="AJ617"/>
      <c r="AK617"/>
      <c r="AL617"/>
    </row>
    <row r="618" spans="6:38">
      <c r="Z618"/>
      <c r="AA618"/>
      <c r="AB618"/>
      <c r="AC618"/>
      <c r="AD618"/>
      <c r="AE618"/>
      <c r="AF618"/>
      <c r="AG618"/>
      <c r="AH618"/>
      <c r="AI618"/>
      <c r="AJ618"/>
      <c r="AK618"/>
      <c r="AL618"/>
    </row>
    <row r="619" spans="6:38">
      <c r="Z619"/>
      <c r="AA619"/>
      <c r="AB619"/>
      <c r="AC619"/>
      <c r="AD619"/>
      <c r="AE619"/>
      <c r="AF619"/>
      <c r="AG619"/>
      <c r="AH619"/>
      <c r="AI619"/>
      <c r="AJ619"/>
      <c r="AK619"/>
      <c r="AL619"/>
    </row>
    <row r="620" spans="6:38">
      <c r="Z620"/>
      <c r="AA620"/>
      <c r="AB620"/>
      <c r="AC620"/>
      <c r="AD620"/>
      <c r="AE620"/>
      <c r="AF620"/>
      <c r="AG620"/>
      <c r="AH620"/>
      <c r="AI620"/>
      <c r="AJ620"/>
      <c r="AK620"/>
      <c r="AL620"/>
    </row>
    <row r="621" spans="6:38">
      <c r="Z621"/>
      <c r="AA621"/>
      <c r="AB621"/>
      <c r="AC621"/>
      <c r="AD621"/>
      <c r="AE621"/>
      <c r="AF621"/>
      <c r="AG621"/>
      <c r="AH621"/>
      <c r="AI621"/>
      <c r="AJ621"/>
      <c r="AK621"/>
      <c r="AL621"/>
    </row>
    <row r="622" spans="6:38">
      <c r="Z622"/>
      <c r="AA622"/>
      <c r="AB622"/>
      <c r="AC622"/>
      <c r="AD622"/>
      <c r="AE622"/>
      <c r="AF622"/>
      <c r="AG622"/>
      <c r="AH622"/>
      <c r="AI622"/>
      <c r="AJ622"/>
      <c r="AK622"/>
      <c r="AL622"/>
    </row>
    <row r="623" spans="6:38">
      <c r="Z623"/>
      <c r="AA623"/>
      <c r="AB623"/>
      <c r="AC623"/>
      <c r="AD623"/>
      <c r="AE623"/>
      <c r="AF623"/>
      <c r="AG623"/>
      <c r="AH623"/>
      <c r="AI623"/>
      <c r="AJ623"/>
      <c r="AK623"/>
      <c r="AL623"/>
    </row>
    <row r="624" spans="6:38">
      <c r="Z624"/>
      <c r="AA624"/>
      <c r="AB624"/>
      <c r="AC624"/>
      <c r="AD624"/>
      <c r="AE624"/>
      <c r="AF624"/>
      <c r="AG624"/>
      <c r="AH624"/>
      <c r="AI624"/>
      <c r="AJ624"/>
      <c r="AK624"/>
      <c r="AL624"/>
    </row>
    <row r="625" spans="1:38">
      <c r="Z625"/>
      <c r="AA625"/>
      <c r="AB625"/>
      <c r="AC625"/>
      <c r="AD625"/>
      <c r="AE625"/>
      <c r="AF625"/>
      <c r="AG625"/>
      <c r="AH625"/>
      <c r="AI625"/>
      <c r="AJ625"/>
      <c r="AK625"/>
      <c r="AL625"/>
    </row>
    <row r="626" spans="1:38">
      <c r="Z626"/>
      <c r="AA626"/>
      <c r="AB626"/>
      <c r="AC626"/>
      <c r="AD626"/>
      <c r="AE626"/>
      <c r="AF626"/>
      <c r="AG626"/>
      <c r="AH626"/>
      <c r="AI626"/>
      <c r="AJ626"/>
      <c r="AK626"/>
      <c r="AL626"/>
    </row>
    <row r="627" spans="1:38">
      <c r="F627" s="29"/>
      <c r="G627" s="29"/>
      <c r="H627" s="29"/>
      <c r="I627" s="29"/>
      <c r="J627" s="29"/>
      <c r="K627" s="29"/>
      <c r="L627" s="29"/>
      <c r="M627" s="29"/>
      <c r="N627" s="29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</row>
    <row r="628" spans="1:38">
      <c r="F628" s="29"/>
      <c r="G628" s="29"/>
      <c r="H628" s="29"/>
      <c r="I628" s="29"/>
      <c r="J628" s="29"/>
      <c r="K628" s="29"/>
      <c r="L628" s="29"/>
      <c r="M628" s="29"/>
      <c r="N628" s="29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</row>
    <row r="629" spans="1:38">
      <c r="F629" s="29"/>
      <c r="G629" s="29"/>
      <c r="H629" s="29"/>
      <c r="I629" s="29"/>
      <c r="J629" s="29"/>
      <c r="K629" s="29"/>
      <c r="L629" s="29"/>
      <c r="M629" s="29"/>
      <c r="N629" s="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</row>
    <row r="630" spans="1:38">
      <c r="F630" s="29"/>
      <c r="G630" s="29"/>
      <c r="H630" s="29"/>
      <c r="I630" s="29"/>
      <c r="J630" s="29"/>
      <c r="K630" s="29"/>
      <c r="L630" s="29"/>
      <c r="M630" s="29"/>
      <c r="N630" s="29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</row>
    <row r="631" spans="1:38">
      <c r="F631" s="29"/>
      <c r="G631" s="29"/>
      <c r="H631" s="29"/>
      <c r="I631" s="29"/>
      <c r="J631" s="29"/>
      <c r="K631" s="29"/>
      <c r="L631" s="29"/>
      <c r="M631" s="29"/>
      <c r="N631" s="29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</row>
    <row r="632" spans="1:38" s="117" customFormat="1">
      <c r="A632" s="1"/>
      <c r="B632" s="1"/>
      <c r="C632" s="1"/>
      <c r="D632" s="1"/>
      <c r="E632" s="1"/>
      <c r="F632" s="29"/>
      <c r="G632" s="29"/>
      <c r="H632" s="29"/>
      <c r="I632" s="29"/>
      <c r="J632" s="29"/>
      <c r="K632" s="29"/>
      <c r="L632" s="29"/>
      <c r="M632" s="29"/>
      <c r="N632" s="29"/>
      <c r="O632" s="1"/>
      <c r="P632" s="1"/>
      <c r="Q632" s="1"/>
      <c r="R632" s="1"/>
      <c r="S632" s="1"/>
      <c r="T632" s="1"/>
      <c r="U632" s="1"/>
      <c r="V632" s="1"/>
      <c r="W632" s="1"/>
      <c r="X632" s="1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</row>
    <row r="633" spans="1:38" s="117" customFormat="1">
      <c r="F633" s="115"/>
      <c r="G633" s="115"/>
      <c r="H633" s="115"/>
      <c r="I633" s="115"/>
      <c r="J633" s="115"/>
      <c r="K633" s="115"/>
      <c r="L633" s="115"/>
      <c r="M633" s="115"/>
      <c r="N633" s="115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</row>
    <row r="634" spans="1:38" s="117" customFormat="1">
      <c r="F634" s="115"/>
      <c r="G634" s="115"/>
      <c r="H634" s="115"/>
      <c r="I634" s="115"/>
      <c r="J634" s="115"/>
      <c r="K634" s="115"/>
      <c r="L634" s="115"/>
      <c r="M634" s="115"/>
      <c r="N634" s="115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</row>
    <row r="635" spans="1:38">
      <c r="A635" s="117"/>
      <c r="B635" s="117"/>
      <c r="C635" s="117"/>
      <c r="D635" s="117"/>
      <c r="E635" s="117"/>
      <c r="F635" s="115"/>
      <c r="G635" s="115"/>
      <c r="H635" s="115"/>
      <c r="I635" s="115"/>
      <c r="J635" s="115"/>
      <c r="K635" s="115"/>
      <c r="L635" s="115"/>
      <c r="M635" s="115"/>
      <c r="N635" s="115"/>
      <c r="O635" s="117"/>
      <c r="P635" s="117"/>
      <c r="Q635" s="117"/>
      <c r="R635" s="117"/>
      <c r="S635" s="117"/>
      <c r="T635" s="117"/>
      <c r="U635" s="117"/>
      <c r="V635" s="117"/>
      <c r="W635" s="117"/>
      <c r="X635" s="117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</row>
    <row r="636" spans="1:38" ht="23.25">
      <c r="B636" s="408" t="s">
        <v>147</v>
      </c>
      <c r="C636" s="408"/>
      <c r="D636" s="408"/>
      <c r="E636" s="408"/>
      <c r="F636" s="408"/>
      <c r="G636" s="408"/>
      <c r="H636" s="408"/>
      <c r="I636" s="408"/>
      <c r="J636" s="408"/>
      <c r="K636" s="408"/>
      <c r="N636" s="408" t="s">
        <v>148</v>
      </c>
      <c r="O636" s="408"/>
      <c r="P636" s="408"/>
      <c r="Q636" s="408"/>
      <c r="R636" s="408"/>
      <c r="S636" s="408"/>
      <c r="T636" s="408"/>
      <c r="U636" s="408"/>
      <c r="V636" s="408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</row>
    <row r="637" spans="1:38">
      <c r="A637" s="139"/>
      <c r="B637" s="139"/>
      <c r="C637" s="139"/>
      <c r="D637" s="139"/>
      <c r="E637" s="139"/>
      <c r="F637" s="115"/>
      <c r="G637" s="139" t="s">
        <v>208</v>
      </c>
      <c r="H637" s="115"/>
      <c r="I637" s="115"/>
      <c r="J637" s="115"/>
      <c r="K637" s="115"/>
      <c r="L637" s="115"/>
      <c r="M637" s="115"/>
      <c r="N637" s="115"/>
      <c r="O637" s="139"/>
      <c r="P637" s="139"/>
      <c r="Q637" s="139"/>
      <c r="R637" s="139"/>
      <c r="S637" s="139" t="s">
        <v>209</v>
      </c>
      <c r="T637" s="139"/>
      <c r="U637" s="139"/>
      <c r="V637" s="139"/>
      <c r="W637" s="139"/>
      <c r="X637" s="139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</row>
    <row r="638" spans="1:38" ht="34.5" thickBot="1">
      <c r="A638" s="8"/>
      <c r="B638" s="8"/>
      <c r="C638" s="107" t="s">
        <v>45</v>
      </c>
      <c r="D638" s="101" t="s">
        <v>46</v>
      </c>
      <c r="E638" s="101" t="s">
        <v>44</v>
      </c>
      <c r="F638" s="101" t="s">
        <v>43</v>
      </c>
      <c r="G638" s="101" t="s">
        <v>42</v>
      </c>
      <c r="H638" s="101" t="s">
        <v>49</v>
      </c>
      <c r="I638" s="101" t="s">
        <v>47</v>
      </c>
      <c r="J638" s="102" t="s">
        <v>157</v>
      </c>
      <c r="K638" s="102" t="s">
        <v>180</v>
      </c>
      <c r="L638" s="101" t="s">
        <v>48</v>
      </c>
      <c r="M638" s="104"/>
      <c r="N638" s="104"/>
      <c r="O638" s="107" t="s">
        <v>45</v>
      </c>
      <c r="P638" s="101" t="s">
        <v>46</v>
      </c>
      <c r="Q638" s="101" t="s">
        <v>44</v>
      </c>
      <c r="R638" s="101" t="s">
        <v>43</v>
      </c>
      <c r="S638" s="101" t="s">
        <v>42</v>
      </c>
      <c r="T638" s="101" t="s">
        <v>49</v>
      </c>
      <c r="U638" s="101" t="s">
        <v>67</v>
      </c>
      <c r="V638" s="102" t="s">
        <v>158</v>
      </c>
      <c r="W638" s="102" t="s">
        <v>181</v>
      </c>
      <c r="X638" s="101" t="s">
        <v>66</v>
      </c>
      <c r="Z638"/>
      <c r="AA638"/>
      <c r="AB638"/>
      <c r="AC638"/>
      <c r="AD638"/>
      <c r="AE638"/>
      <c r="AF638"/>
      <c r="AG638"/>
      <c r="AH638"/>
      <c r="AI638"/>
      <c r="AJ638"/>
      <c r="AK638"/>
      <c r="AL638"/>
    </row>
    <row r="639" spans="1:38" ht="15.75" thickBot="1">
      <c r="A639" s="8" t="s">
        <v>37</v>
      </c>
      <c r="B639" s="48" t="s">
        <v>70</v>
      </c>
      <c r="C639" s="82">
        <f>E639+F639+G639+H639+I639+J639+L639+K639</f>
        <v>6</v>
      </c>
      <c r="D639" s="9">
        <f>E639+F639+G639+H639</f>
        <v>0</v>
      </c>
      <c r="E639" s="31">
        <f>Algandmed!AG78</f>
        <v>0</v>
      </c>
      <c r="F639" s="31">
        <f>Algandmed!AH78</f>
        <v>0</v>
      </c>
      <c r="G639" s="31">
        <f>Algandmed!AI78</f>
        <v>0</v>
      </c>
      <c r="H639" s="31">
        <f>Algandmed!AJ78</f>
        <v>0</v>
      </c>
      <c r="I639" s="31">
        <f>Algandmed!AK78</f>
        <v>0</v>
      </c>
      <c r="J639" s="31">
        <f>Algandmed!AN78</f>
        <v>1</v>
      </c>
      <c r="K639" s="31">
        <f>Algandmed!AL78</f>
        <v>0</v>
      </c>
      <c r="L639" s="31">
        <f>Algandmed!AO78</f>
        <v>5</v>
      </c>
      <c r="M639" s="8" t="s">
        <v>1</v>
      </c>
      <c r="N639" s="48" t="s">
        <v>70</v>
      </c>
      <c r="O639" s="82">
        <f>Q639+R639+S639+T639+U639+X639+V639+W639</f>
        <v>5</v>
      </c>
      <c r="P639" s="9">
        <f>Q639+R639+S639+T639</f>
        <v>0</v>
      </c>
      <c r="Q639" s="31">
        <f>Algandmed!AV78</f>
        <v>0</v>
      </c>
      <c r="R639" s="31">
        <f>Algandmed!AW78</f>
        <v>0</v>
      </c>
      <c r="S639" s="31">
        <f>Algandmed!AX78</f>
        <v>0</v>
      </c>
      <c r="T639" s="31">
        <f>Algandmed!AY78</f>
        <v>0</v>
      </c>
      <c r="U639" s="31">
        <f>Algandmed!AZ78</f>
        <v>1</v>
      </c>
      <c r="V639" s="31">
        <f>Algandmed!BC78</f>
        <v>0</v>
      </c>
      <c r="W639" s="31">
        <f>Algandmed!BA78</f>
        <v>0</v>
      </c>
      <c r="X639" s="31">
        <f>Algandmed!BD78</f>
        <v>4</v>
      </c>
      <c r="Z639"/>
      <c r="AA639"/>
      <c r="AB639"/>
      <c r="AC639"/>
      <c r="AD639"/>
      <c r="AE639"/>
      <c r="AF639"/>
      <c r="AG639"/>
      <c r="AH639"/>
      <c r="AI639"/>
      <c r="AJ639"/>
      <c r="AK639"/>
      <c r="AL639"/>
    </row>
    <row r="640" spans="1:38">
      <c r="A640" s="17"/>
      <c r="B640" s="17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7"/>
      <c r="N640" s="17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</row>
    <row r="641" spans="1:38">
      <c r="A641" s="29"/>
      <c r="B641" s="29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</row>
    <row r="642" spans="1:38" ht="33.75">
      <c r="A642" s="8"/>
      <c r="B642" s="8"/>
      <c r="C642" s="9"/>
      <c r="D642" s="101" t="s">
        <v>46</v>
      </c>
      <c r="E642" s="101" t="s">
        <v>44</v>
      </c>
      <c r="F642" s="101" t="s">
        <v>43</v>
      </c>
      <c r="G642" s="101" t="s">
        <v>42</v>
      </c>
      <c r="H642" s="101" t="s">
        <v>49</v>
      </c>
      <c r="I642" s="101" t="s">
        <v>47</v>
      </c>
      <c r="J642" s="102" t="s">
        <v>157</v>
      </c>
      <c r="K642" s="102" t="s">
        <v>180</v>
      </c>
      <c r="L642" s="101" t="s">
        <v>48</v>
      </c>
      <c r="M642" s="104"/>
      <c r="N642" s="104"/>
      <c r="O642" s="104"/>
      <c r="P642" s="101" t="s">
        <v>46</v>
      </c>
      <c r="Q642" s="101" t="s">
        <v>44</v>
      </c>
      <c r="R642" s="101" t="s">
        <v>43</v>
      </c>
      <c r="S642" s="101" t="s">
        <v>42</v>
      </c>
      <c r="T642" s="101" t="s">
        <v>49</v>
      </c>
      <c r="U642" s="101" t="s">
        <v>67</v>
      </c>
      <c r="V642" s="102" t="s">
        <v>158</v>
      </c>
      <c r="W642" s="102" t="s">
        <v>181</v>
      </c>
      <c r="X642" s="101" t="s">
        <v>66</v>
      </c>
      <c r="Z642"/>
      <c r="AA642"/>
      <c r="AB642"/>
      <c r="AC642"/>
      <c r="AD642"/>
      <c r="AE642"/>
      <c r="AF642"/>
      <c r="AG642"/>
      <c r="AH642"/>
      <c r="AI642"/>
      <c r="AJ642"/>
      <c r="AK642"/>
      <c r="AL642"/>
    </row>
    <row r="643" spans="1:38">
      <c r="A643" s="8" t="s">
        <v>37</v>
      </c>
      <c r="B643" s="48" t="s">
        <v>70</v>
      </c>
      <c r="C643" s="9"/>
      <c r="D643" s="46">
        <f t="shared" ref="D643:L643" si="60">D639/$C639</f>
        <v>0</v>
      </c>
      <c r="E643" s="50">
        <f t="shared" si="60"/>
        <v>0</v>
      </c>
      <c r="F643" s="50">
        <f t="shared" si="60"/>
        <v>0</v>
      </c>
      <c r="G643" s="50">
        <f t="shared" si="60"/>
        <v>0</v>
      </c>
      <c r="H643" s="50">
        <f t="shared" si="60"/>
        <v>0</v>
      </c>
      <c r="I643" s="50">
        <f t="shared" si="60"/>
        <v>0</v>
      </c>
      <c r="J643" s="50">
        <f t="shared" si="60"/>
        <v>0.16666666666666666</v>
      </c>
      <c r="K643" s="50">
        <f t="shared" si="60"/>
        <v>0</v>
      </c>
      <c r="L643" s="50">
        <f t="shared" si="60"/>
        <v>0.83333333333333337</v>
      </c>
      <c r="M643" s="8" t="s">
        <v>1</v>
      </c>
      <c r="N643" s="48" t="s">
        <v>70</v>
      </c>
      <c r="O643" s="9"/>
      <c r="P643" s="46">
        <f t="shared" ref="P643:X643" si="61">P639/$O639</f>
        <v>0</v>
      </c>
      <c r="Q643" s="50">
        <f t="shared" si="61"/>
        <v>0</v>
      </c>
      <c r="R643" s="50">
        <f t="shared" si="61"/>
        <v>0</v>
      </c>
      <c r="S643" s="50">
        <f t="shared" si="61"/>
        <v>0</v>
      </c>
      <c r="T643" s="50">
        <f t="shared" si="61"/>
        <v>0</v>
      </c>
      <c r="U643" s="50">
        <f t="shared" si="61"/>
        <v>0.2</v>
      </c>
      <c r="V643" s="50">
        <f t="shared" si="61"/>
        <v>0</v>
      </c>
      <c r="W643" s="50">
        <f t="shared" si="61"/>
        <v>0</v>
      </c>
      <c r="X643" s="50">
        <f t="shared" si="61"/>
        <v>0.8</v>
      </c>
      <c r="Z643"/>
      <c r="AA643"/>
      <c r="AB643"/>
      <c r="AC643"/>
      <c r="AD643"/>
      <c r="AE643"/>
      <c r="AF643"/>
      <c r="AG643"/>
      <c r="AH643"/>
      <c r="AI643"/>
      <c r="AJ643"/>
      <c r="AK643"/>
      <c r="AL643"/>
    </row>
    <row r="644" spans="1:38">
      <c r="A644" s="17"/>
      <c r="B644" s="17"/>
      <c r="C644" s="10"/>
      <c r="D644" s="17"/>
      <c r="E644" s="17"/>
      <c r="F644" s="17"/>
      <c r="G644" s="17"/>
      <c r="H644" s="17"/>
      <c r="I644" s="17"/>
      <c r="J644" s="10"/>
      <c r="K644" s="10"/>
      <c r="L644" s="17"/>
      <c r="M644" s="17"/>
      <c r="N644" s="17"/>
      <c r="O644" s="10"/>
      <c r="P644" s="17"/>
      <c r="Q644" s="17"/>
      <c r="R644" s="17"/>
      <c r="S644" s="17"/>
      <c r="T644" s="17"/>
      <c r="U644" s="17"/>
      <c r="V644" s="10"/>
      <c r="W644" s="10"/>
      <c r="X644" s="17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</row>
    <row r="645" spans="1:38">
      <c r="F645" s="29"/>
      <c r="G645" s="29"/>
      <c r="H645" s="29"/>
      <c r="I645" s="29"/>
      <c r="J645" s="29"/>
      <c r="K645" s="29"/>
      <c r="L645" s="29"/>
      <c r="M645" s="29"/>
      <c r="N645" s="29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</row>
    <row r="646" spans="1:38">
      <c r="F646" s="29"/>
      <c r="G646" s="29"/>
      <c r="H646" s="29"/>
      <c r="I646" s="29"/>
      <c r="J646" s="29"/>
      <c r="K646" s="29"/>
      <c r="L646" s="29"/>
      <c r="M646" s="29"/>
      <c r="N646" s="29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</row>
    <row r="647" spans="1:38">
      <c r="F647" s="29"/>
      <c r="G647" s="29"/>
      <c r="H647" s="29"/>
      <c r="I647" s="29"/>
      <c r="J647" s="29"/>
      <c r="K647" s="29"/>
      <c r="L647" s="29"/>
      <c r="M647" s="29"/>
      <c r="N647" s="29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</row>
    <row r="648" spans="1:38">
      <c r="F648" s="29"/>
      <c r="G648" s="29"/>
      <c r="H648" s="29"/>
      <c r="I648" s="29"/>
      <c r="J648" s="29"/>
      <c r="K648" s="29"/>
      <c r="L648" s="29"/>
      <c r="M648" s="29"/>
      <c r="N648" s="29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</row>
    <row r="649" spans="1:38">
      <c r="F649" s="29"/>
      <c r="G649" s="29"/>
      <c r="H649" s="29"/>
      <c r="I649" s="29"/>
      <c r="J649" s="29"/>
      <c r="K649" s="29"/>
      <c r="L649" s="29"/>
      <c r="M649" s="29"/>
      <c r="N649" s="2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</row>
    <row r="650" spans="1:38">
      <c r="F650" s="29"/>
      <c r="G650" s="29"/>
      <c r="H650" s="29"/>
      <c r="I650" s="29"/>
      <c r="J650" s="29"/>
      <c r="K650" s="29"/>
      <c r="L650" s="29"/>
      <c r="M650" s="29"/>
      <c r="N650" s="29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</row>
    <row r="651" spans="1:38">
      <c r="F651" s="29"/>
      <c r="G651" s="29"/>
      <c r="H651" s="29"/>
      <c r="I651" s="29"/>
      <c r="J651" s="29"/>
      <c r="K651" s="29"/>
      <c r="L651" s="29"/>
      <c r="M651" s="29"/>
      <c r="N651" s="29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</row>
    <row r="652" spans="1:38">
      <c r="F652" s="29"/>
      <c r="G652" s="29"/>
      <c r="H652" s="29"/>
      <c r="I652" s="29"/>
      <c r="J652" s="29"/>
      <c r="K652" s="29"/>
      <c r="L652" s="29"/>
      <c r="M652" s="29"/>
      <c r="N652" s="29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</row>
    <row r="653" spans="1:38">
      <c r="F653" s="29"/>
      <c r="G653" s="29"/>
      <c r="H653" s="29"/>
      <c r="I653" s="29"/>
      <c r="J653" s="29"/>
      <c r="K653" s="29"/>
      <c r="L653" s="29"/>
      <c r="M653" s="29"/>
      <c r="N653" s="29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</row>
    <row r="654" spans="1:38">
      <c r="F654" s="29"/>
      <c r="G654" s="29"/>
      <c r="H654" s="29"/>
      <c r="I654" s="29"/>
      <c r="J654" s="29"/>
      <c r="K654" s="29"/>
      <c r="L654" s="29"/>
      <c r="M654" s="29"/>
      <c r="N654" s="29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</row>
    <row r="655" spans="1:38">
      <c r="F655" s="29"/>
      <c r="G655" s="29"/>
      <c r="H655" s="29"/>
      <c r="I655" s="29"/>
      <c r="J655" s="29"/>
      <c r="K655" s="29"/>
      <c r="L655" s="29"/>
      <c r="M655" s="29"/>
      <c r="N655" s="29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</row>
    <row r="656" spans="1:38">
      <c r="F656" s="29"/>
      <c r="G656" s="29"/>
      <c r="H656" s="29"/>
      <c r="I656" s="29"/>
      <c r="J656" s="29"/>
      <c r="K656" s="29"/>
      <c r="L656" s="29"/>
      <c r="M656" s="29"/>
      <c r="N656" s="29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</row>
    <row r="657" spans="6:38">
      <c r="F657" s="29"/>
      <c r="G657" s="29"/>
      <c r="H657" s="29"/>
      <c r="I657" s="29"/>
      <c r="J657" s="29"/>
      <c r="K657" s="29"/>
      <c r="L657" s="29"/>
      <c r="M657" s="29"/>
      <c r="N657" s="29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</row>
    <row r="658" spans="6:38">
      <c r="F658" s="29"/>
      <c r="G658" s="29"/>
      <c r="H658" s="29"/>
      <c r="I658" s="29"/>
      <c r="J658" s="29"/>
      <c r="K658" s="29"/>
      <c r="L658" s="29"/>
      <c r="M658" s="29"/>
      <c r="N658" s="29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</row>
    <row r="659" spans="6:38">
      <c r="F659" s="29"/>
      <c r="G659" s="29"/>
      <c r="H659" s="29"/>
      <c r="I659" s="29"/>
      <c r="J659" s="29"/>
      <c r="K659" s="29"/>
      <c r="L659" s="29"/>
      <c r="M659" s="29"/>
      <c r="N659" s="2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</row>
    <row r="660" spans="6:38">
      <c r="F660" s="29"/>
      <c r="G660" s="29"/>
      <c r="H660" s="29"/>
      <c r="I660" s="29"/>
      <c r="J660" s="29"/>
      <c r="K660" s="29"/>
      <c r="L660" s="29"/>
      <c r="M660" s="29"/>
      <c r="N660" s="29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</row>
    <row r="661" spans="6:38">
      <c r="F661" s="29"/>
      <c r="G661" s="29"/>
      <c r="H661" s="29"/>
      <c r="I661" s="29"/>
      <c r="J661" s="29"/>
      <c r="K661" s="29"/>
      <c r="L661" s="29"/>
      <c r="M661" s="29"/>
      <c r="N661" s="29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</row>
    <row r="662" spans="6:38">
      <c r="F662" s="29"/>
      <c r="G662" s="29"/>
      <c r="H662" s="29"/>
      <c r="I662" s="29"/>
      <c r="J662" s="29"/>
      <c r="K662" s="29"/>
      <c r="L662" s="29"/>
      <c r="M662" s="29"/>
      <c r="N662" s="29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</row>
    <row r="663" spans="6:38">
      <c r="F663" s="29"/>
      <c r="G663" s="29"/>
      <c r="H663" s="29"/>
      <c r="I663" s="29"/>
      <c r="J663" s="29"/>
      <c r="K663" s="29"/>
      <c r="L663" s="29"/>
      <c r="M663" s="29"/>
      <c r="N663" s="29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</row>
    <row r="664" spans="6:38">
      <c r="F664" s="29"/>
      <c r="G664" s="29"/>
      <c r="H664" s="29"/>
      <c r="I664" s="29"/>
      <c r="J664" s="29"/>
      <c r="K664" s="29"/>
      <c r="L664" s="29"/>
      <c r="M664" s="29"/>
      <c r="N664" s="29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</row>
    <row r="665" spans="6:38">
      <c r="F665" s="29"/>
      <c r="G665" s="29"/>
      <c r="H665" s="29"/>
      <c r="I665" s="29"/>
      <c r="J665" s="29"/>
      <c r="K665" s="29"/>
      <c r="L665" s="29"/>
      <c r="M665" s="29"/>
      <c r="N665" s="29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</row>
    <row r="666" spans="6:38">
      <c r="Z666"/>
      <c r="AA666"/>
      <c r="AB666"/>
      <c r="AC666"/>
      <c r="AD666"/>
      <c r="AE666"/>
      <c r="AF666"/>
      <c r="AG666"/>
      <c r="AH666"/>
      <c r="AI666"/>
      <c r="AJ666"/>
      <c r="AK666"/>
      <c r="AL666"/>
    </row>
    <row r="667" spans="6:38">
      <c r="Z667"/>
      <c r="AA667"/>
      <c r="AB667"/>
      <c r="AC667"/>
      <c r="AD667"/>
      <c r="AE667"/>
      <c r="AF667"/>
      <c r="AG667"/>
      <c r="AH667"/>
      <c r="AI667"/>
      <c r="AJ667"/>
      <c r="AK667"/>
      <c r="AL667"/>
    </row>
    <row r="668" spans="6:38">
      <c r="Z668"/>
      <c r="AA668"/>
      <c r="AB668"/>
      <c r="AC668"/>
      <c r="AD668"/>
      <c r="AE668"/>
      <c r="AF668"/>
      <c r="AG668"/>
      <c r="AH668"/>
      <c r="AI668"/>
      <c r="AJ668"/>
      <c r="AK668"/>
      <c r="AL668"/>
    </row>
    <row r="669" spans="6:38">
      <c r="Z669"/>
      <c r="AA669"/>
      <c r="AB669"/>
      <c r="AC669"/>
      <c r="AD669"/>
      <c r="AE669"/>
      <c r="AF669"/>
      <c r="AG669"/>
      <c r="AH669"/>
      <c r="AI669"/>
      <c r="AJ669"/>
      <c r="AK669"/>
      <c r="AL669"/>
    </row>
    <row r="670" spans="6:38">
      <c r="Z670"/>
      <c r="AA670"/>
      <c r="AB670"/>
      <c r="AC670"/>
      <c r="AD670"/>
      <c r="AE670"/>
      <c r="AF670"/>
      <c r="AG670"/>
      <c r="AH670"/>
      <c r="AI670"/>
      <c r="AJ670"/>
      <c r="AK670"/>
      <c r="AL670"/>
    </row>
    <row r="671" spans="6:38">
      <c r="Z671"/>
      <c r="AA671"/>
      <c r="AB671"/>
      <c r="AC671"/>
      <c r="AD671"/>
      <c r="AE671"/>
      <c r="AF671"/>
      <c r="AG671"/>
      <c r="AH671"/>
      <c r="AI671"/>
      <c r="AJ671"/>
      <c r="AK671"/>
      <c r="AL671"/>
    </row>
    <row r="672" spans="6:38">
      <c r="Z672"/>
      <c r="AA672"/>
      <c r="AB672"/>
      <c r="AC672"/>
      <c r="AD672"/>
      <c r="AE672"/>
      <c r="AF672"/>
      <c r="AG672"/>
      <c r="AH672"/>
      <c r="AI672"/>
      <c r="AJ672"/>
      <c r="AK672"/>
      <c r="AL672"/>
    </row>
    <row r="673" spans="1:38">
      <c r="F673" s="29"/>
      <c r="G673" s="29"/>
      <c r="H673" s="29"/>
      <c r="I673" s="29"/>
      <c r="J673" s="29"/>
      <c r="K673" s="29"/>
      <c r="L673" s="29"/>
      <c r="M673" s="29"/>
      <c r="N673" s="29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</row>
    <row r="674" spans="1:38">
      <c r="F674" s="29"/>
      <c r="G674" s="29"/>
      <c r="H674" s="29"/>
      <c r="I674" s="29"/>
      <c r="J674" s="29"/>
      <c r="K674" s="29"/>
      <c r="L674" s="29"/>
      <c r="M674" s="29"/>
      <c r="N674" s="29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</row>
    <row r="675" spans="1:38">
      <c r="F675" s="29"/>
      <c r="G675" s="29"/>
      <c r="H675" s="29"/>
      <c r="I675" s="29"/>
      <c r="J675" s="29"/>
      <c r="K675" s="29"/>
      <c r="L675" s="29"/>
      <c r="M675" s="29"/>
      <c r="N675" s="29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</row>
    <row r="676" spans="1:38">
      <c r="F676" s="29"/>
      <c r="G676" s="29"/>
      <c r="H676" s="29"/>
      <c r="I676" s="29"/>
      <c r="J676" s="29"/>
      <c r="K676" s="29"/>
      <c r="L676" s="29"/>
      <c r="M676" s="29"/>
      <c r="N676" s="29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</row>
    <row r="677" spans="1:38">
      <c r="F677" s="29"/>
      <c r="G677" s="29"/>
      <c r="H677" s="29"/>
      <c r="I677" s="29"/>
      <c r="J677" s="29"/>
      <c r="K677" s="29"/>
      <c r="L677" s="29"/>
      <c r="M677" s="29"/>
      <c r="N677" s="29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</row>
    <row r="678" spans="1:38">
      <c r="F678" s="29"/>
      <c r="G678" s="29"/>
      <c r="H678" s="29"/>
      <c r="I678" s="29"/>
      <c r="J678" s="29"/>
      <c r="K678" s="29"/>
      <c r="L678" s="29"/>
      <c r="M678" s="29"/>
      <c r="N678" s="29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</row>
    <row r="679" spans="1:38">
      <c r="F679" s="29"/>
      <c r="G679" s="29"/>
      <c r="H679" s="29"/>
      <c r="I679" s="29"/>
      <c r="J679" s="29"/>
      <c r="K679" s="29"/>
      <c r="L679" s="29"/>
      <c r="M679" s="29"/>
      <c r="N679" s="2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</row>
    <row r="680" spans="1:38">
      <c r="F680" s="29"/>
      <c r="G680" s="29"/>
      <c r="H680" s="29"/>
      <c r="I680" s="29"/>
      <c r="J680" s="29"/>
      <c r="K680" s="29"/>
      <c r="L680" s="29"/>
      <c r="M680" s="29"/>
      <c r="N680" s="29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</row>
    <row r="681" spans="1:38">
      <c r="F681" s="29"/>
      <c r="G681" s="29"/>
      <c r="H681" s="29"/>
      <c r="I681" s="29"/>
      <c r="J681" s="29"/>
      <c r="K681" s="29"/>
      <c r="L681" s="29"/>
      <c r="M681" s="29"/>
      <c r="N681" s="29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</row>
    <row r="682" spans="1:38" s="117" customFormat="1">
      <c r="A682" s="1"/>
      <c r="B682" s="1"/>
      <c r="C682" s="1"/>
      <c r="D682" s="1"/>
      <c r="E682" s="1"/>
      <c r="F682" s="29"/>
      <c r="G682" s="29"/>
      <c r="H682" s="29"/>
      <c r="I682" s="29"/>
      <c r="J682" s="29"/>
      <c r="K682" s="29"/>
      <c r="L682" s="29"/>
      <c r="M682" s="29"/>
      <c r="N682" s="29"/>
      <c r="O682" s="1"/>
      <c r="P682" s="1"/>
      <c r="Q682" s="1"/>
      <c r="R682" s="1"/>
      <c r="S682" s="1"/>
      <c r="T682" s="1"/>
      <c r="U682" s="1"/>
      <c r="V682" s="1"/>
      <c r="W682" s="1"/>
      <c r="X682" s="1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</row>
    <row r="683" spans="1:38" s="117" customFormat="1">
      <c r="F683" s="115"/>
      <c r="G683" s="115"/>
      <c r="H683" s="115"/>
      <c r="I683" s="115"/>
      <c r="J683" s="115"/>
      <c r="K683" s="115"/>
      <c r="L683" s="115"/>
      <c r="M683" s="115"/>
      <c r="N683" s="115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</row>
    <row r="684" spans="1:38" s="130" customFormat="1">
      <c r="A684" s="117"/>
      <c r="B684" s="117"/>
      <c r="C684" s="117"/>
      <c r="D684" s="117"/>
      <c r="E684" s="117"/>
      <c r="F684" s="115"/>
      <c r="G684" s="115"/>
      <c r="H684" s="115"/>
      <c r="I684" s="115"/>
      <c r="J684" s="115"/>
      <c r="K684" s="115"/>
      <c r="L684" s="115"/>
      <c r="M684" s="115"/>
      <c r="N684" s="115"/>
      <c r="O684" s="117"/>
      <c r="P684" s="117"/>
      <c r="Q684" s="117"/>
      <c r="R684" s="117"/>
      <c r="S684" s="117"/>
      <c r="T684" s="117"/>
      <c r="U684" s="117"/>
      <c r="V684" s="117"/>
      <c r="W684" s="117"/>
      <c r="X684" s="117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</row>
    <row r="685" spans="1:38" s="141" customFormat="1">
      <c r="F685" s="115"/>
      <c r="G685" s="115"/>
      <c r="H685" s="115"/>
      <c r="I685" s="115"/>
      <c r="J685" s="115"/>
      <c r="K685" s="115"/>
      <c r="L685" s="115"/>
      <c r="M685" s="115"/>
      <c r="N685" s="115"/>
      <c r="Z685" s="115"/>
      <c r="AA685" s="115"/>
      <c r="AB685" s="115"/>
      <c r="AC685" s="115"/>
      <c r="AD685" s="115"/>
      <c r="AE685" s="115"/>
      <c r="AF685" s="115"/>
      <c r="AG685" s="115"/>
      <c r="AH685" s="115"/>
      <c r="AI685" s="115"/>
      <c r="AJ685" s="115"/>
      <c r="AK685" s="115"/>
      <c r="AL685" s="115"/>
    </row>
    <row r="686" spans="1:38">
      <c r="A686" s="130"/>
      <c r="B686" s="130"/>
      <c r="C686" s="130"/>
      <c r="D686" s="130"/>
      <c r="E686" s="130"/>
      <c r="F686" s="115"/>
      <c r="G686" s="115"/>
      <c r="H686" s="115"/>
      <c r="I686" s="115"/>
      <c r="J686" s="115"/>
      <c r="K686" s="115"/>
      <c r="L686" s="115"/>
      <c r="M686" s="115"/>
      <c r="N686" s="115"/>
      <c r="O686" s="130"/>
      <c r="P686" s="130"/>
      <c r="Q686" s="130"/>
      <c r="R686" s="130"/>
      <c r="S686" s="130"/>
      <c r="T686" s="130"/>
      <c r="U686" s="130"/>
      <c r="V686" s="130"/>
      <c r="W686" s="130"/>
      <c r="X686" s="130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</row>
    <row r="687" spans="1:38" ht="23.25">
      <c r="A687" s="408" t="s">
        <v>169</v>
      </c>
      <c r="B687" s="408"/>
      <c r="C687" s="408"/>
      <c r="D687" s="408"/>
      <c r="E687" s="408"/>
      <c r="F687" s="408"/>
      <c r="G687" s="408"/>
      <c r="H687" s="408"/>
      <c r="I687" s="408"/>
      <c r="J687" s="408"/>
      <c r="K687" s="408"/>
      <c r="L687" s="408"/>
      <c r="M687" s="408" t="s">
        <v>170</v>
      </c>
      <c r="N687" s="408"/>
      <c r="O687" s="408"/>
      <c r="P687" s="408"/>
      <c r="Q687" s="408"/>
      <c r="R687" s="408"/>
      <c r="S687" s="408"/>
      <c r="T687" s="408"/>
      <c r="U687" s="408"/>
      <c r="V687" s="408"/>
      <c r="W687" s="408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</row>
    <row r="688" spans="1:38">
      <c r="F688" s="29"/>
      <c r="G688" s="29"/>
      <c r="H688" s="29"/>
      <c r="I688" s="29"/>
      <c r="J688" s="29"/>
      <c r="K688" s="29"/>
      <c r="L688" s="29"/>
      <c r="M688" s="29"/>
      <c r="N688" s="29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</row>
    <row r="689" spans="1:38" ht="34.5" thickBot="1">
      <c r="A689" s="8"/>
      <c r="B689" s="8"/>
      <c r="C689" s="107" t="s">
        <v>45</v>
      </c>
      <c r="D689" s="101" t="s">
        <v>46</v>
      </c>
      <c r="E689" s="101" t="s">
        <v>44</v>
      </c>
      <c r="F689" s="101" t="s">
        <v>43</v>
      </c>
      <c r="G689" s="101" t="s">
        <v>42</v>
      </c>
      <c r="H689" s="101" t="s">
        <v>49</v>
      </c>
      <c r="I689" s="101" t="s">
        <v>47</v>
      </c>
      <c r="J689" s="102" t="s">
        <v>157</v>
      </c>
      <c r="K689" s="102" t="s">
        <v>180</v>
      </c>
      <c r="L689" s="101" t="s">
        <v>48</v>
      </c>
      <c r="M689" s="104"/>
      <c r="N689" s="104"/>
      <c r="O689" s="107" t="s">
        <v>45</v>
      </c>
      <c r="P689" s="101" t="s">
        <v>46</v>
      </c>
      <c r="Q689" s="101" t="s">
        <v>44</v>
      </c>
      <c r="R689" s="101" t="s">
        <v>43</v>
      </c>
      <c r="S689" s="101" t="s">
        <v>42</v>
      </c>
      <c r="T689" s="101" t="s">
        <v>49</v>
      </c>
      <c r="U689" s="101" t="s">
        <v>67</v>
      </c>
      <c r="V689" s="102" t="s">
        <v>158</v>
      </c>
      <c r="W689" s="102" t="s">
        <v>181</v>
      </c>
      <c r="X689" s="101" t="s">
        <v>66</v>
      </c>
      <c r="Z689"/>
      <c r="AA689"/>
      <c r="AB689"/>
      <c r="AC689"/>
      <c r="AD689"/>
      <c r="AE689"/>
      <c r="AF689"/>
      <c r="AG689"/>
      <c r="AH689"/>
      <c r="AI689"/>
      <c r="AJ689"/>
      <c r="AK689"/>
      <c r="AL689"/>
    </row>
    <row r="690" spans="1:38">
      <c r="A690" s="8" t="s">
        <v>5</v>
      </c>
      <c r="B690" s="36" t="s">
        <v>50</v>
      </c>
      <c r="C690" s="81" t="e">
        <f>E690+F690+G690+H690+I690+L690+J690+K690</f>
        <v>#REF!</v>
      </c>
      <c r="D690" s="9" t="e">
        <f>E690+F690+G690+H690</f>
        <v>#REF!</v>
      </c>
      <c r="E690" s="1" t="e">
        <f>Algandmed!#REF!</f>
        <v>#REF!</v>
      </c>
      <c r="F690" s="1" t="e">
        <f>Algandmed!#REF!</f>
        <v>#REF!</v>
      </c>
      <c r="G690" s="1" t="e">
        <f>Algandmed!#REF!</f>
        <v>#REF!</v>
      </c>
      <c r="H690" s="1" t="e">
        <f>Algandmed!#REF!</f>
        <v>#REF!</v>
      </c>
      <c r="I690" s="1" t="e">
        <f>Algandmed!#REF!</f>
        <v>#REF!</v>
      </c>
      <c r="J690" s="77" t="e">
        <f>Algandmed!#REF!</f>
        <v>#REF!</v>
      </c>
      <c r="K690" s="120" t="e">
        <f>Algandmed!#REF!</f>
        <v>#REF!</v>
      </c>
      <c r="L690" s="1" t="e">
        <f>Algandmed!#REF!</f>
        <v>#REF!</v>
      </c>
      <c r="M690" s="8" t="s">
        <v>1</v>
      </c>
      <c r="N690" s="36" t="s">
        <v>50</v>
      </c>
      <c r="O690" s="81" t="e">
        <f>Q690+R690+S690+T690+U690+X690+V690+W690</f>
        <v>#REF!</v>
      </c>
      <c r="P690" s="9" t="e">
        <f>Q690+R690+S690+T690</f>
        <v>#REF!</v>
      </c>
      <c r="Q690" s="1" t="e">
        <f>Algandmed!#REF!</f>
        <v>#REF!</v>
      </c>
      <c r="R690" s="1" t="e">
        <f>Algandmed!#REF!</f>
        <v>#REF!</v>
      </c>
      <c r="S690" s="1" t="e">
        <f>Algandmed!#REF!</f>
        <v>#REF!</v>
      </c>
      <c r="T690" s="1" t="e">
        <f>Algandmed!#REF!</f>
        <v>#REF!</v>
      </c>
      <c r="U690" s="1" t="e">
        <f>Algandmed!#REF!</f>
        <v>#REF!</v>
      </c>
      <c r="V690" s="77" t="e">
        <f>Algandmed!#REF!</f>
        <v>#REF!</v>
      </c>
      <c r="W690" s="120" t="e">
        <f>Algandmed!#REF!</f>
        <v>#REF!</v>
      </c>
      <c r="X690" s="1" t="e">
        <f>Algandmed!#REF!</f>
        <v>#REF!</v>
      </c>
      <c r="Z690"/>
      <c r="AA690"/>
      <c r="AB690"/>
      <c r="AC690"/>
      <c r="AD690"/>
      <c r="AE690"/>
      <c r="AF690"/>
      <c r="AG690"/>
      <c r="AH690"/>
      <c r="AI690"/>
      <c r="AJ690"/>
      <c r="AK690"/>
      <c r="AL690"/>
    </row>
    <row r="691" spans="1:38">
      <c r="A691" s="129" t="s">
        <v>70</v>
      </c>
      <c r="B691" s="36" t="s">
        <v>55</v>
      </c>
      <c r="C691" s="83" t="e">
        <f>E691+F691+G691+H691+I691+L691+J691+K691</f>
        <v>#REF!</v>
      </c>
      <c r="D691" s="9" t="e">
        <f>E691+F691+G691+H691</f>
        <v>#REF!</v>
      </c>
      <c r="E691" s="1" t="e">
        <f>Algandmed!#REF!</f>
        <v>#REF!</v>
      </c>
      <c r="F691" s="1" t="e">
        <f>Algandmed!#REF!</f>
        <v>#REF!</v>
      </c>
      <c r="G691" s="1" t="e">
        <f>Algandmed!#REF!</f>
        <v>#REF!</v>
      </c>
      <c r="H691" s="1" t="e">
        <f>Algandmed!#REF!</f>
        <v>#REF!</v>
      </c>
      <c r="I691" s="1" t="e">
        <f>Algandmed!#REF!</f>
        <v>#REF!</v>
      </c>
      <c r="J691" s="77" t="e">
        <f>Algandmed!#REF!</f>
        <v>#REF!</v>
      </c>
      <c r="K691" s="120" t="e">
        <f>Algandmed!#REF!</f>
        <v>#REF!</v>
      </c>
      <c r="L691" s="1" t="e">
        <f>Algandmed!#REF!</f>
        <v>#REF!</v>
      </c>
      <c r="M691" s="129" t="s">
        <v>70</v>
      </c>
      <c r="N691" s="36" t="s">
        <v>55</v>
      </c>
      <c r="O691" s="83" t="e">
        <f>Q691+R691+S691+T691+U691+X691+V691+W691</f>
        <v>#REF!</v>
      </c>
      <c r="P691" s="9" t="e">
        <f>Q691+R691+S691+T691</f>
        <v>#REF!</v>
      </c>
      <c r="Q691" s="1" t="e">
        <f>Algandmed!#REF!</f>
        <v>#REF!</v>
      </c>
      <c r="R691" s="1" t="e">
        <f>Algandmed!#REF!</f>
        <v>#REF!</v>
      </c>
      <c r="S691" s="1" t="e">
        <f>Algandmed!#REF!</f>
        <v>#REF!</v>
      </c>
      <c r="T691" s="1" t="e">
        <f>Algandmed!#REF!</f>
        <v>#REF!</v>
      </c>
      <c r="U691" s="1" t="e">
        <f>Algandmed!#REF!</f>
        <v>#REF!</v>
      </c>
      <c r="V691" s="77" t="e">
        <f>Algandmed!#REF!</f>
        <v>#REF!</v>
      </c>
      <c r="W691" s="120" t="e">
        <f>Algandmed!#REF!</f>
        <v>#REF!</v>
      </c>
      <c r="X691" s="1" t="e">
        <f>Algandmed!#REF!</f>
        <v>#REF!</v>
      </c>
      <c r="Z691"/>
      <c r="AA691"/>
      <c r="AB691"/>
      <c r="AC691"/>
      <c r="AD691"/>
      <c r="AE691"/>
      <c r="AF691"/>
      <c r="AG691"/>
      <c r="AH691"/>
      <c r="AI691"/>
      <c r="AJ691"/>
      <c r="AK691"/>
      <c r="AL691"/>
    </row>
    <row r="692" spans="1:38">
      <c r="A692" s="8"/>
      <c r="B692" s="36" t="s">
        <v>56</v>
      </c>
      <c r="C692" s="83" t="e">
        <f>E692+F692+G692+H692+I692+L692+J692+K692</f>
        <v>#REF!</v>
      </c>
      <c r="D692" s="9" t="e">
        <f>E692+F692+G692+H692</f>
        <v>#REF!</v>
      </c>
      <c r="E692" s="1" t="e">
        <f>Algandmed!#REF!</f>
        <v>#REF!</v>
      </c>
      <c r="F692" s="1" t="e">
        <f>Algandmed!#REF!</f>
        <v>#REF!</v>
      </c>
      <c r="G692" s="1" t="e">
        <f>Algandmed!#REF!</f>
        <v>#REF!</v>
      </c>
      <c r="H692" s="1" t="e">
        <f>Algandmed!#REF!</f>
        <v>#REF!</v>
      </c>
      <c r="I692" s="1" t="e">
        <f>Algandmed!#REF!</f>
        <v>#REF!</v>
      </c>
      <c r="J692" s="77" t="e">
        <f>Algandmed!#REF!</f>
        <v>#REF!</v>
      </c>
      <c r="K692" s="120" t="e">
        <f>Algandmed!#REF!</f>
        <v>#REF!</v>
      </c>
      <c r="L692" s="1" t="e">
        <f>Algandmed!#REF!</f>
        <v>#REF!</v>
      </c>
      <c r="M692" s="8"/>
      <c r="N692" s="36" t="s">
        <v>56</v>
      </c>
      <c r="O692" s="83" t="e">
        <f>Q692+R692+S692+T692+U692+X692+V692+W692</f>
        <v>#REF!</v>
      </c>
      <c r="P692" s="9" t="e">
        <f>Q692+R692+S692+T692</f>
        <v>#REF!</v>
      </c>
      <c r="Q692" s="1" t="e">
        <f>Algandmed!#REF!</f>
        <v>#REF!</v>
      </c>
      <c r="R692" s="1" t="e">
        <f>Algandmed!#REF!</f>
        <v>#REF!</v>
      </c>
      <c r="S692" s="1" t="e">
        <f>Algandmed!#REF!</f>
        <v>#REF!</v>
      </c>
      <c r="T692" s="1" t="e">
        <f>Algandmed!#REF!</f>
        <v>#REF!</v>
      </c>
      <c r="U692" s="1" t="e">
        <f>Algandmed!#REF!</f>
        <v>#REF!</v>
      </c>
      <c r="V692" s="77" t="e">
        <f>Algandmed!#REF!</f>
        <v>#REF!</v>
      </c>
      <c r="W692" s="120" t="e">
        <f>Algandmed!#REF!</f>
        <v>#REF!</v>
      </c>
      <c r="X692" s="1" t="e">
        <f>Algandmed!#REF!</f>
        <v>#REF!</v>
      </c>
      <c r="Z692"/>
      <c r="AA692"/>
      <c r="AB692"/>
      <c r="AC692"/>
      <c r="AD692"/>
      <c r="AE692"/>
      <c r="AF692"/>
      <c r="AG692"/>
      <c r="AH692"/>
      <c r="AI692"/>
      <c r="AJ692"/>
      <c r="AK692"/>
      <c r="AL692"/>
    </row>
    <row r="693" spans="1:38" ht="15.75" thickBot="1">
      <c r="A693" s="8"/>
      <c r="B693" s="36" t="s">
        <v>57</v>
      </c>
      <c r="C693" s="80" t="e">
        <f>E693+F693+G693+H693+I693+L693+J693+K693</f>
        <v>#REF!</v>
      </c>
      <c r="D693" s="9" t="e">
        <f>E693+F693+G693+H693</f>
        <v>#REF!</v>
      </c>
      <c r="E693" s="1" t="e">
        <f>Algandmed!#REF!</f>
        <v>#REF!</v>
      </c>
      <c r="F693" s="1" t="e">
        <f>Algandmed!#REF!</f>
        <v>#REF!</v>
      </c>
      <c r="G693" s="1" t="e">
        <f>Algandmed!#REF!</f>
        <v>#REF!</v>
      </c>
      <c r="H693" s="1" t="e">
        <f>Algandmed!#REF!</f>
        <v>#REF!</v>
      </c>
      <c r="I693" s="1" t="e">
        <f>Algandmed!#REF!</f>
        <v>#REF!</v>
      </c>
      <c r="J693" s="77" t="e">
        <f>Algandmed!#REF!</f>
        <v>#REF!</v>
      </c>
      <c r="K693" s="120" t="e">
        <f>Algandmed!#REF!</f>
        <v>#REF!</v>
      </c>
      <c r="L693" s="1" t="e">
        <f>Algandmed!#REF!</f>
        <v>#REF!</v>
      </c>
      <c r="M693" s="8"/>
      <c r="N693" s="36" t="s">
        <v>57</v>
      </c>
      <c r="O693" s="80" t="e">
        <f>Q693+R693+S693+T693+U693+X693+V693+W693</f>
        <v>#REF!</v>
      </c>
      <c r="P693" s="9" t="e">
        <f>Q693+R693+S693+T693</f>
        <v>#REF!</v>
      </c>
      <c r="Q693" s="1" t="e">
        <f>Algandmed!#REF!</f>
        <v>#REF!</v>
      </c>
      <c r="R693" s="1" t="e">
        <f>Algandmed!#REF!</f>
        <v>#REF!</v>
      </c>
      <c r="S693" s="1" t="e">
        <f>Algandmed!#REF!</f>
        <v>#REF!</v>
      </c>
      <c r="T693" s="1" t="e">
        <f>Algandmed!#REF!</f>
        <v>#REF!</v>
      </c>
      <c r="U693" s="1" t="e">
        <f>Algandmed!#REF!</f>
        <v>#REF!</v>
      </c>
      <c r="V693" s="77" t="e">
        <f>Algandmed!#REF!</f>
        <v>#REF!</v>
      </c>
      <c r="W693" s="120" t="e">
        <f>Algandmed!#REF!</f>
        <v>#REF!</v>
      </c>
      <c r="X693" s="1" t="e">
        <f>Algandmed!#REF!</f>
        <v>#REF!</v>
      </c>
      <c r="Z693"/>
      <c r="AA693"/>
      <c r="AB693"/>
      <c r="AC693"/>
      <c r="AD693"/>
      <c r="AE693"/>
      <c r="AF693"/>
      <c r="AG693"/>
      <c r="AH693"/>
      <c r="AI693"/>
      <c r="AJ693"/>
      <c r="AK693"/>
      <c r="AL693"/>
    </row>
    <row r="694" spans="1:38" ht="15.75" thickBot="1">
      <c r="A694" s="8"/>
      <c r="B694" s="26" t="s">
        <v>45</v>
      </c>
      <c r="C694" s="80" t="e">
        <f t="shared" ref="C694:L694" si="62">C690+C691+C692+C693</f>
        <v>#REF!</v>
      </c>
      <c r="D694" s="88" t="e">
        <f t="shared" si="62"/>
        <v>#REF!</v>
      </c>
      <c r="E694" s="87" t="e">
        <f t="shared" si="62"/>
        <v>#REF!</v>
      </c>
      <c r="F694" s="85" t="e">
        <f t="shared" si="62"/>
        <v>#REF!</v>
      </c>
      <c r="G694" s="85" t="e">
        <f t="shared" si="62"/>
        <v>#REF!</v>
      </c>
      <c r="H694" s="85" t="e">
        <f t="shared" si="62"/>
        <v>#REF!</v>
      </c>
      <c r="I694" s="85" t="e">
        <f t="shared" si="62"/>
        <v>#REF!</v>
      </c>
      <c r="J694" s="85" t="e">
        <f t="shared" si="62"/>
        <v>#REF!</v>
      </c>
      <c r="K694" s="85" t="e">
        <f t="shared" si="62"/>
        <v>#REF!</v>
      </c>
      <c r="L694" s="85" t="e">
        <f t="shared" si="62"/>
        <v>#REF!</v>
      </c>
      <c r="M694" s="8"/>
      <c r="N694" s="26" t="s">
        <v>45</v>
      </c>
      <c r="O694" s="80" t="e">
        <f t="shared" ref="O694:X694" si="63">O690+O691+O692+O693</f>
        <v>#REF!</v>
      </c>
      <c r="P694" s="88" t="e">
        <f t="shared" si="63"/>
        <v>#REF!</v>
      </c>
      <c r="Q694" s="87" t="e">
        <f t="shared" si="63"/>
        <v>#REF!</v>
      </c>
      <c r="R694" s="85" t="e">
        <f t="shared" si="63"/>
        <v>#REF!</v>
      </c>
      <c r="S694" s="85" t="e">
        <f t="shared" si="63"/>
        <v>#REF!</v>
      </c>
      <c r="T694" s="85" t="e">
        <f t="shared" si="63"/>
        <v>#REF!</v>
      </c>
      <c r="U694" s="85" t="e">
        <f t="shared" si="63"/>
        <v>#REF!</v>
      </c>
      <c r="V694" s="85" t="e">
        <f t="shared" si="63"/>
        <v>#REF!</v>
      </c>
      <c r="W694" s="85" t="e">
        <f t="shared" si="63"/>
        <v>#REF!</v>
      </c>
      <c r="X694" s="85" t="e">
        <f t="shared" si="63"/>
        <v>#REF!</v>
      </c>
      <c r="Z694"/>
      <c r="AA694"/>
      <c r="AB694"/>
      <c r="AC694"/>
      <c r="AD694"/>
      <c r="AE694"/>
      <c r="AF694"/>
      <c r="AG694"/>
      <c r="AH694"/>
      <c r="AI694"/>
      <c r="AJ694"/>
      <c r="AK694"/>
      <c r="AL694"/>
    </row>
    <row r="695" spans="1:38">
      <c r="A695" s="39"/>
      <c r="B695" s="39"/>
      <c r="C695" s="39"/>
      <c r="D695" s="37"/>
      <c r="E695" s="39"/>
      <c r="F695" s="39"/>
      <c r="G695" s="39"/>
      <c r="H695" s="39"/>
      <c r="I695" s="39"/>
      <c r="J695" s="37"/>
      <c r="K695" s="37"/>
      <c r="L695" s="39"/>
      <c r="M695" s="39"/>
      <c r="N695" s="39"/>
      <c r="O695" s="39"/>
      <c r="P695" s="37"/>
      <c r="Q695" s="39"/>
      <c r="R695" s="39"/>
      <c r="S695" s="39"/>
      <c r="T695" s="39"/>
      <c r="U695" s="39"/>
      <c r="V695" s="37"/>
      <c r="W695" s="37"/>
      <c r="X695" s="39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</row>
    <row r="696" spans="1:38">
      <c r="A696" s="29"/>
      <c r="B696" s="29"/>
      <c r="C696" s="29"/>
      <c r="E696" s="29"/>
      <c r="F696" s="29"/>
      <c r="G696" s="29"/>
      <c r="H696" s="29"/>
      <c r="I696" s="29"/>
      <c r="L696" s="29"/>
      <c r="Y696" s="5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</row>
    <row r="697" spans="1:38" ht="33.75">
      <c r="A697" s="8"/>
      <c r="B697" s="8"/>
      <c r="C697" s="9"/>
      <c r="D697" s="101" t="s">
        <v>46</v>
      </c>
      <c r="E697" s="101" t="s">
        <v>44</v>
      </c>
      <c r="F697" s="101" t="s">
        <v>43</v>
      </c>
      <c r="G697" s="101" t="s">
        <v>42</v>
      </c>
      <c r="H697" s="101" t="s">
        <v>49</v>
      </c>
      <c r="I697" s="101" t="s">
        <v>47</v>
      </c>
      <c r="J697" s="102" t="s">
        <v>157</v>
      </c>
      <c r="K697" s="102" t="s">
        <v>180</v>
      </c>
      <c r="L697" s="101" t="s">
        <v>48</v>
      </c>
      <c r="M697" s="104"/>
      <c r="N697" s="104"/>
      <c r="O697" s="104"/>
      <c r="P697" s="101" t="s">
        <v>46</v>
      </c>
      <c r="Q697" s="101" t="s">
        <v>44</v>
      </c>
      <c r="R697" s="101" t="s">
        <v>43</v>
      </c>
      <c r="S697" s="101" t="s">
        <v>42</v>
      </c>
      <c r="T697" s="101" t="s">
        <v>49</v>
      </c>
      <c r="U697" s="101" t="s">
        <v>67</v>
      </c>
      <c r="V697" s="102" t="s">
        <v>158</v>
      </c>
      <c r="W697" s="102" t="s">
        <v>181</v>
      </c>
      <c r="X697" s="101" t="s">
        <v>66</v>
      </c>
      <c r="Z697"/>
      <c r="AA697"/>
      <c r="AB697"/>
      <c r="AC697"/>
      <c r="AD697"/>
      <c r="AE697"/>
      <c r="AF697"/>
      <c r="AG697"/>
      <c r="AH697"/>
      <c r="AI697"/>
      <c r="AJ697"/>
      <c r="AK697"/>
      <c r="AL697"/>
    </row>
    <row r="698" spans="1:38">
      <c r="A698" s="8" t="s">
        <v>5</v>
      </c>
      <c r="B698" s="36" t="s">
        <v>50</v>
      </c>
      <c r="C698" s="9"/>
      <c r="D698" s="14" t="e">
        <f t="shared" ref="D698:L698" si="64">D690/$C690</f>
        <v>#REF!</v>
      </c>
      <c r="E698" s="7" t="e">
        <f t="shared" si="64"/>
        <v>#REF!</v>
      </c>
      <c r="F698" s="7" t="e">
        <f t="shared" si="64"/>
        <v>#REF!</v>
      </c>
      <c r="G698" s="7" t="e">
        <f t="shared" si="64"/>
        <v>#REF!</v>
      </c>
      <c r="H698" s="7" t="e">
        <f t="shared" si="64"/>
        <v>#REF!</v>
      </c>
      <c r="I698" s="7" t="e">
        <f t="shared" si="64"/>
        <v>#REF!</v>
      </c>
      <c r="J698" s="7" t="e">
        <f t="shared" si="64"/>
        <v>#REF!</v>
      </c>
      <c r="K698" s="7" t="e">
        <f t="shared" si="64"/>
        <v>#REF!</v>
      </c>
      <c r="L698" s="7" t="e">
        <f t="shared" si="64"/>
        <v>#REF!</v>
      </c>
      <c r="M698" s="8" t="s">
        <v>1</v>
      </c>
      <c r="N698" s="36" t="s">
        <v>50</v>
      </c>
      <c r="O698" s="9"/>
      <c r="P698" s="14" t="e">
        <f t="shared" ref="P698:X698" si="65">P690/$O690</f>
        <v>#REF!</v>
      </c>
      <c r="Q698" s="7" t="e">
        <f t="shared" si="65"/>
        <v>#REF!</v>
      </c>
      <c r="R698" s="7" t="e">
        <f t="shared" si="65"/>
        <v>#REF!</v>
      </c>
      <c r="S698" s="7" t="e">
        <f t="shared" si="65"/>
        <v>#REF!</v>
      </c>
      <c r="T698" s="7" t="e">
        <f t="shared" si="65"/>
        <v>#REF!</v>
      </c>
      <c r="U698" s="7" t="e">
        <f t="shared" si="65"/>
        <v>#REF!</v>
      </c>
      <c r="V698" s="7" t="e">
        <f t="shared" si="65"/>
        <v>#REF!</v>
      </c>
      <c r="W698" s="7" t="e">
        <f t="shared" si="65"/>
        <v>#REF!</v>
      </c>
      <c r="X698" s="7" t="e">
        <f t="shared" si="65"/>
        <v>#REF!</v>
      </c>
      <c r="Z698"/>
      <c r="AA698"/>
      <c r="AB698"/>
      <c r="AC698"/>
      <c r="AD698"/>
      <c r="AE698"/>
      <c r="AF698"/>
      <c r="AG698"/>
      <c r="AH698"/>
      <c r="AI698"/>
      <c r="AJ698"/>
      <c r="AK698"/>
      <c r="AL698"/>
    </row>
    <row r="699" spans="1:38">
      <c r="A699" s="129" t="s">
        <v>70</v>
      </c>
      <c r="B699" s="36" t="s">
        <v>55</v>
      </c>
      <c r="C699" s="9"/>
      <c r="D699" s="14" t="e">
        <f t="shared" ref="D699:L699" si="66">D691/$C691</f>
        <v>#REF!</v>
      </c>
      <c r="E699" s="7" t="e">
        <f t="shared" si="66"/>
        <v>#REF!</v>
      </c>
      <c r="F699" s="7" t="e">
        <f t="shared" si="66"/>
        <v>#REF!</v>
      </c>
      <c r="G699" s="7" t="e">
        <f t="shared" si="66"/>
        <v>#REF!</v>
      </c>
      <c r="H699" s="7" t="e">
        <f t="shared" si="66"/>
        <v>#REF!</v>
      </c>
      <c r="I699" s="7" t="e">
        <f t="shared" si="66"/>
        <v>#REF!</v>
      </c>
      <c r="J699" s="7" t="e">
        <f t="shared" si="66"/>
        <v>#REF!</v>
      </c>
      <c r="K699" s="7" t="e">
        <f t="shared" si="66"/>
        <v>#REF!</v>
      </c>
      <c r="L699" s="7" t="e">
        <f t="shared" si="66"/>
        <v>#REF!</v>
      </c>
      <c r="M699" s="129" t="s">
        <v>70</v>
      </c>
      <c r="N699" s="36" t="s">
        <v>55</v>
      </c>
      <c r="O699" s="9"/>
      <c r="P699" s="14" t="e">
        <f t="shared" ref="P699:X699" si="67">P691/$O691</f>
        <v>#REF!</v>
      </c>
      <c r="Q699" s="7" t="e">
        <f t="shared" si="67"/>
        <v>#REF!</v>
      </c>
      <c r="R699" s="7" t="e">
        <f t="shared" si="67"/>
        <v>#REF!</v>
      </c>
      <c r="S699" s="7" t="e">
        <f t="shared" si="67"/>
        <v>#REF!</v>
      </c>
      <c r="T699" s="7" t="e">
        <f t="shared" si="67"/>
        <v>#REF!</v>
      </c>
      <c r="U699" s="7" t="e">
        <f t="shared" si="67"/>
        <v>#REF!</v>
      </c>
      <c r="V699" s="7" t="e">
        <f t="shared" si="67"/>
        <v>#REF!</v>
      </c>
      <c r="W699" s="7" t="e">
        <f t="shared" si="67"/>
        <v>#REF!</v>
      </c>
      <c r="X699" s="7" t="e">
        <f t="shared" si="67"/>
        <v>#REF!</v>
      </c>
      <c r="Z699"/>
      <c r="AA699"/>
      <c r="AB699"/>
      <c r="AC699"/>
      <c r="AD699"/>
      <c r="AE699"/>
      <c r="AF699"/>
      <c r="AG699"/>
      <c r="AH699"/>
      <c r="AI699"/>
      <c r="AJ699"/>
      <c r="AK699"/>
      <c r="AL699"/>
    </row>
    <row r="700" spans="1:38">
      <c r="A700" s="8"/>
      <c r="B700" s="36" t="s">
        <v>56</v>
      </c>
      <c r="C700" s="9"/>
      <c r="D700" s="14" t="e">
        <f t="shared" ref="D700:L700" si="68">D692/$C692</f>
        <v>#REF!</v>
      </c>
      <c r="E700" s="7" t="e">
        <f t="shared" si="68"/>
        <v>#REF!</v>
      </c>
      <c r="F700" s="7" t="e">
        <f t="shared" si="68"/>
        <v>#REF!</v>
      </c>
      <c r="G700" s="7" t="e">
        <f t="shared" si="68"/>
        <v>#REF!</v>
      </c>
      <c r="H700" s="7" t="e">
        <f t="shared" si="68"/>
        <v>#REF!</v>
      </c>
      <c r="I700" s="7" t="e">
        <f t="shared" si="68"/>
        <v>#REF!</v>
      </c>
      <c r="J700" s="7" t="e">
        <f t="shared" si="68"/>
        <v>#REF!</v>
      </c>
      <c r="K700" s="7" t="e">
        <f t="shared" si="68"/>
        <v>#REF!</v>
      </c>
      <c r="L700" s="7" t="e">
        <f t="shared" si="68"/>
        <v>#REF!</v>
      </c>
      <c r="M700" s="8"/>
      <c r="N700" s="36" t="s">
        <v>56</v>
      </c>
      <c r="O700" s="9"/>
      <c r="P700" s="14" t="e">
        <f t="shared" ref="P700:X700" si="69">P692/$O692</f>
        <v>#REF!</v>
      </c>
      <c r="Q700" s="7" t="e">
        <f t="shared" si="69"/>
        <v>#REF!</v>
      </c>
      <c r="R700" s="7" t="e">
        <f t="shared" si="69"/>
        <v>#REF!</v>
      </c>
      <c r="S700" s="7" t="e">
        <f t="shared" si="69"/>
        <v>#REF!</v>
      </c>
      <c r="T700" s="7" t="e">
        <f t="shared" si="69"/>
        <v>#REF!</v>
      </c>
      <c r="U700" s="7" t="e">
        <f t="shared" si="69"/>
        <v>#REF!</v>
      </c>
      <c r="V700" s="7" t="e">
        <f t="shared" si="69"/>
        <v>#REF!</v>
      </c>
      <c r="W700" s="7" t="e">
        <f t="shared" si="69"/>
        <v>#REF!</v>
      </c>
      <c r="X700" s="7" t="e">
        <f t="shared" si="69"/>
        <v>#REF!</v>
      </c>
      <c r="Z700"/>
      <c r="AA700"/>
      <c r="AB700"/>
      <c r="AC700"/>
      <c r="AD700"/>
      <c r="AE700"/>
      <c r="AF700"/>
      <c r="AG700"/>
      <c r="AH700"/>
      <c r="AI700"/>
      <c r="AJ700"/>
      <c r="AK700"/>
      <c r="AL700"/>
    </row>
    <row r="701" spans="1:38">
      <c r="A701" s="8"/>
      <c r="B701" s="36" t="s">
        <v>57</v>
      </c>
      <c r="C701" s="9"/>
      <c r="D701" s="14" t="e">
        <f t="shared" ref="D701:L701" si="70">D693/$C693</f>
        <v>#REF!</v>
      </c>
      <c r="E701" s="7" t="e">
        <f t="shared" si="70"/>
        <v>#REF!</v>
      </c>
      <c r="F701" s="7" t="e">
        <f t="shared" si="70"/>
        <v>#REF!</v>
      </c>
      <c r="G701" s="7" t="e">
        <f t="shared" si="70"/>
        <v>#REF!</v>
      </c>
      <c r="H701" s="7" t="e">
        <f t="shared" si="70"/>
        <v>#REF!</v>
      </c>
      <c r="I701" s="7" t="e">
        <f t="shared" si="70"/>
        <v>#REF!</v>
      </c>
      <c r="J701" s="7" t="e">
        <f t="shared" si="70"/>
        <v>#REF!</v>
      </c>
      <c r="K701" s="7" t="e">
        <f t="shared" si="70"/>
        <v>#REF!</v>
      </c>
      <c r="L701" s="7" t="e">
        <f t="shared" si="70"/>
        <v>#REF!</v>
      </c>
      <c r="M701" s="8"/>
      <c r="N701" s="36" t="s">
        <v>57</v>
      </c>
      <c r="O701" s="9"/>
      <c r="P701" s="14" t="e">
        <f t="shared" ref="P701:X701" si="71">P693/$O693</f>
        <v>#REF!</v>
      </c>
      <c r="Q701" s="7" t="e">
        <f t="shared" si="71"/>
        <v>#REF!</v>
      </c>
      <c r="R701" s="7" t="e">
        <f t="shared" si="71"/>
        <v>#REF!</v>
      </c>
      <c r="S701" s="7" t="e">
        <f t="shared" si="71"/>
        <v>#REF!</v>
      </c>
      <c r="T701" s="7" t="e">
        <f t="shared" si="71"/>
        <v>#REF!</v>
      </c>
      <c r="U701" s="7" t="e">
        <f t="shared" si="71"/>
        <v>#REF!</v>
      </c>
      <c r="V701" s="7" t="e">
        <f t="shared" si="71"/>
        <v>#REF!</v>
      </c>
      <c r="W701" s="7" t="e">
        <f t="shared" si="71"/>
        <v>#REF!</v>
      </c>
      <c r="X701" s="7" t="e">
        <f t="shared" si="71"/>
        <v>#REF!</v>
      </c>
      <c r="Z701"/>
      <c r="AA701"/>
      <c r="AB701"/>
      <c r="AC701"/>
      <c r="AD701"/>
      <c r="AE701"/>
      <c r="AF701"/>
      <c r="AG701"/>
      <c r="AH701"/>
      <c r="AI701"/>
      <c r="AJ701"/>
      <c r="AK701"/>
      <c r="AL701"/>
    </row>
    <row r="702" spans="1:38">
      <c r="A702" s="39"/>
      <c r="B702" s="39"/>
      <c r="C702" s="37"/>
      <c r="D702" s="37"/>
      <c r="E702" s="39"/>
      <c r="F702" s="39"/>
      <c r="G702" s="39"/>
      <c r="H702" s="39"/>
      <c r="I702" s="39"/>
      <c r="J702" s="37"/>
      <c r="K702" s="37"/>
      <c r="L702" s="39"/>
      <c r="M702" s="39"/>
      <c r="N702" s="39"/>
      <c r="O702" s="37"/>
      <c r="P702" s="37"/>
      <c r="Q702" s="39"/>
      <c r="R702" s="39"/>
      <c r="S702" s="39"/>
      <c r="T702" s="39"/>
      <c r="U702" s="39"/>
      <c r="V702" s="37"/>
      <c r="W702" s="37"/>
      <c r="X702" s="39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</row>
    <row r="703" spans="1:38">
      <c r="Z703"/>
      <c r="AA703"/>
      <c r="AB703"/>
      <c r="AC703"/>
      <c r="AD703"/>
      <c r="AE703"/>
      <c r="AF703"/>
      <c r="AG703"/>
      <c r="AH703"/>
      <c r="AI703"/>
      <c r="AJ703"/>
      <c r="AK703"/>
      <c r="AL703"/>
    </row>
    <row r="704" spans="1:38">
      <c r="Z704"/>
      <c r="AA704"/>
      <c r="AB704"/>
      <c r="AC704"/>
      <c r="AD704"/>
      <c r="AE704"/>
      <c r="AF704"/>
      <c r="AG704"/>
      <c r="AH704"/>
      <c r="AI704"/>
      <c r="AJ704"/>
      <c r="AK704"/>
      <c r="AL704"/>
    </row>
    <row r="705" spans="6:38">
      <c r="Z705"/>
      <c r="AA705"/>
      <c r="AB705"/>
      <c r="AC705"/>
      <c r="AD705"/>
      <c r="AE705"/>
      <c r="AF705"/>
      <c r="AG705"/>
      <c r="AH705"/>
      <c r="AI705"/>
      <c r="AJ705"/>
      <c r="AK705"/>
      <c r="AL705"/>
    </row>
    <row r="706" spans="6:38">
      <c r="Z706"/>
      <c r="AA706"/>
      <c r="AB706"/>
      <c r="AC706"/>
      <c r="AD706"/>
      <c r="AE706"/>
      <c r="AF706"/>
      <c r="AG706"/>
      <c r="AH706"/>
      <c r="AI706"/>
      <c r="AJ706"/>
      <c r="AK706"/>
      <c r="AL706"/>
    </row>
    <row r="707" spans="6:38">
      <c r="Z707"/>
      <c r="AA707"/>
      <c r="AB707"/>
      <c r="AC707"/>
      <c r="AD707"/>
      <c r="AE707"/>
      <c r="AF707"/>
      <c r="AG707"/>
      <c r="AH707"/>
      <c r="AI707"/>
      <c r="AJ707"/>
      <c r="AK707"/>
      <c r="AL707"/>
    </row>
    <row r="708" spans="6:38">
      <c r="Z708"/>
      <c r="AA708"/>
      <c r="AB708"/>
      <c r="AC708"/>
      <c r="AD708"/>
      <c r="AE708"/>
      <c r="AF708"/>
      <c r="AG708"/>
      <c r="AH708"/>
      <c r="AI708"/>
      <c r="AJ708"/>
      <c r="AK708"/>
      <c r="AL708"/>
    </row>
    <row r="709" spans="6:38">
      <c r="Z709"/>
      <c r="AA709"/>
      <c r="AB709"/>
      <c r="AC709"/>
      <c r="AD709"/>
      <c r="AE709"/>
      <c r="AF709"/>
      <c r="AG709"/>
      <c r="AH709"/>
      <c r="AI709"/>
      <c r="AJ709"/>
      <c r="AK709"/>
      <c r="AL709"/>
    </row>
    <row r="710" spans="6:38">
      <c r="F710" s="29"/>
      <c r="G710" s="29"/>
      <c r="H710" s="29"/>
      <c r="I710" s="29"/>
      <c r="J710" s="29"/>
      <c r="K710" s="29"/>
      <c r="L710" s="29"/>
      <c r="M710" s="29"/>
      <c r="N710" s="29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</row>
    <row r="711" spans="6:38">
      <c r="F711" s="29"/>
      <c r="G711" s="29"/>
      <c r="H711" s="29"/>
      <c r="I711" s="29"/>
      <c r="J711" s="29"/>
      <c r="K711" s="29"/>
      <c r="L711" s="29"/>
      <c r="M711" s="29"/>
      <c r="N711" s="29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</row>
    <row r="712" spans="6:38">
      <c r="F712" s="29"/>
      <c r="G712" s="29"/>
      <c r="H712" s="29"/>
      <c r="I712" s="29"/>
      <c r="J712" s="29"/>
      <c r="K712" s="29"/>
      <c r="L712" s="29"/>
      <c r="M712" s="29"/>
      <c r="N712" s="29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</row>
    <row r="713" spans="6:38">
      <c r="F713" s="29"/>
      <c r="G713" s="29"/>
      <c r="H713" s="29"/>
      <c r="I713" s="29"/>
      <c r="J713" s="29"/>
      <c r="K713" s="29"/>
      <c r="L713" s="29"/>
      <c r="M713" s="29"/>
      <c r="N713" s="29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</row>
    <row r="714" spans="6:38">
      <c r="F714" s="29"/>
      <c r="G714" s="29"/>
      <c r="H714" s="29"/>
      <c r="I714" s="29"/>
      <c r="J714" s="29"/>
      <c r="K714" s="29"/>
      <c r="L714" s="29"/>
      <c r="M714" s="29"/>
      <c r="N714" s="29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</row>
    <row r="715" spans="6:38">
      <c r="F715" s="29"/>
      <c r="G715" s="29"/>
      <c r="H715" s="29"/>
      <c r="I715" s="29"/>
      <c r="J715" s="29"/>
      <c r="K715" s="29"/>
      <c r="L715" s="29"/>
      <c r="M715" s="29"/>
      <c r="N715" s="29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</row>
    <row r="716" spans="6:38">
      <c r="F716" s="29"/>
      <c r="G716" s="29"/>
      <c r="H716" s="29"/>
      <c r="I716" s="29"/>
      <c r="J716" s="29"/>
      <c r="K716" s="29"/>
      <c r="L716" s="29"/>
      <c r="M716" s="29"/>
      <c r="N716" s="29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</row>
    <row r="717" spans="6:38">
      <c r="F717" s="29"/>
      <c r="G717" s="29"/>
      <c r="H717" s="29"/>
      <c r="I717" s="29"/>
      <c r="J717" s="29"/>
      <c r="K717" s="29"/>
      <c r="L717" s="29"/>
      <c r="M717" s="29"/>
      <c r="N717" s="29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</row>
    <row r="718" spans="6:38">
      <c r="F718" s="29"/>
      <c r="G718" s="29"/>
      <c r="H718" s="29"/>
      <c r="I718" s="29"/>
      <c r="J718" s="29"/>
      <c r="K718" s="29"/>
      <c r="L718" s="29"/>
      <c r="M718" s="29"/>
      <c r="N718" s="29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</row>
    <row r="719" spans="6:38">
      <c r="F719" s="29"/>
      <c r="G719" s="29"/>
      <c r="H719" s="29"/>
      <c r="I719" s="29"/>
      <c r="J719" s="29"/>
      <c r="K719" s="29"/>
      <c r="L719" s="29"/>
      <c r="M719" s="29"/>
      <c r="N719" s="2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</row>
    <row r="720" spans="6:38">
      <c r="F720" s="29"/>
      <c r="G720" s="29"/>
      <c r="H720" s="29"/>
      <c r="I720" s="29"/>
      <c r="J720" s="29"/>
      <c r="K720" s="29"/>
      <c r="L720" s="29"/>
      <c r="M720" s="29"/>
      <c r="N720" s="29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</row>
    <row r="721" spans="1:38">
      <c r="F721" s="29"/>
      <c r="G721" s="29"/>
      <c r="H721" s="29"/>
      <c r="I721" s="29"/>
      <c r="J721" s="29"/>
      <c r="K721" s="29"/>
      <c r="L721" s="29"/>
      <c r="M721" s="29"/>
      <c r="N721" s="29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</row>
    <row r="722" spans="1:38">
      <c r="F722" s="29"/>
      <c r="G722" s="29"/>
      <c r="H722" s="29"/>
      <c r="I722" s="29"/>
      <c r="J722" s="29"/>
      <c r="K722" s="29"/>
      <c r="L722" s="29"/>
      <c r="M722" s="29"/>
      <c r="N722" s="29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</row>
    <row r="723" spans="1:38">
      <c r="F723" s="29"/>
      <c r="G723" s="29"/>
      <c r="H723" s="29"/>
      <c r="I723" s="29"/>
      <c r="J723" s="29"/>
      <c r="K723" s="29"/>
      <c r="L723" s="29"/>
      <c r="M723" s="29"/>
      <c r="N723" s="29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</row>
    <row r="724" spans="1:38">
      <c r="F724" s="29"/>
      <c r="G724" s="29"/>
      <c r="H724" s="29"/>
      <c r="I724" s="29"/>
      <c r="J724" s="29"/>
      <c r="K724" s="29"/>
      <c r="L724" s="29"/>
      <c r="M724" s="29"/>
      <c r="N724" s="29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</row>
    <row r="725" spans="1:38">
      <c r="F725" s="29"/>
      <c r="G725" s="29"/>
      <c r="H725" s="29"/>
      <c r="I725" s="29"/>
      <c r="J725" s="29"/>
      <c r="K725" s="29"/>
      <c r="L725" s="29"/>
      <c r="M725" s="29"/>
      <c r="N725" s="29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</row>
    <row r="726" spans="1:38">
      <c r="F726" s="29"/>
      <c r="G726" s="29"/>
      <c r="H726" s="29"/>
      <c r="I726" s="29"/>
      <c r="J726" s="29"/>
      <c r="K726" s="29"/>
      <c r="L726" s="29"/>
      <c r="M726" s="29"/>
      <c r="N726" s="29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</row>
    <row r="727" spans="1:38">
      <c r="F727" s="29"/>
      <c r="G727" s="29"/>
      <c r="H727" s="29"/>
      <c r="I727" s="29"/>
      <c r="J727" s="29"/>
      <c r="K727" s="29"/>
      <c r="L727" s="29"/>
      <c r="M727" s="29"/>
      <c r="N727" s="29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</row>
    <row r="728" spans="1:38">
      <c r="F728" s="29"/>
      <c r="G728" s="29"/>
      <c r="H728" s="29"/>
      <c r="I728" s="29"/>
      <c r="J728" s="29"/>
      <c r="K728" s="29"/>
      <c r="L728" s="29"/>
      <c r="M728" s="29"/>
      <c r="N728" s="29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</row>
    <row r="729" spans="1:38">
      <c r="F729" s="29"/>
      <c r="G729" s="29"/>
      <c r="H729" s="29"/>
      <c r="I729" s="29"/>
      <c r="J729" s="29"/>
      <c r="K729" s="29"/>
      <c r="L729" s="29"/>
      <c r="M729" s="29"/>
      <c r="N729" s="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</row>
    <row r="730" spans="1:38">
      <c r="F730" s="29"/>
      <c r="G730" s="29"/>
      <c r="H730" s="29"/>
      <c r="I730" s="29"/>
      <c r="J730" s="29"/>
      <c r="K730" s="29"/>
      <c r="L730" s="29"/>
      <c r="M730" s="29"/>
      <c r="N730" s="29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</row>
    <row r="731" spans="1:38">
      <c r="F731" s="29"/>
      <c r="G731" s="29"/>
      <c r="H731" s="29"/>
      <c r="I731" s="29"/>
      <c r="J731" s="29"/>
      <c r="K731" s="29"/>
      <c r="L731" s="29"/>
      <c r="M731" s="29"/>
      <c r="N731" s="29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</row>
    <row r="732" spans="1:38">
      <c r="F732" s="29"/>
      <c r="G732" s="29"/>
      <c r="H732" s="29"/>
      <c r="I732" s="29"/>
      <c r="J732" s="29"/>
      <c r="K732" s="29"/>
      <c r="L732" s="29"/>
      <c r="M732" s="29"/>
      <c r="N732" s="29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</row>
    <row r="733" spans="1:38" s="117" customFormat="1">
      <c r="A733" s="1"/>
      <c r="B733" s="1"/>
      <c r="C733" s="1"/>
      <c r="D733" s="1"/>
      <c r="E733" s="1"/>
      <c r="F733" s="29"/>
      <c r="G733" s="29"/>
      <c r="H733" s="29"/>
      <c r="I733" s="29"/>
      <c r="J733" s="29"/>
      <c r="K733" s="29"/>
      <c r="L733" s="29"/>
      <c r="M733" s="29"/>
      <c r="N733" s="29"/>
      <c r="O733" s="1"/>
      <c r="P733" s="1"/>
      <c r="Q733" s="1"/>
      <c r="R733" s="1"/>
      <c r="S733" s="1"/>
      <c r="T733" s="1"/>
      <c r="U733" s="1"/>
      <c r="V733" s="1"/>
      <c r="W733" s="1"/>
      <c r="X733" s="1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</row>
    <row r="734" spans="1:38" s="117" customFormat="1">
      <c r="F734" s="115"/>
      <c r="G734" s="115"/>
      <c r="H734" s="115"/>
      <c r="I734" s="115"/>
      <c r="J734" s="115"/>
      <c r="K734" s="115"/>
      <c r="L734" s="115"/>
      <c r="M734" s="115"/>
      <c r="N734" s="115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</row>
    <row r="735" spans="1:38" s="117" customFormat="1">
      <c r="F735" s="115"/>
      <c r="G735" s="115"/>
      <c r="H735" s="115"/>
      <c r="I735" s="115"/>
      <c r="J735" s="115"/>
      <c r="K735" s="115"/>
      <c r="L735" s="115"/>
      <c r="M735" s="115"/>
      <c r="N735" s="11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</row>
    <row r="736" spans="1:38">
      <c r="A736" s="117"/>
      <c r="B736" s="117"/>
      <c r="C736" s="117"/>
      <c r="D736" s="117"/>
      <c r="E736" s="117"/>
      <c r="F736" s="115"/>
      <c r="G736" s="115"/>
      <c r="H736" s="115"/>
      <c r="I736" s="115"/>
      <c r="J736" s="115"/>
      <c r="K736" s="115"/>
      <c r="L736" s="115"/>
      <c r="M736" s="115"/>
      <c r="N736" s="115"/>
      <c r="O736" s="117"/>
      <c r="P736" s="117"/>
      <c r="Q736" s="117"/>
      <c r="R736" s="117"/>
      <c r="S736" s="117"/>
      <c r="T736" s="117"/>
      <c r="U736" s="117"/>
      <c r="V736" s="117"/>
      <c r="W736" s="117"/>
      <c r="X736" s="117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</row>
    <row r="737" spans="1:38" ht="23.25">
      <c r="A737" s="408" t="s">
        <v>149</v>
      </c>
      <c r="B737" s="408"/>
      <c r="C737" s="408"/>
      <c r="D737" s="408"/>
      <c r="E737" s="408"/>
      <c r="F737" s="408"/>
      <c r="G737" s="408"/>
      <c r="H737" s="408"/>
      <c r="I737" s="408"/>
      <c r="J737" s="408"/>
      <c r="K737" s="408"/>
      <c r="L737" s="408"/>
      <c r="M737" s="408" t="s">
        <v>153</v>
      </c>
      <c r="N737" s="408"/>
      <c r="O737" s="408"/>
      <c r="P737" s="408"/>
      <c r="Q737" s="408"/>
      <c r="R737" s="408"/>
      <c r="S737" s="408"/>
      <c r="T737" s="408"/>
      <c r="U737" s="408"/>
      <c r="V737" s="408"/>
      <c r="W737" s="408"/>
      <c r="X737" s="408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</row>
    <row r="738" spans="1:38">
      <c r="A738" s="139"/>
      <c r="B738" s="139"/>
      <c r="C738" s="139"/>
      <c r="D738" s="139"/>
      <c r="E738" s="139"/>
      <c r="F738" s="139"/>
      <c r="G738" s="139" t="s">
        <v>210</v>
      </c>
      <c r="H738" s="139"/>
      <c r="I738" s="139"/>
      <c r="J738" s="139"/>
      <c r="K738" s="139"/>
      <c r="L738" s="139"/>
      <c r="M738" s="139"/>
      <c r="N738" s="139"/>
      <c r="O738" s="139"/>
      <c r="P738" s="139"/>
      <c r="Q738" s="139"/>
      <c r="R738" s="139"/>
      <c r="S738" s="139" t="s">
        <v>211</v>
      </c>
      <c r="T738" s="139"/>
      <c r="U738" s="139"/>
      <c r="V738" s="139"/>
      <c r="W738" s="139"/>
      <c r="X738" s="139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</row>
    <row r="739" spans="1:38" ht="34.5" thickBot="1">
      <c r="A739" s="30"/>
      <c r="B739" s="30"/>
      <c r="C739" s="107" t="s">
        <v>45</v>
      </c>
      <c r="D739" s="101" t="s">
        <v>46</v>
      </c>
      <c r="E739" s="101" t="s">
        <v>44</v>
      </c>
      <c r="F739" s="101" t="s">
        <v>43</v>
      </c>
      <c r="G739" s="101" t="s">
        <v>42</v>
      </c>
      <c r="H739" s="101" t="s">
        <v>49</v>
      </c>
      <c r="I739" s="101" t="s">
        <v>47</v>
      </c>
      <c r="J739" s="101" t="s">
        <v>157</v>
      </c>
      <c r="K739" s="102" t="s">
        <v>180</v>
      </c>
      <c r="L739" s="101" t="s">
        <v>48</v>
      </c>
      <c r="M739" s="106"/>
      <c r="N739" s="106"/>
      <c r="O739" s="107" t="s">
        <v>45</v>
      </c>
      <c r="P739" s="101" t="s">
        <v>46</v>
      </c>
      <c r="Q739" s="101" t="s">
        <v>44</v>
      </c>
      <c r="R739" s="101" t="s">
        <v>43</v>
      </c>
      <c r="S739" s="101" t="s">
        <v>42</v>
      </c>
      <c r="T739" s="101" t="s">
        <v>49</v>
      </c>
      <c r="U739" s="101" t="s">
        <v>82</v>
      </c>
      <c r="V739" s="101" t="s">
        <v>158</v>
      </c>
      <c r="W739" s="102" t="s">
        <v>181</v>
      </c>
      <c r="X739" s="101" t="s">
        <v>66</v>
      </c>
      <c r="Z739"/>
      <c r="AA739"/>
      <c r="AB739"/>
      <c r="AC739"/>
      <c r="AD739"/>
      <c r="AE739"/>
      <c r="AF739"/>
      <c r="AG739"/>
      <c r="AH739"/>
      <c r="AI739"/>
      <c r="AJ739"/>
      <c r="AK739"/>
      <c r="AL739"/>
    </row>
    <row r="740" spans="1:38">
      <c r="A740" s="30" t="s">
        <v>5</v>
      </c>
      <c r="B740" s="36" t="s">
        <v>52</v>
      </c>
      <c r="C740" s="81">
        <f>E740+F740+G740+I740+H740+L740+J740+K740</f>
        <v>0</v>
      </c>
      <c r="D740" s="9">
        <f>E740+F740+G740+H740</f>
        <v>0</v>
      </c>
      <c r="E740" s="1">
        <f>Algandmed!AH129</f>
        <v>0</v>
      </c>
      <c r="F740" s="1">
        <f>Algandmed!AI129</f>
        <v>0</v>
      </c>
      <c r="G740" s="1">
        <f>Algandmed!AJ129</f>
        <v>0</v>
      </c>
      <c r="H740" s="1">
        <f>Algandmed!AK129</f>
        <v>0</v>
      </c>
      <c r="I740" s="1">
        <f>Algandmed!AL129</f>
        <v>0</v>
      </c>
      <c r="J740" s="77">
        <f>Algandmed!AO129</f>
        <v>0</v>
      </c>
      <c r="K740" s="120">
        <f>Algandmed!AM129</f>
        <v>0</v>
      </c>
      <c r="L740" s="1">
        <f>Algandmed!AP129</f>
        <v>0</v>
      </c>
      <c r="M740" s="30" t="s">
        <v>1</v>
      </c>
      <c r="N740" s="36" t="s">
        <v>52</v>
      </c>
      <c r="O740" s="81">
        <f>Q740+R740+S740+U740+T740+X740+V740+W740</f>
        <v>0</v>
      </c>
      <c r="P740" s="9">
        <f>Q740+R740+S740+T740</f>
        <v>0</v>
      </c>
      <c r="Q740" s="1">
        <f>Algandmed!AW129</f>
        <v>0</v>
      </c>
      <c r="R740" s="1">
        <f>Algandmed!AX129</f>
        <v>0</v>
      </c>
      <c r="S740" s="1">
        <f>Algandmed!AY129</f>
        <v>0</v>
      </c>
      <c r="T740" s="1">
        <f>Algandmed!AZ129</f>
        <v>0</v>
      </c>
      <c r="U740" s="1">
        <f>Algandmed!BA129</f>
        <v>0</v>
      </c>
      <c r="V740" s="77">
        <f>Algandmed!BD129</f>
        <v>0</v>
      </c>
      <c r="W740" s="120">
        <f>Algandmed!BB129</f>
        <v>0</v>
      </c>
      <c r="X740" s="1">
        <f>Algandmed!BE129</f>
        <v>0</v>
      </c>
      <c r="Z740"/>
      <c r="AA740"/>
      <c r="AB740"/>
      <c r="AC740"/>
      <c r="AD740"/>
      <c r="AE740"/>
      <c r="AF740"/>
      <c r="AG740"/>
      <c r="AH740"/>
      <c r="AI740"/>
      <c r="AJ740"/>
      <c r="AK740"/>
      <c r="AL740"/>
    </row>
    <row r="741" spans="1:38">
      <c r="A741" s="129" t="s">
        <v>70</v>
      </c>
      <c r="B741" s="36" t="s">
        <v>53</v>
      </c>
      <c r="C741" s="83">
        <f>E741+F741+G741+I741+H741+L741+J741+K741</f>
        <v>0</v>
      </c>
      <c r="D741" s="9">
        <f>E741+F741+G741+H741</f>
        <v>0</v>
      </c>
      <c r="E741" s="1">
        <f>Algandmed!AH130</f>
        <v>0</v>
      </c>
      <c r="F741" s="1">
        <f>Algandmed!AI130</f>
        <v>0</v>
      </c>
      <c r="G741" s="1">
        <f>Algandmed!AJ130</f>
        <v>0</v>
      </c>
      <c r="H741" s="1">
        <f>Algandmed!AK130</f>
        <v>0</v>
      </c>
      <c r="I741" s="1">
        <f>Algandmed!AL130</f>
        <v>0</v>
      </c>
      <c r="J741" s="77">
        <f>Algandmed!AO130</f>
        <v>0</v>
      </c>
      <c r="K741" s="120">
        <f>Algandmed!AM130</f>
        <v>0</v>
      </c>
      <c r="L741" s="1">
        <f>Algandmed!AP130</f>
        <v>0</v>
      </c>
      <c r="M741" s="129" t="s">
        <v>70</v>
      </c>
      <c r="N741" s="36" t="s">
        <v>53</v>
      </c>
      <c r="O741" s="83">
        <f>Q741+R741+S741+U741+T741+X741+V741+W741</f>
        <v>0</v>
      </c>
      <c r="P741" s="9">
        <f>Q741+R741+S741+T741</f>
        <v>0</v>
      </c>
      <c r="Q741" s="1">
        <f>Algandmed!AW130</f>
        <v>0</v>
      </c>
      <c r="R741" s="1">
        <f>Algandmed!AX130</f>
        <v>0</v>
      </c>
      <c r="S741" s="1">
        <f>Algandmed!AY130</f>
        <v>0</v>
      </c>
      <c r="T741" s="1">
        <f>Algandmed!AZ130</f>
        <v>0</v>
      </c>
      <c r="U741" s="1">
        <f>Algandmed!BA130</f>
        <v>0</v>
      </c>
      <c r="V741" s="77">
        <f>Algandmed!BD130</f>
        <v>0</v>
      </c>
      <c r="W741" s="120">
        <f>Algandmed!BB130</f>
        <v>0</v>
      </c>
      <c r="X741" s="1">
        <f>Algandmed!BE130</f>
        <v>0</v>
      </c>
      <c r="Z741"/>
      <c r="AA741"/>
      <c r="AB741"/>
      <c r="AC741"/>
      <c r="AD741"/>
      <c r="AE741"/>
      <c r="AF741"/>
      <c r="AG741"/>
      <c r="AH741"/>
      <c r="AI741"/>
      <c r="AJ741"/>
      <c r="AK741"/>
      <c r="AL741"/>
    </row>
    <row r="742" spans="1:38" ht="15.75" thickBot="1">
      <c r="A742" s="30"/>
      <c r="B742" s="48" t="s">
        <v>54</v>
      </c>
      <c r="C742" s="80">
        <f>E742+F742+G742+I742+H742+L742+J742+K742</f>
        <v>0</v>
      </c>
      <c r="D742" s="9">
        <f>E742+F742+G742+H742</f>
        <v>0</v>
      </c>
      <c r="E742" s="1">
        <f>Algandmed!AH131</f>
        <v>0</v>
      </c>
      <c r="F742" s="1">
        <f>Algandmed!AI131</f>
        <v>0</v>
      </c>
      <c r="G742" s="1">
        <f>Algandmed!AJ131</f>
        <v>0</v>
      </c>
      <c r="H742" s="1">
        <f>Algandmed!AK131</f>
        <v>0</v>
      </c>
      <c r="I742" s="1">
        <f>Algandmed!AL131</f>
        <v>0</v>
      </c>
      <c r="J742" s="77">
        <f>Algandmed!AO131</f>
        <v>0</v>
      </c>
      <c r="K742" s="120">
        <f>Algandmed!AM131</f>
        <v>0</v>
      </c>
      <c r="L742" s="1">
        <f>Algandmed!AP131</f>
        <v>0</v>
      </c>
      <c r="M742" s="30"/>
      <c r="N742" s="48" t="s">
        <v>54</v>
      </c>
      <c r="O742" s="80">
        <f>Q742+R742+S742+U742+T742+X742+V742+W742</f>
        <v>0</v>
      </c>
      <c r="P742" s="9">
        <f>Q742+R742+S742+T742</f>
        <v>0</v>
      </c>
      <c r="Q742" s="1">
        <f>Algandmed!AW131</f>
        <v>0</v>
      </c>
      <c r="R742" s="1">
        <f>Algandmed!AX131</f>
        <v>0</v>
      </c>
      <c r="S742" s="1">
        <f>Algandmed!AY131</f>
        <v>0</v>
      </c>
      <c r="T742" s="1">
        <f>Algandmed!AZ131</f>
        <v>0</v>
      </c>
      <c r="U742" s="1">
        <f>Algandmed!BA131</f>
        <v>0</v>
      </c>
      <c r="V742" s="77">
        <f>Algandmed!BD131</f>
        <v>0</v>
      </c>
      <c r="W742" s="120">
        <f>Algandmed!BB131</f>
        <v>0</v>
      </c>
      <c r="X742" s="1">
        <f>Algandmed!BE131</f>
        <v>0</v>
      </c>
      <c r="Z742"/>
      <c r="AA742"/>
      <c r="AB742"/>
      <c r="AC742"/>
      <c r="AD742"/>
      <c r="AE742"/>
      <c r="AF742"/>
      <c r="AG742"/>
      <c r="AH742"/>
      <c r="AI742"/>
      <c r="AJ742"/>
      <c r="AK742"/>
      <c r="AL742"/>
    </row>
    <row r="743" spans="1:38">
      <c r="A743" s="17"/>
      <c r="B743" s="17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7"/>
      <c r="N743" s="17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</row>
    <row r="744" spans="1:38">
      <c r="A744" s="29"/>
      <c r="B744" s="29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</row>
    <row r="745" spans="1:38" ht="33.75">
      <c r="A745" s="30"/>
      <c r="B745" s="30"/>
      <c r="C745" s="9"/>
      <c r="D745" s="101" t="s">
        <v>46</v>
      </c>
      <c r="E745" s="101" t="s">
        <v>44</v>
      </c>
      <c r="F745" s="101" t="s">
        <v>43</v>
      </c>
      <c r="G745" s="101" t="s">
        <v>42</v>
      </c>
      <c r="H745" s="101" t="s">
        <v>49</v>
      </c>
      <c r="I745" s="101" t="s">
        <v>47</v>
      </c>
      <c r="J745" s="102" t="s">
        <v>157</v>
      </c>
      <c r="K745" s="102" t="s">
        <v>180</v>
      </c>
      <c r="L745" s="101" t="s">
        <v>48</v>
      </c>
      <c r="M745" s="106"/>
      <c r="N745" s="106"/>
      <c r="O745" s="104"/>
      <c r="P745" s="101" t="s">
        <v>46</v>
      </c>
      <c r="Q745" s="101" t="s">
        <v>44</v>
      </c>
      <c r="R745" s="101" t="s">
        <v>43</v>
      </c>
      <c r="S745" s="101" t="s">
        <v>42</v>
      </c>
      <c r="T745" s="101" t="s">
        <v>49</v>
      </c>
      <c r="U745" s="101" t="s">
        <v>67</v>
      </c>
      <c r="V745" s="102" t="s">
        <v>158</v>
      </c>
      <c r="W745" s="102" t="s">
        <v>181</v>
      </c>
      <c r="X745" s="101" t="s">
        <v>66</v>
      </c>
      <c r="Z745"/>
      <c r="AA745"/>
      <c r="AB745"/>
      <c r="AC745"/>
      <c r="AD745"/>
      <c r="AE745"/>
      <c r="AF745"/>
      <c r="AG745"/>
      <c r="AH745"/>
      <c r="AI745"/>
      <c r="AJ745"/>
      <c r="AK745"/>
      <c r="AL745"/>
    </row>
    <row r="746" spans="1:38">
      <c r="A746" s="30" t="s">
        <v>5</v>
      </c>
      <c r="B746" s="36" t="s">
        <v>52</v>
      </c>
      <c r="C746" s="9"/>
      <c r="D746" s="14" t="e">
        <f t="shared" ref="D746:L746" si="72">D740/$C740</f>
        <v>#DIV/0!</v>
      </c>
      <c r="E746" s="7" t="e">
        <f t="shared" si="72"/>
        <v>#DIV/0!</v>
      </c>
      <c r="F746" s="7" t="e">
        <f t="shared" si="72"/>
        <v>#DIV/0!</v>
      </c>
      <c r="G746" s="7" t="e">
        <f t="shared" si="72"/>
        <v>#DIV/0!</v>
      </c>
      <c r="H746" s="7" t="e">
        <f t="shared" si="72"/>
        <v>#DIV/0!</v>
      </c>
      <c r="I746" s="7" t="e">
        <f t="shared" si="72"/>
        <v>#DIV/0!</v>
      </c>
      <c r="J746" s="7" t="e">
        <f t="shared" si="72"/>
        <v>#DIV/0!</v>
      </c>
      <c r="K746" s="7" t="e">
        <f t="shared" si="72"/>
        <v>#DIV/0!</v>
      </c>
      <c r="L746" s="7" t="e">
        <f t="shared" si="72"/>
        <v>#DIV/0!</v>
      </c>
      <c r="M746" s="30" t="s">
        <v>1</v>
      </c>
      <c r="N746" s="36" t="s">
        <v>52</v>
      </c>
      <c r="O746" s="9"/>
      <c r="P746" s="14" t="e">
        <f t="shared" ref="P746:X746" si="73">P740/$O740</f>
        <v>#DIV/0!</v>
      </c>
      <c r="Q746" s="7" t="e">
        <f t="shared" si="73"/>
        <v>#DIV/0!</v>
      </c>
      <c r="R746" s="7" t="e">
        <f t="shared" si="73"/>
        <v>#DIV/0!</v>
      </c>
      <c r="S746" s="7" t="e">
        <f t="shared" si="73"/>
        <v>#DIV/0!</v>
      </c>
      <c r="T746" s="7" t="e">
        <f t="shared" si="73"/>
        <v>#DIV/0!</v>
      </c>
      <c r="U746" s="7" t="e">
        <f t="shared" si="73"/>
        <v>#DIV/0!</v>
      </c>
      <c r="V746" s="7" t="e">
        <f t="shared" si="73"/>
        <v>#DIV/0!</v>
      </c>
      <c r="W746" s="7" t="e">
        <f t="shared" si="73"/>
        <v>#DIV/0!</v>
      </c>
      <c r="X746" s="7" t="e">
        <f t="shared" si="73"/>
        <v>#DIV/0!</v>
      </c>
      <c r="Z746"/>
      <c r="AA746"/>
      <c r="AB746"/>
      <c r="AC746"/>
      <c r="AD746"/>
      <c r="AE746"/>
      <c r="AF746"/>
      <c r="AG746"/>
      <c r="AH746"/>
      <c r="AI746"/>
      <c r="AJ746"/>
      <c r="AK746"/>
      <c r="AL746"/>
    </row>
    <row r="747" spans="1:38">
      <c r="A747" s="129" t="s">
        <v>70</v>
      </c>
      <c r="B747" s="36" t="s">
        <v>53</v>
      </c>
      <c r="C747" s="9"/>
      <c r="D747" s="14" t="e">
        <f t="shared" ref="D747:L747" si="74">D741/$C741</f>
        <v>#DIV/0!</v>
      </c>
      <c r="E747" s="7" t="e">
        <f t="shared" si="74"/>
        <v>#DIV/0!</v>
      </c>
      <c r="F747" s="7" t="e">
        <f t="shared" si="74"/>
        <v>#DIV/0!</v>
      </c>
      <c r="G747" s="7" t="e">
        <f t="shared" si="74"/>
        <v>#DIV/0!</v>
      </c>
      <c r="H747" s="7" t="e">
        <f t="shared" si="74"/>
        <v>#DIV/0!</v>
      </c>
      <c r="I747" s="7" t="e">
        <f t="shared" si="74"/>
        <v>#DIV/0!</v>
      </c>
      <c r="J747" s="7" t="e">
        <f t="shared" si="74"/>
        <v>#DIV/0!</v>
      </c>
      <c r="K747" s="7" t="e">
        <f t="shared" si="74"/>
        <v>#DIV/0!</v>
      </c>
      <c r="L747" s="7" t="e">
        <f t="shared" si="74"/>
        <v>#DIV/0!</v>
      </c>
      <c r="M747" s="129" t="s">
        <v>70</v>
      </c>
      <c r="N747" s="36" t="s">
        <v>53</v>
      </c>
      <c r="O747" s="9"/>
      <c r="P747" s="14" t="e">
        <f t="shared" ref="P747:X747" si="75">P741/$O741</f>
        <v>#DIV/0!</v>
      </c>
      <c r="Q747" s="7" t="e">
        <f t="shared" si="75"/>
        <v>#DIV/0!</v>
      </c>
      <c r="R747" s="7" t="e">
        <f t="shared" si="75"/>
        <v>#DIV/0!</v>
      </c>
      <c r="S747" s="7" t="e">
        <f t="shared" si="75"/>
        <v>#DIV/0!</v>
      </c>
      <c r="T747" s="7" t="e">
        <f t="shared" si="75"/>
        <v>#DIV/0!</v>
      </c>
      <c r="U747" s="7" t="e">
        <f t="shared" si="75"/>
        <v>#DIV/0!</v>
      </c>
      <c r="V747" s="7" t="e">
        <f t="shared" si="75"/>
        <v>#DIV/0!</v>
      </c>
      <c r="W747" s="7" t="e">
        <f t="shared" si="75"/>
        <v>#DIV/0!</v>
      </c>
      <c r="X747" s="7" t="e">
        <f t="shared" si="75"/>
        <v>#DIV/0!</v>
      </c>
      <c r="Z747"/>
      <c r="AA747"/>
      <c r="AB747"/>
      <c r="AC747"/>
      <c r="AD747"/>
      <c r="AE747"/>
      <c r="AF747"/>
      <c r="AG747"/>
      <c r="AH747"/>
      <c r="AI747"/>
      <c r="AJ747"/>
      <c r="AK747"/>
      <c r="AL747"/>
    </row>
    <row r="748" spans="1:38">
      <c r="A748" s="30"/>
      <c r="B748" s="48" t="s">
        <v>54</v>
      </c>
      <c r="C748" s="9"/>
      <c r="D748" s="14" t="e">
        <f t="shared" ref="D748:L748" si="76">D742/$C742</f>
        <v>#DIV/0!</v>
      </c>
      <c r="E748" s="7" t="e">
        <f t="shared" si="76"/>
        <v>#DIV/0!</v>
      </c>
      <c r="F748" s="7" t="e">
        <f t="shared" si="76"/>
        <v>#DIV/0!</v>
      </c>
      <c r="G748" s="7" t="e">
        <f t="shared" si="76"/>
        <v>#DIV/0!</v>
      </c>
      <c r="H748" s="7" t="e">
        <f t="shared" si="76"/>
        <v>#DIV/0!</v>
      </c>
      <c r="I748" s="7" t="e">
        <f t="shared" si="76"/>
        <v>#DIV/0!</v>
      </c>
      <c r="J748" s="7" t="e">
        <f t="shared" si="76"/>
        <v>#DIV/0!</v>
      </c>
      <c r="K748" s="7" t="e">
        <f t="shared" si="76"/>
        <v>#DIV/0!</v>
      </c>
      <c r="L748" s="7" t="e">
        <f t="shared" si="76"/>
        <v>#DIV/0!</v>
      </c>
      <c r="M748" s="30"/>
      <c r="N748" s="48" t="s">
        <v>54</v>
      </c>
      <c r="O748" s="9"/>
      <c r="P748" s="14" t="e">
        <f t="shared" ref="P748:X748" si="77">P742/$O742</f>
        <v>#DIV/0!</v>
      </c>
      <c r="Q748" s="7" t="e">
        <f t="shared" si="77"/>
        <v>#DIV/0!</v>
      </c>
      <c r="R748" s="7" t="e">
        <f t="shared" si="77"/>
        <v>#DIV/0!</v>
      </c>
      <c r="S748" s="7" t="e">
        <f t="shared" si="77"/>
        <v>#DIV/0!</v>
      </c>
      <c r="T748" s="7" t="e">
        <f t="shared" si="77"/>
        <v>#DIV/0!</v>
      </c>
      <c r="U748" s="7" t="e">
        <f t="shared" si="77"/>
        <v>#DIV/0!</v>
      </c>
      <c r="V748" s="7" t="e">
        <f t="shared" si="77"/>
        <v>#DIV/0!</v>
      </c>
      <c r="W748" s="7" t="e">
        <f t="shared" si="77"/>
        <v>#DIV/0!</v>
      </c>
      <c r="X748" s="7" t="e">
        <f t="shared" si="77"/>
        <v>#DIV/0!</v>
      </c>
      <c r="Z748"/>
      <c r="AA748"/>
      <c r="AB748"/>
      <c r="AC748"/>
      <c r="AD748"/>
      <c r="AE748"/>
      <c r="AF748"/>
      <c r="AG748"/>
      <c r="AH748"/>
      <c r="AI748"/>
      <c r="AJ748"/>
      <c r="AK748"/>
      <c r="AL748"/>
    </row>
    <row r="749" spans="1:38">
      <c r="A749" s="17"/>
      <c r="B749" s="17"/>
      <c r="C749" s="10"/>
      <c r="D749" s="10"/>
      <c r="E749" s="17"/>
      <c r="F749" s="17"/>
      <c r="G749" s="17"/>
      <c r="H749" s="17"/>
      <c r="I749" s="17"/>
      <c r="J749" s="10"/>
      <c r="K749" s="10"/>
      <c r="L749" s="10"/>
      <c r="M749" s="17"/>
      <c r="N749" s="17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</row>
    <row r="750" spans="1:38">
      <c r="Z750"/>
      <c r="AA750"/>
      <c r="AB750"/>
      <c r="AC750"/>
      <c r="AD750"/>
      <c r="AE750"/>
      <c r="AF750"/>
      <c r="AG750"/>
      <c r="AH750"/>
      <c r="AI750"/>
      <c r="AJ750"/>
      <c r="AK750"/>
      <c r="AL750"/>
    </row>
    <row r="751" spans="1:38">
      <c r="Z751"/>
      <c r="AA751"/>
      <c r="AB751"/>
      <c r="AC751"/>
      <c r="AD751"/>
      <c r="AE751"/>
      <c r="AF751"/>
      <c r="AG751"/>
      <c r="AH751"/>
      <c r="AI751"/>
      <c r="AJ751"/>
      <c r="AK751"/>
      <c r="AL751"/>
    </row>
    <row r="752" spans="1:38">
      <c r="Z752"/>
      <c r="AA752"/>
      <c r="AB752"/>
      <c r="AC752"/>
      <c r="AD752"/>
      <c r="AE752"/>
      <c r="AF752"/>
      <c r="AG752"/>
      <c r="AH752"/>
      <c r="AI752"/>
      <c r="AJ752"/>
      <c r="AK752"/>
      <c r="AL752"/>
    </row>
    <row r="753" spans="6:38">
      <c r="Z753"/>
      <c r="AA753"/>
      <c r="AB753"/>
      <c r="AC753"/>
      <c r="AD753"/>
      <c r="AE753"/>
      <c r="AF753"/>
      <c r="AG753"/>
      <c r="AH753"/>
      <c r="AI753"/>
      <c r="AJ753"/>
      <c r="AK753"/>
      <c r="AL753"/>
    </row>
    <row r="754" spans="6:38">
      <c r="Z754"/>
      <c r="AA754"/>
      <c r="AB754"/>
      <c r="AC754"/>
      <c r="AD754"/>
      <c r="AE754"/>
      <c r="AF754"/>
      <c r="AG754"/>
      <c r="AH754"/>
      <c r="AI754"/>
      <c r="AJ754"/>
      <c r="AK754"/>
      <c r="AL754"/>
    </row>
    <row r="755" spans="6:38">
      <c r="Z755"/>
      <c r="AA755"/>
      <c r="AB755"/>
      <c r="AC755"/>
      <c r="AD755"/>
      <c r="AE755"/>
      <c r="AF755"/>
      <c r="AG755"/>
      <c r="AH755"/>
      <c r="AI755"/>
      <c r="AJ755"/>
      <c r="AK755"/>
      <c r="AL755"/>
    </row>
    <row r="756" spans="6:38">
      <c r="Z756"/>
      <c r="AA756"/>
      <c r="AB756"/>
      <c r="AC756"/>
      <c r="AD756"/>
      <c r="AE756"/>
      <c r="AF756"/>
      <c r="AG756"/>
      <c r="AH756"/>
      <c r="AI756"/>
      <c r="AJ756"/>
      <c r="AK756"/>
      <c r="AL756"/>
    </row>
    <row r="757" spans="6:38">
      <c r="Z757"/>
      <c r="AA757"/>
      <c r="AB757"/>
      <c r="AC757"/>
      <c r="AD757"/>
      <c r="AE757"/>
      <c r="AF757"/>
      <c r="AG757"/>
      <c r="AH757"/>
      <c r="AI757"/>
      <c r="AJ757"/>
      <c r="AK757"/>
      <c r="AL757"/>
    </row>
    <row r="758" spans="6:38">
      <c r="Z758"/>
      <c r="AA758"/>
      <c r="AB758"/>
      <c r="AC758"/>
      <c r="AD758"/>
      <c r="AE758"/>
      <c r="AF758"/>
      <c r="AG758"/>
      <c r="AH758"/>
      <c r="AI758"/>
      <c r="AJ758"/>
      <c r="AK758"/>
      <c r="AL758"/>
    </row>
    <row r="759" spans="6:38">
      <c r="Z759"/>
      <c r="AA759"/>
      <c r="AB759"/>
      <c r="AC759"/>
      <c r="AD759"/>
      <c r="AE759"/>
      <c r="AF759"/>
      <c r="AG759"/>
      <c r="AH759"/>
      <c r="AI759"/>
      <c r="AJ759"/>
      <c r="AK759"/>
      <c r="AL759"/>
    </row>
    <row r="760" spans="6:38">
      <c r="F760" s="29"/>
      <c r="G760" s="29"/>
      <c r="H760" s="29"/>
      <c r="I760" s="29"/>
      <c r="J760" s="29"/>
      <c r="K760" s="29"/>
      <c r="L760" s="29"/>
      <c r="M760" s="29"/>
      <c r="N760" s="29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</row>
    <row r="761" spans="6:38">
      <c r="F761" s="29"/>
      <c r="G761" s="29"/>
      <c r="H761" s="29"/>
      <c r="I761" s="29"/>
      <c r="J761" s="29"/>
      <c r="K761" s="29"/>
      <c r="L761" s="29"/>
      <c r="M761" s="29"/>
      <c r="N761" s="29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</row>
    <row r="762" spans="6:38">
      <c r="F762" s="29"/>
      <c r="G762" s="29"/>
      <c r="H762" s="29"/>
      <c r="I762" s="29"/>
      <c r="J762" s="29"/>
      <c r="K762" s="29"/>
      <c r="L762" s="29"/>
      <c r="M762" s="29"/>
      <c r="N762" s="29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</row>
    <row r="763" spans="6:38">
      <c r="F763" s="29"/>
      <c r="G763" s="29"/>
      <c r="H763" s="29"/>
      <c r="I763" s="29"/>
      <c r="J763" s="29"/>
      <c r="K763" s="29"/>
      <c r="L763" s="29"/>
      <c r="M763" s="29"/>
      <c r="N763" s="29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</row>
    <row r="764" spans="6:38">
      <c r="F764" s="29"/>
      <c r="G764" s="29"/>
      <c r="H764" s="29"/>
      <c r="I764" s="29"/>
      <c r="J764" s="29"/>
      <c r="K764" s="29"/>
      <c r="L764" s="29"/>
      <c r="M764" s="29"/>
      <c r="N764" s="29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</row>
    <row r="765" spans="6:38">
      <c r="F765" s="29"/>
      <c r="G765" s="29"/>
      <c r="H765" s="29"/>
      <c r="I765" s="29"/>
      <c r="J765" s="29"/>
      <c r="K765" s="29"/>
      <c r="L765" s="29"/>
      <c r="M765" s="29"/>
      <c r="N765" s="29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</row>
    <row r="766" spans="6:38">
      <c r="F766" s="29"/>
      <c r="G766" s="29"/>
      <c r="H766" s="29"/>
      <c r="I766" s="29"/>
      <c r="J766" s="29"/>
      <c r="K766" s="29"/>
      <c r="L766" s="29"/>
      <c r="M766" s="29"/>
      <c r="N766" s="29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</row>
    <row r="767" spans="6:38">
      <c r="F767" s="29"/>
      <c r="G767" s="29"/>
      <c r="H767" s="29"/>
      <c r="I767" s="29"/>
      <c r="J767" s="29"/>
      <c r="K767" s="29"/>
      <c r="L767" s="29"/>
      <c r="M767" s="29"/>
      <c r="N767" s="29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</row>
    <row r="768" spans="6:38">
      <c r="F768" s="29"/>
      <c r="G768" s="29"/>
      <c r="H768" s="29"/>
      <c r="I768" s="29"/>
      <c r="J768" s="29"/>
      <c r="K768" s="29"/>
      <c r="L768" s="29"/>
      <c r="M768" s="29"/>
      <c r="N768" s="29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</row>
    <row r="769" spans="1:38">
      <c r="F769" s="29"/>
      <c r="G769" s="29"/>
      <c r="H769" s="29"/>
      <c r="I769" s="29"/>
      <c r="J769" s="29"/>
      <c r="K769" s="29"/>
      <c r="L769" s="29"/>
      <c r="M769" s="29"/>
      <c r="N769" s="2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</row>
    <row r="770" spans="1:38">
      <c r="F770" s="29"/>
      <c r="G770" s="29"/>
      <c r="H770" s="29"/>
      <c r="I770" s="29"/>
      <c r="J770" s="29"/>
      <c r="K770" s="29"/>
      <c r="L770" s="29"/>
      <c r="M770" s="29"/>
      <c r="N770" s="29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</row>
    <row r="771" spans="1:38">
      <c r="F771" s="29"/>
      <c r="G771" s="29"/>
      <c r="H771" s="29"/>
      <c r="I771" s="29"/>
      <c r="J771" s="29"/>
      <c r="K771" s="29"/>
      <c r="L771" s="29"/>
      <c r="M771" s="29"/>
      <c r="N771" s="29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</row>
    <row r="772" spans="1:38">
      <c r="F772" s="29"/>
      <c r="G772" s="29"/>
      <c r="H772" s="29"/>
      <c r="I772" s="29"/>
      <c r="J772" s="29"/>
      <c r="K772" s="29"/>
      <c r="L772" s="29"/>
      <c r="M772" s="29"/>
      <c r="N772" s="29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</row>
    <row r="773" spans="1:38">
      <c r="F773" s="29"/>
      <c r="G773" s="29"/>
      <c r="H773" s="29"/>
      <c r="I773" s="29"/>
      <c r="J773" s="29"/>
      <c r="K773" s="29"/>
      <c r="L773" s="29"/>
      <c r="M773" s="29"/>
      <c r="N773" s="29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</row>
    <row r="774" spans="1:38">
      <c r="F774" s="29"/>
      <c r="G774" s="29"/>
      <c r="H774" s="29"/>
      <c r="I774" s="29"/>
      <c r="J774" s="29"/>
      <c r="K774" s="29"/>
      <c r="L774" s="29"/>
      <c r="M774" s="29"/>
      <c r="N774" s="29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</row>
    <row r="775" spans="1:38">
      <c r="F775" s="29"/>
      <c r="G775" s="29"/>
      <c r="H775" s="29"/>
      <c r="I775" s="29"/>
      <c r="J775" s="29"/>
      <c r="K775" s="29"/>
      <c r="L775" s="29"/>
      <c r="M775" s="29"/>
      <c r="N775" s="29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</row>
    <row r="776" spans="1:38">
      <c r="F776" s="29"/>
      <c r="G776" s="29"/>
      <c r="H776" s="29"/>
      <c r="I776" s="29"/>
      <c r="J776" s="29"/>
      <c r="K776" s="29"/>
      <c r="L776" s="29"/>
      <c r="M776" s="29"/>
      <c r="N776" s="29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</row>
    <row r="777" spans="1:38">
      <c r="F777" s="29"/>
      <c r="G777" s="29"/>
      <c r="H777" s="29"/>
      <c r="I777" s="29"/>
      <c r="J777" s="29"/>
      <c r="K777" s="29"/>
      <c r="L777" s="29"/>
      <c r="M777" s="29"/>
      <c r="N777" s="29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</row>
    <row r="778" spans="1:38">
      <c r="F778" s="29"/>
      <c r="G778" s="29"/>
      <c r="H778" s="29"/>
      <c r="I778" s="29"/>
      <c r="J778" s="29"/>
      <c r="K778" s="29"/>
      <c r="L778" s="29"/>
      <c r="M778" s="29"/>
      <c r="N778" s="29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</row>
    <row r="779" spans="1:38">
      <c r="F779" s="29"/>
      <c r="G779" s="29"/>
      <c r="H779" s="29"/>
      <c r="I779" s="29"/>
      <c r="J779" s="29"/>
      <c r="K779" s="29"/>
      <c r="L779" s="29"/>
      <c r="M779" s="29"/>
      <c r="N779" s="2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</row>
    <row r="780" spans="1:38">
      <c r="F780" s="29"/>
      <c r="G780" s="29"/>
      <c r="H780" s="29"/>
      <c r="I780" s="29"/>
      <c r="J780" s="29"/>
      <c r="K780" s="29"/>
      <c r="L780" s="29"/>
      <c r="M780" s="29"/>
      <c r="N780" s="29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</row>
    <row r="781" spans="1:38">
      <c r="F781" s="29"/>
      <c r="G781" s="29"/>
      <c r="H781" s="29"/>
      <c r="I781" s="29"/>
      <c r="J781" s="29"/>
      <c r="K781" s="29"/>
      <c r="L781" s="29"/>
      <c r="M781" s="29"/>
      <c r="N781" s="29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</row>
    <row r="782" spans="1:38">
      <c r="F782" s="51"/>
      <c r="G782" s="51"/>
      <c r="H782" s="51"/>
      <c r="I782" s="51"/>
      <c r="J782" s="51"/>
      <c r="K782" s="51"/>
      <c r="L782" s="51"/>
      <c r="M782" s="51"/>
      <c r="N782" s="51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</row>
    <row r="783" spans="1:38" s="117" customFormat="1">
      <c r="A783" s="1"/>
      <c r="B783" s="1"/>
      <c r="C783" s="1"/>
      <c r="D783" s="1"/>
      <c r="E783" s="1"/>
      <c r="F783" s="51"/>
      <c r="G783" s="51"/>
      <c r="H783" s="51"/>
      <c r="I783" s="51"/>
      <c r="J783" s="51"/>
      <c r="K783" s="51"/>
      <c r="L783" s="51"/>
      <c r="M783" s="51"/>
      <c r="N783" s="51"/>
      <c r="O783" s="1"/>
      <c r="P783" s="1"/>
      <c r="Q783" s="1"/>
      <c r="R783" s="1"/>
      <c r="S783" s="1"/>
      <c r="T783" s="1"/>
      <c r="U783" s="1"/>
      <c r="V783" s="1"/>
      <c r="W783" s="1"/>
      <c r="X783" s="1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</row>
    <row r="784" spans="1:38" s="117" customFormat="1">
      <c r="F784" s="115"/>
      <c r="G784" s="115"/>
      <c r="H784" s="115"/>
      <c r="I784" s="115"/>
      <c r="J784" s="115"/>
      <c r="K784" s="115"/>
      <c r="L784" s="115"/>
      <c r="M784" s="115"/>
      <c r="N784" s="115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</row>
    <row r="785" spans="1:38" s="117" customFormat="1">
      <c r="F785" s="115"/>
      <c r="G785" s="115"/>
      <c r="H785" s="115"/>
      <c r="I785" s="115"/>
      <c r="J785" s="115"/>
      <c r="K785" s="115"/>
      <c r="L785" s="115"/>
      <c r="M785" s="115"/>
      <c r="N785" s="11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</row>
    <row r="786" spans="1:38">
      <c r="A786" s="117"/>
      <c r="B786" s="117"/>
      <c r="C786" s="117"/>
      <c r="D786" s="117"/>
      <c r="E786" s="117"/>
      <c r="F786" s="115"/>
      <c r="G786" s="115"/>
      <c r="H786" s="115"/>
      <c r="I786" s="115"/>
      <c r="J786" s="115"/>
      <c r="K786" s="115"/>
      <c r="L786" s="115"/>
      <c r="M786" s="115"/>
      <c r="N786" s="115"/>
      <c r="O786" s="117"/>
      <c r="P786" s="117"/>
      <c r="Q786" s="117"/>
      <c r="R786" s="117"/>
      <c r="S786" s="117"/>
      <c r="T786" s="117"/>
      <c r="U786" s="117"/>
      <c r="V786" s="117"/>
      <c r="W786" s="117"/>
      <c r="X786" s="117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</row>
    <row r="787" spans="1:38" s="141" customFormat="1">
      <c r="F787" s="115"/>
      <c r="G787" s="115"/>
      <c r="H787" s="115"/>
      <c r="I787" s="115"/>
      <c r="J787" s="115"/>
      <c r="K787" s="115"/>
      <c r="L787" s="115"/>
      <c r="M787" s="115"/>
      <c r="N787" s="115"/>
      <c r="Z787" s="115"/>
      <c r="AA787" s="115"/>
      <c r="AB787" s="115"/>
      <c r="AC787" s="115"/>
      <c r="AD787" s="115"/>
      <c r="AE787" s="115"/>
      <c r="AF787" s="115"/>
      <c r="AG787" s="115"/>
      <c r="AH787" s="115"/>
      <c r="AI787" s="115"/>
      <c r="AJ787" s="115"/>
      <c r="AK787" s="115"/>
      <c r="AL787" s="115"/>
    </row>
    <row r="788" spans="1:38" ht="23.25">
      <c r="B788" s="408" t="s">
        <v>150</v>
      </c>
      <c r="C788" s="408"/>
      <c r="D788" s="408"/>
      <c r="E788" s="408"/>
      <c r="F788" s="408"/>
      <c r="G788" s="408"/>
      <c r="H788" s="408"/>
      <c r="I788" s="408"/>
      <c r="J788" s="408"/>
      <c r="K788" s="408"/>
      <c r="N788" s="408" t="s">
        <v>151</v>
      </c>
      <c r="O788" s="408"/>
      <c r="P788" s="408"/>
      <c r="Q788" s="408"/>
      <c r="R788" s="408"/>
      <c r="S788" s="408"/>
      <c r="T788" s="408"/>
      <c r="U788" s="408"/>
      <c r="V788" s="40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</row>
    <row r="789" spans="1:38">
      <c r="A789" s="139"/>
      <c r="B789" s="139"/>
      <c r="C789" s="139"/>
      <c r="D789" s="139"/>
      <c r="E789" s="139"/>
      <c r="F789" s="115"/>
      <c r="G789" s="139" t="s">
        <v>212</v>
      </c>
      <c r="H789" s="115"/>
      <c r="I789" s="115"/>
      <c r="J789" s="115"/>
      <c r="K789" s="115"/>
      <c r="L789" s="115"/>
      <c r="M789" s="115"/>
      <c r="N789" s="115"/>
      <c r="O789" s="139"/>
      <c r="P789" s="139"/>
      <c r="Q789" s="139"/>
      <c r="R789" s="139"/>
      <c r="S789" s="139" t="s">
        <v>213</v>
      </c>
      <c r="T789" s="139"/>
      <c r="U789" s="139"/>
      <c r="V789" s="139"/>
      <c r="W789" s="139"/>
      <c r="X789" s="13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</row>
    <row r="790" spans="1:38" ht="34.5" thickBot="1">
      <c r="A790" s="8"/>
      <c r="B790" s="8"/>
      <c r="C790" s="107" t="s">
        <v>45</v>
      </c>
      <c r="D790" s="101" t="s">
        <v>46</v>
      </c>
      <c r="E790" s="101" t="s">
        <v>44</v>
      </c>
      <c r="F790" s="101" t="s">
        <v>43</v>
      </c>
      <c r="G790" s="101" t="s">
        <v>42</v>
      </c>
      <c r="H790" s="101" t="s">
        <v>49</v>
      </c>
      <c r="I790" s="101" t="s">
        <v>47</v>
      </c>
      <c r="J790" s="101" t="s">
        <v>157</v>
      </c>
      <c r="K790" s="102" t="s">
        <v>180</v>
      </c>
      <c r="L790" s="101" t="s">
        <v>48</v>
      </c>
      <c r="M790" s="104"/>
      <c r="N790" s="104"/>
      <c r="O790" s="107" t="s">
        <v>45</v>
      </c>
      <c r="P790" s="101" t="s">
        <v>46</v>
      </c>
      <c r="Q790" s="101" t="s">
        <v>44</v>
      </c>
      <c r="R790" s="101" t="s">
        <v>43</v>
      </c>
      <c r="S790" s="101" t="s">
        <v>42</v>
      </c>
      <c r="T790" s="101" t="s">
        <v>49</v>
      </c>
      <c r="U790" s="101" t="s">
        <v>67</v>
      </c>
      <c r="V790" s="101" t="s">
        <v>158</v>
      </c>
      <c r="W790" s="102" t="s">
        <v>181</v>
      </c>
      <c r="X790" s="101" t="s">
        <v>66</v>
      </c>
      <c r="Z790"/>
      <c r="AA790"/>
      <c r="AB790"/>
      <c r="AC790"/>
      <c r="AD790"/>
      <c r="AE790"/>
      <c r="AF790"/>
      <c r="AG790"/>
      <c r="AH790"/>
      <c r="AI790"/>
      <c r="AJ790"/>
      <c r="AK790"/>
      <c r="AL790"/>
    </row>
    <row r="791" spans="1:38" ht="24" thickBot="1">
      <c r="A791" s="8" t="s">
        <v>37</v>
      </c>
      <c r="B791" s="49" t="s">
        <v>71</v>
      </c>
      <c r="C791" s="82">
        <f>E791+F791+G791+H791+I791+J791+L791+K791</f>
        <v>9</v>
      </c>
      <c r="D791" s="9">
        <f>E791+F791+G791+H791</f>
        <v>0</v>
      </c>
      <c r="E791" s="31">
        <f>Algandmed!AG82</f>
        <v>0</v>
      </c>
      <c r="F791" s="31">
        <f>Algandmed!AH82</f>
        <v>0</v>
      </c>
      <c r="G791" s="31">
        <f>Algandmed!AI82</f>
        <v>0</v>
      </c>
      <c r="H791" s="31">
        <f>Algandmed!AJ82</f>
        <v>0</v>
      </c>
      <c r="I791" s="31">
        <f>Algandmed!AK82</f>
        <v>1</v>
      </c>
      <c r="J791" s="31">
        <f>Algandmed!AN82</f>
        <v>2</v>
      </c>
      <c r="K791" s="31">
        <f>Algandmed!AL82</f>
        <v>0</v>
      </c>
      <c r="L791" s="31">
        <f>Algandmed!AO82</f>
        <v>6</v>
      </c>
      <c r="M791" s="8" t="s">
        <v>1</v>
      </c>
      <c r="N791" s="49" t="s">
        <v>71</v>
      </c>
      <c r="O791" s="82">
        <f>Q791+R791+S791+T791+U791+X791+V791+W791</f>
        <v>3</v>
      </c>
      <c r="P791" s="9">
        <f>Q791+R791+S791+T791</f>
        <v>0</v>
      </c>
      <c r="Q791" s="31">
        <f>Algandmed!AV82</f>
        <v>0</v>
      </c>
      <c r="R791" s="31">
        <f>Algandmed!AW82</f>
        <v>0</v>
      </c>
      <c r="S791" s="31">
        <f>Algandmed!AX82</f>
        <v>0</v>
      </c>
      <c r="T791" s="31">
        <f>Algandmed!AY82</f>
        <v>0</v>
      </c>
      <c r="U791" s="31">
        <f>Algandmed!AZ82</f>
        <v>0</v>
      </c>
      <c r="V791" s="31">
        <f>Algandmed!BC82</f>
        <v>0</v>
      </c>
      <c r="W791" s="31">
        <f>Algandmed!BA82</f>
        <v>0</v>
      </c>
      <c r="X791" s="31">
        <f>Algandmed!BD82</f>
        <v>3</v>
      </c>
      <c r="Z791"/>
      <c r="AA791"/>
      <c r="AB791"/>
      <c r="AC791"/>
      <c r="AD791"/>
      <c r="AE791"/>
      <c r="AF791"/>
      <c r="AG791"/>
      <c r="AH791"/>
      <c r="AI791"/>
      <c r="AJ791"/>
      <c r="AK791"/>
      <c r="AL791"/>
    </row>
    <row r="792" spans="1:38">
      <c r="A792" s="17"/>
      <c r="B792" s="17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7"/>
      <c r="N792" s="17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</row>
    <row r="793" spans="1:38">
      <c r="A793" s="29"/>
      <c r="B793" s="29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</row>
    <row r="794" spans="1:38" ht="33.75">
      <c r="A794" s="8"/>
      <c r="B794" s="8"/>
      <c r="C794" s="9"/>
      <c r="D794" s="101" t="s">
        <v>46</v>
      </c>
      <c r="E794" s="101" t="s">
        <v>44</v>
      </c>
      <c r="F794" s="101" t="s">
        <v>43</v>
      </c>
      <c r="G794" s="101" t="s">
        <v>42</v>
      </c>
      <c r="H794" s="101" t="s">
        <v>49</v>
      </c>
      <c r="I794" s="101" t="s">
        <v>47</v>
      </c>
      <c r="J794" s="102" t="s">
        <v>157</v>
      </c>
      <c r="K794" s="102" t="s">
        <v>180</v>
      </c>
      <c r="L794" s="101" t="s">
        <v>48</v>
      </c>
      <c r="M794" s="104"/>
      <c r="N794" s="104"/>
      <c r="O794" s="104"/>
      <c r="P794" s="101" t="s">
        <v>46</v>
      </c>
      <c r="Q794" s="101" t="s">
        <v>44</v>
      </c>
      <c r="R794" s="101" t="s">
        <v>43</v>
      </c>
      <c r="S794" s="101" t="s">
        <v>42</v>
      </c>
      <c r="T794" s="101" t="s">
        <v>49</v>
      </c>
      <c r="U794" s="101" t="s">
        <v>67</v>
      </c>
      <c r="V794" s="102" t="s">
        <v>158</v>
      </c>
      <c r="W794" s="102" t="s">
        <v>181</v>
      </c>
      <c r="X794" s="101" t="s">
        <v>66</v>
      </c>
      <c r="Z794"/>
      <c r="AA794"/>
      <c r="AB794"/>
      <c r="AC794"/>
      <c r="AD794"/>
      <c r="AE794"/>
      <c r="AF794"/>
      <c r="AG794"/>
      <c r="AH794"/>
      <c r="AI794"/>
      <c r="AJ794"/>
      <c r="AK794"/>
      <c r="AL794"/>
    </row>
    <row r="795" spans="1:38" ht="23.25">
      <c r="A795" s="8" t="s">
        <v>37</v>
      </c>
      <c r="B795" s="49" t="s">
        <v>71</v>
      </c>
      <c r="C795" s="9"/>
      <c r="D795" s="46">
        <f t="shared" ref="D795:L795" si="78">D791/$C791</f>
        <v>0</v>
      </c>
      <c r="E795" s="50">
        <f t="shared" si="78"/>
        <v>0</v>
      </c>
      <c r="F795" s="50">
        <f t="shared" si="78"/>
        <v>0</v>
      </c>
      <c r="G795" s="50">
        <f t="shared" si="78"/>
        <v>0</v>
      </c>
      <c r="H795" s="50">
        <f t="shared" si="78"/>
        <v>0</v>
      </c>
      <c r="I795" s="50">
        <f t="shared" si="78"/>
        <v>0.1111111111111111</v>
      </c>
      <c r="J795" s="50">
        <f t="shared" si="78"/>
        <v>0.22222222222222221</v>
      </c>
      <c r="K795" s="50">
        <f t="shared" si="78"/>
        <v>0</v>
      </c>
      <c r="L795" s="50">
        <f t="shared" si="78"/>
        <v>0.66666666666666663</v>
      </c>
      <c r="M795" s="8" t="s">
        <v>1</v>
      </c>
      <c r="N795" s="49" t="s">
        <v>71</v>
      </c>
      <c r="O795" s="9"/>
      <c r="P795" s="46">
        <f t="shared" ref="P795:X795" si="79">P791/$O791</f>
        <v>0</v>
      </c>
      <c r="Q795" s="50">
        <f t="shared" si="79"/>
        <v>0</v>
      </c>
      <c r="R795" s="50">
        <f t="shared" si="79"/>
        <v>0</v>
      </c>
      <c r="S795" s="50">
        <f t="shared" si="79"/>
        <v>0</v>
      </c>
      <c r="T795" s="50">
        <f t="shared" si="79"/>
        <v>0</v>
      </c>
      <c r="U795" s="50">
        <f t="shared" si="79"/>
        <v>0</v>
      </c>
      <c r="V795" s="50">
        <f t="shared" si="79"/>
        <v>0</v>
      </c>
      <c r="W795" s="50">
        <f t="shared" si="79"/>
        <v>0</v>
      </c>
      <c r="X795" s="50">
        <f t="shared" si="79"/>
        <v>1</v>
      </c>
      <c r="Z795"/>
      <c r="AA795"/>
      <c r="AB795"/>
      <c r="AC795"/>
      <c r="AD795"/>
      <c r="AE795"/>
      <c r="AF795"/>
      <c r="AG795"/>
      <c r="AH795"/>
      <c r="AI795"/>
      <c r="AJ795"/>
      <c r="AK795"/>
      <c r="AL795"/>
    </row>
    <row r="796" spans="1:38">
      <c r="A796" s="17"/>
      <c r="B796" s="17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7"/>
      <c r="N796" s="17"/>
      <c r="O796" s="10"/>
      <c r="P796" s="17"/>
      <c r="Q796" s="17"/>
      <c r="R796" s="17"/>
      <c r="S796" s="17"/>
      <c r="T796" s="17"/>
      <c r="U796" s="17"/>
      <c r="V796" s="10"/>
      <c r="W796" s="10"/>
      <c r="X796" s="17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</row>
    <row r="797" spans="1:38">
      <c r="F797" s="29"/>
      <c r="G797" s="29"/>
      <c r="H797" s="29"/>
      <c r="I797" s="29"/>
      <c r="J797" s="29"/>
      <c r="K797" s="29"/>
      <c r="L797" s="29"/>
      <c r="M797" s="29"/>
      <c r="N797" s="29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</row>
    <row r="798" spans="1:38">
      <c r="F798" s="29"/>
      <c r="G798" s="29"/>
      <c r="H798" s="29"/>
      <c r="I798" s="29"/>
      <c r="J798" s="29"/>
      <c r="K798" s="29"/>
      <c r="L798" s="29"/>
      <c r="M798" s="29"/>
      <c r="N798" s="29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</row>
    <row r="799" spans="1:38">
      <c r="F799" s="29"/>
      <c r="G799" s="29"/>
      <c r="H799" s="29"/>
      <c r="I799" s="29"/>
      <c r="J799" s="29"/>
      <c r="K799" s="29"/>
      <c r="L799" s="29"/>
      <c r="M799" s="29"/>
      <c r="N799" s="2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</row>
    <row r="800" spans="1:38">
      <c r="Z800"/>
      <c r="AA800"/>
      <c r="AB800"/>
      <c r="AC800"/>
      <c r="AD800"/>
      <c r="AE800"/>
      <c r="AF800"/>
      <c r="AG800"/>
      <c r="AH800"/>
      <c r="AI800"/>
      <c r="AJ800"/>
      <c r="AK800"/>
      <c r="AL800"/>
    </row>
    <row r="801" spans="6:38">
      <c r="Z801"/>
      <c r="AA801"/>
      <c r="AB801"/>
      <c r="AC801"/>
      <c r="AD801"/>
      <c r="AE801"/>
      <c r="AF801"/>
      <c r="AG801"/>
      <c r="AH801"/>
      <c r="AI801"/>
      <c r="AJ801"/>
      <c r="AK801"/>
      <c r="AL801"/>
    </row>
    <row r="802" spans="6:38">
      <c r="Z802"/>
      <c r="AA802"/>
      <c r="AB802"/>
      <c r="AC802"/>
      <c r="AD802"/>
      <c r="AE802"/>
      <c r="AF802"/>
      <c r="AG802"/>
      <c r="AH802"/>
      <c r="AI802"/>
      <c r="AJ802"/>
      <c r="AK802"/>
      <c r="AL802"/>
    </row>
    <row r="803" spans="6:38">
      <c r="Z803"/>
      <c r="AA803"/>
      <c r="AB803"/>
      <c r="AC803"/>
      <c r="AD803"/>
      <c r="AE803"/>
      <c r="AF803"/>
      <c r="AG803"/>
      <c r="AH803"/>
      <c r="AI803"/>
      <c r="AJ803"/>
      <c r="AK803"/>
      <c r="AL803"/>
    </row>
    <row r="804" spans="6:38">
      <c r="Z804"/>
      <c r="AA804"/>
      <c r="AB804"/>
      <c r="AC804"/>
      <c r="AD804"/>
      <c r="AE804"/>
      <c r="AF804"/>
      <c r="AG804"/>
      <c r="AH804"/>
      <c r="AI804"/>
      <c r="AJ804"/>
      <c r="AK804"/>
      <c r="AL804"/>
    </row>
    <row r="805" spans="6:38">
      <c r="Z805"/>
      <c r="AA805"/>
      <c r="AB805"/>
      <c r="AC805"/>
      <c r="AD805"/>
      <c r="AE805"/>
      <c r="AF805"/>
      <c r="AG805"/>
      <c r="AH805"/>
      <c r="AI805"/>
      <c r="AJ805"/>
      <c r="AK805"/>
      <c r="AL805"/>
    </row>
    <row r="806" spans="6:38">
      <c r="Z806"/>
      <c r="AA806"/>
      <c r="AB806"/>
      <c r="AC806"/>
      <c r="AD806"/>
      <c r="AE806"/>
      <c r="AF806"/>
      <c r="AG806"/>
      <c r="AH806"/>
      <c r="AI806"/>
      <c r="AJ806"/>
      <c r="AK806"/>
      <c r="AL806"/>
    </row>
    <row r="807" spans="6:38">
      <c r="F807" s="29"/>
      <c r="G807" s="29"/>
      <c r="H807" s="29"/>
      <c r="I807" s="29"/>
      <c r="J807" s="29"/>
      <c r="K807" s="29"/>
      <c r="L807" s="29"/>
      <c r="M807" s="29"/>
      <c r="N807" s="29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</row>
    <row r="808" spans="6:38">
      <c r="F808" s="29"/>
      <c r="G808" s="29"/>
      <c r="H808" s="29"/>
      <c r="I808" s="29"/>
      <c r="J808" s="29"/>
      <c r="K808" s="29"/>
      <c r="L808" s="29"/>
      <c r="M808" s="29"/>
      <c r="N808" s="29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</row>
    <row r="809" spans="6:38">
      <c r="F809" s="29"/>
      <c r="G809" s="29"/>
      <c r="H809" s="29"/>
      <c r="I809" s="29"/>
      <c r="J809" s="29"/>
      <c r="K809" s="29"/>
      <c r="L809" s="29"/>
      <c r="M809" s="29"/>
      <c r="N809" s="2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</row>
    <row r="810" spans="6:38">
      <c r="F810" s="29"/>
      <c r="G810" s="29"/>
      <c r="H810" s="29"/>
      <c r="I810" s="29"/>
      <c r="J810" s="29"/>
      <c r="K810" s="29"/>
      <c r="L810" s="29"/>
      <c r="M810" s="29"/>
      <c r="N810" s="29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</row>
    <row r="811" spans="6:38">
      <c r="F811" s="29"/>
      <c r="G811" s="29"/>
      <c r="H811" s="29"/>
      <c r="I811" s="29"/>
      <c r="J811" s="29"/>
      <c r="K811" s="29"/>
      <c r="L811" s="29"/>
      <c r="M811" s="29"/>
      <c r="N811" s="29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</row>
    <row r="812" spans="6:38">
      <c r="F812" s="29"/>
      <c r="G812" s="29"/>
      <c r="H812" s="29"/>
      <c r="I812" s="29"/>
      <c r="J812" s="29"/>
      <c r="K812" s="29"/>
      <c r="L812" s="29"/>
      <c r="M812" s="29"/>
      <c r="N812" s="29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</row>
    <row r="813" spans="6:38">
      <c r="F813" s="29"/>
      <c r="G813" s="29"/>
      <c r="H813" s="29"/>
      <c r="I813" s="29"/>
      <c r="J813" s="29"/>
      <c r="K813" s="29"/>
      <c r="L813" s="29"/>
      <c r="M813" s="29"/>
      <c r="N813" s="29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</row>
    <row r="814" spans="6:38">
      <c r="F814" s="29"/>
      <c r="G814" s="29"/>
      <c r="H814" s="29"/>
      <c r="I814" s="29"/>
      <c r="J814" s="29"/>
      <c r="K814" s="29"/>
      <c r="L814" s="29"/>
      <c r="M814" s="29"/>
      <c r="N814" s="29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</row>
    <row r="815" spans="6:38">
      <c r="F815" s="29"/>
      <c r="G815" s="29"/>
      <c r="H815" s="29"/>
      <c r="I815" s="29"/>
      <c r="J815" s="29"/>
      <c r="K815" s="29"/>
      <c r="L815" s="29"/>
      <c r="M815" s="29"/>
      <c r="N815" s="29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</row>
    <row r="816" spans="6:38">
      <c r="F816" s="29"/>
      <c r="G816" s="29"/>
      <c r="H816" s="29"/>
      <c r="I816" s="29"/>
      <c r="J816" s="29"/>
      <c r="K816" s="29"/>
      <c r="L816" s="29"/>
      <c r="M816" s="29"/>
      <c r="N816" s="29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</row>
    <row r="817" spans="6:38">
      <c r="F817" s="29"/>
      <c r="G817" s="29"/>
      <c r="H817" s="29"/>
      <c r="I817" s="29"/>
      <c r="J817" s="29"/>
      <c r="K817" s="29"/>
      <c r="L817" s="29"/>
      <c r="M817" s="29"/>
      <c r="N817" s="29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</row>
    <row r="818" spans="6:38">
      <c r="F818" s="29"/>
      <c r="G818" s="29"/>
      <c r="H818" s="29"/>
      <c r="I818" s="29"/>
      <c r="J818" s="29"/>
      <c r="K818" s="29"/>
      <c r="L818" s="29"/>
      <c r="M818" s="29"/>
      <c r="N818" s="29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</row>
    <row r="819" spans="6:38">
      <c r="F819" s="29"/>
      <c r="G819" s="29"/>
      <c r="H819" s="29"/>
      <c r="I819" s="29"/>
      <c r="J819" s="29"/>
      <c r="K819" s="29"/>
      <c r="L819" s="29"/>
      <c r="M819" s="29"/>
      <c r="N819" s="2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</row>
    <row r="820" spans="6:38">
      <c r="F820" s="29"/>
      <c r="G820" s="29"/>
      <c r="H820" s="29"/>
      <c r="I820" s="29"/>
      <c r="J820" s="29"/>
      <c r="K820" s="29"/>
      <c r="L820" s="29"/>
      <c r="M820" s="29"/>
      <c r="N820" s="29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</row>
    <row r="821" spans="6:38">
      <c r="F821" s="29"/>
      <c r="G821" s="29"/>
      <c r="H821" s="29"/>
      <c r="I821" s="29"/>
      <c r="J821" s="29"/>
      <c r="K821" s="29"/>
      <c r="L821" s="29"/>
      <c r="M821" s="29"/>
      <c r="N821" s="29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</row>
    <row r="822" spans="6:38">
      <c r="F822" s="29"/>
      <c r="G822" s="29"/>
      <c r="H822" s="29"/>
      <c r="I822" s="29"/>
      <c r="J822" s="29"/>
      <c r="K822" s="29"/>
      <c r="L822" s="29"/>
      <c r="M822" s="29"/>
      <c r="N822" s="29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</row>
    <row r="823" spans="6:38">
      <c r="F823" s="29"/>
      <c r="G823" s="29"/>
      <c r="H823" s="29"/>
      <c r="I823" s="29"/>
      <c r="J823" s="29"/>
      <c r="K823" s="29"/>
      <c r="L823" s="29"/>
      <c r="M823" s="29"/>
      <c r="N823" s="29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</row>
    <row r="824" spans="6:38">
      <c r="F824" s="29"/>
      <c r="G824" s="29"/>
      <c r="H824" s="29"/>
      <c r="I824" s="29"/>
      <c r="J824" s="29"/>
      <c r="K824" s="29"/>
      <c r="L824" s="29"/>
      <c r="M824" s="29"/>
      <c r="N824" s="29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</row>
    <row r="825" spans="6:38">
      <c r="F825" s="29"/>
      <c r="G825" s="29"/>
      <c r="H825" s="29"/>
      <c r="I825" s="29"/>
      <c r="J825" s="29"/>
      <c r="K825" s="29"/>
      <c r="L825" s="29"/>
      <c r="M825" s="29"/>
      <c r="N825" s="29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</row>
    <row r="826" spans="6:38">
      <c r="Z826"/>
      <c r="AA826"/>
      <c r="AB826"/>
      <c r="AC826"/>
      <c r="AD826"/>
      <c r="AE826"/>
      <c r="AF826"/>
      <c r="AG826"/>
      <c r="AH826"/>
      <c r="AI826"/>
      <c r="AJ826"/>
      <c r="AK826"/>
      <c r="AL826"/>
    </row>
    <row r="827" spans="6:38">
      <c r="Z827"/>
      <c r="AA827"/>
      <c r="AB827"/>
      <c r="AC827"/>
      <c r="AD827"/>
      <c r="AE827"/>
      <c r="AF827"/>
      <c r="AG827"/>
      <c r="AH827"/>
      <c r="AI827"/>
      <c r="AJ827"/>
      <c r="AK827"/>
      <c r="AL827"/>
    </row>
    <row r="828" spans="6:38">
      <c r="Z828"/>
      <c r="AA828"/>
      <c r="AB828"/>
      <c r="AC828"/>
      <c r="AD828"/>
      <c r="AE828"/>
      <c r="AF828"/>
      <c r="AG828"/>
      <c r="AH828"/>
      <c r="AI828"/>
      <c r="AJ828"/>
      <c r="AK828"/>
      <c r="AL828"/>
    </row>
    <row r="829" spans="6:38">
      <c r="Z829"/>
      <c r="AA829"/>
      <c r="AB829"/>
      <c r="AC829"/>
      <c r="AD829"/>
      <c r="AE829"/>
      <c r="AF829"/>
      <c r="AG829"/>
      <c r="AH829"/>
      <c r="AI829"/>
      <c r="AJ829"/>
      <c r="AK829"/>
      <c r="AL829"/>
    </row>
    <row r="830" spans="6:38">
      <c r="Z830"/>
      <c r="AA830"/>
      <c r="AB830"/>
      <c r="AC830"/>
      <c r="AD830"/>
      <c r="AE830"/>
      <c r="AF830"/>
      <c r="AG830"/>
      <c r="AH830"/>
      <c r="AI830"/>
      <c r="AJ830"/>
      <c r="AK830"/>
      <c r="AL830"/>
    </row>
    <row r="831" spans="6:38">
      <c r="Z831"/>
      <c r="AA831"/>
      <c r="AB831"/>
      <c r="AC831"/>
      <c r="AD831"/>
      <c r="AE831"/>
      <c r="AF831"/>
      <c r="AG831"/>
      <c r="AH831"/>
      <c r="AI831"/>
      <c r="AJ831"/>
      <c r="AK831"/>
      <c r="AL831"/>
    </row>
    <row r="832" spans="6:38">
      <c r="Z832"/>
      <c r="AA832"/>
      <c r="AB832"/>
      <c r="AC832"/>
      <c r="AD832"/>
      <c r="AE832"/>
      <c r="AF832"/>
      <c r="AG832"/>
      <c r="AH832"/>
      <c r="AI832"/>
      <c r="AJ832"/>
      <c r="AK832"/>
      <c r="AL832"/>
    </row>
    <row r="833" spans="1:38" s="117" customForma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</row>
    <row r="834" spans="1:38" s="117" customFormat="1">
      <c r="Z834"/>
      <c r="AA834"/>
      <c r="AB834"/>
      <c r="AC834"/>
      <c r="AD834"/>
      <c r="AE834"/>
      <c r="AF834"/>
      <c r="AG834"/>
      <c r="AH834"/>
      <c r="AI834"/>
      <c r="AJ834"/>
      <c r="AK834"/>
      <c r="AL834"/>
    </row>
    <row r="835" spans="1:38" s="130" customFormat="1">
      <c r="A835" s="117"/>
      <c r="B835" s="117"/>
      <c r="C835" s="117"/>
      <c r="D835" s="117"/>
      <c r="E835" s="117"/>
      <c r="F835" s="117"/>
      <c r="G835" s="117"/>
      <c r="H835" s="117"/>
      <c r="I835" s="117"/>
      <c r="J835" s="117"/>
      <c r="K835" s="117"/>
      <c r="L835" s="117"/>
      <c r="M835" s="117"/>
      <c r="N835" s="117"/>
      <c r="O835" s="117"/>
      <c r="P835" s="117"/>
      <c r="Q835" s="117"/>
      <c r="R835" s="117"/>
      <c r="S835" s="117"/>
      <c r="T835" s="117"/>
      <c r="U835" s="117"/>
      <c r="V835" s="117"/>
      <c r="W835" s="117"/>
      <c r="X835" s="117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</row>
    <row r="836" spans="1:38">
      <c r="A836" s="130"/>
      <c r="B836" s="130"/>
      <c r="C836" s="130"/>
      <c r="D836" s="130"/>
      <c r="E836" s="130"/>
      <c r="F836" s="130"/>
      <c r="G836" s="130"/>
      <c r="H836" s="130"/>
      <c r="I836" s="130"/>
      <c r="J836" s="130"/>
      <c r="K836" s="130"/>
      <c r="L836" s="130"/>
      <c r="M836" s="130"/>
      <c r="N836" s="130"/>
      <c r="O836" s="130"/>
      <c r="P836" s="130"/>
      <c r="Q836" s="130"/>
      <c r="R836" s="130"/>
      <c r="S836" s="130"/>
      <c r="T836" s="130"/>
      <c r="U836" s="130"/>
      <c r="V836" s="130"/>
      <c r="W836" s="130"/>
      <c r="X836" s="130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</row>
    <row r="837" spans="1:38" s="141" customFormat="1">
      <c r="Z837" s="115"/>
      <c r="AA837" s="115"/>
      <c r="AB837" s="115"/>
      <c r="AC837" s="115"/>
      <c r="AD837" s="115"/>
      <c r="AE837" s="115"/>
      <c r="AF837" s="115"/>
      <c r="AG837" s="115"/>
      <c r="AH837" s="115"/>
      <c r="AI837" s="115"/>
      <c r="AJ837" s="115"/>
      <c r="AK837" s="115"/>
      <c r="AL837" s="115"/>
    </row>
    <row r="838" spans="1:38" ht="23.25">
      <c r="A838" s="408" t="s">
        <v>167</v>
      </c>
      <c r="B838" s="408"/>
      <c r="C838" s="408"/>
      <c r="D838" s="408"/>
      <c r="E838" s="408"/>
      <c r="F838" s="408"/>
      <c r="G838" s="408"/>
      <c r="H838" s="408"/>
      <c r="I838" s="408"/>
      <c r="J838" s="408"/>
      <c r="K838" s="408"/>
      <c r="L838" s="408"/>
      <c r="M838" s="408" t="s">
        <v>168</v>
      </c>
      <c r="N838" s="408"/>
      <c r="O838" s="408"/>
      <c r="P838" s="408"/>
      <c r="Q838" s="408"/>
      <c r="R838" s="408"/>
      <c r="S838" s="408"/>
      <c r="T838" s="408"/>
      <c r="U838" s="408"/>
      <c r="V838" s="408"/>
      <c r="W838" s="408"/>
      <c r="X838" s="40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</row>
    <row r="839" spans="1:38">
      <c r="Z839"/>
      <c r="AA839"/>
      <c r="AB839"/>
      <c r="AC839"/>
      <c r="AD839"/>
      <c r="AE839"/>
      <c r="AF839"/>
      <c r="AG839"/>
      <c r="AH839"/>
      <c r="AI839"/>
      <c r="AJ839"/>
      <c r="AK839"/>
      <c r="AL839"/>
    </row>
    <row r="840" spans="1:38" ht="34.5" thickBot="1">
      <c r="A840" s="8"/>
      <c r="B840" s="8"/>
      <c r="C840" s="107" t="s">
        <v>45</v>
      </c>
      <c r="D840" s="101" t="s">
        <v>46</v>
      </c>
      <c r="E840" s="101" t="s">
        <v>44</v>
      </c>
      <c r="F840" s="101" t="s">
        <v>43</v>
      </c>
      <c r="G840" s="101" t="s">
        <v>42</v>
      </c>
      <c r="H840" s="101" t="s">
        <v>49</v>
      </c>
      <c r="I840" s="101" t="s">
        <v>47</v>
      </c>
      <c r="J840" s="102" t="s">
        <v>157</v>
      </c>
      <c r="K840" s="102" t="s">
        <v>180</v>
      </c>
      <c r="L840" s="101" t="s">
        <v>48</v>
      </c>
      <c r="M840" s="104"/>
      <c r="N840" s="104"/>
      <c r="O840" s="107" t="s">
        <v>45</v>
      </c>
      <c r="P840" s="101" t="s">
        <v>46</v>
      </c>
      <c r="Q840" s="101" t="s">
        <v>44</v>
      </c>
      <c r="R840" s="101" t="s">
        <v>43</v>
      </c>
      <c r="S840" s="101" t="s">
        <v>42</v>
      </c>
      <c r="T840" s="101" t="s">
        <v>49</v>
      </c>
      <c r="U840" s="101" t="s">
        <v>67</v>
      </c>
      <c r="V840" s="102" t="s">
        <v>158</v>
      </c>
      <c r="W840" s="102" t="s">
        <v>181</v>
      </c>
      <c r="X840" s="101" t="s">
        <v>66</v>
      </c>
      <c r="Z840"/>
      <c r="AA840"/>
      <c r="AB840"/>
      <c r="AC840"/>
      <c r="AD840"/>
      <c r="AE840"/>
      <c r="AF840"/>
      <c r="AG840"/>
      <c r="AH840"/>
      <c r="AI840"/>
      <c r="AJ840"/>
      <c r="AK840"/>
      <c r="AL840"/>
    </row>
    <row r="841" spans="1:38">
      <c r="A841" s="8" t="s">
        <v>5</v>
      </c>
      <c r="B841" s="36" t="s">
        <v>50</v>
      </c>
      <c r="C841" s="81" t="e">
        <f>E841+F841+G841+H841+I841+L841+J841+K841</f>
        <v>#REF!</v>
      </c>
      <c r="D841" s="9" t="e">
        <f>E841+F841+G841+H841</f>
        <v>#REF!</v>
      </c>
      <c r="E841" s="1" t="e">
        <f>Algandmed!#REF!</f>
        <v>#REF!</v>
      </c>
      <c r="F841" s="1" t="e">
        <f>Algandmed!#REF!</f>
        <v>#REF!</v>
      </c>
      <c r="G841" s="1" t="e">
        <f>Algandmed!#REF!</f>
        <v>#REF!</v>
      </c>
      <c r="H841" s="1" t="e">
        <f>Algandmed!#REF!</f>
        <v>#REF!</v>
      </c>
      <c r="I841" s="1" t="e">
        <f>Algandmed!#REF!</f>
        <v>#REF!</v>
      </c>
      <c r="J841" s="77" t="e">
        <f>Algandmed!#REF!</f>
        <v>#REF!</v>
      </c>
      <c r="K841" s="120" t="e">
        <f>Algandmed!#REF!</f>
        <v>#REF!</v>
      </c>
      <c r="L841" s="1" t="e">
        <f>Algandmed!#REF!</f>
        <v>#REF!</v>
      </c>
      <c r="M841" s="8" t="s">
        <v>1</v>
      </c>
      <c r="N841" s="36" t="s">
        <v>50</v>
      </c>
      <c r="O841" s="81" t="e">
        <f>Q841+R841+S841+T841+U841+X841+V841+W841</f>
        <v>#REF!</v>
      </c>
      <c r="P841" s="9" t="e">
        <f>Q841+R841+S841+T841</f>
        <v>#REF!</v>
      </c>
      <c r="Q841" s="1" t="e">
        <f>Algandmed!#REF!</f>
        <v>#REF!</v>
      </c>
      <c r="R841" s="1" t="e">
        <f>Algandmed!#REF!</f>
        <v>#REF!</v>
      </c>
      <c r="S841" s="1" t="e">
        <f>Algandmed!#REF!</f>
        <v>#REF!</v>
      </c>
      <c r="T841" s="1" t="e">
        <f>Algandmed!#REF!</f>
        <v>#REF!</v>
      </c>
      <c r="U841" s="1" t="e">
        <f>Algandmed!#REF!</f>
        <v>#REF!</v>
      </c>
      <c r="V841" s="77" t="e">
        <f>Algandmed!#REF!</f>
        <v>#REF!</v>
      </c>
      <c r="W841" s="120" t="e">
        <f>Algandmed!#REF!</f>
        <v>#REF!</v>
      </c>
      <c r="X841" s="1" t="e">
        <f>Algandmed!#REF!</f>
        <v>#REF!</v>
      </c>
      <c r="Z841"/>
      <c r="AA841"/>
      <c r="AB841"/>
      <c r="AC841"/>
      <c r="AD841"/>
      <c r="AE841"/>
      <c r="AF841"/>
      <c r="AG841"/>
      <c r="AH841"/>
      <c r="AI841"/>
      <c r="AJ841"/>
      <c r="AK841"/>
      <c r="AL841"/>
    </row>
    <row r="842" spans="1:38" ht="23.25">
      <c r="A842" s="49" t="s">
        <v>71</v>
      </c>
      <c r="B842" s="36" t="s">
        <v>55</v>
      </c>
      <c r="C842" s="83" t="e">
        <f>E842+F842+G842+H842+I842+L842+J842+K842</f>
        <v>#REF!</v>
      </c>
      <c r="D842" s="9" t="e">
        <f>E842+F842+G842+H842</f>
        <v>#REF!</v>
      </c>
      <c r="E842" s="1" t="e">
        <f>Algandmed!#REF!</f>
        <v>#REF!</v>
      </c>
      <c r="F842" s="1" t="e">
        <f>Algandmed!#REF!</f>
        <v>#REF!</v>
      </c>
      <c r="G842" s="1" t="e">
        <f>Algandmed!#REF!</f>
        <v>#REF!</v>
      </c>
      <c r="H842" s="1" t="e">
        <f>Algandmed!#REF!</f>
        <v>#REF!</v>
      </c>
      <c r="I842" s="1" t="e">
        <f>Algandmed!#REF!</f>
        <v>#REF!</v>
      </c>
      <c r="J842" s="77" t="e">
        <f>Algandmed!#REF!</f>
        <v>#REF!</v>
      </c>
      <c r="K842" s="120" t="e">
        <f>Algandmed!#REF!</f>
        <v>#REF!</v>
      </c>
      <c r="L842" s="1" t="e">
        <f>Algandmed!#REF!</f>
        <v>#REF!</v>
      </c>
      <c r="M842" s="49" t="s">
        <v>71</v>
      </c>
      <c r="N842" s="36" t="s">
        <v>55</v>
      </c>
      <c r="O842" s="83" t="e">
        <f>Q842+R842+S842+T842+U842+X842+V842+W842</f>
        <v>#REF!</v>
      </c>
      <c r="P842" s="9" t="e">
        <f>Q842+R842+S842+T842</f>
        <v>#REF!</v>
      </c>
      <c r="Q842" s="1" t="e">
        <f>Algandmed!#REF!</f>
        <v>#REF!</v>
      </c>
      <c r="R842" s="1" t="e">
        <f>Algandmed!#REF!</f>
        <v>#REF!</v>
      </c>
      <c r="S842" s="1" t="e">
        <f>Algandmed!#REF!</f>
        <v>#REF!</v>
      </c>
      <c r="T842" s="1" t="e">
        <f>Algandmed!#REF!</f>
        <v>#REF!</v>
      </c>
      <c r="U842" s="1" t="e">
        <f>Algandmed!#REF!</f>
        <v>#REF!</v>
      </c>
      <c r="V842" s="77" t="e">
        <f>Algandmed!#REF!</f>
        <v>#REF!</v>
      </c>
      <c r="W842" s="120" t="e">
        <f>Algandmed!#REF!</f>
        <v>#REF!</v>
      </c>
      <c r="X842" s="1" t="e">
        <f>Algandmed!#REF!</f>
        <v>#REF!</v>
      </c>
      <c r="Z842"/>
      <c r="AA842"/>
      <c r="AB842"/>
      <c r="AC842"/>
      <c r="AD842"/>
      <c r="AE842"/>
      <c r="AF842"/>
      <c r="AG842"/>
      <c r="AH842"/>
      <c r="AI842"/>
      <c r="AJ842"/>
      <c r="AK842"/>
      <c r="AL842"/>
    </row>
    <row r="843" spans="1:38">
      <c r="A843" s="8"/>
      <c r="B843" s="36" t="s">
        <v>56</v>
      </c>
      <c r="C843" s="83" t="e">
        <f>E843+F843+G843+H843+I843+L843+J843+K843</f>
        <v>#REF!</v>
      </c>
      <c r="D843" s="9" t="e">
        <f>E843+F843+G843+H843</f>
        <v>#REF!</v>
      </c>
      <c r="E843" s="1" t="e">
        <f>Algandmed!#REF!</f>
        <v>#REF!</v>
      </c>
      <c r="F843" s="1" t="e">
        <f>Algandmed!#REF!</f>
        <v>#REF!</v>
      </c>
      <c r="G843" s="1" t="e">
        <f>Algandmed!#REF!</f>
        <v>#REF!</v>
      </c>
      <c r="H843" s="1" t="e">
        <f>Algandmed!#REF!</f>
        <v>#REF!</v>
      </c>
      <c r="I843" s="1" t="e">
        <f>Algandmed!#REF!</f>
        <v>#REF!</v>
      </c>
      <c r="J843" s="77" t="e">
        <f>Algandmed!#REF!</f>
        <v>#REF!</v>
      </c>
      <c r="K843" s="120" t="e">
        <f>Algandmed!#REF!</f>
        <v>#REF!</v>
      </c>
      <c r="L843" s="1" t="e">
        <f>Algandmed!#REF!</f>
        <v>#REF!</v>
      </c>
      <c r="M843" s="8"/>
      <c r="N843" s="36" t="s">
        <v>56</v>
      </c>
      <c r="O843" s="83" t="e">
        <f>Q843+R843+S843+T843+U843+X843+V843+W843</f>
        <v>#REF!</v>
      </c>
      <c r="P843" s="9" t="e">
        <f>Q843+R843+S843+T843</f>
        <v>#REF!</v>
      </c>
      <c r="Q843" s="1" t="e">
        <f>Algandmed!#REF!</f>
        <v>#REF!</v>
      </c>
      <c r="R843" s="1" t="e">
        <f>Algandmed!#REF!</f>
        <v>#REF!</v>
      </c>
      <c r="S843" s="1" t="e">
        <f>Algandmed!#REF!</f>
        <v>#REF!</v>
      </c>
      <c r="T843" s="1" t="e">
        <f>Algandmed!#REF!</f>
        <v>#REF!</v>
      </c>
      <c r="U843" s="1" t="e">
        <f>Algandmed!#REF!</f>
        <v>#REF!</v>
      </c>
      <c r="V843" s="77" t="e">
        <f>Algandmed!#REF!</f>
        <v>#REF!</v>
      </c>
      <c r="W843" s="120" t="e">
        <f>Algandmed!#REF!</f>
        <v>#REF!</v>
      </c>
      <c r="X843" s="1" t="e">
        <f>Algandmed!#REF!</f>
        <v>#REF!</v>
      </c>
      <c r="Z843"/>
      <c r="AA843"/>
      <c r="AB843"/>
      <c r="AC843"/>
      <c r="AD843"/>
      <c r="AE843"/>
      <c r="AF843"/>
      <c r="AG843"/>
      <c r="AH843"/>
      <c r="AI843"/>
      <c r="AJ843"/>
      <c r="AK843"/>
      <c r="AL843"/>
    </row>
    <row r="844" spans="1:38" ht="15.75" thickBot="1">
      <c r="A844" s="8"/>
      <c r="B844" s="36" t="s">
        <v>57</v>
      </c>
      <c r="C844" s="80" t="e">
        <f>E844+F844+G844+H844+I844+L844+J844+K844</f>
        <v>#REF!</v>
      </c>
      <c r="D844" s="9" t="e">
        <f>E844+F844+G844+H844</f>
        <v>#REF!</v>
      </c>
      <c r="E844" s="1" t="e">
        <f>Algandmed!#REF!</f>
        <v>#REF!</v>
      </c>
      <c r="F844" s="1" t="e">
        <f>Algandmed!#REF!</f>
        <v>#REF!</v>
      </c>
      <c r="G844" s="1" t="e">
        <f>Algandmed!#REF!</f>
        <v>#REF!</v>
      </c>
      <c r="H844" s="1" t="e">
        <f>Algandmed!#REF!</f>
        <v>#REF!</v>
      </c>
      <c r="I844" s="1" t="e">
        <f>Algandmed!#REF!</f>
        <v>#REF!</v>
      </c>
      <c r="J844" s="77" t="e">
        <f>Algandmed!#REF!</f>
        <v>#REF!</v>
      </c>
      <c r="K844" s="120" t="e">
        <f>Algandmed!#REF!</f>
        <v>#REF!</v>
      </c>
      <c r="L844" s="1" t="e">
        <f>Algandmed!#REF!</f>
        <v>#REF!</v>
      </c>
      <c r="M844" s="8"/>
      <c r="N844" s="36" t="s">
        <v>57</v>
      </c>
      <c r="O844" s="80" t="e">
        <f>Q844+R844+S844+T844+U844+X844+V844+W844</f>
        <v>#REF!</v>
      </c>
      <c r="P844" s="9" t="e">
        <f>Q844+R844+S844+T844</f>
        <v>#REF!</v>
      </c>
      <c r="Q844" s="1" t="e">
        <f>Algandmed!#REF!</f>
        <v>#REF!</v>
      </c>
      <c r="R844" s="1" t="e">
        <f>Algandmed!#REF!</f>
        <v>#REF!</v>
      </c>
      <c r="S844" s="1" t="e">
        <f>Algandmed!#REF!</f>
        <v>#REF!</v>
      </c>
      <c r="T844" s="1" t="e">
        <f>Algandmed!#REF!</f>
        <v>#REF!</v>
      </c>
      <c r="U844" s="1" t="e">
        <f>Algandmed!#REF!</f>
        <v>#REF!</v>
      </c>
      <c r="V844" s="77" t="e">
        <f>Algandmed!#REF!</f>
        <v>#REF!</v>
      </c>
      <c r="W844" s="120" t="e">
        <f>Algandmed!#REF!</f>
        <v>#REF!</v>
      </c>
      <c r="X844" s="1" t="e">
        <f>Algandmed!#REF!</f>
        <v>#REF!</v>
      </c>
      <c r="Z844"/>
      <c r="AA844"/>
      <c r="AB844"/>
      <c r="AC844"/>
      <c r="AD844"/>
      <c r="AE844"/>
      <c r="AF844"/>
      <c r="AG844"/>
      <c r="AH844"/>
      <c r="AI844"/>
      <c r="AJ844"/>
      <c r="AK844"/>
      <c r="AL844"/>
    </row>
    <row r="845" spans="1:38" ht="15.75" thickBot="1">
      <c r="A845" s="9"/>
      <c r="B845" s="26" t="s">
        <v>45</v>
      </c>
      <c r="C845" s="80" t="e">
        <f t="shared" ref="C845:L845" si="80">C841+C842+C843+C844</f>
        <v>#REF!</v>
      </c>
      <c r="D845" s="88" t="e">
        <f t="shared" si="80"/>
        <v>#REF!</v>
      </c>
      <c r="E845" s="87" t="e">
        <f t="shared" si="80"/>
        <v>#REF!</v>
      </c>
      <c r="F845" s="85" t="e">
        <f t="shared" si="80"/>
        <v>#REF!</v>
      </c>
      <c r="G845" s="85" t="e">
        <f t="shared" si="80"/>
        <v>#REF!</v>
      </c>
      <c r="H845" s="85" t="e">
        <f t="shared" si="80"/>
        <v>#REF!</v>
      </c>
      <c r="I845" s="85" t="e">
        <f t="shared" si="80"/>
        <v>#REF!</v>
      </c>
      <c r="J845" s="85" t="e">
        <f t="shared" si="80"/>
        <v>#REF!</v>
      </c>
      <c r="K845" s="85" t="e">
        <f t="shared" si="80"/>
        <v>#REF!</v>
      </c>
      <c r="L845" s="85" t="e">
        <f t="shared" si="80"/>
        <v>#REF!</v>
      </c>
      <c r="M845" s="9"/>
      <c r="N845" s="26" t="s">
        <v>45</v>
      </c>
      <c r="O845" s="80" t="e">
        <f>O841+O842+O843+O844</f>
        <v>#REF!</v>
      </c>
      <c r="P845" s="88" t="e">
        <f>P841+P842+P843+P844</f>
        <v>#REF!</v>
      </c>
      <c r="Q845" s="87" t="e">
        <f t="shared" ref="Q845:V845" si="81">Q841+Q842+Q843+Q844</f>
        <v>#REF!</v>
      </c>
      <c r="R845" s="85" t="e">
        <f t="shared" si="81"/>
        <v>#REF!</v>
      </c>
      <c r="S845" s="85" t="e">
        <f t="shared" si="81"/>
        <v>#REF!</v>
      </c>
      <c r="T845" s="85" t="e">
        <f t="shared" si="81"/>
        <v>#REF!</v>
      </c>
      <c r="U845" s="85" t="e">
        <f t="shared" si="81"/>
        <v>#REF!</v>
      </c>
      <c r="V845" s="85" t="e">
        <f t="shared" si="81"/>
        <v>#REF!</v>
      </c>
      <c r="W845" s="85" t="e">
        <f>W841+W842+W843+W844</f>
        <v>#REF!</v>
      </c>
      <c r="X845" s="85" t="e">
        <f>X841+X842+X843+X844</f>
        <v>#REF!</v>
      </c>
      <c r="Z845"/>
      <c r="AA845"/>
      <c r="AB845"/>
      <c r="AC845"/>
      <c r="AD845"/>
      <c r="AE845"/>
      <c r="AF845"/>
      <c r="AG845"/>
      <c r="AH845"/>
      <c r="AI845"/>
      <c r="AJ845"/>
      <c r="AK845"/>
      <c r="AL845"/>
    </row>
    <row r="846" spans="1:38">
      <c r="A846" s="37"/>
      <c r="B846" s="37"/>
      <c r="C846" s="37"/>
      <c r="D846" s="37"/>
      <c r="E846" s="37"/>
      <c r="F846" s="37"/>
      <c r="G846" s="37"/>
      <c r="H846" s="37"/>
      <c r="I846" s="37"/>
      <c r="J846" s="37"/>
      <c r="K846" s="37"/>
      <c r="L846" s="37"/>
      <c r="M846" s="37"/>
      <c r="N846" s="37"/>
      <c r="O846" s="37"/>
      <c r="P846" s="37"/>
      <c r="Q846" s="37"/>
      <c r="R846" s="37"/>
      <c r="S846" s="37"/>
      <c r="T846" s="37"/>
      <c r="U846" s="37"/>
      <c r="V846" s="37"/>
      <c r="W846" s="37"/>
      <c r="X846" s="37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</row>
    <row r="847" spans="1:38">
      <c r="D847" s="29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</row>
    <row r="848" spans="1:38" ht="33.75">
      <c r="A848" s="8"/>
      <c r="B848" s="8"/>
      <c r="C848" s="9"/>
      <c r="D848" s="101" t="s">
        <v>46</v>
      </c>
      <c r="E848" s="101" t="s">
        <v>44</v>
      </c>
      <c r="F848" s="101" t="s">
        <v>43</v>
      </c>
      <c r="G848" s="101" t="s">
        <v>42</v>
      </c>
      <c r="H848" s="101" t="s">
        <v>49</v>
      </c>
      <c r="I848" s="101" t="s">
        <v>47</v>
      </c>
      <c r="J848" s="102" t="s">
        <v>157</v>
      </c>
      <c r="K848" s="102" t="s">
        <v>180</v>
      </c>
      <c r="L848" s="101" t="s">
        <v>48</v>
      </c>
      <c r="M848" s="104"/>
      <c r="N848" s="104"/>
      <c r="O848" s="104"/>
      <c r="P848" s="101" t="s">
        <v>46</v>
      </c>
      <c r="Q848" s="101" t="s">
        <v>44</v>
      </c>
      <c r="R848" s="101" t="s">
        <v>43</v>
      </c>
      <c r="S848" s="101" t="s">
        <v>42</v>
      </c>
      <c r="T848" s="101" t="s">
        <v>49</v>
      </c>
      <c r="U848" s="101" t="s">
        <v>67</v>
      </c>
      <c r="V848" s="102" t="s">
        <v>158</v>
      </c>
      <c r="W848" s="102" t="s">
        <v>181</v>
      </c>
      <c r="X848" s="101" t="s">
        <v>66</v>
      </c>
      <c r="Z848"/>
      <c r="AA848"/>
      <c r="AB848"/>
      <c r="AC848"/>
      <c r="AD848"/>
      <c r="AE848"/>
      <c r="AF848"/>
      <c r="AG848"/>
      <c r="AH848"/>
      <c r="AI848"/>
      <c r="AJ848"/>
      <c r="AK848"/>
      <c r="AL848"/>
    </row>
    <row r="849" spans="1:38">
      <c r="A849" s="8" t="s">
        <v>5</v>
      </c>
      <c r="B849" s="36" t="s">
        <v>50</v>
      </c>
      <c r="C849" s="9"/>
      <c r="D849" s="14" t="e">
        <f t="shared" ref="D849:L849" si="82">D841/$C841</f>
        <v>#REF!</v>
      </c>
      <c r="E849" s="7" t="e">
        <f t="shared" si="82"/>
        <v>#REF!</v>
      </c>
      <c r="F849" s="7" t="e">
        <f t="shared" si="82"/>
        <v>#REF!</v>
      </c>
      <c r="G849" s="7" t="e">
        <f t="shared" si="82"/>
        <v>#REF!</v>
      </c>
      <c r="H849" s="7" t="e">
        <f t="shared" si="82"/>
        <v>#REF!</v>
      </c>
      <c r="I849" s="7" t="e">
        <f t="shared" si="82"/>
        <v>#REF!</v>
      </c>
      <c r="J849" s="7" t="e">
        <f t="shared" si="82"/>
        <v>#REF!</v>
      </c>
      <c r="K849" s="7" t="e">
        <f t="shared" si="82"/>
        <v>#REF!</v>
      </c>
      <c r="L849" s="7" t="e">
        <f t="shared" si="82"/>
        <v>#REF!</v>
      </c>
      <c r="M849" s="8" t="s">
        <v>1</v>
      </c>
      <c r="N849" s="36" t="s">
        <v>50</v>
      </c>
      <c r="O849" s="9"/>
      <c r="P849" s="14" t="e">
        <f t="shared" ref="P849:X849" si="83">P841/$O841</f>
        <v>#REF!</v>
      </c>
      <c r="Q849" s="7" t="e">
        <f t="shared" si="83"/>
        <v>#REF!</v>
      </c>
      <c r="R849" s="7" t="e">
        <f t="shared" si="83"/>
        <v>#REF!</v>
      </c>
      <c r="S849" s="7" t="e">
        <f t="shared" si="83"/>
        <v>#REF!</v>
      </c>
      <c r="T849" s="7" t="e">
        <f t="shared" si="83"/>
        <v>#REF!</v>
      </c>
      <c r="U849" s="7" t="e">
        <f t="shared" si="83"/>
        <v>#REF!</v>
      </c>
      <c r="V849" s="7" t="e">
        <f t="shared" si="83"/>
        <v>#REF!</v>
      </c>
      <c r="W849" s="7" t="e">
        <f t="shared" si="83"/>
        <v>#REF!</v>
      </c>
      <c r="X849" s="7" t="e">
        <f t="shared" si="83"/>
        <v>#REF!</v>
      </c>
      <c r="Z849"/>
      <c r="AA849"/>
      <c r="AB849"/>
      <c r="AC849"/>
      <c r="AD849"/>
      <c r="AE849"/>
      <c r="AF849"/>
      <c r="AG849"/>
      <c r="AH849"/>
      <c r="AI849"/>
      <c r="AJ849"/>
      <c r="AK849"/>
      <c r="AL849"/>
    </row>
    <row r="850" spans="1:38" ht="23.25">
      <c r="A850" s="49" t="s">
        <v>71</v>
      </c>
      <c r="B850" s="36" t="s">
        <v>55</v>
      </c>
      <c r="C850" s="9"/>
      <c r="D850" s="14" t="e">
        <f t="shared" ref="D850:L850" si="84">D842/$C842</f>
        <v>#REF!</v>
      </c>
      <c r="E850" s="7" t="e">
        <f t="shared" si="84"/>
        <v>#REF!</v>
      </c>
      <c r="F850" s="7" t="e">
        <f t="shared" si="84"/>
        <v>#REF!</v>
      </c>
      <c r="G850" s="7" t="e">
        <f t="shared" si="84"/>
        <v>#REF!</v>
      </c>
      <c r="H850" s="7" t="e">
        <f t="shared" si="84"/>
        <v>#REF!</v>
      </c>
      <c r="I850" s="7" t="e">
        <f t="shared" si="84"/>
        <v>#REF!</v>
      </c>
      <c r="J850" s="7" t="e">
        <f t="shared" si="84"/>
        <v>#REF!</v>
      </c>
      <c r="K850" s="7" t="e">
        <f t="shared" si="84"/>
        <v>#REF!</v>
      </c>
      <c r="L850" s="7" t="e">
        <f t="shared" si="84"/>
        <v>#REF!</v>
      </c>
      <c r="M850" s="49" t="s">
        <v>71</v>
      </c>
      <c r="N850" s="36" t="s">
        <v>55</v>
      </c>
      <c r="O850" s="9"/>
      <c r="P850" s="14" t="e">
        <f t="shared" ref="P850:X850" si="85">P842/$O842</f>
        <v>#REF!</v>
      </c>
      <c r="Q850" s="7" t="e">
        <f t="shared" si="85"/>
        <v>#REF!</v>
      </c>
      <c r="R850" s="7" t="e">
        <f t="shared" si="85"/>
        <v>#REF!</v>
      </c>
      <c r="S850" s="7" t="e">
        <f t="shared" si="85"/>
        <v>#REF!</v>
      </c>
      <c r="T850" s="7" t="e">
        <f t="shared" si="85"/>
        <v>#REF!</v>
      </c>
      <c r="U850" s="7" t="e">
        <f t="shared" si="85"/>
        <v>#REF!</v>
      </c>
      <c r="V850" s="7" t="e">
        <f t="shared" si="85"/>
        <v>#REF!</v>
      </c>
      <c r="W850" s="7" t="e">
        <f t="shared" si="85"/>
        <v>#REF!</v>
      </c>
      <c r="X850" s="7" t="e">
        <f t="shared" si="85"/>
        <v>#REF!</v>
      </c>
      <c r="Z850"/>
      <c r="AA850"/>
      <c r="AB850"/>
      <c r="AC850"/>
      <c r="AD850"/>
      <c r="AE850"/>
      <c r="AF850"/>
      <c r="AG850"/>
      <c r="AH850"/>
      <c r="AI850"/>
      <c r="AJ850"/>
      <c r="AK850"/>
      <c r="AL850"/>
    </row>
    <row r="851" spans="1:38">
      <c r="A851" s="8"/>
      <c r="B851" s="36" t="s">
        <v>56</v>
      </c>
      <c r="C851" s="9"/>
      <c r="D851" s="14" t="e">
        <f t="shared" ref="D851:L851" si="86">D843/$C843</f>
        <v>#REF!</v>
      </c>
      <c r="E851" s="7" t="e">
        <f t="shared" si="86"/>
        <v>#REF!</v>
      </c>
      <c r="F851" s="7" t="e">
        <f t="shared" si="86"/>
        <v>#REF!</v>
      </c>
      <c r="G851" s="7" t="e">
        <f t="shared" si="86"/>
        <v>#REF!</v>
      </c>
      <c r="H851" s="7" t="e">
        <f t="shared" si="86"/>
        <v>#REF!</v>
      </c>
      <c r="I851" s="7" t="e">
        <f t="shared" si="86"/>
        <v>#REF!</v>
      </c>
      <c r="J851" s="7" t="e">
        <f t="shared" si="86"/>
        <v>#REF!</v>
      </c>
      <c r="K851" s="7" t="e">
        <f t="shared" si="86"/>
        <v>#REF!</v>
      </c>
      <c r="L851" s="7" t="e">
        <f t="shared" si="86"/>
        <v>#REF!</v>
      </c>
      <c r="M851" s="8"/>
      <c r="N851" s="36" t="s">
        <v>56</v>
      </c>
      <c r="O851" s="9"/>
      <c r="P851" s="14" t="e">
        <f t="shared" ref="P851:X851" si="87">P843/$O843</f>
        <v>#REF!</v>
      </c>
      <c r="Q851" s="7" t="e">
        <f t="shared" si="87"/>
        <v>#REF!</v>
      </c>
      <c r="R851" s="7" t="e">
        <f t="shared" si="87"/>
        <v>#REF!</v>
      </c>
      <c r="S851" s="7" t="e">
        <f t="shared" si="87"/>
        <v>#REF!</v>
      </c>
      <c r="T851" s="7" t="e">
        <f t="shared" si="87"/>
        <v>#REF!</v>
      </c>
      <c r="U851" s="7" t="e">
        <f t="shared" si="87"/>
        <v>#REF!</v>
      </c>
      <c r="V851" s="7" t="e">
        <f t="shared" si="87"/>
        <v>#REF!</v>
      </c>
      <c r="W851" s="7" t="e">
        <f t="shared" si="87"/>
        <v>#REF!</v>
      </c>
      <c r="X851" s="7" t="e">
        <f t="shared" si="87"/>
        <v>#REF!</v>
      </c>
      <c r="Z851"/>
      <c r="AA851"/>
      <c r="AB851"/>
      <c r="AC851"/>
      <c r="AD851"/>
      <c r="AE851"/>
      <c r="AF851"/>
      <c r="AG851"/>
      <c r="AH851"/>
      <c r="AI851"/>
      <c r="AJ851"/>
      <c r="AK851"/>
      <c r="AL851"/>
    </row>
    <row r="852" spans="1:38">
      <c r="A852" s="8"/>
      <c r="B852" s="36" t="s">
        <v>57</v>
      </c>
      <c r="C852" s="9"/>
      <c r="D852" s="14" t="e">
        <f t="shared" ref="D852:L852" si="88">D844/$C844</f>
        <v>#REF!</v>
      </c>
      <c r="E852" s="7" t="e">
        <f t="shared" si="88"/>
        <v>#REF!</v>
      </c>
      <c r="F852" s="7" t="e">
        <f t="shared" si="88"/>
        <v>#REF!</v>
      </c>
      <c r="G852" s="7" t="e">
        <f t="shared" si="88"/>
        <v>#REF!</v>
      </c>
      <c r="H852" s="7" t="e">
        <f t="shared" si="88"/>
        <v>#REF!</v>
      </c>
      <c r="I852" s="7" t="e">
        <f t="shared" si="88"/>
        <v>#REF!</v>
      </c>
      <c r="J852" s="7" t="e">
        <f t="shared" si="88"/>
        <v>#REF!</v>
      </c>
      <c r="K852" s="7" t="e">
        <f t="shared" si="88"/>
        <v>#REF!</v>
      </c>
      <c r="L852" s="7" t="e">
        <f t="shared" si="88"/>
        <v>#REF!</v>
      </c>
      <c r="M852" s="8"/>
      <c r="N852" s="36" t="s">
        <v>57</v>
      </c>
      <c r="O852" s="9"/>
      <c r="P852" s="14" t="e">
        <f t="shared" ref="P852:X852" si="89">P844/$O844</f>
        <v>#REF!</v>
      </c>
      <c r="Q852" s="7" t="e">
        <f t="shared" si="89"/>
        <v>#REF!</v>
      </c>
      <c r="R852" s="7" t="e">
        <f t="shared" si="89"/>
        <v>#REF!</v>
      </c>
      <c r="S852" s="7" t="e">
        <f t="shared" si="89"/>
        <v>#REF!</v>
      </c>
      <c r="T852" s="7" t="e">
        <f t="shared" si="89"/>
        <v>#REF!</v>
      </c>
      <c r="U852" s="7" t="e">
        <f t="shared" si="89"/>
        <v>#REF!</v>
      </c>
      <c r="V852" s="7" t="e">
        <f t="shared" si="89"/>
        <v>#REF!</v>
      </c>
      <c r="W852" s="7" t="e">
        <f t="shared" si="89"/>
        <v>#REF!</v>
      </c>
      <c r="X852" s="7" t="e">
        <f t="shared" si="89"/>
        <v>#REF!</v>
      </c>
      <c r="Z852"/>
      <c r="AA852"/>
      <c r="AB852"/>
      <c r="AC852"/>
      <c r="AD852"/>
      <c r="AE852"/>
      <c r="AF852"/>
      <c r="AG852"/>
      <c r="AH852"/>
      <c r="AI852"/>
      <c r="AJ852"/>
      <c r="AK852"/>
      <c r="AL852"/>
    </row>
    <row r="853" spans="1:38">
      <c r="A853" s="37"/>
      <c r="B853" s="37"/>
      <c r="C853" s="37"/>
      <c r="D853" s="37"/>
      <c r="E853" s="37"/>
      <c r="F853" s="37"/>
      <c r="G853" s="37"/>
      <c r="H853" s="37"/>
      <c r="I853" s="37"/>
      <c r="J853" s="37"/>
      <c r="K853" s="37"/>
      <c r="L853" s="37"/>
      <c r="M853" s="37"/>
      <c r="N853" s="37"/>
      <c r="O853" s="37"/>
      <c r="P853" s="37"/>
      <c r="Q853" s="37"/>
      <c r="R853" s="37"/>
      <c r="S853" s="37"/>
      <c r="T853" s="37"/>
      <c r="U853" s="37"/>
      <c r="V853" s="37"/>
      <c r="W853" s="37"/>
      <c r="X853" s="37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</row>
    <row r="854" spans="1:38">
      <c r="F854" s="29"/>
      <c r="G854" s="29"/>
      <c r="H854" s="29"/>
      <c r="I854" s="29"/>
      <c r="J854" s="29"/>
      <c r="K854" s="29"/>
      <c r="L854" s="29"/>
      <c r="M854" s="29"/>
      <c r="N854" s="29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</row>
    <row r="855" spans="1:38">
      <c r="F855" s="29"/>
      <c r="G855" s="29"/>
      <c r="H855" s="29"/>
      <c r="I855" s="29"/>
      <c r="J855" s="29"/>
      <c r="K855" s="29"/>
      <c r="L855" s="29"/>
      <c r="M855" s="29"/>
      <c r="N855" s="29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</row>
    <row r="856" spans="1:38">
      <c r="F856" s="29"/>
      <c r="G856" s="29"/>
      <c r="H856" s="29"/>
      <c r="I856" s="29"/>
      <c r="J856" s="29"/>
      <c r="K856" s="29"/>
      <c r="L856" s="29"/>
      <c r="M856" s="29"/>
      <c r="N856" s="29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</row>
    <row r="857" spans="1:38">
      <c r="F857" s="29"/>
      <c r="G857" s="29"/>
      <c r="H857" s="29"/>
      <c r="I857" s="29"/>
      <c r="J857" s="29"/>
      <c r="K857" s="29"/>
      <c r="L857" s="29"/>
      <c r="M857" s="29"/>
      <c r="N857" s="29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</row>
    <row r="858" spans="1:38">
      <c r="F858" s="29"/>
      <c r="G858" s="29"/>
      <c r="H858" s="29"/>
      <c r="I858" s="29"/>
      <c r="J858" s="29"/>
      <c r="K858" s="29"/>
      <c r="L858" s="29"/>
      <c r="M858" s="29"/>
      <c r="N858" s="29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</row>
    <row r="859" spans="1:38">
      <c r="F859" s="29"/>
      <c r="G859" s="29"/>
      <c r="H859" s="29"/>
      <c r="I859" s="29"/>
      <c r="J859" s="29"/>
      <c r="K859" s="29"/>
      <c r="L859" s="29"/>
      <c r="M859" s="29"/>
      <c r="N859" s="2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</row>
    <row r="860" spans="1:38">
      <c r="F860" s="29"/>
      <c r="G860" s="29"/>
      <c r="H860" s="29"/>
      <c r="I860" s="29"/>
      <c r="J860" s="29"/>
      <c r="K860" s="29"/>
      <c r="L860" s="29"/>
      <c r="M860" s="29"/>
      <c r="N860" s="29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</row>
    <row r="861" spans="1:38">
      <c r="F861" s="29"/>
      <c r="G861" s="29"/>
      <c r="H861" s="29"/>
      <c r="I861" s="29"/>
      <c r="J861" s="29"/>
      <c r="K861" s="29"/>
      <c r="L861" s="29"/>
      <c r="M861" s="29"/>
      <c r="N861" s="29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</row>
    <row r="862" spans="1:38">
      <c r="F862" s="29"/>
      <c r="G862" s="29"/>
      <c r="H862" s="29"/>
      <c r="I862" s="29"/>
      <c r="J862" s="29"/>
      <c r="K862" s="29"/>
      <c r="L862" s="29"/>
      <c r="M862" s="29"/>
      <c r="N862" s="29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</row>
    <row r="863" spans="1:38">
      <c r="F863" s="29"/>
      <c r="G863" s="29"/>
      <c r="H863" s="29"/>
      <c r="I863" s="29"/>
      <c r="J863" s="29"/>
      <c r="K863" s="29"/>
      <c r="L863" s="29"/>
      <c r="M863" s="29"/>
      <c r="N863" s="29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</row>
    <row r="864" spans="1:38">
      <c r="F864" s="29"/>
      <c r="G864" s="29"/>
      <c r="H864" s="29"/>
      <c r="I864" s="29"/>
      <c r="J864" s="29"/>
      <c r="K864" s="29"/>
      <c r="L864" s="29"/>
      <c r="M864" s="29"/>
      <c r="N864" s="29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</row>
    <row r="865" spans="6:38">
      <c r="F865" s="29"/>
      <c r="G865" s="29"/>
      <c r="H865" s="29"/>
      <c r="I865" s="29"/>
      <c r="J865" s="29"/>
      <c r="K865" s="29"/>
      <c r="L865" s="29"/>
      <c r="M865" s="29"/>
      <c r="N865" s="29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</row>
    <row r="866" spans="6:38">
      <c r="F866" s="29"/>
      <c r="G866" s="29"/>
      <c r="H866" s="29"/>
      <c r="I866" s="29"/>
      <c r="J866" s="29"/>
      <c r="K866" s="29"/>
      <c r="L866" s="29"/>
      <c r="M866" s="29"/>
      <c r="N866" s="29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</row>
    <row r="867" spans="6:38">
      <c r="F867" s="29"/>
      <c r="G867" s="29"/>
      <c r="H867" s="29"/>
      <c r="I867" s="29"/>
      <c r="J867" s="29"/>
      <c r="K867" s="29"/>
      <c r="L867" s="29"/>
      <c r="M867" s="29"/>
      <c r="N867" s="29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</row>
    <row r="868" spans="6:38">
      <c r="F868" s="29"/>
      <c r="G868" s="29"/>
      <c r="H868" s="29"/>
      <c r="I868" s="29"/>
      <c r="J868" s="29"/>
      <c r="K868" s="29"/>
      <c r="L868" s="29"/>
      <c r="M868" s="29"/>
      <c r="N868" s="29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</row>
    <row r="869" spans="6:38">
      <c r="F869" s="29"/>
      <c r="G869" s="29"/>
      <c r="H869" s="29"/>
      <c r="I869" s="29"/>
      <c r="J869" s="29"/>
      <c r="K869" s="29"/>
      <c r="L869" s="29"/>
      <c r="M869" s="29"/>
      <c r="N869" s="2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</row>
    <row r="870" spans="6:38">
      <c r="F870" s="29"/>
      <c r="G870" s="29"/>
      <c r="H870" s="29"/>
      <c r="I870" s="29"/>
      <c r="J870" s="29"/>
      <c r="K870" s="29"/>
      <c r="L870" s="29"/>
      <c r="M870" s="29"/>
      <c r="N870" s="29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</row>
    <row r="871" spans="6:38">
      <c r="F871" s="29"/>
      <c r="G871" s="29"/>
      <c r="H871" s="29"/>
      <c r="I871" s="29"/>
      <c r="J871" s="29"/>
      <c r="K871" s="29"/>
      <c r="L871" s="29"/>
      <c r="M871" s="29"/>
      <c r="N871" s="29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</row>
    <row r="872" spans="6:38">
      <c r="F872" s="29"/>
      <c r="G872" s="29"/>
      <c r="H872" s="29"/>
      <c r="I872" s="29"/>
      <c r="J872" s="29"/>
      <c r="K872" s="29"/>
      <c r="L872" s="29"/>
      <c r="M872" s="29"/>
      <c r="N872" s="29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</row>
    <row r="873" spans="6:38">
      <c r="F873" s="29"/>
      <c r="G873" s="29"/>
      <c r="H873" s="29"/>
      <c r="I873" s="29"/>
      <c r="J873" s="29"/>
      <c r="K873" s="29"/>
      <c r="L873" s="29"/>
      <c r="M873" s="29"/>
      <c r="N873" s="29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</row>
    <row r="874" spans="6:38">
      <c r="F874" s="29"/>
      <c r="G874" s="29"/>
      <c r="H874" s="29"/>
      <c r="I874" s="29"/>
      <c r="J874" s="29"/>
      <c r="K874" s="29"/>
      <c r="L874" s="29"/>
      <c r="M874" s="29"/>
      <c r="N874" s="29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</row>
    <row r="875" spans="6:38">
      <c r="F875" s="29"/>
      <c r="G875" s="29"/>
      <c r="H875" s="29"/>
      <c r="I875" s="29"/>
      <c r="J875" s="29"/>
      <c r="K875" s="29"/>
      <c r="L875" s="29"/>
      <c r="M875" s="29"/>
      <c r="N875" s="29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</row>
    <row r="876" spans="6:38">
      <c r="F876" s="29"/>
      <c r="G876" s="29"/>
      <c r="H876" s="29"/>
      <c r="I876" s="29"/>
      <c r="J876" s="29"/>
      <c r="K876" s="29"/>
      <c r="L876" s="29"/>
      <c r="M876" s="29"/>
      <c r="N876" s="29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</row>
    <row r="877" spans="6:38">
      <c r="F877" s="29"/>
      <c r="G877" s="29"/>
      <c r="H877" s="29"/>
      <c r="I877" s="29"/>
      <c r="J877" s="29"/>
      <c r="K877" s="29"/>
      <c r="L877" s="29"/>
      <c r="M877" s="29"/>
      <c r="N877" s="29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</row>
    <row r="878" spans="6:38">
      <c r="F878" s="29"/>
      <c r="G878" s="29"/>
      <c r="H878" s="29"/>
      <c r="I878" s="29"/>
      <c r="J878" s="29"/>
      <c r="K878" s="29"/>
      <c r="L878" s="29"/>
      <c r="M878" s="29"/>
      <c r="N878" s="29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</row>
    <row r="879" spans="6:38">
      <c r="F879" s="29"/>
      <c r="G879" s="29"/>
      <c r="H879" s="29"/>
      <c r="I879" s="29"/>
      <c r="J879" s="29"/>
      <c r="K879" s="29"/>
      <c r="L879" s="29"/>
      <c r="M879" s="29"/>
      <c r="N879" s="2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</row>
    <row r="880" spans="6:38">
      <c r="F880" s="29"/>
      <c r="G880" s="29"/>
      <c r="H880" s="29"/>
      <c r="I880" s="29"/>
      <c r="J880" s="29"/>
      <c r="K880" s="29"/>
      <c r="L880" s="29"/>
      <c r="M880" s="29"/>
      <c r="N880" s="29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</row>
    <row r="881" spans="1:38">
      <c r="F881" s="29"/>
      <c r="G881" s="29"/>
      <c r="H881" s="29"/>
      <c r="I881" s="29"/>
      <c r="J881" s="29"/>
      <c r="K881" s="29"/>
      <c r="L881" s="29"/>
      <c r="M881" s="29"/>
      <c r="N881" s="29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</row>
    <row r="882" spans="1:38">
      <c r="Z882"/>
      <c r="AA882"/>
      <c r="AB882"/>
      <c r="AC882"/>
      <c r="AD882"/>
      <c r="AE882"/>
      <c r="AF882"/>
      <c r="AG882"/>
      <c r="AH882"/>
      <c r="AI882"/>
      <c r="AJ882"/>
      <c r="AK882"/>
      <c r="AL882"/>
    </row>
    <row r="883" spans="1:38" s="117" customForma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</row>
    <row r="884" spans="1:38" s="117" customFormat="1">
      <c r="Z884"/>
      <c r="AA884"/>
      <c r="AB884"/>
      <c r="AC884"/>
      <c r="AD884"/>
      <c r="AE884"/>
      <c r="AF884"/>
      <c r="AG884"/>
      <c r="AH884"/>
      <c r="AI884"/>
      <c r="AJ884"/>
      <c r="AK884"/>
      <c r="AL884"/>
    </row>
    <row r="885" spans="1:38" s="117" customFormat="1">
      <c r="Z885"/>
      <c r="AA885"/>
      <c r="AB885"/>
      <c r="AC885"/>
      <c r="AD885"/>
      <c r="AE885"/>
      <c r="AF885"/>
      <c r="AG885"/>
      <c r="AH885"/>
      <c r="AI885"/>
      <c r="AJ885"/>
      <c r="AK885"/>
      <c r="AL885"/>
    </row>
    <row r="886" spans="1:38">
      <c r="A886" s="117"/>
      <c r="B886" s="117"/>
      <c r="C886" s="117"/>
      <c r="D886" s="117"/>
      <c r="E886" s="117"/>
      <c r="F886" s="117"/>
      <c r="G886" s="117"/>
      <c r="H886" s="117"/>
      <c r="I886" s="117"/>
      <c r="J886" s="117"/>
      <c r="K886" s="117"/>
      <c r="L886" s="117"/>
      <c r="M886" s="117"/>
      <c r="N886" s="117"/>
      <c r="O886" s="117"/>
      <c r="P886" s="117"/>
      <c r="Q886" s="117"/>
      <c r="R886" s="117"/>
      <c r="S886" s="117"/>
      <c r="T886" s="117"/>
      <c r="U886" s="117"/>
      <c r="V886" s="117"/>
      <c r="W886" s="117"/>
      <c r="X886" s="117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</row>
    <row r="887" spans="1:38" ht="23.25">
      <c r="A887" s="408" t="s">
        <v>154</v>
      </c>
      <c r="B887" s="408"/>
      <c r="C887" s="408"/>
      <c r="D887" s="408"/>
      <c r="E887" s="408"/>
      <c r="F887" s="408"/>
      <c r="G887" s="408"/>
      <c r="H887" s="408"/>
      <c r="I887" s="408"/>
      <c r="J887" s="408"/>
      <c r="K887" s="408"/>
      <c r="L887" s="408"/>
      <c r="M887" s="408" t="s">
        <v>155</v>
      </c>
      <c r="N887" s="408"/>
      <c r="O887" s="408"/>
      <c r="P887" s="408"/>
      <c r="Q887" s="408"/>
      <c r="R887" s="408"/>
      <c r="S887" s="408"/>
      <c r="T887" s="408"/>
      <c r="U887" s="408"/>
      <c r="V887" s="408"/>
      <c r="W887" s="408"/>
      <c r="X887" s="408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</row>
    <row r="888" spans="1:38">
      <c r="A888" s="139"/>
      <c r="B888" s="139"/>
      <c r="C888" s="139"/>
      <c r="D888" s="139"/>
      <c r="E888" s="139"/>
      <c r="F888" s="139"/>
      <c r="G888" s="139" t="s">
        <v>214</v>
      </c>
      <c r="H888" s="139"/>
      <c r="I888" s="139"/>
      <c r="J888" s="139"/>
      <c r="K888" s="139"/>
      <c r="L888" s="139"/>
      <c r="M888" s="139"/>
      <c r="N888" s="139"/>
      <c r="O888" s="139"/>
      <c r="P888" s="139"/>
      <c r="Q888" s="139"/>
      <c r="R888" s="139"/>
      <c r="S888" s="139" t="s">
        <v>215</v>
      </c>
      <c r="T888" s="139"/>
      <c r="U888" s="139"/>
      <c r="V888" s="139"/>
      <c r="W888" s="139"/>
      <c r="X888" s="139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</row>
    <row r="889" spans="1:38" ht="34.5" thickBot="1">
      <c r="A889" s="9"/>
      <c r="B889" s="9"/>
      <c r="C889" s="107" t="s">
        <v>45</v>
      </c>
      <c r="D889" s="101" t="s">
        <v>46</v>
      </c>
      <c r="E889" s="101" t="s">
        <v>44</v>
      </c>
      <c r="F889" s="101" t="s">
        <v>43</v>
      </c>
      <c r="G889" s="101" t="s">
        <v>42</v>
      </c>
      <c r="H889" s="101" t="s">
        <v>49</v>
      </c>
      <c r="I889" s="101" t="s">
        <v>47</v>
      </c>
      <c r="J889" s="102" t="s">
        <v>157</v>
      </c>
      <c r="K889" s="102" t="s">
        <v>180</v>
      </c>
      <c r="L889" s="101" t="s">
        <v>48</v>
      </c>
      <c r="M889" s="104"/>
      <c r="N889" s="104"/>
      <c r="O889" s="107" t="s">
        <v>45</v>
      </c>
      <c r="P889" s="101" t="s">
        <v>46</v>
      </c>
      <c r="Q889" s="101" t="s">
        <v>44</v>
      </c>
      <c r="R889" s="101" t="s">
        <v>43</v>
      </c>
      <c r="S889" s="101" t="s">
        <v>42</v>
      </c>
      <c r="T889" s="101" t="s">
        <v>49</v>
      </c>
      <c r="U889" s="101" t="s">
        <v>67</v>
      </c>
      <c r="V889" s="102" t="s">
        <v>158</v>
      </c>
      <c r="W889" s="102" t="s">
        <v>181</v>
      </c>
      <c r="X889" s="101" t="s">
        <v>66</v>
      </c>
      <c r="Z889"/>
      <c r="AA889"/>
      <c r="AB889"/>
      <c r="AC889"/>
      <c r="AD889"/>
      <c r="AE889"/>
      <c r="AF889"/>
      <c r="AG889"/>
      <c r="AH889"/>
      <c r="AI889"/>
      <c r="AJ889"/>
      <c r="AK889"/>
      <c r="AL889"/>
    </row>
    <row r="890" spans="1:38">
      <c r="A890" s="8" t="s">
        <v>5</v>
      </c>
      <c r="B890" s="36" t="s">
        <v>52</v>
      </c>
      <c r="C890" s="81">
        <f>E890+F890+G890+H890+I890+L890+J890+K890</f>
        <v>0</v>
      </c>
      <c r="D890" s="9">
        <f>E890+F890+G890+H890</f>
        <v>0</v>
      </c>
      <c r="E890" s="1">
        <f>Algandmed!AH144</f>
        <v>0</v>
      </c>
      <c r="F890" s="1">
        <f>Algandmed!AI144</f>
        <v>0</v>
      </c>
      <c r="G890" s="1">
        <f>Algandmed!AJ144</f>
        <v>0</v>
      </c>
      <c r="H890" s="1">
        <f>Algandmed!AK144</f>
        <v>0</v>
      </c>
      <c r="I890" s="1">
        <f>Algandmed!AL144</f>
        <v>0</v>
      </c>
      <c r="J890" s="77">
        <f>Algandmed!AO144</f>
        <v>0</v>
      </c>
      <c r="K890" s="120">
        <f>Algandmed!AM144</f>
        <v>0</v>
      </c>
      <c r="L890" s="1">
        <f>Algandmed!AP144</f>
        <v>0</v>
      </c>
      <c r="M890" s="8" t="s">
        <v>1</v>
      </c>
      <c r="N890" s="36" t="s">
        <v>52</v>
      </c>
      <c r="O890" s="81">
        <f>Q890+R890+S890+T890+U890+X890+V890+W890</f>
        <v>0</v>
      </c>
      <c r="P890" s="9">
        <f>Q890+R890+S890+T890</f>
        <v>0</v>
      </c>
      <c r="Q890" s="1">
        <f>Algandmed!AW144</f>
        <v>0</v>
      </c>
      <c r="R890" s="1">
        <f>Algandmed!AX144</f>
        <v>0</v>
      </c>
      <c r="S890" s="1">
        <f>Algandmed!AY144</f>
        <v>0</v>
      </c>
      <c r="T890" s="1">
        <f>Algandmed!AZ144</f>
        <v>0</v>
      </c>
      <c r="U890" s="1">
        <f>Algandmed!BA144</f>
        <v>0</v>
      </c>
      <c r="V890" s="77">
        <f>Algandmed!BD144</f>
        <v>0</v>
      </c>
      <c r="W890" s="120">
        <f>Algandmed!BB144</f>
        <v>0</v>
      </c>
      <c r="X890" s="1">
        <f>Algandmed!BE144</f>
        <v>0</v>
      </c>
      <c r="Z890"/>
      <c r="AA890"/>
      <c r="AB890"/>
      <c r="AC890"/>
      <c r="AD890"/>
      <c r="AE890"/>
      <c r="AF890"/>
      <c r="AG890"/>
      <c r="AH890"/>
      <c r="AI890"/>
      <c r="AJ890"/>
      <c r="AK890"/>
      <c r="AL890"/>
    </row>
    <row r="891" spans="1:38" ht="23.25">
      <c r="A891" s="49" t="s">
        <v>71</v>
      </c>
      <c r="B891" s="36" t="s">
        <v>53</v>
      </c>
      <c r="C891" s="83">
        <f>E891+F891+G891+H891+I891+L891+J891+K891</f>
        <v>0</v>
      </c>
      <c r="D891" s="9">
        <f>E891+F891+G891+H891</f>
        <v>0</v>
      </c>
      <c r="E891" s="1">
        <f>Algandmed!AH145</f>
        <v>0</v>
      </c>
      <c r="F891" s="1">
        <f>Algandmed!AI145</f>
        <v>0</v>
      </c>
      <c r="G891" s="1">
        <f>Algandmed!AJ145</f>
        <v>0</v>
      </c>
      <c r="H891" s="1">
        <f>Algandmed!AK145</f>
        <v>0</v>
      </c>
      <c r="I891" s="1">
        <f>Algandmed!AL145</f>
        <v>0</v>
      </c>
      <c r="J891" s="77">
        <f>Algandmed!AO145</f>
        <v>0</v>
      </c>
      <c r="K891" s="120">
        <f>Algandmed!AM145</f>
        <v>0</v>
      </c>
      <c r="L891" s="1">
        <f>Algandmed!AP145</f>
        <v>0</v>
      </c>
      <c r="M891" s="49" t="s">
        <v>71</v>
      </c>
      <c r="N891" s="36" t="s">
        <v>53</v>
      </c>
      <c r="O891" s="83">
        <f>Q891+R891+S891+T891+U891+X891+V891+W891</f>
        <v>0</v>
      </c>
      <c r="P891" s="9">
        <f>Q891+R891+S891+T891</f>
        <v>0</v>
      </c>
      <c r="Q891" s="1">
        <f>Algandmed!AW145</f>
        <v>0</v>
      </c>
      <c r="R891" s="1">
        <f>Algandmed!AX145</f>
        <v>0</v>
      </c>
      <c r="S891" s="1">
        <f>Algandmed!AY145</f>
        <v>0</v>
      </c>
      <c r="T891" s="1">
        <f>Algandmed!AZ145</f>
        <v>0</v>
      </c>
      <c r="U891" s="1">
        <f>Algandmed!BA145</f>
        <v>0</v>
      </c>
      <c r="V891" s="77">
        <f>Algandmed!BD145</f>
        <v>0</v>
      </c>
      <c r="W891" s="120">
        <f>Algandmed!BB145</f>
        <v>0</v>
      </c>
      <c r="X891" s="1">
        <f>Algandmed!BE145</f>
        <v>0</v>
      </c>
      <c r="Z891"/>
      <c r="AA891"/>
      <c r="AB891"/>
      <c r="AC891"/>
      <c r="AD891"/>
      <c r="AE891"/>
      <c r="AF891"/>
      <c r="AG891"/>
      <c r="AH891"/>
      <c r="AI891"/>
      <c r="AJ891"/>
      <c r="AK891"/>
      <c r="AL891"/>
    </row>
    <row r="892" spans="1:38" ht="15.75" thickBot="1">
      <c r="A892" s="9"/>
      <c r="B892" s="48" t="s">
        <v>54</v>
      </c>
      <c r="C892" s="80">
        <f>E892+F892+G892+H892+I892+L892+J892+K892</f>
        <v>0</v>
      </c>
      <c r="D892" s="9">
        <f>E892+F892+G892+H892</f>
        <v>0</v>
      </c>
      <c r="E892" s="1">
        <f>Algandmed!AH146</f>
        <v>0</v>
      </c>
      <c r="F892" s="1">
        <f>Algandmed!AI146</f>
        <v>0</v>
      </c>
      <c r="G892" s="1">
        <f>Algandmed!AJ146</f>
        <v>0</v>
      </c>
      <c r="H892" s="1">
        <f>Algandmed!AK146</f>
        <v>0</v>
      </c>
      <c r="I892" s="1">
        <f>Algandmed!AL146</f>
        <v>0</v>
      </c>
      <c r="J892" s="77">
        <f>Algandmed!AO146</f>
        <v>0</v>
      </c>
      <c r="K892" s="120">
        <f>Algandmed!AM146</f>
        <v>0</v>
      </c>
      <c r="L892" s="1">
        <f>Algandmed!AP146</f>
        <v>0</v>
      </c>
      <c r="M892" s="8"/>
      <c r="N892" s="48" t="s">
        <v>54</v>
      </c>
      <c r="O892" s="80">
        <f>Q892+R892+S892+T892+U892+X892+V892+W892</f>
        <v>0</v>
      </c>
      <c r="P892" s="9">
        <f>Q892+R892+S892+T892</f>
        <v>0</v>
      </c>
      <c r="Q892" s="1">
        <f>Algandmed!AW146</f>
        <v>0</v>
      </c>
      <c r="R892" s="1">
        <f>Algandmed!AX146</f>
        <v>0</v>
      </c>
      <c r="S892" s="1">
        <f>Algandmed!AY146</f>
        <v>0</v>
      </c>
      <c r="T892" s="1">
        <f>Algandmed!AZ146</f>
        <v>0</v>
      </c>
      <c r="U892" s="1">
        <f>Algandmed!BA146</f>
        <v>0</v>
      </c>
      <c r="V892" s="77">
        <f>Algandmed!BD146</f>
        <v>0</v>
      </c>
      <c r="W892" s="120">
        <f>Algandmed!BB146</f>
        <v>0</v>
      </c>
      <c r="X892" s="1">
        <f>Algandmed!BE146</f>
        <v>0</v>
      </c>
      <c r="Z892"/>
      <c r="AA892"/>
      <c r="AB892"/>
      <c r="AC892"/>
      <c r="AD892"/>
      <c r="AE892"/>
      <c r="AF892"/>
      <c r="AG892"/>
      <c r="AH892"/>
      <c r="AI892"/>
      <c r="AJ892"/>
      <c r="AK892"/>
      <c r="AL892"/>
    </row>
    <row r="893" spans="1:38">
      <c r="A893" s="17"/>
      <c r="B893" s="17"/>
      <c r="C893" s="17"/>
      <c r="D893" s="10"/>
      <c r="E893" s="17"/>
      <c r="F893" s="17"/>
      <c r="G893" s="17"/>
      <c r="H893" s="17"/>
      <c r="I893" s="17"/>
      <c r="J893" s="10"/>
      <c r="K893" s="10"/>
      <c r="L893" s="10"/>
      <c r="M893" s="17"/>
      <c r="N893" s="17"/>
      <c r="O893" s="17"/>
      <c r="P893" s="10"/>
      <c r="Q893" s="17"/>
      <c r="R893" s="17"/>
      <c r="S893" s="17"/>
      <c r="T893" s="17"/>
      <c r="U893" s="17"/>
      <c r="V893" s="10"/>
      <c r="W893" s="10"/>
      <c r="X893" s="10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</row>
    <row r="894" spans="1:38">
      <c r="A894" s="29"/>
      <c r="B894" s="29"/>
      <c r="C894" s="29"/>
      <c r="E894" s="29"/>
      <c r="F894" s="29"/>
      <c r="G894" s="29"/>
      <c r="H894" s="29"/>
      <c r="I894" s="29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</row>
    <row r="895" spans="1:38" ht="34.5">
      <c r="A895" s="30"/>
      <c r="B895" s="30"/>
      <c r="C895" s="9"/>
      <c r="D895" s="21" t="s">
        <v>46</v>
      </c>
      <c r="E895" s="21" t="s">
        <v>44</v>
      </c>
      <c r="F895" s="21" t="s">
        <v>43</v>
      </c>
      <c r="G895" s="21" t="s">
        <v>42</v>
      </c>
      <c r="H895" s="21" t="s">
        <v>49</v>
      </c>
      <c r="I895" s="21" t="s">
        <v>47</v>
      </c>
      <c r="J895" s="11" t="s">
        <v>157</v>
      </c>
      <c r="K895" s="102" t="s">
        <v>180</v>
      </c>
      <c r="L895" s="21" t="s">
        <v>48</v>
      </c>
      <c r="M895" s="55"/>
      <c r="N895" s="55"/>
      <c r="O895" s="53"/>
      <c r="P895" s="21" t="s">
        <v>46</v>
      </c>
      <c r="Q895" s="21" t="s">
        <v>44</v>
      </c>
      <c r="R895" s="21" t="s">
        <v>43</v>
      </c>
      <c r="S895" s="21" t="s">
        <v>42</v>
      </c>
      <c r="T895" s="21" t="s">
        <v>49</v>
      </c>
      <c r="U895" s="21" t="s">
        <v>67</v>
      </c>
      <c r="V895" s="11" t="s">
        <v>158</v>
      </c>
      <c r="W895" s="102" t="s">
        <v>181</v>
      </c>
      <c r="X895" s="21" t="s">
        <v>66</v>
      </c>
      <c r="Z895"/>
      <c r="AA895"/>
      <c r="AB895"/>
      <c r="AC895"/>
      <c r="AD895"/>
      <c r="AE895"/>
      <c r="AF895"/>
      <c r="AG895"/>
      <c r="AH895"/>
      <c r="AI895"/>
      <c r="AJ895"/>
      <c r="AK895"/>
      <c r="AL895"/>
    </row>
    <row r="896" spans="1:38">
      <c r="A896" s="30" t="s">
        <v>5</v>
      </c>
      <c r="B896" s="36" t="s">
        <v>52</v>
      </c>
      <c r="C896" s="9"/>
      <c r="D896" s="14" t="e">
        <f t="shared" ref="D896:L896" si="90">D890/$C890</f>
        <v>#DIV/0!</v>
      </c>
      <c r="E896" s="7" t="e">
        <f t="shared" si="90"/>
        <v>#DIV/0!</v>
      </c>
      <c r="F896" s="7" t="e">
        <f t="shared" si="90"/>
        <v>#DIV/0!</v>
      </c>
      <c r="G896" s="7" t="e">
        <f t="shared" si="90"/>
        <v>#DIV/0!</v>
      </c>
      <c r="H896" s="7" t="e">
        <f t="shared" si="90"/>
        <v>#DIV/0!</v>
      </c>
      <c r="I896" s="7" t="e">
        <f t="shared" si="90"/>
        <v>#DIV/0!</v>
      </c>
      <c r="J896" s="7" t="e">
        <f t="shared" si="90"/>
        <v>#DIV/0!</v>
      </c>
      <c r="K896" s="7" t="e">
        <f t="shared" si="90"/>
        <v>#DIV/0!</v>
      </c>
      <c r="L896" s="7" t="e">
        <f t="shared" si="90"/>
        <v>#DIV/0!</v>
      </c>
      <c r="M896" s="30" t="s">
        <v>1</v>
      </c>
      <c r="N896" s="36" t="s">
        <v>52</v>
      </c>
      <c r="O896" s="9"/>
      <c r="P896" s="14" t="e">
        <f t="shared" ref="P896:X896" si="91">P890/$O890</f>
        <v>#DIV/0!</v>
      </c>
      <c r="Q896" s="7" t="e">
        <f t="shared" si="91"/>
        <v>#DIV/0!</v>
      </c>
      <c r="R896" s="7" t="e">
        <f t="shared" si="91"/>
        <v>#DIV/0!</v>
      </c>
      <c r="S896" s="7" t="e">
        <f t="shared" si="91"/>
        <v>#DIV/0!</v>
      </c>
      <c r="T896" s="7" t="e">
        <f t="shared" si="91"/>
        <v>#DIV/0!</v>
      </c>
      <c r="U896" s="7" t="e">
        <f t="shared" si="91"/>
        <v>#DIV/0!</v>
      </c>
      <c r="V896" s="7" t="e">
        <f t="shared" si="91"/>
        <v>#DIV/0!</v>
      </c>
      <c r="W896" s="7" t="e">
        <f t="shared" si="91"/>
        <v>#DIV/0!</v>
      </c>
      <c r="X896" s="7" t="e">
        <f t="shared" si="91"/>
        <v>#DIV/0!</v>
      </c>
      <c r="Z896"/>
      <c r="AA896"/>
      <c r="AB896"/>
      <c r="AC896"/>
      <c r="AD896"/>
      <c r="AE896"/>
      <c r="AF896"/>
      <c r="AG896"/>
      <c r="AH896"/>
      <c r="AI896"/>
      <c r="AJ896"/>
      <c r="AK896"/>
      <c r="AL896"/>
    </row>
    <row r="897" spans="1:38" ht="23.25">
      <c r="A897" s="49" t="s">
        <v>71</v>
      </c>
      <c r="B897" s="36" t="s">
        <v>53</v>
      </c>
      <c r="C897" s="9"/>
      <c r="D897" s="14" t="e">
        <f t="shared" ref="D897:L897" si="92">D891/$C891</f>
        <v>#DIV/0!</v>
      </c>
      <c r="E897" s="7" t="e">
        <f t="shared" si="92"/>
        <v>#DIV/0!</v>
      </c>
      <c r="F897" s="7" t="e">
        <f t="shared" si="92"/>
        <v>#DIV/0!</v>
      </c>
      <c r="G897" s="7" t="e">
        <f t="shared" si="92"/>
        <v>#DIV/0!</v>
      </c>
      <c r="H897" s="7" t="e">
        <f t="shared" si="92"/>
        <v>#DIV/0!</v>
      </c>
      <c r="I897" s="7" t="e">
        <f t="shared" si="92"/>
        <v>#DIV/0!</v>
      </c>
      <c r="J897" s="7" t="e">
        <f t="shared" si="92"/>
        <v>#DIV/0!</v>
      </c>
      <c r="K897" s="7" t="e">
        <f t="shared" si="92"/>
        <v>#DIV/0!</v>
      </c>
      <c r="L897" s="7" t="e">
        <f t="shared" si="92"/>
        <v>#DIV/0!</v>
      </c>
      <c r="M897" s="49" t="s">
        <v>71</v>
      </c>
      <c r="N897" s="36" t="s">
        <v>53</v>
      </c>
      <c r="O897" s="9"/>
      <c r="P897" s="14" t="e">
        <f t="shared" ref="P897:X897" si="93">P891/$O891</f>
        <v>#DIV/0!</v>
      </c>
      <c r="Q897" s="7" t="e">
        <f t="shared" si="93"/>
        <v>#DIV/0!</v>
      </c>
      <c r="R897" s="7" t="e">
        <f t="shared" si="93"/>
        <v>#DIV/0!</v>
      </c>
      <c r="S897" s="7" t="e">
        <f t="shared" si="93"/>
        <v>#DIV/0!</v>
      </c>
      <c r="T897" s="7" t="e">
        <f t="shared" si="93"/>
        <v>#DIV/0!</v>
      </c>
      <c r="U897" s="7" t="e">
        <f t="shared" si="93"/>
        <v>#DIV/0!</v>
      </c>
      <c r="V897" s="7" t="e">
        <f t="shared" si="93"/>
        <v>#DIV/0!</v>
      </c>
      <c r="W897" s="7" t="e">
        <f t="shared" si="93"/>
        <v>#DIV/0!</v>
      </c>
      <c r="X897" s="7" t="e">
        <f t="shared" si="93"/>
        <v>#DIV/0!</v>
      </c>
      <c r="Z897"/>
      <c r="AA897"/>
      <c r="AB897"/>
      <c r="AC897"/>
      <c r="AD897"/>
      <c r="AE897"/>
      <c r="AF897"/>
      <c r="AG897"/>
      <c r="AH897"/>
      <c r="AI897"/>
      <c r="AJ897"/>
      <c r="AK897"/>
      <c r="AL897"/>
    </row>
    <row r="898" spans="1:38">
      <c r="A898" s="30"/>
      <c r="B898" s="48" t="s">
        <v>54</v>
      </c>
      <c r="C898" s="9"/>
      <c r="D898" s="14" t="e">
        <f t="shared" ref="D898:L898" si="94">D892/$C892</f>
        <v>#DIV/0!</v>
      </c>
      <c r="E898" s="7" t="e">
        <f t="shared" si="94"/>
        <v>#DIV/0!</v>
      </c>
      <c r="F898" s="7" t="e">
        <f t="shared" si="94"/>
        <v>#DIV/0!</v>
      </c>
      <c r="G898" s="7" t="e">
        <f t="shared" si="94"/>
        <v>#DIV/0!</v>
      </c>
      <c r="H898" s="7" t="e">
        <f t="shared" si="94"/>
        <v>#DIV/0!</v>
      </c>
      <c r="I898" s="7" t="e">
        <f t="shared" si="94"/>
        <v>#DIV/0!</v>
      </c>
      <c r="J898" s="7" t="e">
        <f t="shared" si="94"/>
        <v>#DIV/0!</v>
      </c>
      <c r="K898" s="7" t="e">
        <f t="shared" si="94"/>
        <v>#DIV/0!</v>
      </c>
      <c r="L898" s="7" t="e">
        <f t="shared" si="94"/>
        <v>#DIV/0!</v>
      </c>
      <c r="M898" s="30"/>
      <c r="N898" s="48" t="s">
        <v>54</v>
      </c>
      <c r="O898" s="9"/>
      <c r="P898" s="14" t="e">
        <f t="shared" ref="P898:X898" si="95">P892/$O892</f>
        <v>#DIV/0!</v>
      </c>
      <c r="Q898" s="7" t="e">
        <f t="shared" si="95"/>
        <v>#DIV/0!</v>
      </c>
      <c r="R898" s="7" t="e">
        <f t="shared" si="95"/>
        <v>#DIV/0!</v>
      </c>
      <c r="S898" s="7" t="e">
        <f t="shared" si="95"/>
        <v>#DIV/0!</v>
      </c>
      <c r="T898" s="7" t="e">
        <f t="shared" si="95"/>
        <v>#DIV/0!</v>
      </c>
      <c r="U898" s="7" t="e">
        <f t="shared" si="95"/>
        <v>#DIV/0!</v>
      </c>
      <c r="V898" s="7" t="e">
        <f t="shared" si="95"/>
        <v>#DIV/0!</v>
      </c>
      <c r="W898" s="7" t="e">
        <f t="shared" si="95"/>
        <v>#DIV/0!</v>
      </c>
      <c r="X898" s="7" t="e">
        <f t="shared" si="95"/>
        <v>#DIV/0!</v>
      </c>
      <c r="Z898"/>
      <c r="AA898"/>
      <c r="AB898"/>
      <c r="AC898"/>
      <c r="AD898"/>
      <c r="AE898"/>
      <c r="AF898"/>
      <c r="AG898"/>
      <c r="AH898"/>
      <c r="AI898"/>
      <c r="AJ898"/>
      <c r="AK898"/>
      <c r="AL898"/>
    </row>
    <row r="899" spans="1:38">
      <c r="A899" s="17"/>
      <c r="B899" s="17"/>
      <c r="C899" s="10"/>
      <c r="D899" s="10"/>
      <c r="E899" s="17"/>
      <c r="F899" s="17"/>
      <c r="G899" s="17"/>
      <c r="H899" s="17"/>
      <c r="I899" s="17"/>
      <c r="J899" s="10"/>
      <c r="K899" s="10"/>
      <c r="L899" s="10"/>
      <c r="M899" s="17"/>
      <c r="N899" s="17"/>
      <c r="O899" s="10"/>
      <c r="P899" s="10"/>
      <c r="Q899" s="17"/>
      <c r="R899" s="17"/>
      <c r="S899" s="17"/>
      <c r="T899" s="17"/>
      <c r="U899" s="17"/>
      <c r="V899" s="10"/>
      <c r="W899" s="10"/>
      <c r="X899" s="10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</row>
    <row r="900" spans="1:38">
      <c r="F900" s="29"/>
      <c r="G900" s="29"/>
      <c r="H900" s="29"/>
      <c r="I900" s="29"/>
      <c r="J900" s="29"/>
      <c r="K900" s="29"/>
      <c r="L900" s="29"/>
      <c r="M900" s="29"/>
      <c r="N900" s="29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</row>
    <row r="901" spans="1:38">
      <c r="F901" s="29"/>
      <c r="G901" s="29"/>
      <c r="H901" s="29"/>
      <c r="I901" s="29"/>
      <c r="J901" s="29"/>
      <c r="K901" s="29"/>
      <c r="L901" s="29"/>
      <c r="M901" s="29"/>
      <c r="N901" s="29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</row>
    <row r="902" spans="1:38">
      <c r="F902" s="29"/>
      <c r="G902" s="29"/>
      <c r="H902" s="29"/>
      <c r="I902" s="29"/>
      <c r="J902" s="29"/>
      <c r="K902" s="29"/>
      <c r="L902" s="29"/>
      <c r="M902" s="29"/>
      <c r="N902" s="29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</row>
    <row r="903" spans="1:38">
      <c r="F903" s="29"/>
      <c r="G903" s="29"/>
      <c r="H903" s="29"/>
      <c r="I903" s="29"/>
      <c r="J903" s="29"/>
      <c r="K903" s="29"/>
      <c r="L903" s="29"/>
      <c r="M903" s="29"/>
      <c r="N903" s="29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</row>
    <row r="904" spans="1:38">
      <c r="F904" s="29"/>
      <c r="G904" s="29"/>
      <c r="H904" s="29"/>
      <c r="I904" s="29"/>
      <c r="J904" s="29"/>
      <c r="K904" s="29"/>
      <c r="L904" s="29"/>
      <c r="M904" s="29"/>
      <c r="N904" s="29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</row>
    <row r="905" spans="1:38">
      <c r="F905" s="29"/>
      <c r="G905" s="29"/>
      <c r="H905" s="29"/>
      <c r="I905" s="29"/>
      <c r="J905" s="29"/>
      <c r="K905" s="29"/>
      <c r="L905" s="29"/>
      <c r="M905" s="29"/>
      <c r="N905" s="29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</row>
    <row r="906" spans="1:38">
      <c r="F906" s="29"/>
      <c r="G906" s="29"/>
      <c r="H906" s="29"/>
      <c r="I906" s="29"/>
      <c r="J906" s="29"/>
      <c r="K906" s="29"/>
      <c r="L906" s="29"/>
      <c r="M906" s="29"/>
      <c r="N906" s="29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</row>
    <row r="907" spans="1:38">
      <c r="F907" s="29"/>
      <c r="G907" s="29"/>
      <c r="H907" s="29"/>
      <c r="I907" s="29"/>
      <c r="J907" s="29"/>
      <c r="K907" s="29"/>
      <c r="L907" s="29"/>
      <c r="M907" s="29"/>
      <c r="N907" s="29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</row>
    <row r="908" spans="1:38">
      <c r="F908" s="29"/>
      <c r="G908" s="29"/>
      <c r="H908" s="29"/>
      <c r="I908" s="29"/>
      <c r="J908" s="29"/>
      <c r="K908" s="29"/>
      <c r="L908" s="29"/>
      <c r="M908" s="29"/>
      <c r="N908" s="29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</row>
    <row r="909" spans="1:38">
      <c r="F909" s="29"/>
      <c r="G909" s="29"/>
      <c r="H909" s="29"/>
      <c r="I909" s="29"/>
      <c r="J909" s="29"/>
      <c r="K909" s="29"/>
      <c r="L909" s="29"/>
      <c r="M909" s="29"/>
      <c r="N909" s="2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</row>
    <row r="910" spans="1:38">
      <c r="F910" s="29"/>
      <c r="G910" s="29"/>
      <c r="H910" s="29"/>
      <c r="I910" s="29"/>
      <c r="J910" s="29"/>
      <c r="K910" s="29"/>
      <c r="L910" s="29"/>
      <c r="M910" s="29"/>
      <c r="N910" s="29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</row>
    <row r="911" spans="1:38">
      <c r="F911" s="29"/>
      <c r="G911" s="29"/>
      <c r="H911" s="29"/>
      <c r="I911" s="29"/>
      <c r="J911" s="29"/>
      <c r="K911" s="29"/>
      <c r="L911" s="29"/>
      <c r="M911" s="29"/>
      <c r="N911" s="29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</row>
    <row r="912" spans="1:38">
      <c r="F912" s="29"/>
      <c r="G912" s="29"/>
      <c r="H912" s="29"/>
      <c r="I912" s="29"/>
      <c r="J912" s="29"/>
      <c r="K912" s="29"/>
      <c r="L912" s="29"/>
      <c r="M912" s="29"/>
      <c r="N912" s="29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</row>
    <row r="913" spans="6:38">
      <c r="F913" s="29"/>
      <c r="G913" s="29"/>
      <c r="H913" s="29"/>
      <c r="I913" s="29"/>
      <c r="J913" s="29"/>
      <c r="K913" s="29"/>
      <c r="L913" s="29"/>
      <c r="M913" s="29"/>
      <c r="N913" s="29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</row>
    <row r="914" spans="6:38">
      <c r="F914" s="29"/>
      <c r="G914" s="29"/>
      <c r="H914" s="29"/>
      <c r="I914" s="29"/>
      <c r="J914" s="29"/>
      <c r="K914" s="29"/>
      <c r="L914" s="29"/>
      <c r="M914" s="29"/>
      <c r="N914" s="29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</row>
    <row r="915" spans="6:38">
      <c r="F915" s="29"/>
      <c r="G915" s="29"/>
      <c r="H915" s="29"/>
      <c r="I915" s="29"/>
      <c r="J915" s="29"/>
      <c r="K915" s="29"/>
      <c r="L915" s="29"/>
      <c r="M915" s="29"/>
      <c r="N915" s="29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</row>
    <row r="916" spans="6:38">
      <c r="F916" s="29"/>
      <c r="G916" s="29"/>
      <c r="H916" s="29"/>
      <c r="I916" s="29"/>
      <c r="J916" s="29"/>
      <c r="K916" s="29"/>
      <c r="L916" s="29"/>
      <c r="M916" s="29"/>
      <c r="N916" s="29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</row>
    <row r="917" spans="6:38">
      <c r="F917" s="29"/>
      <c r="G917" s="29"/>
      <c r="H917" s="29"/>
      <c r="I917" s="29"/>
      <c r="J917" s="29"/>
      <c r="K917" s="29"/>
      <c r="L917" s="29"/>
      <c r="M917" s="29"/>
      <c r="N917" s="29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</row>
    <row r="918" spans="6:38">
      <c r="F918" s="29"/>
      <c r="G918" s="29"/>
      <c r="H918" s="29"/>
      <c r="I918" s="29"/>
      <c r="J918" s="29"/>
      <c r="K918" s="29"/>
      <c r="L918" s="29"/>
      <c r="M918" s="29"/>
      <c r="N918" s="29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</row>
    <row r="919" spans="6:38">
      <c r="F919" s="29"/>
      <c r="G919" s="29"/>
      <c r="H919" s="29"/>
      <c r="I919" s="29"/>
      <c r="J919" s="29"/>
      <c r="K919" s="29"/>
      <c r="L919" s="29"/>
      <c r="M919" s="29"/>
      <c r="N919" s="2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</row>
    <row r="920" spans="6:38">
      <c r="F920" s="29"/>
      <c r="G920" s="29"/>
      <c r="H920" s="29"/>
      <c r="I920" s="29"/>
      <c r="J920" s="29"/>
      <c r="K920" s="29"/>
      <c r="L920" s="29"/>
      <c r="M920" s="29"/>
      <c r="N920" s="29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</row>
    <row r="921" spans="6:38">
      <c r="F921" s="29"/>
      <c r="G921" s="29"/>
      <c r="H921" s="29"/>
      <c r="I921" s="29"/>
      <c r="J921" s="29"/>
      <c r="K921" s="29"/>
      <c r="L921" s="29"/>
      <c r="M921" s="29"/>
      <c r="N921" s="29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</row>
    <row r="922" spans="6:38">
      <c r="F922" s="29"/>
      <c r="G922" s="29"/>
      <c r="H922" s="29"/>
      <c r="I922" s="29"/>
      <c r="J922" s="29"/>
      <c r="K922" s="29"/>
      <c r="L922" s="29"/>
      <c r="M922" s="29"/>
      <c r="N922" s="29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</row>
    <row r="923" spans="6:38">
      <c r="F923" s="29"/>
      <c r="G923" s="29"/>
      <c r="H923" s="29"/>
      <c r="I923" s="29"/>
      <c r="J923" s="29"/>
      <c r="K923" s="29"/>
      <c r="L923" s="29"/>
      <c r="M923" s="29"/>
      <c r="N923" s="29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</row>
    <row r="924" spans="6:38">
      <c r="F924" s="29"/>
      <c r="G924" s="29"/>
      <c r="H924" s="29"/>
      <c r="I924" s="29"/>
      <c r="J924" s="29"/>
      <c r="K924" s="29"/>
      <c r="L924" s="29"/>
      <c r="M924" s="29"/>
      <c r="N924" s="29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</row>
    <row r="925" spans="6:38">
      <c r="F925" s="29"/>
      <c r="G925" s="29"/>
      <c r="H925" s="29"/>
      <c r="I925" s="29"/>
      <c r="J925" s="29"/>
      <c r="K925" s="29"/>
      <c r="L925" s="29"/>
      <c r="M925" s="29"/>
      <c r="N925" s="29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</row>
    <row r="926" spans="6:38">
      <c r="F926" s="29"/>
      <c r="G926" s="29"/>
      <c r="H926" s="29"/>
      <c r="I926" s="29"/>
      <c r="J926" s="29"/>
      <c r="K926" s="29"/>
      <c r="L926" s="29"/>
      <c r="M926" s="29"/>
      <c r="N926" s="29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</row>
    <row r="927" spans="6:38">
      <c r="F927" s="29"/>
      <c r="G927" s="29"/>
      <c r="H927" s="29"/>
      <c r="I927" s="29"/>
      <c r="J927" s="29"/>
      <c r="K927" s="29"/>
      <c r="L927" s="29"/>
      <c r="M927" s="29"/>
      <c r="N927" s="29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</row>
    <row r="928" spans="6:38">
      <c r="F928" s="29"/>
      <c r="G928" s="29"/>
      <c r="H928" s="29"/>
      <c r="I928" s="29"/>
      <c r="J928" s="29"/>
      <c r="K928" s="29"/>
      <c r="L928" s="29"/>
      <c r="M928" s="29"/>
      <c r="N928" s="29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</row>
    <row r="929" spans="1:38">
      <c r="F929" s="29"/>
      <c r="G929" s="29"/>
      <c r="H929" s="29"/>
      <c r="I929" s="29"/>
      <c r="J929" s="29"/>
      <c r="K929" s="29"/>
      <c r="L929" s="29"/>
      <c r="M929" s="29"/>
      <c r="N929" s="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</row>
    <row r="930" spans="1:38">
      <c r="F930" s="29"/>
      <c r="G930" s="29"/>
      <c r="H930" s="29"/>
      <c r="I930" s="29"/>
      <c r="J930" s="29"/>
      <c r="K930" s="29"/>
      <c r="L930" s="29"/>
      <c r="M930" s="29"/>
      <c r="N930" s="29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</row>
    <row r="931" spans="1:38">
      <c r="F931" s="29"/>
      <c r="G931" s="29"/>
      <c r="H931" s="29"/>
      <c r="I931" s="29"/>
      <c r="J931" s="29"/>
      <c r="K931" s="29"/>
      <c r="L931" s="29"/>
      <c r="M931" s="29"/>
      <c r="N931" s="29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</row>
    <row r="932" spans="1:38" s="117" customFormat="1">
      <c r="A932" s="1"/>
      <c r="B932" s="1"/>
      <c r="C932" s="1"/>
      <c r="D932" s="1"/>
      <c r="E932" s="1"/>
      <c r="F932" s="51"/>
      <c r="G932" s="51"/>
      <c r="H932" s="51"/>
      <c r="I932" s="51"/>
      <c r="J932" s="51"/>
      <c r="K932" s="51"/>
      <c r="L932" s="51"/>
      <c r="M932" s="51"/>
      <c r="N932" s="51"/>
      <c r="O932" s="1"/>
      <c r="P932" s="1"/>
      <c r="Q932" s="1"/>
      <c r="R932" s="1"/>
      <c r="S932" s="1"/>
      <c r="T932" s="1"/>
      <c r="U932" s="1"/>
      <c r="V932" s="1"/>
      <c r="W932" s="1"/>
      <c r="X932" s="1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</row>
    <row r="933" spans="1:38" s="117" customFormat="1">
      <c r="F933" s="115"/>
      <c r="G933" s="115"/>
      <c r="H933" s="115"/>
      <c r="I933" s="115"/>
      <c r="J933" s="115"/>
      <c r="K933" s="115"/>
      <c r="L933" s="115"/>
      <c r="M933" s="115"/>
      <c r="N933" s="115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</row>
    <row r="934" spans="1:38" s="117" customFormat="1">
      <c r="F934" s="115"/>
      <c r="G934" s="115"/>
      <c r="H934" s="115"/>
      <c r="I934" s="115"/>
      <c r="J934" s="115"/>
      <c r="K934" s="115"/>
      <c r="L934" s="115"/>
      <c r="M934" s="115"/>
      <c r="N934" s="115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</row>
    <row r="935" spans="1:38">
      <c r="A935" s="117"/>
      <c r="B935" s="117"/>
      <c r="C935" s="117"/>
      <c r="D935" s="117"/>
      <c r="E935" s="117"/>
      <c r="F935" s="115"/>
      <c r="G935" s="115"/>
      <c r="H935" s="115"/>
      <c r="I935" s="115"/>
      <c r="J935" s="115"/>
      <c r="K935" s="115"/>
      <c r="L935" s="115"/>
      <c r="M935" s="115"/>
      <c r="N935" s="115"/>
      <c r="O935" s="117"/>
      <c r="P935" s="117"/>
      <c r="Q935" s="117"/>
      <c r="R935" s="117"/>
      <c r="S935" s="117"/>
      <c r="T935" s="117"/>
      <c r="U935" s="117"/>
      <c r="V935" s="117"/>
      <c r="W935" s="117"/>
      <c r="X935" s="117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</row>
    <row r="936" spans="1:38" ht="23.25">
      <c r="A936" s="408" t="s">
        <v>161</v>
      </c>
      <c r="B936" s="408"/>
      <c r="C936" s="408"/>
      <c r="D936" s="408"/>
      <c r="E936" s="408"/>
      <c r="F936" s="408"/>
      <c r="G936" s="408"/>
      <c r="H936" s="408"/>
      <c r="I936" s="408"/>
      <c r="J936" s="408"/>
      <c r="K936" s="408"/>
      <c r="N936" s="408" t="s">
        <v>162</v>
      </c>
      <c r="O936" s="408"/>
      <c r="P936" s="408"/>
      <c r="Q936" s="408"/>
      <c r="R936" s="408"/>
      <c r="S936" s="408"/>
      <c r="T936" s="408"/>
      <c r="U936" s="408"/>
      <c r="V936" s="408"/>
      <c r="W936" s="7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</row>
    <row r="937" spans="1:38">
      <c r="A937" s="139"/>
      <c r="B937" s="139"/>
      <c r="C937" s="139"/>
      <c r="D937" s="139"/>
      <c r="E937" s="139"/>
      <c r="F937" s="139" t="s">
        <v>216</v>
      </c>
      <c r="G937" s="139"/>
      <c r="H937" s="139"/>
      <c r="I937" s="139"/>
      <c r="J937" s="139"/>
      <c r="K937" s="139"/>
      <c r="L937" s="139"/>
      <c r="M937" s="139"/>
      <c r="N937" s="139"/>
      <c r="O937" s="139"/>
      <c r="P937" s="139"/>
      <c r="Q937" s="139"/>
      <c r="R937" s="139"/>
      <c r="S937" s="139" t="s">
        <v>217</v>
      </c>
      <c r="T937" s="139"/>
      <c r="U937" s="139"/>
      <c r="V937" s="139"/>
      <c r="W937" s="139"/>
      <c r="X937" s="139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</row>
    <row r="938" spans="1:38" ht="34.5" thickBot="1">
      <c r="A938" s="8"/>
      <c r="B938" s="8"/>
      <c r="C938" s="107" t="s">
        <v>45</v>
      </c>
      <c r="D938" s="101" t="s">
        <v>46</v>
      </c>
      <c r="E938" s="101" t="s">
        <v>44</v>
      </c>
      <c r="F938" s="101" t="s">
        <v>43</v>
      </c>
      <c r="G938" s="101" t="s">
        <v>42</v>
      </c>
      <c r="H938" s="101" t="s">
        <v>49</v>
      </c>
      <c r="I938" s="101" t="s">
        <v>47</v>
      </c>
      <c r="J938" s="102" t="s">
        <v>157</v>
      </c>
      <c r="K938" s="102" t="s">
        <v>180</v>
      </c>
      <c r="L938" s="101" t="s">
        <v>48</v>
      </c>
      <c r="M938" s="104"/>
      <c r="N938" s="104"/>
      <c r="O938" s="107" t="s">
        <v>45</v>
      </c>
      <c r="P938" s="101" t="s">
        <v>46</v>
      </c>
      <c r="Q938" s="101" t="s">
        <v>44</v>
      </c>
      <c r="R938" s="101" t="s">
        <v>43</v>
      </c>
      <c r="S938" s="101" t="s">
        <v>42</v>
      </c>
      <c r="T938" s="101" t="s">
        <v>49</v>
      </c>
      <c r="U938" s="101" t="s">
        <v>67</v>
      </c>
      <c r="V938" s="102" t="s">
        <v>158</v>
      </c>
      <c r="W938" s="102" t="s">
        <v>181</v>
      </c>
      <c r="X938" s="101" t="s">
        <v>66</v>
      </c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</row>
    <row r="939" spans="1:38" ht="15.75" thickBot="1">
      <c r="A939" s="8" t="s">
        <v>5</v>
      </c>
      <c r="B939" s="36" t="s">
        <v>69</v>
      </c>
      <c r="C939" s="82">
        <f>L939+J939+I939+H939+G939+F939+E939+K939</f>
        <v>15</v>
      </c>
      <c r="D939" s="9">
        <f>E939+F939+G939+H939</f>
        <v>0</v>
      </c>
      <c r="E939" s="31">
        <f>Algandmed!AG86</f>
        <v>0</v>
      </c>
      <c r="F939" s="31">
        <f>Algandmed!AH86</f>
        <v>0</v>
      </c>
      <c r="G939" s="31">
        <f>Algandmed!AI86</f>
        <v>0</v>
      </c>
      <c r="H939" s="31">
        <f>Algandmed!AJ86</f>
        <v>0</v>
      </c>
      <c r="I939" s="31">
        <f>Algandmed!AK86</f>
        <v>1</v>
      </c>
      <c r="J939" s="31">
        <f>Algandmed!AN86</f>
        <v>4</v>
      </c>
      <c r="K939" s="31">
        <f>Algandmed!AL86</f>
        <v>0</v>
      </c>
      <c r="L939" s="31">
        <f>Algandmed!AO86</f>
        <v>10</v>
      </c>
      <c r="M939" s="8" t="s">
        <v>1</v>
      </c>
      <c r="N939" s="36" t="s">
        <v>69</v>
      </c>
      <c r="O939" s="82">
        <f>Q939+R939+S939+T939+U939+X939+V939+W939</f>
        <v>12</v>
      </c>
      <c r="P939" s="9">
        <f>Q939+R939+S939+T939</f>
        <v>2</v>
      </c>
      <c r="Q939" s="31">
        <f>Algandmed!AV86</f>
        <v>0</v>
      </c>
      <c r="R939" s="31">
        <f>Algandmed!AW86</f>
        <v>1</v>
      </c>
      <c r="S939" s="31">
        <f>Algandmed!AX86</f>
        <v>1</v>
      </c>
      <c r="T939" s="31">
        <f>Algandmed!AY86</f>
        <v>0</v>
      </c>
      <c r="U939" s="31">
        <f>Algandmed!AZ86</f>
        <v>4</v>
      </c>
      <c r="V939" s="31">
        <f>Algandmed!BC86</f>
        <v>0</v>
      </c>
      <c r="W939" s="31">
        <f>Algandmed!BA86</f>
        <v>0</v>
      </c>
      <c r="X939" s="31">
        <f>Algandmed!BD86</f>
        <v>6</v>
      </c>
      <c r="Z939"/>
      <c r="AA939"/>
      <c r="AB939"/>
      <c r="AC939"/>
      <c r="AD939"/>
      <c r="AE939"/>
      <c r="AF939"/>
      <c r="AG939"/>
      <c r="AH939"/>
      <c r="AI939"/>
      <c r="AJ939"/>
      <c r="AK939"/>
      <c r="AL939"/>
    </row>
    <row r="940" spans="1:38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</row>
    <row r="941" spans="1:38">
      <c r="Z941"/>
      <c r="AA941"/>
      <c r="AB941"/>
      <c r="AC941"/>
      <c r="AD941"/>
      <c r="AE941"/>
      <c r="AF941"/>
      <c r="AG941"/>
      <c r="AH941"/>
      <c r="AI941"/>
      <c r="AJ941"/>
      <c r="AK941"/>
      <c r="AL941"/>
    </row>
    <row r="942" spans="1:38" ht="33.75">
      <c r="A942" s="8"/>
      <c r="B942" s="8"/>
      <c r="C942" s="53"/>
      <c r="D942" s="101" t="s">
        <v>46</v>
      </c>
      <c r="E942" s="101" t="s">
        <v>44</v>
      </c>
      <c r="F942" s="101" t="s">
        <v>43</v>
      </c>
      <c r="G942" s="101" t="s">
        <v>42</v>
      </c>
      <c r="H942" s="101" t="s">
        <v>49</v>
      </c>
      <c r="I942" s="101" t="s">
        <v>47</v>
      </c>
      <c r="J942" s="101" t="s">
        <v>157</v>
      </c>
      <c r="K942" s="102" t="s">
        <v>180</v>
      </c>
      <c r="L942" s="101" t="s">
        <v>48</v>
      </c>
      <c r="M942" s="104"/>
      <c r="N942" s="104"/>
      <c r="O942" s="104"/>
      <c r="P942" s="101" t="s">
        <v>46</v>
      </c>
      <c r="Q942" s="101" t="s">
        <v>44</v>
      </c>
      <c r="R942" s="101" t="s">
        <v>43</v>
      </c>
      <c r="S942" s="101" t="s">
        <v>42</v>
      </c>
      <c r="T942" s="101" t="s">
        <v>49</v>
      </c>
      <c r="U942" s="101" t="s">
        <v>67</v>
      </c>
      <c r="V942" s="101" t="s">
        <v>158</v>
      </c>
      <c r="W942" s="102" t="s">
        <v>181</v>
      </c>
      <c r="X942" s="101" t="s">
        <v>66</v>
      </c>
      <c r="Z942"/>
      <c r="AA942"/>
      <c r="AB942"/>
      <c r="AC942"/>
      <c r="AD942"/>
      <c r="AE942"/>
      <c r="AF942"/>
      <c r="AG942"/>
      <c r="AH942"/>
      <c r="AI942"/>
      <c r="AJ942"/>
      <c r="AK942"/>
      <c r="AL942"/>
    </row>
    <row r="943" spans="1:38">
      <c r="A943" s="8" t="s">
        <v>5</v>
      </c>
      <c r="B943" s="36" t="s">
        <v>69</v>
      </c>
      <c r="C943" s="9"/>
      <c r="D943" s="46">
        <f t="shared" ref="D943:L943" si="96">D939/$C939</f>
        <v>0</v>
      </c>
      <c r="E943" s="50">
        <f t="shared" si="96"/>
        <v>0</v>
      </c>
      <c r="F943" s="50">
        <f t="shared" si="96"/>
        <v>0</v>
      </c>
      <c r="G943" s="50">
        <f t="shared" si="96"/>
        <v>0</v>
      </c>
      <c r="H943" s="50">
        <f t="shared" si="96"/>
        <v>0</v>
      </c>
      <c r="I943" s="50">
        <f t="shared" si="96"/>
        <v>6.6666666666666666E-2</v>
      </c>
      <c r="J943" s="50">
        <f t="shared" si="96"/>
        <v>0.26666666666666666</v>
      </c>
      <c r="K943" s="50">
        <f t="shared" si="96"/>
        <v>0</v>
      </c>
      <c r="L943" s="50">
        <f t="shared" si="96"/>
        <v>0.66666666666666663</v>
      </c>
      <c r="M943" s="8" t="s">
        <v>1</v>
      </c>
      <c r="N943" s="36" t="s">
        <v>69</v>
      </c>
      <c r="O943" s="9"/>
      <c r="P943" s="46">
        <f t="shared" ref="P943:X943" si="97">P939/$O939</f>
        <v>0.16666666666666666</v>
      </c>
      <c r="Q943" s="50">
        <f t="shared" si="97"/>
        <v>0</v>
      </c>
      <c r="R943" s="50">
        <f t="shared" si="97"/>
        <v>8.3333333333333329E-2</v>
      </c>
      <c r="S943" s="50">
        <f t="shared" si="97"/>
        <v>8.3333333333333329E-2</v>
      </c>
      <c r="T943" s="50">
        <f t="shared" si="97"/>
        <v>0</v>
      </c>
      <c r="U943" s="50">
        <f t="shared" si="97"/>
        <v>0.33333333333333331</v>
      </c>
      <c r="V943" s="50">
        <f t="shared" si="97"/>
        <v>0</v>
      </c>
      <c r="W943" s="50">
        <f t="shared" si="97"/>
        <v>0</v>
      </c>
      <c r="X943" s="50">
        <f t="shared" si="97"/>
        <v>0.5</v>
      </c>
      <c r="Z943"/>
      <c r="AA943"/>
      <c r="AB943"/>
      <c r="AC943"/>
      <c r="AD943"/>
      <c r="AE943"/>
      <c r="AF943"/>
      <c r="AG943"/>
      <c r="AH943"/>
      <c r="AI943"/>
      <c r="AJ943"/>
      <c r="AK943"/>
      <c r="AL943"/>
    </row>
    <row r="944" spans="1:38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</row>
    <row r="945" spans="26:38">
      <c r="Z945"/>
      <c r="AA945"/>
      <c r="AB945"/>
      <c r="AC945"/>
      <c r="AD945"/>
      <c r="AE945"/>
      <c r="AF945"/>
      <c r="AG945"/>
      <c r="AH945"/>
      <c r="AI945"/>
      <c r="AJ945"/>
      <c r="AK945"/>
      <c r="AL945"/>
    </row>
    <row r="946" spans="26:38">
      <c r="Z946"/>
      <c r="AA946"/>
      <c r="AB946"/>
      <c r="AC946"/>
      <c r="AD946"/>
      <c r="AE946"/>
      <c r="AF946"/>
      <c r="AG946"/>
      <c r="AH946"/>
      <c r="AI946"/>
      <c r="AJ946"/>
      <c r="AK946"/>
      <c r="AL946"/>
    </row>
    <row r="947" spans="26:38">
      <c r="Z947"/>
      <c r="AA947"/>
      <c r="AB947"/>
      <c r="AC947"/>
      <c r="AD947"/>
      <c r="AE947"/>
      <c r="AF947"/>
      <c r="AG947"/>
      <c r="AH947"/>
      <c r="AI947"/>
      <c r="AJ947"/>
      <c r="AK947"/>
      <c r="AL947"/>
    </row>
    <row r="948" spans="26:38">
      <c r="Z948"/>
      <c r="AA948"/>
      <c r="AB948"/>
      <c r="AC948"/>
      <c r="AD948"/>
      <c r="AE948"/>
      <c r="AF948"/>
      <c r="AG948"/>
      <c r="AH948"/>
      <c r="AI948"/>
      <c r="AJ948"/>
      <c r="AK948"/>
      <c r="AL948"/>
    </row>
    <row r="949" spans="26:38">
      <c r="Z949"/>
      <c r="AA949"/>
      <c r="AB949"/>
      <c r="AC949"/>
      <c r="AD949"/>
      <c r="AE949"/>
      <c r="AF949"/>
      <c r="AG949"/>
      <c r="AH949"/>
      <c r="AI949"/>
      <c r="AJ949"/>
      <c r="AK949"/>
      <c r="AL949"/>
    </row>
    <row r="950" spans="26:38">
      <c r="Z950"/>
      <c r="AA950"/>
      <c r="AB950"/>
      <c r="AC950"/>
      <c r="AD950"/>
      <c r="AE950"/>
      <c r="AF950"/>
      <c r="AG950"/>
      <c r="AH950"/>
      <c r="AI950"/>
      <c r="AJ950"/>
      <c r="AK950"/>
      <c r="AL950"/>
    </row>
    <row r="951" spans="26:38">
      <c r="Z951"/>
      <c r="AA951"/>
      <c r="AB951"/>
      <c r="AC951"/>
      <c r="AD951"/>
      <c r="AE951"/>
      <c r="AF951"/>
      <c r="AG951"/>
      <c r="AH951"/>
      <c r="AI951"/>
      <c r="AJ951"/>
      <c r="AK951"/>
      <c r="AL951"/>
    </row>
    <row r="952" spans="26:38">
      <c r="Z952"/>
      <c r="AA952"/>
      <c r="AB952"/>
      <c r="AC952"/>
      <c r="AD952"/>
      <c r="AE952"/>
      <c r="AF952"/>
      <c r="AG952"/>
      <c r="AH952"/>
      <c r="AI952"/>
      <c r="AJ952"/>
      <c r="AK952"/>
      <c r="AL952"/>
    </row>
    <row r="953" spans="26:38">
      <c r="Z953"/>
      <c r="AA953"/>
      <c r="AB953"/>
      <c r="AC953"/>
      <c r="AD953"/>
      <c r="AE953"/>
      <c r="AF953"/>
      <c r="AG953"/>
      <c r="AH953"/>
      <c r="AI953"/>
      <c r="AJ953"/>
      <c r="AK953"/>
      <c r="AL953"/>
    </row>
    <row r="954" spans="26:38">
      <c r="Z954"/>
      <c r="AA954"/>
      <c r="AB954"/>
      <c r="AC954"/>
      <c r="AD954"/>
      <c r="AE954"/>
      <c r="AF954"/>
      <c r="AG954"/>
      <c r="AH954"/>
      <c r="AI954"/>
      <c r="AJ954"/>
      <c r="AK954"/>
      <c r="AL954"/>
    </row>
    <row r="955" spans="26:38">
      <c r="Z955"/>
      <c r="AA955"/>
      <c r="AB955"/>
      <c r="AC955"/>
      <c r="AD955"/>
      <c r="AE955"/>
      <c r="AF955"/>
      <c r="AG955"/>
      <c r="AH955"/>
      <c r="AI955"/>
      <c r="AJ955"/>
      <c r="AK955"/>
      <c r="AL955"/>
    </row>
    <row r="956" spans="26:38">
      <c r="Z956"/>
      <c r="AA956"/>
      <c r="AB956"/>
      <c r="AC956"/>
      <c r="AD956"/>
      <c r="AE956"/>
      <c r="AF956"/>
      <c r="AG956"/>
      <c r="AH956"/>
      <c r="AI956"/>
      <c r="AJ956"/>
      <c r="AK956"/>
      <c r="AL956"/>
    </row>
    <row r="957" spans="26:38">
      <c r="Z957"/>
      <c r="AA957"/>
      <c r="AB957"/>
      <c r="AC957"/>
      <c r="AD957"/>
      <c r="AE957"/>
      <c r="AF957"/>
      <c r="AG957"/>
      <c r="AH957"/>
      <c r="AI957"/>
      <c r="AJ957"/>
      <c r="AK957"/>
      <c r="AL957"/>
    </row>
    <row r="958" spans="26:38">
      <c r="Z958"/>
      <c r="AA958"/>
      <c r="AB958"/>
      <c r="AC958"/>
      <c r="AD958"/>
      <c r="AE958"/>
      <c r="AF958"/>
      <c r="AG958"/>
      <c r="AH958"/>
      <c r="AI958"/>
      <c r="AJ958"/>
      <c r="AK958"/>
      <c r="AL958"/>
    </row>
    <row r="959" spans="26:38">
      <c r="Z959"/>
      <c r="AA959"/>
      <c r="AB959"/>
      <c r="AC959"/>
      <c r="AD959"/>
      <c r="AE959"/>
      <c r="AF959"/>
      <c r="AG959"/>
      <c r="AH959"/>
      <c r="AI959"/>
      <c r="AJ959"/>
      <c r="AK959"/>
      <c r="AL959"/>
    </row>
    <row r="960" spans="26:38">
      <c r="Z960"/>
      <c r="AA960"/>
      <c r="AB960"/>
      <c r="AC960"/>
      <c r="AD960"/>
      <c r="AE960"/>
      <c r="AF960"/>
      <c r="AG960"/>
      <c r="AH960"/>
      <c r="AI960"/>
      <c r="AJ960"/>
      <c r="AK960"/>
      <c r="AL960"/>
    </row>
    <row r="961" spans="26:38">
      <c r="Z961"/>
      <c r="AA961"/>
      <c r="AB961"/>
      <c r="AC961"/>
      <c r="AD961"/>
      <c r="AE961"/>
      <c r="AF961"/>
      <c r="AG961"/>
      <c r="AH961"/>
      <c r="AI961"/>
      <c r="AJ961"/>
      <c r="AK961"/>
      <c r="AL961"/>
    </row>
    <row r="962" spans="26:38">
      <c r="Z962"/>
      <c r="AA962"/>
      <c r="AB962"/>
      <c r="AC962"/>
      <c r="AD962"/>
      <c r="AE962"/>
      <c r="AF962"/>
      <c r="AG962"/>
      <c r="AH962"/>
      <c r="AI962"/>
      <c r="AJ962"/>
      <c r="AK962"/>
      <c r="AL962"/>
    </row>
    <row r="963" spans="26:38">
      <c r="Z963"/>
      <c r="AA963"/>
      <c r="AB963"/>
      <c r="AC963"/>
      <c r="AD963"/>
      <c r="AE963"/>
      <c r="AF963"/>
      <c r="AG963"/>
      <c r="AH963"/>
      <c r="AI963"/>
      <c r="AJ963"/>
      <c r="AK963"/>
      <c r="AL963"/>
    </row>
    <row r="964" spans="26:38">
      <c r="Z964"/>
      <c r="AA964"/>
      <c r="AB964"/>
      <c r="AC964"/>
      <c r="AD964"/>
      <c r="AE964"/>
      <c r="AF964"/>
      <c r="AG964"/>
      <c r="AH964"/>
      <c r="AI964"/>
      <c r="AJ964"/>
      <c r="AK964"/>
      <c r="AL964"/>
    </row>
    <row r="965" spans="26:38">
      <c r="Z965"/>
      <c r="AA965"/>
      <c r="AB965"/>
      <c r="AC965"/>
      <c r="AD965"/>
      <c r="AE965"/>
      <c r="AF965"/>
      <c r="AG965"/>
      <c r="AH965"/>
      <c r="AI965"/>
      <c r="AJ965"/>
      <c r="AK965"/>
      <c r="AL965"/>
    </row>
    <row r="966" spans="26:38">
      <c r="Z966"/>
      <c r="AA966"/>
      <c r="AB966"/>
      <c r="AC966"/>
      <c r="AD966"/>
      <c r="AE966"/>
      <c r="AF966"/>
      <c r="AG966"/>
      <c r="AH966"/>
      <c r="AI966"/>
      <c r="AJ966"/>
      <c r="AK966"/>
      <c r="AL966"/>
    </row>
    <row r="967" spans="26:38">
      <c r="Z967"/>
      <c r="AA967"/>
      <c r="AB967"/>
      <c r="AC967"/>
      <c r="AD967"/>
      <c r="AE967"/>
      <c r="AF967"/>
      <c r="AG967"/>
      <c r="AH967"/>
      <c r="AI967"/>
      <c r="AJ967"/>
      <c r="AK967"/>
      <c r="AL967"/>
    </row>
    <row r="968" spans="26:38">
      <c r="Z968"/>
      <c r="AA968"/>
      <c r="AB968"/>
      <c r="AC968"/>
      <c r="AD968"/>
      <c r="AE968"/>
      <c r="AF968"/>
      <c r="AG968"/>
      <c r="AH968"/>
      <c r="AI968"/>
      <c r="AJ968"/>
      <c r="AK968"/>
      <c r="AL968"/>
    </row>
    <row r="969" spans="26:38">
      <c r="Z969"/>
      <c r="AA969"/>
      <c r="AB969"/>
      <c r="AC969"/>
      <c r="AD969"/>
      <c r="AE969"/>
      <c r="AF969"/>
      <c r="AG969"/>
      <c r="AH969"/>
      <c r="AI969"/>
      <c r="AJ969"/>
      <c r="AK969"/>
      <c r="AL969"/>
    </row>
    <row r="970" spans="26:38">
      <c r="Z970"/>
      <c r="AA970"/>
      <c r="AB970"/>
      <c r="AC970"/>
      <c r="AD970"/>
      <c r="AE970"/>
      <c r="AF970"/>
      <c r="AG970"/>
      <c r="AH970"/>
      <c r="AI970"/>
      <c r="AJ970"/>
      <c r="AK970"/>
      <c r="AL970"/>
    </row>
    <row r="971" spans="26:38">
      <c r="Z971"/>
      <c r="AA971"/>
      <c r="AB971"/>
      <c r="AC971"/>
      <c r="AD971"/>
      <c r="AE971"/>
      <c r="AF971"/>
      <c r="AG971"/>
      <c r="AH971"/>
      <c r="AI971"/>
      <c r="AJ971"/>
      <c r="AK971"/>
      <c r="AL971"/>
    </row>
    <row r="972" spans="26:38">
      <c r="Z972"/>
      <c r="AA972"/>
      <c r="AB972"/>
      <c r="AC972"/>
      <c r="AD972"/>
      <c r="AE972"/>
      <c r="AF972"/>
      <c r="AG972"/>
      <c r="AH972"/>
      <c r="AI972"/>
      <c r="AJ972"/>
      <c r="AK972"/>
      <c r="AL972"/>
    </row>
    <row r="973" spans="26:38">
      <c r="Z973"/>
      <c r="AA973"/>
      <c r="AB973"/>
      <c r="AC973"/>
      <c r="AD973"/>
      <c r="AE973"/>
      <c r="AF973"/>
      <c r="AG973"/>
      <c r="AH973"/>
      <c r="AI973"/>
      <c r="AJ973"/>
      <c r="AK973"/>
      <c r="AL973"/>
    </row>
    <row r="974" spans="26:38">
      <c r="Z974"/>
      <c r="AA974"/>
      <c r="AB974"/>
      <c r="AC974"/>
      <c r="AD974"/>
      <c r="AE974"/>
      <c r="AF974"/>
      <c r="AG974"/>
      <c r="AH974"/>
      <c r="AI974"/>
      <c r="AJ974"/>
      <c r="AK974"/>
      <c r="AL974"/>
    </row>
    <row r="975" spans="26:38">
      <c r="Z975"/>
      <c r="AA975"/>
      <c r="AB975"/>
      <c r="AC975"/>
      <c r="AD975"/>
      <c r="AE975"/>
      <c r="AF975"/>
      <c r="AG975"/>
      <c r="AH975"/>
      <c r="AI975"/>
      <c r="AJ975"/>
      <c r="AK975"/>
      <c r="AL975"/>
    </row>
    <row r="976" spans="26:38">
      <c r="Z976"/>
      <c r="AA976"/>
      <c r="AB976"/>
      <c r="AC976"/>
      <c r="AD976"/>
      <c r="AE976"/>
      <c r="AF976"/>
      <c r="AG976"/>
      <c r="AH976"/>
      <c r="AI976"/>
      <c r="AJ976"/>
      <c r="AK976"/>
      <c r="AL976"/>
    </row>
    <row r="977" spans="1:38">
      <c r="Z977"/>
      <c r="AA977"/>
      <c r="AB977"/>
      <c r="AC977"/>
      <c r="AD977"/>
      <c r="AE977"/>
      <c r="AF977"/>
      <c r="AG977"/>
      <c r="AH977"/>
      <c r="AI977"/>
      <c r="AJ977"/>
      <c r="AK977"/>
      <c r="AL977"/>
    </row>
    <row r="978" spans="1:38">
      <c r="Z978"/>
      <c r="AA978"/>
      <c r="AB978"/>
      <c r="AC978"/>
      <c r="AD978"/>
      <c r="AE978"/>
      <c r="AF978"/>
      <c r="AG978"/>
      <c r="AH978"/>
      <c r="AI978"/>
      <c r="AJ978"/>
      <c r="AK978"/>
      <c r="AL978"/>
    </row>
    <row r="979" spans="1:38">
      <c r="Z979"/>
      <c r="AA979"/>
      <c r="AB979"/>
      <c r="AC979"/>
      <c r="AD979"/>
      <c r="AE979"/>
      <c r="AF979"/>
      <c r="AG979"/>
      <c r="AH979"/>
      <c r="AI979"/>
      <c r="AJ979"/>
      <c r="AK979"/>
      <c r="AL979"/>
    </row>
    <row r="980" spans="1:38">
      <c r="Z980"/>
      <c r="AA980"/>
      <c r="AB980"/>
      <c r="AC980"/>
      <c r="AD980"/>
      <c r="AE980"/>
      <c r="AF980"/>
      <c r="AG980"/>
      <c r="AH980"/>
      <c r="AI980"/>
      <c r="AJ980"/>
      <c r="AK980"/>
      <c r="AL980"/>
    </row>
    <row r="981" spans="1:38">
      <c r="Z981"/>
      <c r="AA981"/>
      <c r="AB981"/>
      <c r="AC981"/>
      <c r="AD981"/>
      <c r="AE981"/>
      <c r="AF981"/>
      <c r="AG981"/>
      <c r="AH981"/>
      <c r="AI981"/>
      <c r="AJ981"/>
      <c r="AK981"/>
      <c r="AL981"/>
    </row>
    <row r="982" spans="1:38" s="97" customForma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</row>
    <row r="983" spans="1:38" s="117" customFormat="1">
      <c r="A983" s="97"/>
      <c r="B983" s="97"/>
      <c r="C983" s="97"/>
      <c r="D983" s="97"/>
      <c r="E983" s="97"/>
      <c r="F983" s="97"/>
      <c r="G983" s="97"/>
      <c r="H983" s="97"/>
      <c r="I983" s="97"/>
      <c r="J983" s="97"/>
      <c r="K983" s="97"/>
      <c r="L983" s="97"/>
      <c r="M983" s="97"/>
      <c r="N983" s="97"/>
      <c r="O983" s="97"/>
      <c r="P983" s="97"/>
      <c r="Q983" s="97"/>
      <c r="R983" s="97"/>
      <c r="S983" s="97"/>
      <c r="T983" s="97"/>
      <c r="U983" s="97"/>
      <c r="V983" s="97"/>
      <c r="W983" s="97"/>
      <c r="X983" s="97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</row>
    <row r="984" spans="1:38" s="117" customFormat="1">
      <c r="Z984"/>
      <c r="AA984"/>
      <c r="AB984"/>
      <c r="AC984"/>
      <c r="AD984"/>
      <c r="AE984"/>
      <c r="AF984"/>
      <c r="AG984"/>
      <c r="AH984"/>
      <c r="AI984"/>
      <c r="AJ984"/>
      <c r="AK984"/>
      <c r="AL984"/>
    </row>
    <row r="985" spans="1:38" s="117" customFormat="1">
      <c r="Z985"/>
      <c r="AA985"/>
      <c r="AB985"/>
      <c r="AC985"/>
      <c r="AD985"/>
      <c r="AE985"/>
      <c r="AF985"/>
      <c r="AG985"/>
      <c r="AH985"/>
      <c r="AI985"/>
      <c r="AJ985"/>
      <c r="AK985"/>
      <c r="AL985"/>
    </row>
    <row r="986" spans="1:38" ht="18" customHeight="1">
      <c r="A986" s="117"/>
      <c r="B986" s="117"/>
      <c r="C986" s="117"/>
      <c r="D986" s="117"/>
      <c r="E986" s="117"/>
      <c r="F986" s="117"/>
      <c r="G986" s="117"/>
      <c r="H986" s="117"/>
      <c r="I986" s="117"/>
      <c r="J986" s="117"/>
      <c r="K986" s="117"/>
      <c r="L986" s="117"/>
      <c r="M986" s="117"/>
      <c r="N986" s="117"/>
      <c r="O986" s="117"/>
      <c r="P986" s="117"/>
      <c r="Q986" s="117"/>
      <c r="R986" s="117"/>
      <c r="S986" s="117"/>
      <c r="T986" s="117"/>
      <c r="U986" s="117"/>
      <c r="V986" s="117"/>
      <c r="W986" s="117"/>
      <c r="X986" s="117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</row>
    <row r="987" spans="1:38" ht="23.25">
      <c r="A987" s="408" t="s">
        <v>166</v>
      </c>
      <c r="B987" s="408"/>
      <c r="C987" s="408"/>
      <c r="D987" s="408"/>
      <c r="E987" s="408"/>
      <c r="F987" s="408"/>
      <c r="G987" s="408"/>
      <c r="H987" s="408"/>
      <c r="I987" s="408"/>
      <c r="J987" s="408"/>
      <c r="K987" s="408"/>
      <c r="L987" s="408"/>
      <c r="M987" s="408" t="s">
        <v>165</v>
      </c>
      <c r="N987" s="408"/>
      <c r="O987" s="408"/>
      <c r="P987" s="408"/>
      <c r="Q987" s="408"/>
      <c r="R987" s="408"/>
      <c r="S987" s="408"/>
      <c r="T987" s="408"/>
      <c r="U987" s="408"/>
      <c r="V987" s="408"/>
      <c r="W987" s="408"/>
      <c r="X987" s="408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</row>
    <row r="988" spans="1:38" ht="14.45" customHeight="1">
      <c r="A988" s="139"/>
      <c r="B988" s="139"/>
      <c r="C988" s="139"/>
      <c r="D988" s="139"/>
      <c r="E988" s="139"/>
      <c r="F988" s="139"/>
      <c r="G988" s="139" t="s">
        <v>218</v>
      </c>
      <c r="H988" s="139"/>
      <c r="I988" s="139"/>
      <c r="J988" s="139"/>
      <c r="K988" s="139"/>
      <c r="L988" s="139"/>
      <c r="M988" s="139"/>
      <c r="N988" s="139"/>
      <c r="O988" s="139"/>
      <c r="P988" s="139"/>
      <c r="Q988" s="139"/>
      <c r="R988" s="139"/>
      <c r="S988" s="139" t="s">
        <v>219</v>
      </c>
      <c r="T988" s="139"/>
      <c r="U988" s="139"/>
      <c r="V988" s="139"/>
      <c r="W988" s="139"/>
      <c r="X988" s="139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</row>
    <row r="989" spans="1:38" ht="34.5" thickBot="1">
      <c r="A989" s="8"/>
      <c r="B989" s="8"/>
      <c r="C989" s="107" t="s">
        <v>45</v>
      </c>
      <c r="D989" s="101" t="s">
        <v>46</v>
      </c>
      <c r="E989" s="101" t="s">
        <v>44</v>
      </c>
      <c r="F989" s="101" t="s">
        <v>43</v>
      </c>
      <c r="G989" s="101" t="s">
        <v>42</v>
      </c>
      <c r="H989" s="101" t="s">
        <v>49</v>
      </c>
      <c r="I989" s="101" t="s">
        <v>47</v>
      </c>
      <c r="J989" s="101" t="s">
        <v>157</v>
      </c>
      <c r="K989" s="102" t="s">
        <v>180</v>
      </c>
      <c r="L989" s="101" t="s">
        <v>48</v>
      </c>
      <c r="M989" s="104"/>
      <c r="N989" s="104"/>
      <c r="O989" s="107" t="s">
        <v>45</v>
      </c>
      <c r="P989" s="101" t="s">
        <v>46</v>
      </c>
      <c r="Q989" s="101" t="s">
        <v>44</v>
      </c>
      <c r="R989" s="101" t="s">
        <v>43</v>
      </c>
      <c r="S989" s="101" t="s">
        <v>42</v>
      </c>
      <c r="T989" s="101" t="s">
        <v>49</v>
      </c>
      <c r="U989" s="101" t="s">
        <v>67</v>
      </c>
      <c r="V989" s="101" t="s">
        <v>158</v>
      </c>
      <c r="W989" s="102" t="s">
        <v>181</v>
      </c>
      <c r="X989" s="101" t="s">
        <v>66</v>
      </c>
      <c r="Z989"/>
      <c r="AA989"/>
      <c r="AB989"/>
      <c r="AC989"/>
      <c r="AD989"/>
      <c r="AE989"/>
      <c r="AF989"/>
      <c r="AG989"/>
      <c r="AH989"/>
      <c r="AI989"/>
      <c r="AJ989"/>
      <c r="AK989"/>
      <c r="AL989"/>
    </row>
    <row r="990" spans="1:38">
      <c r="A990" s="8" t="s">
        <v>5</v>
      </c>
      <c r="B990" s="36" t="s">
        <v>50</v>
      </c>
      <c r="C990" s="81">
        <f>E990+F990+G990+H990+I990+L990+J990+K990</f>
        <v>0</v>
      </c>
      <c r="D990" s="9">
        <f>E990+F990+G990+H990</f>
        <v>0</v>
      </c>
      <c r="E990" s="1">
        <f>Algandmed!AG90</f>
        <v>0</v>
      </c>
      <c r="F990" s="1">
        <f>Algandmed!AH90</f>
        <v>0</v>
      </c>
      <c r="G990" s="1">
        <f>Algandmed!AI90</f>
        <v>0</v>
      </c>
      <c r="H990" s="1">
        <f>Algandmed!AJ90</f>
        <v>0</v>
      </c>
      <c r="I990" s="1">
        <f>Algandmed!AK90</f>
        <v>0</v>
      </c>
      <c r="J990" s="77">
        <f>Algandmed!AN90</f>
        <v>0</v>
      </c>
      <c r="K990" s="120">
        <f>Algandmed!AL90</f>
        <v>0</v>
      </c>
      <c r="L990" s="1">
        <f>Algandmed!AO90</f>
        <v>0</v>
      </c>
      <c r="M990" s="8" t="s">
        <v>1</v>
      </c>
      <c r="N990" s="36" t="s">
        <v>50</v>
      </c>
      <c r="O990" s="81">
        <f>Q990+R990+S990+T990+U990+X990+V990+W990</f>
        <v>0</v>
      </c>
      <c r="P990" s="9">
        <f>Q990+R990+S990+T990</f>
        <v>0</v>
      </c>
      <c r="Q990" s="1">
        <f>Algandmed!AV90</f>
        <v>0</v>
      </c>
      <c r="R990" s="1">
        <f>Algandmed!AW90</f>
        <v>0</v>
      </c>
      <c r="S990" s="1">
        <f>Algandmed!AX90</f>
        <v>0</v>
      </c>
      <c r="T990" s="1">
        <f>Algandmed!AY90</f>
        <v>0</v>
      </c>
      <c r="U990" s="1">
        <f>Algandmed!AZ90</f>
        <v>0</v>
      </c>
      <c r="V990" s="77">
        <f>Algandmed!BC90</f>
        <v>0</v>
      </c>
      <c r="W990" s="120">
        <f>Algandmed!BA90</f>
        <v>0</v>
      </c>
      <c r="X990" s="1">
        <f>Algandmed!BD90</f>
        <v>0</v>
      </c>
      <c r="Z990"/>
      <c r="AA990"/>
      <c r="AB990"/>
      <c r="AC990"/>
      <c r="AD990"/>
      <c r="AE990"/>
      <c r="AF990"/>
      <c r="AG990"/>
      <c r="AH990"/>
      <c r="AI990"/>
      <c r="AJ990"/>
      <c r="AK990"/>
      <c r="AL990"/>
    </row>
    <row r="991" spans="1:38">
      <c r="A991" s="36" t="s">
        <v>69</v>
      </c>
      <c r="B991" s="36" t="s">
        <v>55</v>
      </c>
      <c r="C991" s="83" t="e">
        <f>E991+F991+G991+H991+I991+L991+J991+K991</f>
        <v>#REF!</v>
      </c>
      <c r="D991" s="9" t="e">
        <f>E991+F991+G991+H991</f>
        <v>#REF!</v>
      </c>
      <c r="E991" s="1" t="e">
        <f>Algandmed!#REF!</f>
        <v>#REF!</v>
      </c>
      <c r="F991" s="1" t="e">
        <f>Algandmed!#REF!</f>
        <v>#REF!</v>
      </c>
      <c r="G991" s="1" t="e">
        <f>Algandmed!#REF!</f>
        <v>#REF!</v>
      </c>
      <c r="H991" s="1" t="e">
        <f>Algandmed!#REF!</f>
        <v>#REF!</v>
      </c>
      <c r="I991" s="1" t="e">
        <f>Algandmed!#REF!</f>
        <v>#REF!</v>
      </c>
      <c r="J991" s="77" t="e">
        <f>Algandmed!#REF!</f>
        <v>#REF!</v>
      </c>
      <c r="K991" s="120" t="e">
        <f>Algandmed!#REF!</f>
        <v>#REF!</v>
      </c>
      <c r="L991" s="1" t="e">
        <f>Algandmed!#REF!</f>
        <v>#REF!</v>
      </c>
      <c r="M991" s="36" t="s">
        <v>69</v>
      </c>
      <c r="N991" s="36" t="s">
        <v>55</v>
      </c>
      <c r="O991" s="83" t="e">
        <f>Q991+R991+S991+T991+U991+X991+V991+W991</f>
        <v>#REF!</v>
      </c>
      <c r="P991" s="9" t="e">
        <f>Q991+R991+S991+T991</f>
        <v>#REF!</v>
      </c>
      <c r="Q991" s="1" t="e">
        <f>Algandmed!#REF!</f>
        <v>#REF!</v>
      </c>
      <c r="R991" s="1" t="e">
        <f>Algandmed!#REF!</f>
        <v>#REF!</v>
      </c>
      <c r="S991" s="1" t="e">
        <f>Algandmed!#REF!</f>
        <v>#REF!</v>
      </c>
      <c r="T991" s="1" t="e">
        <f>Algandmed!#REF!</f>
        <v>#REF!</v>
      </c>
      <c r="U991" s="1" t="e">
        <f>Algandmed!#REF!</f>
        <v>#REF!</v>
      </c>
      <c r="V991" s="77" t="e">
        <f>Algandmed!#REF!</f>
        <v>#REF!</v>
      </c>
      <c r="W991" s="120" t="e">
        <f>Algandmed!#REF!</f>
        <v>#REF!</v>
      </c>
      <c r="X991" s="1" t="e">
        <f>Algandmed!#REF!</f>
        <v>#REF!</v>
      </c>
      <c r="Z991"/>
      <c r="AA991"/>
      <c r="AB991"/>
      <c r="AC991"/>
      <c r="AD991"/>
      <c r="AE991"/>
      <c r="AF991"/>
      <c r="AG991"/>
      <c r="AH991"/>
      <c r="AI991"/>
      <c r="AJ991"/>
      <c r="AK991"/>
      <c r="AL991"/>
    </row>
    <row r="992" spans="1:38">
      <c r="A992" s="8"/>
      <c r="B992" s="36" t="s">
        <v>56</v>
      </c>
      <c r="C992" s="83">
        <f>E992+F992+G992+H992+I992+L992+J992+K992</f>
        <v>0</v>
      </c>
      <c r="D992" s="9">
        <f>E992+F992+G992+H992</f>
        <v>0</v>
      </c>
      <c r="E992" s="1">
        <f>Algandmed!AG91</f>
        <v>0</v>
      </c>
      <c r="F992" s="1">
        <f>Algandmed!AH91</f>
        <v>0</v>
      </c>
      <c r="G992" s="1">
        <f>Algandmed!AI91</f>
        <v>0</v>
      </c>
      <c r="H992" s="1">
        <f>Algandmed!AJ91</f>
        <v>0</v>
      </c>
      <c r="I992" s="1">
        <f>Algandmed!AK91</f>
        <v>0</v>
      </c>
      <c r="J992" s="77">
        <f>Algandmed!AN91</f>
        <v>0</v>
      </c>
      <c r="K992" s="120">
        <f>Algandmed!AL91</f>
        <v>0</v>
      </c>
      <c r="L992" s="1">
        <f>Algandmed!AO91</f>
        <v>0</v>
      </c>
      <c r="M992" s="8"/>
      <c r="N992" s="36" t="s">
        <v>56</v>
      </c>
      <c r="O992" s="83">
        <f>Q992+R992+S992+T992+U992+X992+V992+W992</f>
        <v>0</v>
      </c>
      <c r="P992" s="9">
        <f>Q992+R992+S992+T992</f>
        <v>0</v>
      </c>
      <c r="Q992" s="1">
        <f>Algandmed!AV91</f>
        <v>0</v>
      </c>
      <c r="R992" s="1">
        <f>Algandmed!AW91</f>
        <v>0</v>
      </c>
      <c r="S992" s="1">
        <f>Algandmed!AX91</f>
        <v>0</v>
      </c>
      <c r="T992" s="1">
        <f>Algandmed!AY91</f>
        <v>0</v>
      </c>
      <c r="U992" s="77">
        <f>Algandmed!AZ91</f>
        <v>0</v>
      </c>
      <c r="V992" s="77">
        <f>Algandmed!BC91</f>
        <v>0</v>
      </c>
      <c r="W992" s="120">
        <f>Algandmed!BA91</f>
        <v>0</v>
      </c>
      <c r="X992" s="1">
        <f>Algandmed!BD91</f>
        <v>0</v>
      </c>
      <c r="Z992"/>
      <c r="AA992"/>
      <c r="AB992"/>
      <c r="AC992"/>
      <c r="AD992"/>
      <c r="AE992"/>
      <c r="AF992"/>
      <c r="AG992"/>
      <c r="AH992"/>
      <c r="AI992"/>
      <c r="AJ992"/>
      <c r="AK992"/>
      <c r="AL992"/>
    </row>
    <row r="993" spans="1:38" ht="15.75" thickBot="1">
      <c r="A993" s="8"/>
      <c r="B993" s="36" t="s">
        <v>57</v>
      </c>
      <c r="C993" s="80">
        <f>E993+F993+G993+H993+I993+L993+J993+K993</f>
        <v>0</v>
      </c>
      <c r="D993" s="9">
        <f>E993+F993+G993+H993</f>
        <v>0</v>
      </c>
      <c r="E993" s="1">
        <f>Algandmed!AG92</f>
        <v>0</v>
      </c>
      <c r="F993" s="1">
        <f>Algandmed!AH92</f>
        <v>0</v>
      </c>
      <c r="G993" s="1">
        <f>Algandmed!AI92</f>
        <v>0</v>
      </c>
      <c r="H993" s="1">
        <f>Algandmed!AJ92</f>
        <v>0</v>
      </c>
      <c r="I993" s="1">
        <f>Algandmed!AK92</f>
        <v>0</v>
      </c>
      <c r="J993" s="77">
        <f>Algandmed!AN92</f>
        <v>0</v>
      </c>
      <c r="K993" s="120">
        <f>Algandmed!AL92</f>
        <v>0</v>
      </c>
      <c r="L993" s="1">
        <f>Algandmed!AO92</f>
        <v>0</v>
      </c>
      <c r="M993" s="8"/>
      <c r="N993" s="36" t="s">
        <v>57</v>
      </c>
      <c r="O993" s="80">
        <f>Q993+R993+S993+T993+U993+X993+V993+W993</f>
        <v>0</v>
      </c>
      <c r="P993" s="9">
        <f>Q993+R993+S993+T993</f>
        <v>0</v>
      </c>
      <c r="Q993" s="1">
        <f>Algandmed!AV92</f>
        <v>0</v>
      </c>
      <c r="R993" s="1">
        <f>Algandmed!AW92</f>
        <v>0</v>
      </c>
      <c r="S993" s="1">
        <f>Algandmed!AX92</f>
        <v>0</v>
      </c>
      <c r="T993" s="1">
        <f>Algandmed!AY92</f>
        <v>0</v>
      </c>
      <c r="U993" s="77">
        <f>Algandmed!AZ92</f>
        <v>0</v>
      </c>
      <c r="V993" s="77">
        <f>Algandmed!BC92</f>
        <v>0</v>
      </c>
      <c r="W993" s="120">
        <f>Algandmed!BA92</f>
        <v>0</v>
      </c>
      <c r="X993" s="1">
        <f>Algandmed!BD92</f>
        <v>0</v>
      </c>
      <c r="Z993"/>
      <c r="AA993"/>
      <c r="AB993"/>
      <c r="AC993"/>
      <c r="AD993"/>
      <c r="AE993"/>
      <c r="AF993"/>
      <c r="AG993"/>
      <c r="AH993"/>
      <c r="AI993"/>
      <c r="AJ993"/>
      <c r="AK993"/>
      <c r="AL993"/>
    </row>
    <row r="994" spans="1:38" ht="15.75" thickBot="1">
      <c r="A994" s="9"/>
      <c r="B994" s="26" t="s">
        <v>45</v>
      </c>
      <c r="C994" s="80" t="e">
        <f t="shared" ref="C994:L994" si="98">C990+C991+C992+C993</f>
        <v>#REF!</v>
      </c>
      <c r="D994" s="85" t="e">
        <f t="shared" si="98"/>
        <v>#REF!</v>
      </c>
      <c r="E994" s="87" t="e">
        <f t="shared" si="98"/>
        <v>#REF!</v>
      </c>
      <c r="F994" s="85" t="e">
        <f t="shared" si="98"/>
        <v>#REF!</v>
      </c>
      <c r="G994" s="85" t="e">
        <f t="shared" si="98"/>
        <v>#REF!</v>
      </c>
      <c r="H994" s="85" t="e">
        <f t="shared" si="98"/>
        <v>#REF!</v>
      </c>
      <c r="I994" s="85" t="e">
        <f t="shared" si="98"/>
        <v>#REF!</v>
      </c>
      <c r="J994" s="85" t="e">
        <f t="shared" si="98"/>
        <v>#REF!</v>
      </c>
      <c r="K994" s="85" t="e">
        <f t="shared" si="98"/>
        <v>#REF!</v>
      </c>
      <c r="L994" s="88" t="e">
        <f t="shared" si="98"/>
        <v>#REF!</v>
      </c>
      <c r="M994" s="9"/>
      <c r="N994" s="26" t="s">
        <v>45</v>
      </c>
      <c r="O994" s="80" t="e">
        <f>O990+O991+O992+O993</f>
        <v>#REF!</v>
      </c>
      <c r="P994" s="88" t="e">
        <f>P990+P991+P992+P993</f>
        <v>#REF!</v>
      </c>
      <c r="Q994" s="87" t="e">
        <f t="shared" ref="Q994:V994" si="99">Q990+Q991+Q992+Q993</f>
        <v>#REF!</v>
      </c>
      <c r="R994" s="85" t="e">
        <f t="shared" si="99"/>
        <v>#REF!</v>
      </c>
      <c r="S994" s="85" t="e">
        <f t="shared" si="99"/>
        <v>#REF!</v>
      </c>
      <c r="T994" s="85" t="e">
        <f t="shared" si="99"/>
        <v>#REF!</v>
      </c>
      <c r="U994" s="85" t="e">
        <f t="shared" si="99"/>
        <v>#REF!</v>
      </c>
      <c r="V994" s="85" t="e">
        <f t="shared" si="99"/>
        <v>#REF!</v>
      </c>
      <c r="W994" s="85" t="e">
        <f>W990+W991+W992+W993</f>
        <v>#REF!</v>
      </c>
      <c r="X994" s="88" t="e">
        <f>X990+X991+X992+X993</f>
        <v>#REF!</v>
      </c>
      <c r="Z994"/>
      <c r="AA994"/>
      <c r="AB994"/>
      <c r="AC994"/>
      <c r="AD994"/>
      <c r="AE994"/>
      <c r="AF994"/>
      <c r="AG994"/>
      <c r="AH994"/>
      <c r="AI994"/>
      <c r="AJ994"/>
      <c r="AK994"/>
      <c r="AL994"/>
    </row>
    <row r="995" spans="1:38">
      <c r="A995" s="37"/>
      <c r="B995" s="37"/>
      <c r="C995" s="37"/>
      <c r="D995" s="37"/>
      <c r="E995" s="37"/>
      <c r="F995" s="37"/>
      <c r="G995" s="37"/>
      <c r="H995" s="37"/>
      <c r="I995" s="37"/>
      <c r="J995" s="37"/>
      <c r="K995" s="37"/>
      <c r="L995" s="37"/>
      <c r="M995" s="37"/>
      <c r="N995" s="37"/>
      <c r="O995" s="37"/>
      <c r="P995" s="37"/>
      <c r="Q995" s="37"/>
      <c r="R995" s="37"/>
      <c r="S995" s="37"/>
      <c r="T995" s="37"/>
      <c r="U995" s="37"/>
      <c r="V995" s="37"/>
      <c r="W995" s="37"/>
      <c r="X995" s="37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</row>
    <row r="996" spans="1:38">
      <c r="Z996"/>
      <c r="AA996"/>
      <c r="AB996"/>
      <c r="AC996"/>
      <c r="AD996"/>
      <c r="AE996"/>
      <c r="AF996"/>
      <c r="AG996"/>
      <c r="AH996"/>
      <c r="AI996"/>
      <c r="AJ996"/>
      <c r="AK996"/>
      <c r="AL996"/>
    </row>
    <row r="997" spans="1:38" ht="33.75">
      <c r="A997" s="8"/>
      <c r="B997" s="8"/>
      <c r="C997" s="53"/>
      <c r="D997" s="101" t="s">
        <v>46</v>
      </c>
      <c r="E997" s="101" t="s">
        <v>44</v>
      </c>
      <c r="F997" s="101" t="s">
        <v>43</v>
      </c>
      <c r="G997" s="101" t="s">
        <v>42</v>
      </c>
      <c r="H997" s="101" t="s">
        <v>49</v>
      </c>
      <c r="I997" s="101" t="s">
        <v>47</v>
      </c>
      <c r="J997" s="101" t="s">
        <v>157</v>
      </c>
      <c r="K997" s="102" t="s">
        <v>180</v>
      </c>
      <c r="L997" s="101" t="s">
        <v>48</v>
      </c>
      <c r="M997" s="104"/>
      <c r="N997" s="104"/>
      <c r="O997" s="104"/>
      <c r="P997" s="101" t="s">
        <v>46</v>
      </c>
      <c r="Q997" s="101" t="s">
        <v>44</v>
      </c>
      <c r="R997" s="101" t="s">
        <v>43</v>
      </c>
      <c r="S997" s="101" t="s">
        <v>42</v>
      </c>
      <c r="T997" s="101" t="s">
        <v>49</v>
      </c>
      <c r="U997" s="101" t="s">
        <v>67</v>
      </c>
      <c r="V997" s="101" t="s">
        <v>158</v>
      </c>
      <c r="W997" s="102" t="s">
        <v>181</v>
      </c>
      <c r="X997" s="101" t="s">
        <v>66</v>
      </c>
      <c r="Z997"/>
      <c r="AA997"/>
      <c r="AB997"/>
      <c r="AC997"/>
      <c r="AD997"/>
      <c r="AE997"/>
      <c r="AF997"/>
      <c r="AG997"/>
      <c r="AH997"/>
      <c r="AI997"/>
      <c r="AJ997"/>
      <c r="AK997"/>
      <c r="AL997"/>
    </row>
    <row r="998" spans="1:38">
      <c r="A998" s="8" t="s">
        <v>5</v>
      </c>
      <c r="B998" s="36" t="s">
        <v>50</v>
      </c>
      <c r="C998" s="9"/>
      <c r="D998" s="14" t="e">
        <f t="shared" ref="D998:L998" si="100">D990/$C990</f>
        <v>#DIV/0!</v>
      </c>
      <c r="E998" s="7" t="e">
        <f t="shared" si="100"/>
        <v>#DIV/0!</v>
      </c>
      <c r="F998" s="7" t="e">
        <f t="shared" si="100"/>
        <v>#DIV/0!</v>
      </c>
      <c r="G998" s="7" t="e">
        <f t="shared" si="100"/>
        <v>#DIV/0!</v>
      </c>
      <c r="H998" s="7" t="e">
        <f t="shared" si="100"/>
        <v>#DIV/0!</v>
      </c>
      <c r="I998" s="7" t="e">
        <f t="shared" si="100"/>
        <v>#DIV/0!</v>
      </c>
      <c r="J998" s="7" t="e">
        <f t="shared" si="100"/>
        <v>#DIV/0!</v>
      </c>
      <c r="K998" s="7" t="e">
        <f t="shared" si="100"/>
        <v>#DIV/0!</v>
      </c>
      <c r="L998" s="7" t="e">
        <f t="shared" si="100"/>
        <v>#DIV/0!</v>
      </c>
      <c r="M998" s="8" t="s">
        <v>1</v>
      </c>
      <c r="N998" s="36" t="s">
        <v>50</v>
      </c>
      <c r="O998" s="9"/>
      <c r="P998" s="14" t="e">
        <f t="shared" ref="P998:X998" si="101">P990/$O990</f>
        <v>#DIV/0!</v>
      </c>
      <c r="Q998" s="7" t="e">
        <f t="shared" si="101"/>
        <v>#DIV/0!</v>
      </c>
      <c r="R998" s="7" t="e">
        <f t="shared" si="101"/>
        <v>#DIV/0!</v>
      </c>
      <c r="S998" s="7" t="e">
        <f t="shared" si="101"/>
        <v>#DIV/0!</v>
      </c>
      <c r="T998" s="7" t="e">
        <f t="shared" si="101"/>
        <v>#DIV/0!</v>
      </c>
      <c r="U998" s="7" t="e">
        <f t="shared" si="101"/>
        <v>#DIV/0!</v>
      </c>
      <c r="V998" s="7" t="e">
        <f t="shared" si="101"/>
        <v>#DIV/0!</v>
      </c>
      <c r="W998" s="7" t="e">
        <f t="shared" si="101"/>
        <v>#DIV/0!</v>
      </c>
      <c r="X998" s="7" t="e">
        <f t="shared" si="101"/>
        <v>#DIV/0!</v>
      </c>
      <c r="Z998"/>
      <c r="AA998"/>
      <c r="AB998"/>
      <c r="AC998"/>
      <c r="AD998"/>
      <c r="AE998"/>
      <c r="AF998"/>
      <c r="AG998"/>
      <c r="AH998"/>
      <c r="AI998"/>
      <c r="AJ998"/>
      <c r="AK998"/>
      <c r="AL998"/>
    </row>
    <row r="999" spans="1:38">
      <c r="A999" s="36" t="s">
        <v>69</v>
      </c>
      <c r="B999" s="36" t="s">
        <v>55</v>
      </c>
      <c r="C999" s="9"/>
      <c r="D999" s="14" t="e">
        <f t="shared" ref="D999:L999" si="102">D991/$C991</f>
        <v>#REF!</v>
      </c>
      <c r="E999" s="7" t="e">
        <f t="shared" si="102"/>
        <v>#REF!</v>
      </c>
      <c r="F999" s="7" t="e">
        <f t="shared" si="102"/>
        <v>#REF!</v>
      </c>
      <c r="G999" s="7" t="e">
        <f t="shared" si="102"/>
        <v>#REF!</v>
      </c>
      <c r="H999" s="7" t="e">
        <f t="shared" si="102"/>
        <v>#REF!</v>
      </c>
      <c r="I999" s="7" t="e">
        <f t="shared" si="102"/>
        <v>#REF!</v>
      </c>
      <c r="J999" s="7" t="e">
        <f t="shared" si="102"/>
        <v>#REF!</v>
      </c>
      <c r="K999" s="7" t="e">
        <f t="shared" si="102"/>
        <v>#REF!</v>
      </c>
      <c r="L999" s="7" t="e">
        <f t="shared" si="102"/>
        <v>#REF!</v>
      </c>
      <c r="M999" s="36" t="s">
        <v>69</v>
      </c>
      <c r="N999" s="36" t="s">
        <v>55</v>
      </c>
      <c r="O999" s="9"/>
      <c r="P999" s="14" t="e">
        <f t="shared" ref="P999:X999" si="103">P991/$O991</f>
        <v>#REF!</v>
      </c>
      <c r="Q999" s="7" t="e">
        <f t="shared" si="103"/>
        <v>#REF!</v>
      </c>
      <c r="R999" s="7" t="e">
        <f t="shared" si="103"/>
        <v>#REF!</v>
      </c>
      <c r="S999" s="7" t="e">
        <f t="shared" si="103"/>
        <v>#REF!</v>
      </c>
      <c r="T999" s="7" t="e">
        <f t="shared" si="103"/>
        <v>#REF!</v>
      </c>
      <c r="U999" s="7" t="e">
        <f t="shared" si="103"/>
        <v>#REF!</v>
      </c>
      <c r="V999" s="7" t="e">
        <f t="shared" si="103"/>
        <v>#REF!</v>
      </c>
      <c r="W999" s="7" t="e">
        <f t="shared" si="103"/>
        <v>#REF!</v>
      </c>
      <c r="X999" s="7" t="e">
        <f t="shared" si="103"/>
        <v>#REF!</v>
      </c>
      <c r="Z999"/>
      <c r="AA999"/>
      <c r="AB999"/>
      <c r="AC999"/>
      <c r="AD999"/>
      <c r="AE999"/>
      <c r="AF999"/>
      <c r="AG999"/>
      <c r="AH999"/>
      <c r="AI999"/>
      <c r="AJ999"/>
      <c r="AK999"/>
      <c r="AL999"/>
    </row>
    <row r="1000" spans="1:38">
      <c r="A1000" s="8"/>
      <c r="B1000" s="36" t="s">
        <v>56</v>
      </c>
      <c r="C1000" s="9"/>
      <c r="D1000" s="14" t="e">
        <f t="shared" ref="D1000:L1000" si="104">D992/$C992</f>
        <v>#DIV/0!</v>
      </c>
      <c r="E1000" s="7" t="e">
        <f t="shared" si="104"/>
        <v>#DIV/0!</v>
      </c>
      <c r="F1000" s="7" t="e">
        <f t="shared" si="104"/>
        <v>#DIV/0!</v>
      </c>
      <c r="G1000" s="7" t="e">
        <f t="shared" si="104"/>
        <v>#DIV/0!</v>
      </c>
      <c r="H1000" s="7" t="e">
        <f t="shared" si="104"/>
        <v>#DIV/0!</v>
      </c>
      <c r="I1000" s="7" t="e">
        <f t="shared" si="104"/>
        <v>#DIV/0!</v>
      </c>
      <c r="J1000" s="7" t="e">
        <f t="shared" si="104"/>
        <v>#DIV/0!</v>
      </c>
      <c r="K1000" s="7" t="e">
        <f t="shared" si="104"/>
        <v>#DIV/0!</v>
      </c>
      <c r="L1000" s="7" t="e">
        <f t="shared" si="104"/>
        <v>#DIV/0!</v>
      </c>
      <c r="M1000" s="8"/>
      <c r="N1000" s="36" t="s">
        <v>56</v>
      </c>
      <c r="O1000" s="9"/>
      <c r="P1000" s="14" t="e">
        <f t="shared" ref="P1000:X1000" si="105">P992/$O992</f>
        <v>#DIV/0!</v>
      </c>
      <c r="Q1000" s="7" t="e">
        <f t="shared" si="105"/>
        <v>#DIV/0!</v>
      </c>
      <c r="R1000" s="7" t="e">
        <f t="shared" si="105"/>
        <v>#DIV/0!</v>
      </c>
      <c r="S1000" s="7" t="e">
        <f t="shared" si="105"/>
        <v>#DIV/0!</v>
      </c>
      <c r="T1000" s="7" t="e">
        <f t="shared" si="105"/>
        <v>#DIV/0!</v>
      </c>
      <c r="U1000" s="7" t="e">
        <f t="shared" si="105"/>
        <v>#DIV/0!</v>
      </c>
      <c r="V1000" s="7" t="e">
        <f t="shared" si="105"/>
        <v>#DIV/0!</v>
      </c>
      <c r="W1000" s="7" t="e">
        <f t="shared" si="105"/>
        <v>#DIV/0!</v>
      </c>
      <c r="X1000" s="7" t="e">
        <f t="shared" si="105"/>
        <v>#DIV/0!</v>
      </c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</row>
    <row r="1001" spans="1:38">
      <c r="A1001" s="8"/>
      <c r="B1001" s="36" t="s">
        <v>57</v>
      </c>
      <c r="C1001" s="9"/>
      <c r="D1001" s="14" t="e">
        <f t="shared" ref="D1001:L1001" si="106">D993/$C993</f>
        <v>#DIV/0!</v>
      </c>
      <c r="E1001" s="7" t="e">
        <f t="shared" si="106"/>
        <v>#DIV/0!</v>
      </c>
      <c r="F1001" s="7" t="e">
        <f t="shared" si="106"/>
        <v>#DIV/0!</v>
      </c>
      <c r="G1001" s="7" t="e">
        <f t="shared" si="106"/>
        <v>#DIV/0!</v>
      </c>
      <c r="H1001" s="7" t="e">
        <f t="shared" si="106"/>
        <v>#DIV/0!</v>
      </c>
      <c r="I1001" s="7" t="e">
        <f t="shared" si="106"/>
        <v>#DIV/0!</v>
      </c>
      <c r="J1001" s="7" t="e">
        <f t="shared" si="106"/>
        <v>#DIV/0!</v>
      </c>
      <c r="K1001" s="7" t="e">
        <f t="shared" si="106"/>
        <v>#DIV/0!</v>
      </c>
      <c r="L1001" s="7" t="e">
        <f t="shared" si="106"/>
        <v>#DIV/0!</v>
      </c>
      <c r="M1001" s="8"/>
      <c r="N1001" s="36" t="s">
        <v>57</v>
      </c>
      <c r="O1001" s="9"/>
      <c r="P1001" s="14" t="e">
        <f t="shared" ref="P1001:X1001" si="107">P993/$O993</f>
        <v>#DIV/0!</v>
      </c>
      <c r="Q1001" s="7" t="e">
        <f t="shared" si="107"/>
        <v>#DIV/0!</v>
      </c>
      <c r="R1001" s="7" t="e">
        <f t="shared" si="107"/>
        <v>#DIV/0!</v>
      </c>
      <c r="S1001" s="7" t="e">
        <f t="shared" si="107"/>
        <v>#DIV/0!</v>
      </c>
      <c r="T1001" s="7" t="e">
        <f t="shared" si="107"/>
        <v>#DIV/0!</v>
      </c>
      <c r="U1001" s="7" t="e">
        <f t="shared" si="107"/>
        <v>#DIV/0!</v>
      </c>
      <c r="V1001" s="7" t="e">
        <f t="shared" si="107"/>
        <v>#DIV/0!</v>
      </c>
      <c r="W1001" s="7" t="e">
        <f t="shared" si="107"/>
        <v>#DIV/0!</v>
      </c>
      <c r="X1001" s="7" t="e">
        <f t="shared" si="107"/>
        <v>#DIV/0!</v>
      </c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</row>
    <row r="1002" spans="1:38">
      <c r="A1002" s="37"/>
      <c r="B1002" s="37"/>
      <c r="C1002" s="37"/>
      <c r="D1002" s="37"/>
      <c r="E1002" s="37"/>
      <c r="F1002" s="37"/>
      <c r="G1002" s="37"/>
      <c r="H1002" s="37"/>
      <c r="I1002" s="37"/>
      <c r="J1002" s="37"/>
      <c r="K1002" s="37"/>
      <c r="L1002" s="37"/>
      <c r="M1002" s="37"/>
      <c r="N1002" s="37"/>
      <c r="O1002" s="37"/>
      <c r="P1002" s="37"/>
      <c r="Q1002" s="37"/>
      <c r="R1002" s="37"/>
      <c r="S1002" s="37"/>
      <c r="T1002" s="37"/>
      <c r="U1002" s="37"/>
      <c r="V1002" s="37"/>
      <c r="W1002" s="37"/>
      <c r="X1002" s="37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</row>
    <row r="1034" spans="1:24" s="117" customFormat="1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</row>
    <row r="1035" spans="1:24" s="117" customFormat="1"/>
    <row r="1036" spans="1:24" s="117" customFormat="1"/>
    <row r="1037" spans="1:24">
      <c r="A1037" s="117"/>
      <c r="B1037" s="117"/>
      <c r="C1037" s="117"/>
      <c r="D1037" s="117"/>
      <c r="E1037" s="117"/>
      <c r="F1037" s="117"/>
      <c r="G1037" s="117"/>
      <c r="H1037" s="117"/>
      <c r="I1037" s="117"/>
      <c r="J1037" s="117"/>
      <c r="K1037" s="117"/>
      <c r="L1037" s="117"/>
      <c r="M1037" s="117"/>
      <c r="N1037" s="117"/>
      <c r="O1037" s="117"/>
      <c r="P1037" s="117"/>
      <c r="Q1037" s="117"/>
      <c r="R1037" s="117"/>
      <c r="S1037" s="117"/>
      <c r="T1037" s="117"/>
      <c r="U1037" s="117"/>
      <c r="V1037" s="117"/>
      <c r="W1037" s="117"/>
      <c r="X1037" s="117"/>
    </row>
    <row r="1038" spans="1:24" ht="23.25">
      <c r="A1038" s="408" t="s">
        <v>105</v>
      </c>
      <c r="B1038" s="408"/>
      <c r="C1038" s="408"/>
      <c r="D1038" s="408"/>
      <c r="E1038" s="408"/>
      <c r="F1038" s="408"/>
      <c r="G1038" s="408"/>
      <c r="H1038" s="408"/>
      <c r="I1038" s="408"/>
      <c r="J1038" s="408"/>
      <c r="K1038" s="408"/>
      <c r="L1038" s="408"/>
      <c r="M1038" s="408" t="s">
        <v>105</v>
      </c>
      <c r="N1038" s="408"/>
      <c r="O1038" s="408"/>
      <c r="P1038" s="408"/>
      <c r="Q1038" s="408"/>
      <c r="R1038" s="408"/>
      <c r="S1038" s="408"/>
      <c r="T1038" s="408"/>
      <c r="U1038" s="408"/>
      <c r="V1038" s="408"/>
      <c r="W1038" s="408"/>
      <c r="X1038" s="408"/>
    </row>
    <row r="1039" spans="1:24" s="45" customFormat="1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</row>
    <row r="1040" spans="1:24" ht="23.25">
      <c r="A1040" s="45"/>
      <c r="B1040" s="45"/>
      <c r="C1040" s="133"/>
      <c r="D1040" s="132" t="s">
        <v>44</v>
      </c>
      <c r="E1040" s="133"/>
      <c r="F1040" s="133"/>
      <c r="G1040" s="133"/>
      <c r="H1040" s="133"/>
      <c r="I1040" s="133"/>
      <c r="J1040" s="133"/>
      <c r="K1040" s="133"/>
      <c r="L1040" s="133"/>
      <c r="M1040" s="133"/>
      <c r="N1040" s="133"/>
      <c r="O1040" s="133"/>
      <c r="P1040" s="132" t="s">
        <v>44</v>
      </c>
      <c r="Q1040" s="133"/>
      <c r="R1040" s="133"/>
      <c r="S1040" s="133"/>
      <c r="T1040" s="45"/>
      <c r="U1040" s="45"/>
      <c r="V1040" s="45"/>
      <c r="W1040" s="45"/>
      <c r="X1040" s="45"/>
    </row>
    <row r="1041" spans="2:29" ht="23.25">
      <c r="C1041" s="134" t="s">
        <v>106</v>
      </c>
      <c r="D1041" s="134"/>
      <c r="E1041" s="134"/>
      <c r="F1041" s="134"/>
      <c r="G1041" s="133"/>
      <c r="H1041" s="133"/>
      <c r="I1041" s="133"/>
      <c r="J1041" s="133"/>
      <c r="K1041" s="133"/>
      <c r="L1041" s="133"/>
      <c r="M1041" s="133"/>
      <c r="N1041" s="133"/>
      <c r="O1041" s="134" t="s">
        <v>106</v>
      </c>
      <c r="P1041" s="134"/>
      <c r="Q1041" s="134"/>
      <c r="R1041" s="134"/>
      <c r="S1041" s="133"/>
    </row>
    <row r="1042" spans="2:29" ht="15.75" thickBot="1">
      <c r="B1042" s="60"/>
      <c r="C1042" s="93" t="s">
        <v>45</v>
      </c>
      <c r="D1042" s="414" t="s">
        <v>0</v>
      </c>
      <c r="E1042" s="414"/>
      <c r="F1042" s="63" t="s">
        <v>107</v>
      </c>
      <c r="G1042" s="64"/>
      <c r="N1042" s="60"/>
      <c r="O1042" s="93" t="s">
        <v>45</v>
      </c>
      <c r="P1042" s="414" t="s">
        <v>0</v>
      </c>
      <c r="Q1042" s="414"/>
      <c r="R1042" s="63" t="s">
        <v>107</v>
      </c>
      <c r="S1042" s="64"/>
    </row>
    <row r="1043" spans="2:29" ht="15.75" thickBot="1">
      <c r="B1043" s="92" t="s">
        <v>97</v>
      </c>
      <c r="C1043" s="82">
        <f>D1043+F1043</f>
        <v>0</v>
      </c>
      <c r="D1043" s="422">
        <f>Algandmed!AE151</f>
        <v>0</v>
      </c>
      <c r="E1043" s="421"/>
      <c r="F1043" s="416">
        <f>Algandmed!AF151</f>
        <v>0</v>
      </c>
      <c r="G1043" s="421"/>
      <c r="N1043" s="61" t="s">
        <v>39</v>
      </c>
      <c r="O1043" s="82">
        <f>P1043+R1043</f>
        <v>2</v>
      </c>
      <c r="P1043" s="416">
        <f>Algandmed!AT151</f>
        <v>1</v>
      </c>
      <c r="Q1043" s="421"/>
      <c r="R1043" s="416">
        <f>Algandmed!AU151</f>
        <v>1</v>
      </c>
      <c r="S1043" s="422"/>
    </row>
    <row r="1045" spans="2:29">
      <c r="B1045" s="60"/>
      <c r="C1045" s="417"/>
      <c r="D1045" s="414" t="s">
        <v>0</v>
      </c>
      <c r="E1045" s="414"/>
      <c r="F1045" s="63" t="s">
        <v>107</v>
      </c>
      <c r="G1045" s="64"/>
      <c r="N1045" s="60"/>
      <c r="O1045" s="417"/>
      <c r="P1045" s="414" t="s">
        <v>0</v>
      </c>
      <c r="Q1045" s="414"/>
      <c r="R1045" s="63" t="s">
        <v>107</v>
      </c>
      <c r="S1045" s="64"/>
    </row>
    <row r="1046" spans="2:29">
      <c r="B1046" s="61" t="s">
        <v>97</v>
      </c>
      <c r="C1046" s="418"/>
      <c r="D1046" s="423" t="e">
        <f>D1043/C1043</f>
        <v>#DIV/0!</v>
      </c>
      <c r="E1046" s="424"/>
      <c r="F1046" s="423" t="e">
        <f>F1043/C1043</f>
        <v>#DIV/0!</v>
      </c>
      <c r="G1046" s="424"/>
      <c r="N1046" s="61" t="s">
        <v>39</v>
      </c>
      <c r="O1046" s="418"/>
      <c r="P1046" s="423">
        <f>P1043/O1043</f>
        <v>0.5</v>
      </c>
      <c r="Q1046" s="424"/>
      <c r="R1046" s="423">
        <f>R1043/O1043</f>
        <v>0.5</v>
      </c>
      <c r="S1046" s="424"/>
    </row>
    <row r="1053" spans="2:29">
      <c r="AA1053"/>
      <c r="AB1053"/>
      <c r="AC1053"/>
    </row>
    <row r="1054" spans="2:29">
      <c r="AA1054"/>
      <c r="AB1054"/>
      <c r="AC1054"/>
    </row>
    <row r="1055" spans="2:29">
      <c r="AA1055"/>
      <c r="AB1055"/>
      <c r="AC1055"/>
    </row>
    <row r="1056" spans="2:29">
      <c r="AA1056"/>
      <c r="AB1056"/>
      <c r="AC1056"/>
    </row>
    <row r="1057" spans="2:29">
      <c r="AA1057"/>
      <c r="AB1057"/>
      <c r="AC1057"/>
    </row>
    <row r="1058" spans="2:29">
      <c r="AA1058"/>
      <c r="AB1058"/>
      <c r="AC1058"/>
    </row>
    <row r="1059" spans="2:29" ht="23.25">
      <c r="B1059" s="45"/>
      <c r="C1059" s="133"/>
      <c r="D1059" s="132" t="s">
        <v>44</v>
      </c>
      <c r="E1059" s="133"/>
      <c r="F1059" s="133"/>
      <c r="G1059" s="133"/>
      <c r="H1059" s="133"/>
      <c r="I1059" s="133"/>
      <c r="J1059" s="133"/>
      <c r="K1059" s="133"/>
      <c r="L1059" s="133"/>
      <c r="M1059" s="133"/>
      <c r="N1059" s="133"/>
      <c r="O1059" s="133"/>
      <c r="P1059" s="132" t="s">
        <v>44</v>
      </c>
      <c r="Q1059" s="133"/>
      <c r="R1059" s="133"/>
      <c r="S1059" s="133"/>
      <c r="T1059" s="133"/>
      <c r="AA1059"/>
      <c r="AB1059"/>
      <c r="AC1059"/>
    </row>
    <row r="1060" spans="2:29" ht="23.25">
      <c r="B1060" s="45"/>
      <c r="C1060" s="134" t="s">
        <v>106</v>
      </c>
      <c r="D1060" s="134"/>
      <c r="E1060" s="134"/>
      <c r="F1060" s="134"/>
      <c r="G1060" s="133"/>
      <c r="H1060" s="133"/>
      <c r="I1060" s="133"/>
      <c r="J1060" s="133"/>
      <c r="K1060" s="133"/>
      <c r="L1060" s="133"/>
      <c r="M1060" s="133"/>
      <c r="N1060" s="133"/>
      <c r="O1060" s="134" t="s">
        <v>106</v>
      </c>
      <c r="P1060" s="134"/>
      <c r="Q1060" s="134"/>
      <c r="R1060" s="134"/>
      <c r="S1060" s="133"/>
      <c r="T1060" s="133"/>
      <c r="AA1060"/>
      <c r="AB1060"/>
      <c r="AC1060"/>
    </row>
    <row r="1061" spans="2:29" ht="15.75" thickBot="1">
      <c r="B1061" s="60"/>
      <c r="C1061" s="93" t="s">
        <v>45</v>
      </c>
      <c r="D1061" s="414" t="s">
        <v>0</v>
      </c>
      <c r="E1061" s="414"/>
      <c r="F1061" s="411" t="s">
        <v>108</v>
      </c>
      <c r="G1061" s="412"/>
      <c r="H1061" s="414" t="s">
        <v>109</v>
      </c>
      <c r="I1061" s="414"/>
      <c r="N1061" s="60"/>
      <c r="O1061" s="93" t="s">
        <v>45</v>
      </c>
      <c r="P1061" s="414" t="s">
        <v>0</v>
      </c>
      <c r="Q1061" s="414"/>
      <c r="R1061" s="411" t="s">
        <v>108</v>
      </c>
      <c r="S1061" s="412"/>
      <c r="T1061" s="414" t="s">
        <v>109</v>
      </c>
      <c r="U1061" s="414"/>
    </row>
    <row r="1062" spans="2:29" ht="15.75" thickBot="1">
      <c r="B1062" s="92" t="s">
        <v>97</v>
      </c>
      <c r="C1062" s="82">
        <f>D1062+F1062+H1062</f>
        <v>0</v>
      </c>
      <c r="D1062" s="422">
        <f>C1162</f>
        <v>0</v>
      </c>
      <c r="E1062" s="421"/>
      <c r="F1062" s="416">
        <f>Algandmed!AF156</f>
        <v>0</v>
      </c>
      <c r="G1062" s="421"/>
      <c r="H1062" s="416">
        <f>Algandmed!AG156</f>
        <v>0</v>
      </c>
      <c r="I1062" s="421"/>
      <c r="N1062" s="92" t="s">
        <v>39</v>
      </c>
      <c r="O1062" s="82">
        <f>P1062+R1062+T1062</f>
        <v>1</v>
      </c>
      <c r="P1062" s="422">
        <f>O1162</f>
        <v>0</v>
      </c>
      <c r="Q1062" s="421"/>
      <c r="R1062" s="416">
        <f>Algandmed!AU156</f>
        <v>0</v>
      </c>
      <c r="S1062" s="421"/>
      <c r="T1062" s="416">
        <f>Algandmed!AV156</f>
        <v>1</v>
      </c>
      <c r="U1062" s="421"/>
    </row>
    <row r="1064" spans="2:29">
      <c r="B1064" s="60"/>
      <c r="C1064" s="417"/>
      <c r="D1064" s="414" t="s">
        <v>0</v>
      </c>
      <c r="E1064" s="414"/>
      <c r="F1064" s="411" t="s">
        <v>108</v>
      </c>
      <c r="G1064" s="412"/>
      <c r="H1064" s="414" t="s">
        <v>109</v>
      </c>
      <c r="I1064" s="414"/>
      <c r="N1064" s="60"/>
      <c r="O1064" s="417"/>
      <c r="P1064" s="414" t="s">
        <v>0</v>
      </c>
      <c r="Q1064" s="414"/>
      <c r="R1064" s="411" t="s">
        <v>108</v>
      </c>
      <c r="S1064" s="412"/>
      <c r="T1064" s="414" t="s">
        <v>109</v>
      </c>
      <c r="U1064" s="414"/>
    </row>
    <row r="1065" spans="2:29">
      <c r="B1065" s="61" t="s">
        <v>97</v>
      </c>
      <c r="C1065" s="418"/>
      <c r="D1065" s="423" t="e">
        <f>D1062/C1062</f>
        <v>#DIV/0!</v>
      </c>
      <c r="E1065" s="424"/>
      <c r="F1065" s="423" t="e">
        <f>F1062/C1062</f>
        <v>#DIV/0!</v>
      </c>
      <c r="G1065" s="424"/>
      <c r="H1065" s="423" t="e">
        <f>H1062/C1062</f>
        <v>#DIV/0!</v>
      </c>
      <c r="I1065" s="424"/>
      <c r="N1065" s="61" t="s">
        <v>39</v>
      </c>
      <c r="O1065" s="418"/>
      <c r="P1065" s="423">
        <f>P1062/O1062</f>
        <v>0</v>
      </c>
      <c r="Q1065" s="424"/>
      <c r="R1065" s="423">
        <f>R1062/O1062</f>
        <v>0</v>
      </c>
      <c r="S1065" s="424"/>
      <c r="T1065" s="423">
        <f>T1062/O1062</f>
        <v>1</v>
      </c>
      <c r="U1065" s="424"/>
    </row>
    <row r="1077" spans="1:24" s="56" customFormat="1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</row>
    <row r="1078" spans="1:24" s="56" customFormat="1"/>
    <row r="1079" spans="1:24" s="56" customFormat="1"/>
    <row r="1080" spans="1:24" s="56" customFormat="1">
      <c r="I1080" s="56" t="s">
        <v>141</v>
      </c>
    </row>
    <row r="1081" spans="1:24" s="56" customFormat="1"/>
    <row r="1082" spans="1:24" s="56" customFormat="1"/>
    <row r="1083" spans="1:24" s="56" customFormat="1"/>
    <row r="1084" spans="1:24" s="56" customFormat="1"/>
    <row r="1085" spans="1:24" s="45" customFormat="1">
      <c r="A1085" s="56"/>
      <c r="B1085" s="56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</row>
    <row r="1086" spans="1:24">
      <c r="A1086" s="45"/>
      <c r="B1086" s="45"/>
      <c r="C1086" s="45"/>
      <c r="D1086" s="45"/>
      <c r="E1086" s="45"/>
      <c r="F1086" s="45"/>
      <c r="G1086" s="45"/>
      <c r="H1086" s="45"/>
      <c r="I1086" s="45"/>
      <c r="J1086" s="45"/>
      <c r="K1086" s="45"/>
      <c r="L1086" s="45"/>
      <c r="M1086" s="45"/>
      <c r="N1086" s="45"/>
      <c r="O1086" s="45"/>
      <c r="P1086" s="45"/>
      <c r="Q1086" s="45"/>
      <c r="R1086" s="45"/>
      <c r="S1086" s="45"/>
      <c r="T1086" s="45"/>
      <c r="U1086" s="45"/>
      <c r="V1086" s="45"/>
      <c r="W1086" s="45"/>
      <c r="X1086" s="45"/>
    </row>
    <row r="1087" spans="1:24" ht="23.25">
      <c r="B1087" s="51"/>
      <c r="C1087" s="132"/>
      <c r="D1087" s="408" t="s">
        <v>44</v>
      </c>
      <c r="E1087" s="408"/>
      <c r="F1087" s="135"/>
      <c r="G1087" s="133"/>
      <c r="H1087" s="133"/>
      <c r="I1087" s="133"/>
      <c r="J1087" s="133"/>
      <c r="K1087" s="133"/>
      <c r="L1087" s="133"/>
      <c r="M1087" s="133"/>
      <c r="N1087" s="136"/>
      <c r="O1087" s="132"/>
      <c r="P1087" s="408" t="s">
        <v>44</v>
      </c>
      <c r="Q1087" s="408"/>
      <c r="R1087" s="135"/>
      <c r="S1087" s="133"/>
      <c r="T1087" s="45"/>
      <c r="U1087" s="45"/>
    </row>
    <row r="1088" spans="1:24" ht="23.25">
      <c r="B1088" s="419" t="s">
        <v>112</v>
      </c>
      <c r="C1088" s="419"/>
      <c r="D1088" s="419"/>
      <c r="E1088" s="419"/>
      <c r="F1088" s="419"/>
      <c r="G1088" s="419"/>
      <c r="H1088" s="419"/>
      <c r="I1088" s="133"/>
      <c r="J1088" s="133"/>
      <c r="K1088" s="133"/>
      <c r="L1088" s="133"/>
      <c r="M1088" s="133"/>
      <c r="N1088" s="419" t="s">
        <v>112</v>
      </c>
      <c r="O1088" s="419"/>
      <c r="P1088" s="419"/>
      <c r="Q1088" s="419"/>
      <c r="R1088" s="419"/>
      <c r="S1088" s="419"/>
      <c r="T1088" s="45"/>
      <c r="U1088" s="45"/>
    </row>
    <row r="1089" spans="2:21" ht="15.75" thickBot="1">
      <c r="B1089" s="65"/>
      <c r="C1089" s="93" t="s">
        <v>45</v>
      </c>
      <c r="D1089" s="60" t="s">
        <v>52</v>
      </c>
      <c r="E1089" s="414" t="s">
        <v>110</v>
      </c>
      <c r="F1089" s="414"/>
      <c r="G1089" s="60" t="s">
        <v>54</v>
      </c>
      <c r="H1089" s="420" t="s">
        <v>111</v>
      </c>
      <c r="I1089" s="420"/>
      <c r="N1089" s="65"/>
      <c r="O1089" s="93" t="s">
        <v>45</v>
      </c>
      <c r="P1089" s="60" t="s">
        <v>52</v>
      </c>
      <c r="Q1089" s="414" t="s">
        <v>110</v>
      </c>
      <c r="R1089" s="414"/>
      <c r="S1089" s="60" t="s">
        <v>54</v>
      </c>
      <c r="T1089" s="420" t="s">
        <v>111</v>
      </c>
      <c r="U1089" s="420"/>
    </row>
    <row r="1090" spans="2:21" ht="15.75" thickBot="1">
      <c r="B1090" s="94" t="s">
        <v>68</v>
      </c>
      <c r="C1090" s="82">
        <f>D1090+E1090+G1090+H1090</f>
        <v>0</v>
      </c>
      <c r="D1090" s="75">
        <f>Algandmed!AE164</f>
        <v>0</v>
      </c>
      <c r="E1090" s="415">
        <f>Algandmed!AF164</f>
        <v>0</v>
      </c>
      <c r="F1090" s="415"/>
      <c r="G1090" s="58">
        <f>Algandmed!AG164</f>
        <v>0</v>
      </c>
      <c r="H1090" s="415">
        <f>Algandmed!AH164</f>
        <v>0</v>
      </c>
      <c r="I1090" s="415"/>
      <c r="N1090" s="94" t="s">
        <v>39</v>
      </c>
      <c r="O1090" s="82">
        <f>P1090+Q1090+S1090+T1090</f>
        <v>0</v>
      </c>
      <c r="P1090" s="75">
        <f>Algandmed!AT164</f>
        <v>0</v>
      </c>
      <c r="Q1090" s="415">
        <f>Algandmed!AU164</f>
        <v>0</v>
      </c>
      <c r="R1090" s="415"/>
      <c r="S1090" s="58">
        <f>Algandmed!AV164</f>
        <v>0</v>
      </c>
      <c r="T1090" s="415">
        <f>Algandmed!AW164</f>
        <v>0</v>
      </c>
      <c r="U1090" s="415"/>
    </row>
    <row r="1092" spans="2:21">
      <c r="B1092" s="65"/>
      <c r="C1092" s="417"/>
      <c r="D1092" s="60" t="s">
        <v>52</v>
      </c>
      <c r="E1092" s="414" t="s">
        <v>110</v>
      </c>
      <c r="F1092" s="414"/>
      <c r="G1092" s="60" t="s">
        <v>54</v>
      </c>
      <c r="H1092" s="420" t="s">
        <v>111</v>
      </c>
      <c r="I1092" s="420"/>
      <c r="N1092" s="65"/>
      <c r="O1092" s="417"/>
      <c r="P1092" s="60" t="s">
        <v>52</v>
      </c>
      <c r="Q1092" s="414" t="s">
        <v>110</v>
      </c>
      <c r="R1092" s="414"/>
      <c r="S1092" s="60" t="s">
        <v>54</v>
      </c>
      <c r="T1092" s="420" t="s">
        <v>111</v>
      </c>
      <c r="U1092" s="420"/>
    </row>
    <row r="1093" spans="2:21">
      <c r="B1093" s="65" t="s">
        <v>68</v>
      </c>
      <c r="C1093" s="418"/>
      <c r="D1093" s="66" t="e">
        <f>D1090/C1090</f>
        <v>#DIV/0!</v>
      </c>
      <c r="E1093" s="413" t="e">
        <f>E1090/C1090</f>
        <v>#DIV/0!</v>
      </c>
      <c r="F1093" s="413"/>
      <c r="G1093" s="66" t="e">
        <f>G1090/C1090</f>
        <v>#DIV/0!</v>
      </c>
      <c r="H1093" s="413" t="e">
        <f>H1090/C1090</f>
        <v>#DIV/0!</v>
      </c>
      <c r="I1093" s="413"/>
      <c r="N1093" s="65" t="s">
        <v>39</v>
      </c>
      <c r="O1093" s="418"/>
      <c r="P1093" s="66" t="e">
        <f>P1090/O1090</f>
        <v>#DIV/0!</v>
      </c>
      <c r="Q1093" s="413" t="e">
        <f>Q1090/O1090</f>
        <v>#DIV/0!</v>
      </c>
      <c r="R1093" s="413"/>
      <c r="S1093" s="66" t="e">
        <f>S1090/O1090</f>
        <v>#DIV/0!</v>
      </c>
      <c r="T1093" s="413" t="e">
        <f>T1090/O1090</f>
        <v>#DIV/0!</v>
      </c>
      <c r="U1093" s="413"/>
    </row>
    <row r="1109" spans="2:21" ht="23.25">
      <c r="B1109" s="136"/>
      <c r="C1109" s="132"/>
      <c r="D1109" s="408" t="s">
        <v>44</v>
      </c>
      <c r="E1109" s="408"/>
      <c r="F1109" s="135"/>
      <c r="G1109" s="133"/>
      <c r="H1109" s="133"/>
      <c r="I1109" s="133"/>
      <c r="J1109" s="133"/>
      <c r="K1109" s="133"/>
      <c r="L1109" s="133"/>
      <c r="M1109" s="133"/>
      <c r="N1109" s="136"/>
      <c r="O1109" s="132"/>
      <c r="P1109" s="408" t="s">
        <v>44</v>
      </c>
      <c r="Q1109" s="408"/>
      <c r="R1109" s="135"/>
      <c r="S1109" s="133"/>
      <c r="T1109" s="133"/>
      <c r="U1109" s="133"/>
    </row>
    <row r="1110" spans="2:21" ht="23.25">
      <c r="B1110" s="419" t="s">
        <v>121</v>
      </c>
      <c r="C1110" s="419"/>
      <c r="D1110" s="419"/>
      <c r="E1110" s="419"/>
      <c r="F1110" s="419"/>
      <c r="G1110" s="419"/>
      <c r="H1110" s="419"/>
      <c r="I1110" s="133"/>
      <c r="J1110" s="133"/>
      <c r="K1110" s="133"/>
      <c r="L1110" s="133"/>
      <c r="M1110" s="133"/>
      <c r="N1110" s="419" t="s">
        <v>121</v>
      </c>
      <c r="O1110" s="419"/>
      <c r="P1110" s="419"/>
      <c r="Q1110" s="419"/>
      <c r="R1110" s="419"/>
      <c r="S1110" s="419"/>
      <c r="T1110" s="419"/>
      <c r="U1110" s="133"/>
    </row>
    <row r="1111" spans="2:21" ht="15.75" thickBot="1">
      <c r="B1111" s="65"/>
      <c r="C1111" s="93" t="s">
        <v>45</v>
      </c>
      <c r="D1111" s="60" t="s">
        <v>113</v>
      </c>
      <c r="E1111" s="414" t="s">
        <v>114</v>
      </c>
      <c r="F1111" s="414"/>
      <c r="G1111" s="60" t="s">
        <v>115</v>
      </c>
      <c r="H1111" s="411" t="s">
        <v>116</v>
      </c>
      <c r="I1111" s="412"/>
      <c r="N1111" s="65"/>
      <c r="O1111" s="93" t="s">
        <v>45</v>
      </c>
      <c r="P1111" s="60" t="s">
        <v>113</v>
      </c>
      <c r="Q1111" s="414" t="s">
        <v>114</v>
      </c>
      <c r="R1111" s="414"/>
      <c r="S1111" s="60" t="s">
        <v>115</v>
      </c>
      <c r="T1111" s="411" t="s">
        <v>116</v>
      </c>
      <c r="U1111" s="412"/>
    </row>
    <row r="1112" spans="2:21" ht="15.75" thickBot="1">
      <c r="B1112" s="94" t="s">
        <v>5</v>
      </c>
      <c r="C1112" s="82" t="e">
        <f>D1112+E1112+G1112+H1112</f>
        <v>#REF!</v>
      </c>
      <c r="D1112" s="75">
        <f>Algandmed!AE170</f>
        <v>0</v>
      </c>
      <c r="E1112" s="415" t="e">
        <f>Algandmed!#REF!</f>
        <v>#REF!</v>
      </c>
      <c r="F1112" s="415"/>
      <c r="G1112" s="58">
        <f>Algandmed!AF170</f>
        <v>0</v>
      </c>
      <c r="H1112" s="415">
        <f>Algandmed!AG170</f>
        <v>0</v>
      </c>
      <c r="I1112" s="415"/>
      <c r="N1112" s="94" t="s">
        <v>1</v>
      </c>
      <c r="O1112" s="82" t="e">
        <f>P1112+Q1112+S1112+T1112</f>
        <v>#REF!</v>
      </c>
      <c r="P1112" s="75">
        <f>Algandmed!AT170</f>
        <v>0</v>
      </c>
      <c r="Q1112" s="415" t="e">
        <f>Algandmed!#REF!</f>
        <v>#REF!</v>
      </c>
      <c r="R1112" s="415"/>
      <c r="S1112" s="58">
        <f>Algandmed!AU170</f>
        <v>0</v>
      </c>
      <c r="T1112" s="415">
        <f>Algandmed!AV170</f>
        <v>0</v>
      </c>
      <c r="U1112" s="415"/>
    </row>
    <row r="1114" spans="2:21">
      <c r="B1114" s="94"/>
      <c r="C1114" s="417"/>
      <c r="D1114" s="72" t="s">
        <v>113</v>
      </c>
      <c r="E1114" s="414" t="s">
        <v>114</v>
      </c>
      <c r="F1114" s="414"/>
      <c r="G1114" s="60" t="s">
        <v>115</v>
      </c>
      <c r="H1114" s="414" t="s">
        <v>116</v>
      </c>
      <c r="I1114" s="414"/>
      <c r="N1114" s="94"/>
      <c r="O1114" s="417"/>
      <c r="P1114" s="72" t="s">
        <v>113</v>
      </c>
      <c r="Q1114" s="414" t="s">
        <v>114</v>
      </c>
      <c r="R1114" s="414"/>
      <c r="S1114" s="60" t="s">
        <v>115</v>
      </c>
      <c r="T1114" s="411" t="s">
        <v>116</v>
      </c>
      <c r="U1114" s="412"/>
    </row>
    <row r="1115" spans="2:21">
      <c r="B1115" s="94" t="s">
        <v>5</v>
      </c>
      <c r="C1115" s="418"/>
      <c r="D1115" s="73" t="e">
        <f>D1112/C1112</f>
        <v>#REF!</v>
      </c>
      <c r="E1115" s="413" t="e">
        <f>E1112/C1112</f>
        <v>#REF!</v>
      </c>
      <c r="F1115" s="413"/>
      <c r="G1115" s="66" t="e">
        <f>G1112/C1112</f>
        <v>#REF!</v>
      </c>
      <c r="H1115" s="413" t="e">
        <f>H1112/C1112</f>
        <v>#REF!</v>
      </c>
      <c r="I1115" s="413"/>
      <c r="N1115" s="94" t="s">
        <v>1</v>
      </c>
      <c r="O1115" s="418"/>
      <c r="P1115" s="73" t="e">
        <f>P1112/O1112</f>
        <v>#REF!</v>
      </c>
      <c r="Q1115" s="413" t="e">
        <f>Q1112/O1112</f>
        <v>#REF!</v>
      </c>
      <c r="R1115" s="413"/>
      <c r="S1115" s="66" t="e">
        <f>S1112/O1112</f>
        <v>#REF!</v>
      </c>
      <c r="T1115" s="413" t="e">
        <f>T1112/O1112</f>
        <v>#REF!</v>
      </c>
      <c r="U1115" s="413"/>
    </row>
    <row r="1116" spans="2:21">
      <c r="I1116" s="68"/>
    </row>
    <row r="1129" spans="1:24" s="56" customFormat="1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</row>
    <row r="1130" spans="1:24" s="56" customFormat="1"/>
    <row r="1131" spans="1:24" s="56" customFormat="1"/>
    <row r="1132" spans="1:24" s="56" customFormat="1"/>
    <row r="1133" spans="1:24" s="56" customFormat="1"/>
    <row r="1134" spans="1:24" s="56" customFormat="1"/>
    <row r="1135" spans="1:24" s="56" customFormat="1"/>
    <row r="1136" spans="1:24">
      <c r="A1136" s="56"/>
      <c r="B1136" s="56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</row>
    <row r="1137" spans="2:26" ht="23.25">
      <c r="B1137" s="136"/>
      <c r="C1137" s="132"/>
      <c r="D1137" s="134" t="s">
        <v>44</v>
      </c>
      <c r="E1137" s="134"/>
      <c r="F1137" s="135"/>
      <c r="G1137" s="133"/>
      <c r="H1137" s="133"/>
      <c r="I1137" s="133"/>
      <c r="J1137" s="133"/>
      <c r="K1137" s="133"/>
      <c r="L1137" s="133"/>
      <c r="M1137" s="133"/>
      <c r="N1137" s="136"/>
      <c r="O1137" s="132"/>
      <c r="P1137" s="134" t="s">
        <v>44</v>
      </c>
      <c r="Q1137" s="134"/>
      <c r="R1137" s="135"/>
      <c r="S1137" s="133"/>
      <c r="T1137" s="133"/>
      <c r="U1137" s="131"/>
    </row>
    <row r="1138" spans="2:26" ht="23.25">
      <c r="B1138" s="137" t="s">
        <v>122</v>
      </c>
      <c r="C1138" s="137"/>
      <c r="D1138" s="137"/>
      <c r="E1138" s="137"/>
      <c r="F1138" s="137"/>
      <c r="G1138" s="137"/>
      <c r="H1138" s="137"/>
      <c r="I1138" s="133"/>
      <c r="J1138" s="133"/>
      <c r="K1138" s="133"/>
      <c r="L1138" s="133"/>
      <c r="M1138" s="133"/>
      <c r="N1138" s="137" t="s">
        <v>123</v>
      </c>
      <c r="O1138" s="137"/>
      <c r="P1138" s="137"/>
      <c r="Q1138" s="137"/>
      <c r="R1138" s="137"/>
      <c r="S1138" s="137"/>
      <c r="T1138" s="137"/>
      <c r="U1138" s="137"/>
    </row>
    <row r="1139" spans="2:26" ht="15.75" thickBot="1">
      <c r="B1139" s="65"/>
      <c r="C1139" s="93" t="s">
        <v>45</v>
      </c>
      <c r="D1139" s="60" t="s">
        <v>113</v>
      </c>
      <c r="E1139" s="414" t="s">
        <v>114</v>
      </c>
      <c r="F1139" s="414"/>
      <c r="G1139" s="60" t="s">
        <v>115</v>
      </c>
      <c r="H1139" s="411" t="s">
        <v>116</v>
      </c>
      <c r="I1139" s="412"/>
      <c r="N1139" s="65"/>
      <c r="O1139" s="93" t="s">
        <v>45</v>
      </c>
      <c r="P1139" s="60" t="s">
        <v>113</v>
      </c>
      <c r="Q1139" s="414" t="s">
        <v>114</v>
      </c>
      <c r="R1139" s="414"/>
      <c r="S1139" s="60" t="s">
        <v>115</v>
      </c>
      <c r="T1139" s="411" t="s">
        <v>116</v>
      </c>
      <c r="U1139" s="412"/>
    </row>
    <row r="1140" spans="2:26" ht="15.75" thickBot="1">
      <c r="B1140" s="94" t="s">
        <v>14</v>
      </c>
      <c r="C1140" s="82" t="e">
        <f>D1140+E1140+G1140+H1140</f>
        <v>#REF!</v>
      </c>
      <c r="D1140" s="75">
        <f>Algandmed!AE176</f>
        <v>0</v>
      </c>
      <c r="E1140" s="415" t="e">
        <f>Algandmed!#REF!</f>
        <v>#REF!</v>
      </c>
      <c r="F1140" s="415"/>
      <c r="G1140" s="58">
        <f>Algandmed!AF176</f>
        <v>0</v>
      </c>
      <c r="H1140" s="415">
        <f>Algandmed!AG176</f>
        <v>0</v>
      </c>
      <c r="I1140" s="415"/>
      <c r="N1140" s="94" t="s">
        <v>17</v>
      </c>
      <c r="O1140" s="82" t="e">
        <f>P1140+Q1140+S1140+T1140</f>
        <v>#REF!</v>
      </c>
      <c r="P1140" s="75">
        <f>Algandmed!AT176</f>
        <v>0</v>
      </c>
      <c r="Q1140" s="415" t="e">
        <f>Algandmed!#REF!</f>
        <v>#REF!</v>
      </c>
      <c r="R1140" s="415"/>
      <c r="S1140" s="58">
        <f>Algandmed!AU176</f>
        <v>0</v>
      </c>
      <c r="T1140" s="415">
        <f>Algandmed!AV176</f>
        <v>0</v>
      </c>
      <c r="U1140" s="415"/>
    </row>
    <row r="1141" spans="2:26">
      <c r="B1141" s="45"/>
      <c r="D1141" s="45"/>
      <c r="E1141" s="45"/>
      <c r="F1141" s="45"/>
      <c r="G1141" s="45"/>
      <c r="H1141" s="45"/>
      <c r="I1141" s="45"/>
      <c r="N1141" s="45"/>
      <c r="O1141" s="45"/>
      <c r="P1141" s="45"/>
      <c r="Q1141" s="45"/>
      <c r="R1141" s="45"/>
      <c r="S1141" s="45"/>
      <c r="T1141" s="45"/>
      <c r="U1141" s="45"/>
    </row>
    <row r="1142" spans="2:26">
      <c r="B1142" s="65"/>
      <c r="C1142" s="417"/>
      <c r="D1142" s="60" t="s">
        <v>113</v>
      </c>
      <c r="E1142" s="414" t="s">
        <v>114</v>
      </c>
      <c r="F1142" s="414"/>
      <c r="G1142" s="60" t="s">
        <v>115</v>
      </c>
      <c r="H1142" s="414" t="s">
        <v>116</v>
      </c>
      <c r="I1142" s="414"/>
      <c r="N1142" s="65"/>
      <c r="O1142" s="417"/>
      <c r="P1142" s="60" t="s">
        <v>113</v>
      </c>
      <c r="Q1142" s="414" t="s">
        <v>114</v>
      </c>
      <c r="R1142" s="414"/>
      <c r="S1142" s="60" t="s">
        <v>115</v>
      </c>
      <c r="T1142" s="411" t="s">
        <v>116</v>
      </c>
      <c r="U1142" s="412"/>
    </row>
    <row r="1143" spans="2:26">
      <c r="B1143" s="65" t="s">
        <v>14</v>
      </c>
      <c r="C1143" s="418"/>
      <c r="D1143" s="66" t="e">
        <f>D1140/C1140</f>
        <v>#REF!</v>
      </c>
      <c r="E1143" s="413" t="e">
        <f>E1140/C1140</f>
        <v>#REF!</v>
      </c>
      <c r="F1143" s="413"/>
      <c r="G1143" s="66" t="e">
        <f>G1140/C1140</f>
        <v>#REF!</v>
      </c>
      <c r="H1143" s="413" t="e">
        <f>H1140/C1140</f>
        <v>#REF!</v>
      </c>
      <c r="I1143" s="413"/>
      <c r="N1143" s="65" t="s">
        <v>17</v>
      </c>
      <c r="O1143" s="418"/>
      <c r="P1143" s="66" t="e">
        <f>P1140/O1140</f>
        <v>#REF!</v>
      </c>
      <c r="Q1143" s="413" t="e">
        <f>Q1140/O1140</f>
        <v>#REF!</v>
      </c>
      <c r="R1143" s="413"/>
      <c r="S1143" s="66" t="e">
        <f>S1140/O1140</f>
        <v>#REF!</v>
      </c>
      <c r="T1143" s="413" t="e">
        <f>T1140/O1140</f>
        <v>#REF!</v>
      </c>
      <c r="U1143" s="413"/>
    </row>
    <row r="1148" spans="2:26">
      <c r="Z1148"/>
    </row>
    <row r="1149" spans="2:26">
      <c r="Z1149"/>
    </row>
    <row r="1150" spans="2:26">
      <c r="Z1150"/>
    </row>
    <row r="1151" spans="2:26">
      <c r="Z1151"/>
    </row>
    <row r="1152" spans="2:26">
      <c r="Z1152"/>
    </row>
    <row r="1153" spans="2:26">
      <c r="Z1153"/>
    </row>
    <row r="1154" spans="2:26">
      <c r="Z1154"/>
    </row>
    <row r="1155" spans="2:26">
      <c r="Z1155"/>
    </row>
    <row r="1156" spans="2:26">
      <c r="Z1156"/>
    </row>
    <row r="1157" spans="2:26">
      <c r="Z1157"/>
    </row>
    <row r="1158" spans="2:26">
      <c r="Z1158"/>
    </row>
    <row r="1159" spans="2:26" ht="23.25">
      <c r="B1159" s="136"/>
      <c r="C1159" s="132"/>
      <c r="D1159" s="408" t="s">
        <v>44</v>
      </c>
      <c r="E1159" s="408"/>
      <c r="F1159" s="135"/>
      <c r="G1159" s="133"/>
      <c r="H1159" s="133"/>
      <c r="I1159" s="133"/>
      <c r="J1159" s="133"/>
      <c r="K1159" s="133"/>
      <c r="L1159" s="133"/>
      <c r="M1159" s="133"/>
      <c r="N1159" s="136"/>
      <c r="O1159" s="132"/>
      <c r="P1159" s="408" t="s">
        <v>44</v>
      </c>
      <c r="Q1159" s="408"/>
      <c r="R1159" s="135"/>
      <c r="S1159" s="133"/>
      <c r="T1159" s="136"/>
      <c r="U1159" s="136"/>
      <c r="V1159" s="133"/>
      <c r="W1159" s="133"/>
    </row>
    <row r="1160" spans="2:26" ht="23.25">
      <c r="B1160" s="133"/>
      <c r="C1160" s="408" t="s">
        <v>117</v>
      </c>
      <c r="D1160" s="408"/>
      <c r="E1160" s="408"/>
      <c r="F1160" s="408"/>
      <c r="G1160" s="133"/>
      <c r="H1160" s="133"/>
      <c r="I1160" s="133"/>
      <c r="J1160" s="133"/>
      <c r="K1160" s="133"/>
      <c r="L1160" s="133"/>
      <c r="M1160" s="133"/>
      <c r="N1160" s="133"/>
      <c r="O1160" s="408" t="s">
        <v>117</v>
      </c>
      <c r="P1160" s="408"/>
      <c r="Q1160" s="408"/>
      <c r="R1160" s="408"/>
      <c r="S1160" s="133"/>
      <c r="T1160" s="136"/>
      <c r="U1160" s="136"/>
      <c r="V1160" s="133"/>
      <c r="W1160" s="133"/>
    </row>
    <row r="1161" spans="2:26" ht="49.5" thickBot="1">
      <c r="B1161" s="65"/>
      <c r="C1161" s="93" t="s">
        <v>45</v>
      </c>
      <c r="D1161" s="121" t="s">
        <v>174</v>
      </c>
      <c r="E1161" s="410" t="s">
        <v>173</v>
      </c>
      <c r="F1161" s="410"/>
      <c r="G1161" s="123" t="s">
        <v>176</v>
      </c>
      <c r="H1161" s="124" t="s">
        <v>175</v>
      </c>
      <c r="I1161" s="122" t="s">
        <v>177</v>
      </c>
      <c r="J1161" s="125" t="s">
        <v>178</v>
      </c>
      <c r="K1161" s="126" t="s">
        <v>179</v>
      </c>
      <c r="N1161" s="65"/>
      <c r="O1161" s="93" t="s">
        <v>45</v>
      </c>
      <c r="P1161" s="121" t="s">
        <v>174</v>
      </c>
      <c r="Q1161" s="410" t="s">
        <v>173</v>
      </c>
      <c r="R1161" s="410"/>
      <c r="S1161" s="123" t="s">
        <v>176</v>
      </c>
      <c r="T1161" s="124" t="s">
        <v>175</v>
      </c>
      <c r="U1161" s="124" t="s">
        <v>177</v>
      </c>
      <c r="V1161" s="125" t="s">
        <v>178</v>
      </c>
      <c r="W1161" s="126" t="s">
        <v>179</v>
      </c>
    </row>
    <row r="1162" spans="2:26" ht="15.75" thickBot="1">
      <c r="B1162" s="65" t="s">
        <v>5</v>
      </c>
      <c r="C1162" s="82">
        <f>D1162+E1162+G1162+H1162+I1162+J1162+K1162</f>
        <v>0</v>
      </c>
      <c r="D1162" s="58">
        <f>Algandmed!AE194</f>
        <v>0</v>
      </c>
      <c r="E1162" s="415">
        <f>Algandmed!AF194</f>
        <v>0</v>
      </c>
      <c r="F1162" s="415"/>
      <c r="G1162" s="74">
        <f>Algandmed!AG194</f>
        <v>0</v>
      </c>
      <c r="H1162" s="98">
        <f>Algandmed!AH194</f>
        <v>0</v>
      </c>
      <c r="I1162" s="98">
        <f>Algandmed!AI194</f>
        <v>0</v>
      </c>
      <c r="J1162" s="98">
        <f>Algandmed!AJ194</f>
        <v>0</v>
      </c>
      <c r="K1162" s="118">
        <f>Algandmed!AK194</f>
        <v>0</v>
      </c>
      <c r="N1162" s="65" t="s">
        <v>1</v>
      </c>
      <c r="O1162" s="82">
        <f>P1162+Q1162+S1162+T1162+U1162+V1162+W1162</f>
        <v>0</v>
      </c>
      <c r="P1162" s="58">
        <f>Algandmed!AT194</f>
        <v>0</v>
      </c>
      <c r="Q1162" s="415">
        <f>Algandmed!AU194</f>
        <v>0</v>
      </c>
      <c r="R1162" s="415"/>
      <c r="S1162" s="74">
        <f>Algandmed!AV194</f>
        <v>0</v>
      </c>
      <c r="T1162" s="98">
        <f>Algandmed!AW194</f>
        <v>0</v>
      </c>
      <c r="U1162" s="98">
        <f>Algandmed!AX194</f>
        <v>0</v>
      </c>
      <c r="V1162" s="98">
        <f>Algandmed!AY194</f>
        <v>0</v>
      </c>
      <c r="W1162" s="118">
        <f>Algandmed!AZ194</f>
        <v>0</v>
      </c>
    </row>
    <row r="1164" spans="2:26" ht="48.75">
      <c r="B1164" s="94"/>
      <c r="C1164" s="95"/>
      <c r="D1164" s="121" t="s">
        <v>174</v>
      </c>
      <c r="E1164" s="410" t="s">
        <v>173</v>
      </c>
      <c r="F1164" s="410"/>
      <c r="G1164" s="123" t="s">
        <v>176</v>
      </c>
      <c r="H1164" s="124" t="s">
        <v>175</v>
      </c>
      <c r="I1164" s="122" t="s">
        <v>177</v>
      </c>
      <c r="J1164" s="125" t="s">
        <v>178</v>
      </c>
      <c r="K1164" s="126" t="s">
        <v>179</v>
      </c>
      <c r="N1164" s="94"/>
      <c r="O1164" s="95"/>
      <c r="P1164" s="121" t="s">
        <v>174</v>
      </c>
      <c r="Q1164" s="410" t="s">
        <v>173</v>
      </c>
      <c r="R1164" s="410"/>
      <c r="S1164" s="123" t="s">
        <v>176</v>
      </c>
      <c r="T1164" s="124" t="s">
        <v>175</v>
      </c>
      <c r="U1164" s="124" t="s">
        <v>177</v>
      </c>
      <c r="V1164" s="125" t="s">
        <v>178</v>
      </c>
      <c r="W1164" s="126" t="s">
        <v>179</v>
      </c>
    </row>
    <row r="1165" spans="2:26">
      <c r="B1165" s="94" t="s">
        <v>5</v>
      </c>
      <c r="C1165" s="96"/>
      <c r="D1165" s="73" t="e">
        <f>D1162/$C1162</f>
        <v>#DIV/0!</v>
      </c>
      <c r="E1165" s="413" t="e">
        <f>E1162/C1162</f>
        <v>#DIV/0!</v>
      </c>
      <c r="F1165" s="413"/>
      <c r="G1165" s="78" t="e">
        <f>G1162/C1162</f>
        <v>#DIV/0!</v>
      </c>
      <c r="H1165" s="99" t="e">
        <f>H1162/C1162</f>
        <v>#DIV/0!</v>
      </c>
      <c r="I1165" s="99" t="e">
        <f>I1162/C1162</f>
        <v>#DIV/0!</v>
      </c>
      <c r="J1165" s="99" t="e">
        <f>J1162/C1162</f>
        <v>#DIV/0!</v>
      </c>
      <c r="K1165" s="119" t="e">
        <f>K1162/C1162</f>
        <v>#DIV/0!</v>
      </c>
      <c r="N1165" s="94" t="s">
        <v>1</v>
      </c>
      <c r="O1165" s="96"/>
      <c r="P1165" s="73" t="e">
        <f>P1162/O1162</f>
        <v>#DIV/0!</v>
      </c>
      <c r="Q1165" s="413" t="e">
        <f>Q1162/O1162</f>
        <v>#DIV/0!</v>
      </c>
      <c r="R1165" s="413"/>
      <c r="S1165" s="78" t="e">
        <f>S1162/O1162</f>
        <v>#DIV/0!</v>
      </c>
      <c r="T1165" s="99" t="e">
        <f>T1162/O1162</f>
        <v>#DIV/0!</v>
      </c>
      <c r="U1165" s="99" t="e">
        <f>U1162/O1162</f>
        <v>#DIV/0!</v>
      </c>
      <c r="V1165" s="99" t="e">
        <f>V1162/O1162</f>
        <v>#DIV/0!</v>
      </c>
      <c r="W1165" s="119" t="e">
        <f>W1162/O1162</f>
        <v>#DIV/0!</v>
      </c>
    </row>
    <row r="1168" spans="2:26">
      <c r="K1168" s="69"/>
    </row>
    <row r="1180" spans="1:24" s="56" customFormat="1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</row>
    <row r="1181" spans="1:24" s="56" customFormat="1"/>
    <row r="1182" spans="1:24" s="56" customFormat="1"/>
    <row r="1183" spans="1:24" s="56" customFormat="1"/>
    <row r="1184" spans="1:24" s="56" customFormat="1"/>
    <row r="1185" spans="1:29">
      <c r="A1185" s="56"/>
      <c r="B1185" s="56"/>
      <c r="C1185" s="56"/>
      <c r="D1185" s="56"/>
      <c r="E1185" s="56"/>
      <c r="F1185" s="56"/>
      <c r="G1185" s="56"/>
      <c r="H1185" s="56"/>
      <c r="I1185" s="56"/>
      <c r="J1185" s="56"/>
      <c r="K1185" s="56"/>
      <c r="L1185" s="56"/>
      <c r="M1185" s="56"/>
      <c r="N1185" s="56"/>
      <c r="O1185" s="56"/>
      <c r="P1185" s="56"/>
      <c r="Q1185" s="56"/>
      <c r="R1185" s="56"/>
      <c r="S1185" s="56"/>
      <c r="T1185" s="56"/>
      <c r="U1185" s="56"/>
      <c r="V1185" s="56"/>
      <c r="W1185" s="56"/>
      <c r="X1185" s="56"/>
    </row>
    <row r="1186" spans="1:29" ht="23.25">
      <c r="A1186" s="408" t="s">
        <v>118</v>
      </c>
      <c r="B1186" s="408"/>
      <c r="C1186" s="408"/>
      <c r="D1186" s="408"/>
      <c r="E1186" s="408"/>
      <c r="F1186" s="408"/>
      <c r="G1186" s="408"/>
      <c r="H1186" s="408"/>
      <c r="I1186" s="408"/>
      <c r="J1186" s="408"/>
      <c r="K1186" s="408"/>
      <c r="L1186" s="408"/>
      <c r="M1186" s="408" t="s">
        <v>118</v>
      </c>
      <c r="N1186" s="408"/>
      <c r="O1186" s="408"/>
      <c r="P1186" s="408"/>
      <c r="Q1186" s="408"/>
      <c r="R1186" s="408"/>
      <c r="S1186" s="408"/>
      <c r="T1186" s="408"/>
      <c r="U1186" s="408"/>
      <c r="V1186" s="408"/>
      <c r="W1186" s="408"/>
      <c r="X1186" s="408"/>
    </row>
    <row r="1187" spans="1:29">
      <c r="A1187" s="45"/>
      <c r="B1187" s="45"/>
      <c r="C1187" s="45"/>
      <c r="D1187" s="45"/>
      <c r="E1187" s="45"/>
      <c r="F1187" s="45"/>
      <c r="G1187" s="45"/>
      <c r="H1187" s="45"/>
      <c r="I1187" s="45"/>
      <c r="J1187" s="45"/>
      <c r="K1187" s="45"/>
      <c r="L1187" s="45"/>
      <c r="M1187" s="45"/>
      <c r="N1187" s="45"/>
      <c r="O1187" s="45"/>
      <c r="P1187" s="45"/>
      <c r="Q1187" s="45"/>
      <c r="R1187" s="45"/>
      <c r="S1187" s="45"/>
      <c r="T1187" s="45"/>
      <c r="U1187" s="45"/>
      <c r="V1187" s="45"/>
      <c r="W1187" s="45"/>
      <c r="X1187" s="45"/>
    </row>
    <row r="1188" spans="1:29" ht="23.25">
      <c r="A1188" s="45"/>
      <c r="B1188" s="133"/>
      <c r="C1188" s="408" t="s">
        <v>102</v>
      </c>
      <c r="D1188" s="408"/>
      <c r="E1188" s="408"/>
      <c r="F1188" s="133"/>
      <c r="G1188" s="133"/>
      <c r="H1188" s="133"/>
      <c r="I1188" s="133"/>
      <c r="J1188" s="133"/>
      <c r="K1188" s="133"/>
      <c r="L1188" s="133"/>
      <c r="M1188" s="133"/>
      <c r="N1188" s="133"/>
      <c r="O1188" s="133"/>
      <c r="P1188" s="408" t="s">
        <v>102</v>
      </c>
      <c r="Q1188" s="408"/>
      <c r="R1188" s="408"/>
      <c r="S1188" s="133"/>
      <c r="T1188" s="133"/>
      <c r="U1188" s="45"/>
      <c r="V1188" s="45"/>
      <c r="W1188" s="45"/>
      <c r="X1188" s="45"/>
    </row>
    <row r="1189" spans="1:29" ht="23.25">
      <c r="A1189" s="45"/>
      <c r="B1189" s="133"/>
      <c r="C1189" s="134" t="s">
        <v>300</v>
      </c>
      <c r="D1189" s="134"/>
      <c r="E1189" s="134"/>
      <c r="F1189" s="134"/>
      <c r="G1189" s="133"/>
      <c r="H1189" s="133"/>
      <c r="I1189" s="133"/>
      <c r="J1189" s="133"/>
      <c r="K1189" s="133"/>
      <c r="L1189" s="133"/>
      <c r="M1189" s="133"/>
      <c r="N1189" s="133"/>
      <c r="O1189" s="134" t="s">
        <v>300</v>
      </c>
      <c r="P1189" s="134"/>
      <c r="Q1189" s="134"/>
      <c r="R1189" s="134"/>
      <c r="S1189" s="133"/>
      <c r="T1189" s="133"/>
      <c r="U1189" s="45"/>
      <c r="V1189" s="45"/>
      <c r="W1189" s="45"/>
      <c r="X1189" s="45"/>
    </row>
    <row r="1190" spans="1:29" ht="15.75" thickBot="1">
      <c r="A1190" s="45"/>
      <c r="B1190" s="60"/>
      <c r="C1190" s="93" t="s">
        <v>45</v>
      </c>
      <c r="D1190" s="414" t="s">
        <v>0</v>
      </c>
      <c r="E1190" s="414"/>
      <c r="F1190" s="63" t="s">
        <v>107</v>
      </c>
      <c r="G1190" s="64"/>
      <c r="L1190" s="45"/>
      <c r="M1190" s="45"/>
      <c r="N1190" s="60"/>
      <c r="O1190" s="93" t="s">
        <v>45</v>
      </c>
      <c r="P1190" s="414" t="s">
        <v>0</v>
      </c>
      <c r="Q1190" s="414"/>
      <c r="R1190" s="63" t="s">
        <v>107</v>
      </c>
      <c r="S1190" s="64"/>
      <c r="X1190" s="45"/>
    </row>
    <row r="1191" spans="1:29" ht="15.75" thickBot="1">
      <c r="A1191" s="45"/>
      <c r="B1191" s="61" t="s">
        <v>97</v>
      </c>
      <c r="C1191" s="82">
        <f>D1191+F1191</f>
        <v>5</v>
      </c>
      <c r="D1191" s="416">
        <f>Algandmed!AE200</f>
        <v>5</v>
      </c>
      <c r="E1191" s="421"/>
      <c r="F1191" s="416">
        <f>Algandmed!AF200</f>
        <v>0</v>
      </c>
      <c r="G1191" s="422"/>
      <c r="L1191" s="45"/>
      <c r="M1191" s="45"/>
      <c r="N1191" s="61" t="s">
        <v>39</v>
      </c>
      <c r="O1191" s="82">
        <f>P1191+R1191</f>
        <v>15</v>
      </c>
      <c r="P1191" s="416">
        <f>Algandmed!AT200</f>
        <v>8</v>
      </c>
      <c r="Q1191" s="421"/>
      <c r="R1191" s="416">
        <f>Algandmed!AU200</f>
        <v>7</v>
      </c>
      <c r="S1191" s="422"/>
      <c r="X1191" s="45"/>
    </row>
    <row r="1192" spans="1:29">
      <c r="A1192" s="45"/>
      <c r="B1192" s="45"/>
      <c r="C1192" s="45"/>
      <c r="D1192" s="45"/>
      <c r="E1192" s="45"/>
      <c r="F1192" s="45"/>
      <c r="G1192" s="45"/>
      <c r="L1192" s="45"/>
      <c r="M1192" s="45"/>
      <c r="N1192" s="45"/>
      <c r="O1192" s="45"/>
      <c r="P1192" s="45"/>
      <c r="Q1192" s="45"/>
      <c r="R1192" s="45"/>
      <c r="S1192" s="45"/>
      <c r="X1192" s="45"/>
    </row>
    <row r="1193" spans="1:29">
      <c r="A1193" s="45"/>
      <c r="B1193" s="71"/>
      <c r="C1193" s="417"/>
      <c r="D1193" s="412" t="s">
        <v>0</v>
      </c>
      <c r="E1193" s="414"/>
      <c r="F1193" s="63" t="s">
        <v>107</v>
      </c>
      <c r="G1193" s="64"/>
      <c r="L1193" s="45"/>
      <c r="M1193" s="45"/>
      <c r="N1193" s="71"/>
      <c r="O1193" s="417"/>
      <c r="P1193" s="412" t="s">
        <v>0</v>
      </c>
      <c r="Q1193" s="414"/>
      <c r="R1193" s="63" t="s">
        <v>107</v>
      </c>
      <c r="S1193" s="64"/>
      <c r="X1193" s="45"/>
    </row>
    <row r="1194" spans="1:29">
      <c r="A1194" s="45"/>
      <c r="B1194" s="92" t="s">
        <v>97</v>
      </c>
      <c r="C1194" s="418"/>
      <c r="D1194" s="425">
        <f>D1191/C1191</f>
        <v>1</v>
      </c>
      <c r="E1194" s="424"/>
      <c r="F1194" s="423">
        <f>F1191/C1191</f>
        <v>0</v>
      </c>
      <c r="G1194" s="424"/>
      <c r="L1194" s="45"/>
      <c r="M1194" s="45"/>
      <c r="N1194" s="92" t="s">
        <v>39</v>
      </c>
      <c r="O1194" s="418"/>
      <c r="P1194" s="425">
        <f>P1191/O1191</f>
        <v>0.53333333333333333</v>
      </c>
      <c r="Q1194" s="424"/>
      <c r="R1194" s="423">
        <f>R1191/O1191</f>
        <v>0.46666666666666667</v>
      </c>
      <c r="S1194" s="424"/>
      <c r="X1194" s="45"/>
    </row>
    <row r="1195" spans="1:29">
      <c r="A1195" s="45"/>
      <c r="B1195" s="45"/>
      <c r="C1195" s="45"/>
      <c r="D1195" s="45"/>
      <c r="E1195" s="45"/>
      <c r="F1195" s="45"/>
      <c r="G1195" s="45"/>
      <c r="H1195" s="45"/>
      <c r="I1195" s="45"/>
      <c r="J1195" s="45"/>
      <c r="K1195" s="45"/>
      <c r="L1195" s="45"/>
      <c r="M1195" s="45"/>
      <c r="N1195" s="45"/>
      <c r="O1195" s="45"/>
      <c r="P1195" s="45"/>
      <c r="Q1195" s="45"/>
      <c r="R1195" s="45"/>
      <c r="S1195" s="45"/>
      <c r="T1195" s="45"/>
      <c r="U1195" s="45"/>
      <c r="V1195" s="45"/>
      <c r="W1195" s="45"/>
      <c r="X1195" s="45"/>
    </row>
    <row r="1196" spans="1:29">
      <c r="A1196" s="45"/>
      <c r="B1196" s="45"/>
      <c r="C1196" s="45"/>
      <c r="D1196" s="45"/>
      <c r="E1196" s="45"/>
      <c r="F1196" s="45"/>
      <c r="G1196" s="45"/>
      <c r="H1196" s="45"/>
      <c r="I1196" s="45"/>
      <c r="J1196" s="45"/>
      <c r="K1196" s="45"/>
      <c r="L1196" s="45"/>
      <c r="M1196" s="45"/>
      <c r="N1196" s="45"/>
      <c r="O1196" s="45"/>
      <c r="P1196" s="45"/>
      <c r="Q1196" s="45"/>
      <c r="R1196" s="45"/>
      <c r="S1196" s="45"/>
      <c r="T1196" s="45"/>
      <c r="U1196" s="45"/>
      <c r="V1196" s="45"/>
      <c r="W1196" s="45"/>
      <c r="X1196" s="45"/>
    </row>
    <row r="1197" spans="1:29">
      <c r="A1197" s="45"/>
      <c r="B1197" s="45"/>
      <c r="C1197" s="45"/>
      <c r="D1197" s="45"/>
      <c r="E1197" s="45"/>
      <c r="F1197" s="45"/>
      <c r="G1197" s="45"/>
      <c r="H1197" s="45"/>
      <c r="I1197" s="45"/>
      <c r="J1197" s="45"/>
      <c r="K1197" s="45"/>
      <c r="L1197" s="45"/>
      <c r="M1197" s="45"/>
      <c r="N1197" s="45"/>
      <c r="O1197" s="45"/>
      <c r="P1197" s="45"/>
      <c r="Q1197" s="45"/>
      <c r="R1197" s="45"/>
      <c r="S1197" s="45"/>
      <c r="T1197" s="45"/>
      <c r="U1197" s="45"/>
      <c r="V1197" s="45"/>
      <c r="W1197" s="45"/>
      <c r="X1197" s="45"/>
    </row>
    <row r="1198" spans="1:29">
      <c r="A1198" s="45"/>
      <c r="B1198" s="45"/>
      <c r="C1198" s="45"/>
      <c r="D1198" s="45"/>
      <c r="E1198" s="45"/>
      <c r="F1198" s="45"/>
      <c r="G1198" s="45"/>
      <c r="H1198" s="45"/>
      <c r="I1198" s="45"/>
      <c r="J1198" s="45"/>
      <c r="K1198" s="45"/>
      <c r="L1198" s="45"/>
      <c r="M1198" s="45"/>
      <c r="N1198" s="45"/>
      <c r="O1198" s="45"/>
      <c r="P1198" s="45"/>
      <c r="Q1198" s="45"/>
      <c r="R1198" s="45"/>
      <c r="S1198" s="45"/>
      <c r="T1198" s="45"/>
      <c r="U1198" s="45"/>
      <c r="V1198" s="45"/>
      <c r="W1198" s="45"/>
      <c r="X1198" s="45"/>
    </row>
    <row r="1199" spans="1:29">
      <c r="A1199" s="45"/>
      <c r="B1199" s="45"/>
      <c r="C1199" s="45"/>
      <c r="D1199" s="45"/>
      <c r="E1199" s="45"/>
      <c r="F1199" s="45"/>
      <c r="G1199" s="45"/>
      <c r="H1199" s="45"/>
      <c r="I1199" s="45"/>
      <c r="J1199" s="45"/>
      <c r="K1199" s="45"/>
      <c r="L1199" s="45"/>
      <c r="M1199" s="45"/>
      <c r="N1199" s="45"/>
      <c r="O1199" s="45"/>
      <c r="P1199" s="45"/>
      <c r="Q1199" s="45"/>
      <c r="R1199" s="45"/>
      <c r="S1199" s="45"/>
      <c r="T1199" s="45"/>
      <c r="U1199" s="45"/>
      <c r="V1199" s="45"/>
      <c r="W1199" s="45"/>
      <c r="X1199" s="45"/>
      <c r="Y1199"/>
      <c r="Z1199"/>
      <c r="AA1199"/>
      <c r="AB1199"/>
      <c r="AC1199"/>
    </row>
    <row r="1200" spans="1:29">
      <c r="A1200" s="45"/>
      <c r="B1200" s="45"/>
      <c r="C1200" s="45"/>
      <c r="D1200" s="45"/>
      <c r="E1200" s="45"/>
      <c r="F1200" s="45"/>
      <c r="G1200" s="45"/>
      <c r="H1200" s="45"/>
      <c r="I1200" s="45"/>
      <c r="J1200" s="45"/>
      <c r="K1200" s="45"/>
      <c r="L1200" s="45"/>
      <c r="M1200" s="45"/>
      <c r="N1200" s="45"/>
      <c r="O1200" s="45"/>
      <c r="P1200" s="45"/>
      <c r="Q1200" s="45"/>
      <c r="R1200" s="45"/>
      <c r="S1200" s="45"/>
      <c r="T1200" s="45"/>
      <c r="U1200" s="45"/>
      <c r="V1200" s="45"/>
      <c r="W1200" s="45"/>
      <c r="X1200"/>
      <c r="Y1200"/>
      <c r="Z1200"/>
      <c r="AA1200"/>
      <c r="AB1200"/>
      <c r="AC1200"/>
    </row>
    <row r="1201" spans="1:29">
      <c r="A1201" s="45"/>
      <c r="B1201" s="45"/>
      <c r="C1201" s="45"/>
      <c r="D1201" s="45"/>
      <c r="E1201" s="45"/>
      <c r="F1201" s="45"/>
      <c r="G1201" s="45"/>
      <c r="H1201" s="45"/>
      <c r="I1201" s="45"/>
      <c r="J1201" s="45"/>
      <c r="K1201" s="45"/>
      <c r="L1201" s="45"/>
      <c r="M1201" s="45"/>
      <c r="N1201" s="45"/>
      <c r="O1201" s="45"/>
      <c r="P1201" s="45"/>
      <c r="Q1201" s="45"/>
      <c r="R1201" s="45"/>
      <c r="S1201" s="45"/>
      <c r="T1201" s="45"/>
      <c r="U1201" s="45"/>
      <c r="V1201" s="45"/>
      <c r="W1201" s="45"/>
      <c r="X1201"/>
      <c r="Y1201"/>
      <c r="Z1201"/>
      <c r="AA1201"/>
      <c r="AB1201"/>
      <c r="AC1201"/>
    </row>
    <row r="1202" spans="1:29">
      <c r="A1202" s="45"/>
      <c r="B1202" s="45"/>
      <c r="C1202" s="45"/>
      <c r="D1202" s="45"/>
      <c r="E1202" s="45"/>
      <c r="F1202" s="45"/>
      <c r="G1202" s="45"/>
      <c r="H1202" s="45"/>
      <c r="I1202" s="45"/>
      <c r="J1202" s="45"/>
      <c r="K1202" s="45"/>
      <c r="L1202" s="45"/>
      <c r="M1202" s="45"/>
      <c r="N1202" s="45"/>
      <c r="O1202" s="45"/>
      <c r="P1202" s="45"/>
      <c r="Q1202" s="45"/>
      <c r="R1202" s="45"/>
      <c r="S1202" s="45"/>
      <c r="T1202" s="45"/>
      <c r="U1202" s="45"/>
      <c r="V1202" s="45"/>
      <c r="W1202" s="45"/>
      <c r="X1202"/>
      <c r="Y1202"/>
      <c r="Z1202"/>
      <c r="AA1202"/>
      <c r="AB1202"/>
      <c r="AC1202"/>
    </row>
    <row r="1203" spans="1:29">
      <c r="A1203" s="45"/>
      <c r="B1203" s="45"/>
      <c r="C1203" s="45"/>
      <c r="D1203" s="45"/>
      <c r="E1203" s="45"/>
      <c r="F1203" s="45"/>
      <c r="G1203" s="45"/>
      <c r="H1203" s="45"/>
      <c r="I1203" s="45"/>
      <c r="J1203" s="45"/>
      <c r="K1203" s="45"/>
      <c r="L1203" s="45"/>
      <c r="M1203" s="45"/>
      <c r="N1203" s="45"/>
      <c r="O1203" s="45"/>
      <c r="P1203" s="45"/>
      <c r="Q1203" s="45"/>
      <c r="R1203" s="45"/>
      <c r="S1203" s="45"/>
      <c r="T1203" s="45"/>
      <c r="U1203" s="45"/>
      <c r="V1203" s="45"/>
      <c r="W1203" s="45"/>
      <c r="X1203"/>
      <c r="Y1203"/>
      <c r="Z1203"/>
      <c r="AA1203"/>
      <c r="AB1203"/>
      <c r="AC1203"/>
    </row>
    <row r="1204" spans="1:29">
      <c r="A1204" s="45"/>
      <c r="B1204" s="45"/>
      <c r="C1204" s="45"/>
      <c r="D1204" s="45"/>
      <c r="E1204" s="45"/>
      <c r="F1204" s="45"/>
      <c r="G1204" s="45"/>
      <c r="H1204" s="45"/>
      <c r="I1204" s="45"/>
      <c r="J1204" s="45"/>
      <c r="K1204" s="45"/>
      <c r="L1204" s="45"/>
      <c r="M1204" s="45"/>
      <c r="N1204" s="45"/>
      <c r="O1204" s="45"/>
      <c r="P1204" s="45"/>
      <c r="Q1204" s="45"/>
      <c r="R1204" s="45"/>
      <c r="S1204" s="45"/>
      <c r="T1204" s="45"/>
      <c r="U1204" s="45"/>
      <c r="V1204" s="45"/>
      <c r="W1204" s="45"/>
      <c r="X1204"/>
      <c r="Y1204"/>
      <c r="Z1204"/>
      <c r="AA1204"/>
      <c r="AB1204"/>
      <c r="AC1204"/>
    </row>
    <row r="1205" spans="1:29">
      <c r="A1205" s="45"/>
      <c r="B1205" s="45"/>
      <c r="C1205" s="45"/>
      <c r="D1205" s="45"/>
      <c r="E1205" s="45"/>
      <c r="F1205" s="45"/>
      <c r="G1205" s="45"/>
      <c r="H1205" s="45"/>
      <c r="I1205" s="45"/>
      <c r="J1205" s="45"/>
      <c r="K1205" s="45"/>
      <c r="L1205" s="45"/>
      <c r="M1205" s="45"/>
      <c r="N1205" s="45"/>
      <c r="O1205" s="45"/>
      <c r="P1205" s="45"/>
      <c r="Q1205" s="45"/>
      <c r="R1205" s="45"/>
      <c r="S1205" s="45"/>
      <c r="T1205" s="45"/>
      <c r="U1205" s="45"/>
      <c r="V1205" s="45"/>
      <c r="W1205" s="45"/>
      <c r="X1205"/>
      <c r="Y1205"/>
      <c r="Z1205"/>
      <c r="AA1205"/>
      <c r="AB1205"/>
      <c r="AC1205"/>
    </row>
    <row r="1206" spans="1:29">
      <c r="A1206" s="45"/>
      <c r="B1206" s="45"/>
      <c r="C1206" s="45"/>
      <c r="D1206" s="45"/>
      <c r="E1206" s="45"/>
      <c r="F1206" s="45"/>
      <c r="G1206" s="45"/>
      <c r="H1206" s="45"/>
      <c r="I1206" s="45"/>
      <c r="J1206" s="45"/>
      <c r="K1206" s="45"/>
      <c r="L1206" s="45"/>
      <c r="M1206" s="45"/>
      <c r="N1206" s="45"/>
      <c r="O1206" s="45"/>
      <c r="P1206" s="45"/>
      <c r="Q1206" s="45"/>
      <c r="R1206" s="45"/>
      <c r="S1206" s="45"/>
      <c r="T1206" s="45"/>
      <c r="U1206" s="45"/>
      <c r="V1206" s="45"/>
      <c r="W1206" s="45"/>
      <c r="X1206"/>
      <c r="Y1206"/>
      <c r="Z1206"/>
      <c r="AA1206"/>
      <c r="AB1206"/>
      <c r="AC1206"/>
    </row>
    <row r="1207" spans="1:29" ht="23.25">
      <c r="A1207" s="45"/>
      <c r="B1207" s="133"/>
      <c r="C1207" s="408" t="s">
        <v>102</v>
      </c>
      <c r="D1207" s="408"/>
      <c r="E1207" s="408"/>
      <c r="F1207" s="133"/>
      <c r="G1207" s="133"/>
      <c r="H1207" s="133"/>
      <c r="I1207" s="133"/>
      <c r="J1207" s="133"/>
      <c r="K1207" s="133"/>
      <c r="L1207" s="133"/>
      <c r="M1207" s="133"/>
      <c r="N1207" s="133"/>
      <c r="O1207" s="133"/>
      <c r="P1207" s="408" t="s">
        <v>102</v>
      </c>
      <c r="Q1207" s="408"/>
      <c r="R1207" s="408"/>
      <c r="S1207" s="133"/>
      <c r="T1207" s="133"/>
      <c r="U1207" s="45"/>
      <c r="V1207" s="45"/>
      <c r="W1207" s="45"/>
      <c r="X1207"/>
      <c r="Y1207"/>
      <c r="Z1207"/>
      <c r="AA1207"/>
      <c r="AB1207"/>
      <c r="AC1207"/>
    </row>
    <row r="1208" spans="1:29" ht="23.25">
      <c r="A1208" s="45"/>
      <c r="B1208" s="133"/>
      <c r="C1208" s="134" t="s">
        <v>300</v>
      </c>
      <c r="D1208" s="134"/>
      <c r="E1208" s="134"/>
      <c r="F1208" s="134"/>
      <c r="G1208" s="133"/>
      <c r="H1208" s="133"/>
      <c r="I1208" s="133"/>
      <c r="J1208" s="133"/>
      <c r="K1208" s="133"/>
      <c r="L1208" s="133"/>
      <c r="M1208" s="133"/>
      <c r="N1208" s="133"/>
      <c r="O1208" s="134" t="s">
        <v>300</v>
      </c>
      <c r="P1208" s="134"/>
      <c r="Q1208" s="134"/>
      <c r="R1208" s="134"/>
      <c r="S1208" s="133"/>
      <c r="T1208" s="133"/>
      <c r="U1208" s="45"/>
      <c r="V1208" s="45"/>
      <c r="W1208" s="45"/>
      <c r="X1208"/>
      <c r="Y1208"/>
      <c r="Z1208"/>
      <c r="AA1208"/>
      <c r="AB1208"/>
      <c r="AC1208"/>
    </row>
    <row r="1209" spans="1:29" ht="15.75" thickBot="1">
      <c r="A1209" s="45"/>
      <c r="B1209" s="60"/>
      <c r="C1209" s="93" t="s">
        <v>45</v>
      </c>
      <c r="D1209" s="414" t="s">
        <v>0</v>
      </c>
      <c r="E1209" s="414"/>
      <c r="F1209" s="411" t="s">
        <v>108</v>
      </c>
      <c r="G1209" s="412"/>
      <c r="H1209" s="414" t="s">
        <v>109</v>
      </c>
      <c r="I1209" s="414"/>
      <c r="J1209" s="45"/>
      <c r="K1209" s="45"/>
      <c r="L1209" s="45"/>
      <c r="M1209" s="45"/>
      <c r="N1209" s="60"/>
      <c r="O1209" s="93" t="s">
        <v>45</v>
      </c>
      <c r="P1209" s="414" t="s">
        <v>0</v>
      </c>
      <c r="Q1209" s="414"/>
      <c r="R1209" s="411" t="s">
        <v>108</v>
      </c>
      <c r="S1209" s="412"/>
      <c r="T1209" s="414" t="s">
        <v>109</v>
      </c>
      <c r="U1209" s="414"/>
      <c r="X1209"/>
      <c r="Y1209"/>
      <c r="Z1209"/>
      <c r="AA1209"/>
      <c r="AB1209"/>
      <c r="AC1209"/>
    </row>
    <row r="1210" spans="1:29" ht="15.75" thickBot="1">
      <c r="A1210" s="45"/>
      <c r="B1210" s="61" t="s">
        <v>97</v>
      </c>
      <c r="C1210" s="82">
        <f>D1210+F1210+H1210</f>
        <v>5</v>
      </c>
      <c r="D1210" s="416">
        <f>Algandmed!AE205</f>
        <v>5</v>
      </c>
      <c r="E1210" s="421"/>
      <c r="F1210" s="416">
        <f>Algandmed!AF205</f>
        <v>0</v>
      </c>
      <c r="G1210" s="421"/>
      <c r="H1210" s="416">
        <f>Algandmed!AG205</f>
        <v>0</v>
      </c>
      <c r="I1210" s="422"/>
      <c r="J1210" s="45"/>
      <c r="K1210" s="45"/>
      <c r="L1210" s="45"/>
      <c r="M1210" s="45"/>
      <c r="N1210" s="61" t="s">
        <v>39</v>
      </c>
      <c r="O1210" s="82">
        <f>P1210+R1210+T1210</f>
        <v>15</v>
      </c>
      <c r="P1210" s="416">
        <f>Algandmed!AT205</f>
        <v>8</v>
      </c>
      <c r="Q1210" s="421"/>
      <c r="R1210" s="416">
        <f>Algandmed!AU205</f>
        <v>5</v>
      </c>
      <c r="S1210" s="421"/>
      <c r="T1210" s="416">
        <f>Algandmed!AV205</f>
        <v>2</v>
      </c>
      <c r="U1210" s="422"/>
      <c r="X1210"/>
      <c r="Y1210"/>
      <c r="Z1210"/>
      <c r="AA1210"/>
      <c r="AB1210"/>
      <c r="AC1210"/>
    </row>
    <row r="1211" spans="1:29">
      <c r="A1211" s="45"/>
      <c r="B1211" s="45"/>
      <c r="D1211" s="45"/>
      <c r="E1211" s="45"/>
      <c r="F1211" s="45"/>
      <c r="G1211" s="45"/>
      <c r="H1211" s="45"/>
      <c r="I1211" s="45"/>
      <c r="J1211" s="45"/>
      <c r="K1211" s="45"/>
      <c r="L1211" s="45"/>
      <c r="M1211" s="45"/>
      <c r="N1211" s="45"/>
      <c r="O1211" s="45"/>
      <c r="P1211" s="45"/>
      <c r="Q1211" s="45"/>
      <c r="R1211" s="45"/>
      <c r="S1211" s="45"/>
      <c r="T1211" s="45"/>
      <c r="U1211" s="45"/>
      <c r="X1211"/>
      <c r="Y1211"/>
      <c r="Z1211"/>
      <c r="AA1211"/>
      <c r="AB1211"/>
      <c r="AC1211"/>
    </row>
    <row r="1212" spans="1:29">
      <c r="A1212" s="45"/>
      <c r="B1212" s="71"/>
      <c r="C1212" s="417"/>
      <c r="D1212" s="412" t="s">
        <v>0</v>
      </c>
      <c r="E1212" s="414"/>
      <c r="F1212" s="411" t="s">
        <v>108</v>
      </c>
      <c r="G1212" s="412"/>
      <c r="H1212" s="414" t="s">
        <v>109</v>
      </c>
      <c r="I1212" s="414"/>
      <c r="J1212" s="45"/>
      <c r="K1212" s="45"/>
      <c r="L1212" s="45"/>
      <c r="M1212" s="45"/>
      <c r="N1212" s="71"/>
      <c r="O1212" s="417"/>
      <c r="P1212" s="412" t="s">
        <v>0</v>
      </c>
      <c r="Q1212" s="414"/>
      <c r="R1212" s="411" t="s">
        <v>108</v>
      </c>
      <c r="S1212" s="412"/>
      <c r="T1212" s="414" t="s">
        <v>109</v>
      </c>
      <c r="U1212" s="414"/>
      <c r="X1212"/>
      <c r="Y1212"/>
      <c r="Z1212"/>
      <c r="AA1212"/>
      <c r="AB1212"/>
      <c r="AC1212"/>
    </row>
    <row r="1213" spans="1:29">
      <c r="A1213" s="45"/>
      <c r="B1213" s="92" t="s">
        <v>97</v>
      </c>
      <c r="C1213" s="418"/>
      <c r="D1213" s="425">
        <f>D1210/C1210</f>
        <v>1</v>
      </c>
      <c r="E1213" s="424"/>
      <c r="F1213" s="423">
        <f>F1210/C1210</f>
        <v>0</v>
      </c>
      <c r="G1213" s="424"/>
      <c r="H1213" s="423">
        <f>H1210/C1210</f>
        <v>0</v>
      </c>
      <c r="I1213" s="424"/>
      <c r="J1213" s="45"/>
      <c r="K1213" s="45"/>
      <c r="L1213" s="45"/>
      <c r="M1213" s="45"/>
      <c r="N1213" s="92" t="s">
        <v>39</v>
      </c>
      <c r="O1213" s="418"/>
      <c r="P1213" s="425">
        <f>P1210/O1210</f>
        <v>0.53333333333333333</v>
      </c>
      <c r="Q1213" s="424"/>
      <c r="R1213" s="423">
        <f>R1210/O1210</f>
        <v>0.33333333333333331</v>
      </c>
      <c r="S1213" s="424"/>
      <c r="T1213" s="423">
        <f>T1210/O1210</f>
        <v>0.13333333333333333</v>
      </c>
      <c r="U1213" s="424"/>
      <c r="X1213"/>
      <c r="Y1213"/>
      <c r="Z1213"/>
      <c r="AA1213"/>
      <c r="AB1213"/>
      <c r="AC1213"/>
    </row>
    <row r="1214" spans="1:29">
      <c r="A1214" s="45"/>
      <c r="B1214" s="45"/>
      <c r="C1214" s="45"/>
      <c r="D1214" s="45"/>
      <c r="E1214" s="45"/>
      <c r="F1214" s="45"/>
      <c r="G1214" s="45"/>
      <c r="H1214" s="45"/>
      <c r="I1214" s="45"/>
      <c r="J1214" s="45"/>
      <c r="K1214" s="45"/>
      <c r="L1214" s="45"/>
      <c r="M1214" s="45"/>
      <c r="N1214" s="45"/>
      <c r="O1214" s="45"/>
      <c r="P1214" s="45"/>
      <c r="Q1214" s="45"/>
      <c r="R1214" s="45"/>
      <c r="S1214" s="45"/>
      <c r="T1214" s="45"/>
      <c r="U1214" s="45"/>
      <c r="V1214" s="45"/>
      <c r="W1214" s="45"/>
      <c r="X1214"/>
      <c r="Y1214"/>
      <c r="Z1214"/>
      <c r="AA1214"/>
      <c r="AB1214"/>
      <c r="AC1214"/>
    </row>
    <row r="1215" spans="1:29">
      <c r="A1215" s="45"/>
      <c r="B1215" s="45"/>
      <c r="C1215" s="45"/>
      <c r="D1215" s="45"/>
      <c r="E1215" s="45"/>
      <c r="F1215" s="45"/>
      <c r="G1215" s="45"/>
      <c r="H1215" s="45"/>
      <c r="I1215" s="45"/>
      <c r="J1215" s="45"/>
      <c r="K1215" s="45"/>
      <c r="L1215" s="45"/>
      <c r="M1215" s="45"/>
      <c r="N1215" s="45"/>
      <c r="O1215" s="45"/>
      <c r="P1215" s="45"/>
      <c r="Q1215" s="45"/>
      <c r="R1215" s="45"/>
      <c r="S1215" s="45"/>
      <c r="T1215" s="45"/>
      <c r="U1215" s="45"/>
      <c r="V1215" s="45"/>
      <c r="W1215" s="45"/>
      <c r="X1215"/>
      <c r="Y1215"/>
      <c r="Z1215"/>
      <c r="AA1215"/>
      <c r="AB1215"/>
      <c r="AC1215"/>
    </row>
    <row r="1216" spans="1:29">
      <c r="A1216" s="45"/>
      <c r="B1216" s="45"/>
      <c r="C1216" s="45"/>
      <c r="D1216" s="45"/>
      <c r="E1216" s="45"/>
      <c r="F1216" s="45"/>
      <c r="G1216" s="45"/>
      <c r="H1216" s="45"/>
      <c r="I1216" s="45"/>
      <c r="J1216" s="45"/>
      <c r="K1216" s="45"/>
      <c r="L1216" s="45"/>
      <c r="M1216" s="45"/>
      <c r="N1216" s="45"/>
      <c r="O1216" s="45"/>
      <c r="P1216" s="45"/>
      <c r="Q1216" s="45"/>
      <c r="R1216" s="45"/>
      <c r="S1216" s="45"/>
      <c r="T1216" s="45"/>
      <c r="U1216" s="45"/>
      <c r="V1216" s="45"/>
      <c r="W1216" s="45"/>
      <c r="X1216"/>
      <c r="Y1216"/>
      <c r="Z1216"/>
      <c r="AA1216"/>
      <c r="AB1216"/>
      <c r="AC1216"/>
    </row>
    <row r="1217" spans="1:29">
      <c r="A1217" s="45"/>
      <c r="B1217" s="45"/>
      <c r="C1217" s="45"/>
      <c r="D1217" s="45"/>
      <c r="E1217" s="45"/>
      <c r="F1217" s="45"/>
      <c r="G1217" s="45"/>
      <c r="H1217" s="45"/>
      <c r="I1217" s="45"/>
      <c r="J1217" s="45"/>
      <c r="K1217" s="45"/>
      <c r="L1217" s="45"/>
      <c r="M1217" s="45"/>
      <c r="N1217" s="45"/>
      <c r="O1217" s="45"/>
      <c r="P1217" s="45"/>
      <c r="Q1217" s="45"/>
      <c r="R1217" s="45"/>
      <c r="S1217" s="45"/>
      <c r="T1217" s="45"/>
      <c r="U1217" s="45"/>
      <c r="V1217" s="45"/>
      <c r="W1217" s="45"/>
      <c r="X1217"/>
      <c r="Y1217"/>
      <c r="Z1217"/>
      <c r="AA1217"/>
      <c r="AB1217"/>
      <c r="AC1217"/>
    </row>
    <row r="1218" spans="1:29">
      <c r="A1218" s="45"/>
      <c r="B1218" s="45"/>
      <c r="C1218" s="45"/>
      <c r="D1218" s="45"/>
      <c r="E1218" s="45"/>
      <c r="F1218" s="45"/>
      <c r="G1218" s="45"/>
      <c r="H1218" s="45"/>
      <c r="I1218" s="45"/>
      <c r="J1218" s="45"/>
      <c r="K1218" s="45"/>
      <c r="L1218" s="45"/>
      <c r="M1218" s="45"/>
      <c r="N1218" s="45"/>
      <c r="O1218" s="45"/>
      <c r="P1218" s="45"/>
      <c r="Q1218" s="45"/>
      <c r="R1218" s="45"/>
      <c r="S1218" s="45"/>
      <c r="T1218" s="45"/>
      <c r="U1218" s="45"/>
      <c r="V1218" s="45"/>
      <c r="W1218" s="45"/>
      <c r="X1218"/>
      <c r="Y1218"/>
      <c r="Z1218"/>
      <c r="AA1218"/>
      <c r="AB1218"/>
      <c r="AC1218"/>
    </row>
    <row r="1219" spans="1:29">
      <c r="A1219" s="45"/>
      <c r="B1219" s="45"/>
      <c r="C1219" s="45"/>
      <c r="D1219" s="45"/>
      <c r="E1219" s="45"/>
      <c r="F1219" s="45"/>
      <c r="G1219" s="45"/>
      <c r="H1219" s="45"/>
      <c r="I1219" s="45"/>
      <c r="J1219" s="45"/>
      <c r="K1219" s="45"/>
      <c r="L1219" s="45"/>
      <c r="M1219" s="45"/>
      <c r="N1219" s="45"/>
      <c r="O1219" s="45"/>
      <c r="P1219" s="45"/>
      <c r="Q1219" s="45"/>
      <c r="R1219" s="45"/>
      <c r="S1219" s="45"/>
      <c r="T1219" s="45"/>
      <c r="U1219" s="45"/>
      <c r="V1219" s="45"/>
      <c r="W1219" s="45"/>
      <c r="X1219"/>
      <c r="Y1219"/>
      <c r="Z1219"/>
      <c r="AA1219"/>
      <c r="AB1219"/>
      <c r="AC1219"/>
    </row>
    <row r="1220" spans="1:29">
      <c r="A1220" s="45"/>
      <c r="B1220" s="45"/>
      <c r="C1220" s="45"/>
      <c r="D1220" s="45"/>
      <c r="E1220" s="45"/>
      <c r="F1220" s="45"/>
      <c r="G1220" s="45"/>
      <c r="H1220" s="45"/>
      <c r="I1220" s="45"/>
      <c r="J1220" s="45"/>
      <c r="K1220" s="45"/>
      <c r="L1220" s="45"/>
      <c r="M1220" s="45"/>
      <c r="N1220" s="45"/>
      <c r="O1220" s="45"/>
      <c r="P1220" s="45"/>
      <c r="Q1220" s="45"/>
      <c r="R1220" s="45"/>
      <c r="S1220" s="45"/>
      <c r="T1220" s="45"/>
      <c r="U1220" s="45"/>
      <c r="V1220" s="45"/>
      <c r="W1220" s="45"/>
      <c r="X1220"/>
      <c r="Y1220"/>
      <c r="Z1220"/>
      <c r="AA1220"/>
      <c r="AB1220"/>
      <c r="AC1220"/>
    </row>
    <row r="1221" spans="1:29">
      <c r="A1221" s="45"/>
      <c r="B1221" s="45"/>
      <c r="C1221" s="45"/>
      <c r="D1221" s="45"/>
      <c r="E1221" s="45"/>
      <c r="F1221" s="45"/>
      <c r="G1221" s="45"/>
      <c r="H1221" s="45"/>
      <c r="I1221" s="45"/>
      <c r="J1221" s="45"/>
      <c r="K1221" s="45"/>
      <c r="L1221" s="45"/>
      <c r="M1221" s="45"/>
      <c r="N1221" s="45"/>
      <c r="O1221" s="45"/>
      <c r="P1221" s="45"/>
      <c r="Q1221" s="45"/>
      <c r="R1221" s="45"/>
      <c r="S1221" s="45"/>
      <c r="T1221" s="45"/>
      <c r="U1221" s="45"/>
      <c r="V1221" s="45"/>
      <c r="W1221" s="45"/>
      <c r="X1221"/>
    </row>
    <row r="1222" spans="1:29">
      <c r="A1222" s="45"/>
      <c r="B1222" s="45"/>
      <c r="C1222" s="45"/>
      <c r="D1222" s="45"/>
      <c r="E1222" s="45"/>
      <c r="F1222" s="45"/>
      <c r="G1222" s="45"/>
      <c r="H1222" s="45"/>
      <c r="I1222" s="45"/>
      <c r="J1222" s="45"/>
      <c r="K1222" s="45"/>
      <c r="L1222" s="45"/>
      <c r="M1222" s="45"/>
      <c r="N1222" s="45"/>
      <c r="O1222" s="45"/>
      <c r="P1222" s="45"/>
      <c r="Q1222" s="45"/>
      <c r="R1222" s="45"/>
      <c r="S1222" s="45"/>
      <c r="T1222" s="45"/>
      <c r="U1222" s="45"/>
      <c r="V1222" s="45"/>
      <c r="W1222" s="45"/>
      <c r="X1222" s="45"/>
    </row>
    <row r="1223" spans="1:29">
      <c r="A1223" s="45"/>
      <c r="B1223" s="45"/>
      <c r="C1223" s="45"/>
      <c r="D1223" s="45"/>
      <c r="E1223" s="45"/>
      <c r="F1223" s="45"/>
      <c r="G1223" s="45"/>
      <c r="H1223" s="45"/>
      <c r="I1223" s="45"/>
      <c r="J1223" s="45"/>
      <c r="K1223" s="45"/>
      <c r="L1223" s="45"/>
      <c r="M1223" s="45"/>
      <c r="N1223" s="45"/>
      <c r="O1223" s="45"/>
      <c r="P1223" s="45"/>
      <c r="Q1223" s="45"/>
      <c r="R1223" s="45"/>
      <c r="S1223" s="45"/>
      <c r="T1223" s="45"/>
      <c r="U1223" s="45"/>
      <c r="V1223" s="45"/>
      <c r="W1223" s="45"/>
      <c r="X1223" s="45"/>
    </row>
    <row r="1224" spans="1:29">
      <c r="A1224" s="45"/>
      <c r="B1224" s="45"/>
      <c r="C1224" s="45"/>
      <c r="D1224" s="45"/>
      <c r="E1224" s="45"/>
      <c r="F1224" s="45"/>
      <c r="G1224" s="45"/>
      <c r="H1224" s="45"/>
      <c r="I1224" s="45"/>
      <c r="J1224" s="45"/>
      <c r="K1224" s="45"/>
      <c r="L1224" s="45"/>
      <c r="M1224" s="45"/>
      <c r="N1224" s="45"/>
      <c r="O1224" s="45"/>
      <c r="P1224" s="45"/>
      <c r="Q1224" s="45"/>
      <c r="R1224" s="45"/>
      <c r="S1224" s="45"/>
      <c r="T1224" s="45"/>
      <c r="U1224" s="45"/>
      <c r="V1224" s="45"/>
      <c r="W1224" s="45"/>
      <c r="X1224" s="45"/>
    </row>
    <row r="1225" spans="1:29">
      <c r="A1225" s="45"/>
      <c r="B1225" s="45"/>
      <c r="C1225" s="45"/>
      <c r="D1225" s="45"/>
      <c r="E1225" s="45"/>
      <c r="F1225" s="45"/>
      <c r="G1225" s="45"/>
      <c r="H1225" s="45"/>
      <c r="I1225" s="45"/>
      <c r="J1225" s="45"/>
      <c r="K1225" s="45"/>
      <c r="L1225" s="45"/>
      <c r="M1225" s="45"/>
      <c r="N1225" s="45"/>
      <c r="O1225" s="45"/>
      <c r="P1225" s="45"/>
      <c r="Q1225" s="45"/>
      <c r="R1225" s="45"/>
      <c r="S1225" s="45"/>
      <c r="T1225" s="45"/>
      <c r="U1225" s="45"/>
      <c r="V1225" s="45"/>
      <c r="W1225" s="45"/>
      <c r="X1225" s="45"/>
    </row>
    <row r="1226" spans="1:29" s="56" customFormat="1">
      <c r="A1226" s="45"/>
      <c r="B1226" s="45"/>
      <c r="C1226" s="45"/>
      <c r="D1226" s="45"/>
      <c r="E1226" s="45"/>
      <c r="F1226" s="45"/>
      <c r="G1226" s="45"/>
      <c r="H1226" s="45"/>
      <c r="I1226" s="45"/>
      <c r="J1226" s="45"/>
      <c r="K1226" s="45"/>
      <c r="L1226" s="45"/>
      <c r="M1226" s="45"/>
      <c r="N1226" s="45"/>
      <c r="O1226" s="45"/>
      <c r="P1226" s="45"/>
      <c r="Q1226" s="45"/>
      <c r="R1226" s="45"/>
      <c r="S1226" s="45"/>
      <c r="T1226" s="45"/>
      <c r="U1226" s="45"/>
      <c r="V1226" s="45"/>
      <c r="W1226" s="45"/>
      <c r="X1226" s="45"/>
    </row>
    <row r="1227" spans="1:29" s="56" customFormat="1"/>
    <row r="1228" spans="1:29" s="56" customFormat="1"/>
    <row r="1229" spans="1:29" s="56" customFormat="1"/>
    <row r="1230" spans="1:29" s="56" customFormat="1"/>
    <row r="1231" spans="1:29" s="56" customFormat="1"/>
    <row r="1232" spans="1:29" s="56" customFormat="1"/>
    <row r="1233" spans="1:29" s="56" customFormat="1"/>
    <row r="1234" spans="1:29">
      <c r="A1234" s="56"/>
      <c r="B1234" s="56"/>
      <c r="C1234" s="56"/>
      <c r="D1234" s="56"/>
      <c r="E1234" s="56"/>
      <c r="F1234" s="56"/>
      <c r="G1234" s="56"/>
      <c r="H1234" s="56"/>
      <c r="I1234" s="56"/>
      <c r="J1234" s="56"/>
      <c r="K1234" s="56"/>
      <c r="L1234" s="56"/>
      <c r="M1234" s="56"/>
      <c r="N1234" s="56"/>
      <c r="O1234" s="56"/>
      <c r="P1234" s="56"/>
      <c r="Q1234" s="56"/>
      <c r="R1234" s="56"/>
      <c r="S1234" s="56"/>
      <c r="T1234" s="56"/>
      <c r="U1234" s="56"/>
      <c r="V1234" s="56"/>
      <c r="W1234" s="56"/>
      <c r="X1234" s="56"/>
    </row>
    <row r="1235" spans="1:29" ht="23.25">
      <c r="A1235" s="45"/>
      <c r="B1235" s="136"/>
      <c r="C1235" s="408" t="s">
        <v>102</v>
      </c>
      <c r="D1235" s="408"/>
      <c r="E1235" s="408"/>
      <c r="F1235" s="135"/>
      <c r="G1235" s="133"/>
      <c r="H1235" s="133"/>
      <c r="I1235" s="133"/>
      <c r="J1235" s="133"/>
      <c r="K1235" s="133"/>
      <c r="L1235" s="133"/>
      <c r="M1235" s="133"/>
      <c r="N1235" s="136"/>
      <c r="O1235" s="408" t="s">
        <v>102</v>
      </c>
      <c r="P1235" s="408"/>
      <c r="Q1235" s="408"/>
      <c r="R1235" s="408"/>
      <c r="S1235" s="133"/>
      <c r="T1235" s="133"/>
      <c r="U1235" s="45"/>
      <c r="V1235" s="45"/>
      <c r="W1235" s="45"/>
      <c r="X1235" s="45"/>
    </row>
    <row r="1236" spans="1:29" ht="23.25">
      <c r="A1236" s="45"/>
      <c r="B1236" s="419" t="s">
        <v>112</v>
      </c>
      <c r="C1236" s="419"/>
      <c r="D1236" s="419"/>
      <c r="E1236" s="419"/>
      <c r="F1236" s="419"/>
      <c r="G1236" s="419"/>
      <c r="H1236" s="419"/>
      <c r="I1236" s="419"/>
      <c r="J1236" s="133"/>
      <c r="K1236" s="133"/>
      <c r="L1236" s="133"/>
      <c r="M1236" s="133"/>
      <c r="N1236" s="419" t="s">
        <v>112</v>
      </c>
      <c r="O1236" s="419"/>
      <c r="P1236" s="419"/>
      <c r="Q1236" s="419"/>
      <c r="R1236" s="419"/>
      <c r="S1236" s="419"/>
      <c r="T1236" s="419"/>
      <c r="U1236" s="419"/>
      <c r="V1236" s="45"/>
      <c r="W1236" s="45"/>
      <c r="X1236" s="45"/>
    </row>
    <row r="1237" spans="1:29" ht="15.75" thickBot="1">
      <c r="A1237" s="45"/>
      <c r="B1237" s="65"/>
      <c r="C1237" s="93" t="s">
        <v>45</v>
      </c>
      <c r="D1237" s="60" t="s">
        <v>52</v>
      </c>
      <c r="E1237" s="414" t="s">
        <v>110</v>
      </c>
      <c r="F1237" s="414"/>
      <c r="G1237" s="60" t="s">
        <v>54</v>
      </c>
      <c r="H1237" s="420" t="s">
        <v>111</v>
      </c>
      <c r="I1237" s="420"/>
      <c r="J1237" s="45"/>
      <c r="K1237" s="45"/>
      <c r="L1237" s="45"/>
      <c r="M1237" s="45"/>
      <c r="N1237" s="65"/>
      <c r="O1237" s="93" t="s">
        <v>45</v>
      </c>
      <c r="P1237" s="60" t="s">
        <v>52</v>
      </c>
      <c r="Q1237" s="414" t="s">
        <v>110</v>
      </c>
      <c r="R1237" s="414"/>
      <c r="S1237" s="60" t="s">
        <v>54</v>
      </c>
      <c r="T1237" s="420" t="s">
        <v>119</v>
      </c>
      <c r="U1237" s="420"/>
    </row>
    <row r="1238" spans="1:29" ht="15.75" thickBot="1">
      <c r="A1238" s="45"/>
      <c r="B1238" s="65" t="s">
        <v>68</v>
      </c>
      <c r="C1238" s="82">
        <f>D1238+E1238+G1238+H1238</f>
        <v>0</v>
      </c>
      <c r="D1238" s="58">
        <f>Algandmed!AE214</f>
        <v>0</v>
      </c>
      <c r="E1238" s="415">
        <f>Algandmed!AF214</f>
        <v>0</v>
      </c>
      <c r="F1238" s="415"/>
      <c r="G1238" s="58">
        <f>Algandmed!AG214</f>
        <v>0</v>
      </c>
      <c r="H1238" s="415">
        <f>Algandmed!AH214</f>
        <v>0</v>
      </c>
      <c r="I1238" s="416"/>
      <c r="J1238" s="45"/>
      <c r="K1238" s="45"/>
      <c r="L1238" s="45"/>
      <c r="M1238" s="45"/>
      <c r="N1238" s="65" t="s">
        <v>39</v>
      </c>
      <c r="O1238" s="82">
        <f>P1238+Q1238+S1238+T1238</f>
        <v>5</v>
      </c>
      <c r="P1238" s="58">
        <f>Algandmed!AT214</f>
        <v>0</v>
      </c>
      <c r="Q1238" s="415">
        <f>Algandmed!AU214</f>
        <v>0</v>
      </c>
      <c r="R1238" s="415"/>
      <c r="S1238" s="58">
        <f>Algandmed!AV214</f>
        <v>0</v>
      </c>
      <c r="T1238" s="415">
        <f>Algandmed!AW214</f>
        <v>5</v>
      </c>
      <c r="U1238" s="416"/>
    </row>
    <row r="1239" spans="1:29">
      <c r="A1239" s="45"/>
      <c r="B1239" s="45"/>
      <c r="D1239" s="45"/>
      <c r="E1239" s="45"/>
      <c r="F1239" s="45"/>
      <c r="G1239" s="45"/>
      <c r="H1239" s="45"/>
      <c r="I1239" s="45"/>
      <c r="J1239" s="45"/>
      <c r="K1239" s="45"/>
      <c r="L1239" s="45"/>
      <c r="M1239" s="45"/>
      <c r="N1239" s="45"/>
      <c r="O1239" s="45"/>
      <c r="P1239" s="45"/>
      <c r="Q1239" s="45"/>
      <c r="R1239" s="45"/>
      <c r="S1239" s="45"/>
      <c r="T1239" s="45"/>
      <c r="U1239" s="45"/>
    </row>
    <row r="1240" spans="1:29">
      <c r="A1240" s="45"/>
      <c r="B1240" s="94"/>
      <c r="C1240" s="417"/>
      <c r="D1240" s="72" t="s">
        <v>52</v>
      </c>
      <c r="E1240" s="414" t="s">
        <v>110</v>
      </c>
      <c r="F1240" s="414"/>
      <c r="G1240" s="60" t="s">
        <v>54</v>
      </c>
      <c r="H1240" s="420" t="s">
        <v>111</v>
      </c>
      <c r="I1240" s="420"/>
      <c r="J1240" s="45"/>
      <c r="K1240" s="45"/>
      <c r="L1240" s="45"/>
      <c r="M1240" s="45"/>
      <c r="N1240" s="94"/>
      <c r="O1240" s="417"/>
      <c r="P1240" s="72" t="s">
        <v>52</v>
      </c>
      <c r="Q1240" s="414" t="s">
        <v>110</v>
      </c>
      <c r="R1240" s="414"/>
      <c r="S1240" s="60" t="s">
        <v>54</v>
      </c>
      <c r="T1240" s="420" t="s">
        <v>119</v>
      </c>
      <c r="U1240" s="420"/>
    </row>
    <row r="1241" spans="1:29">
      <c r="A1241" s="45"/>
      <c r="B1241" s="94" t="s">
        <v>68</v>
      </c>
      <c r="C1241" s="418"/>
      <c r="D1241" s="73" t="e">
        <f>D1238/C1238</f>
        <v>#DIV/0!</v>
      </c>
      <c r="E1241" s="413" t="e">
        <f>E1238/C1238</f>
        <v>#DIV/0!</v>
      </c>
      <c r="F1241" s="413"/>
      <c r="G1241" s="66" t="e">
        <f>G1238/C1238</f>
        <v>#DIV/0!</v>
      </c>
      <c r="H1241" s="413" t="e">
        <f>H1238/C1238</f>
        <v>#DIV/0!</v>
      </c>
      <c r="I1241" s="413"/>
      <c r="J1241" s="45"/>
      <c r="K1241" s="45"/>
      <c r="L1241" s="45"/>
      <c r="M1241" s="45"/>
      <c r="N1241" s="94" t="s">
        <v>39</v>
      </c>
      <c r="O1241" s="418"/>
      <c r="P1241" s="73">
        <f>P1238/O1238</f>
        <v>0</v>
      </c>
      <c r="Q1241" s="413">
        <f>Q1238/O1238</f>
        <v>0</v>
      </c>
      <c r="R1241" s="413"/>
      <c r="S1241" s="66">
        <f>S1238/O1238</f>
        <v>0</v>
      </c>
      <c r="T1241" s="413">
        <f>T1238/O1238</f>
        <v>1</v>
      </c>
      <c r="U1241" s="413"/>
    </row>
    <row r="1242" spans="1:29">
      <c r="A1242" s="45"/>
      <c r="B1242" s="45"/>
      <c r="C1242" s="45"/>
      <c r="D1242" s="45"/>
      <c r="E1242" s="45"/>
      <c r="F1242" s="45"/>
      <c r="G1242" s="45"/>
      <c r="H1242" s="45"/>
      <c r="I1242" s="45"/>
      <c r="J1242" s="45"/>
      <c r="K1242" s="45"/>
      <c r="L1242" s="45"/>
      <c r="M1242" s="45"/>
      <c r="N1242" s="45"/>
      <c r="O1242" s="45"/>
      <c r="P1242" s="45"/>
      <c r="Q1242" s="45"/>
      <c r="R1242" s="45"/>
      <c r="S1242" s="45"/>
      <c r="T1242" s="45"/>
      <c r="U1242" s="45"/>
      <c r="V1242" s="45"/>
      <c r="W1242" s="45"/>
      <c r="X1242" s="45"/>
    </row>
    <row r="1243" spans="1:29">
      <c r="A1243" s="45"/>
      <c r="B1243" s="45"/>
      <c r="C1243" s="45"/>
      <c r="D1243" s="45"/>
      <c r="E1243" s="45"/>
      <c r="F1243" s="45"/>
      <c r="G1243" s="45"/>
      <c r="H1243" s="45"/>
      <c r="I1243" s="45"/>
      <c r="J1243" s="45"/>
      <c r="K1243" s="45"/>
      <c r="L1243" s="45"/>
      <c r="M1243" s="45"/>
      <c r="N1243" s="45"/>
      <c r="O1243" s="45"/>
      <c r="P1243" s="45"/>
      <c r="Q1243" s="45"/>
      <c r="R1243" s="45"/>
      <c r="S1243" s="45"/>
      <c r="T1243" s="45"/>
      <c r="U1243" s="45"/>
      <c r="V1243" s="45"/>
      <c r="W1243" s="45"/>
      <c r="X1243" s="45"/>
    </row>
    <row r="1244" spans="1:29">
      <c r="A1244" s="45"/>
      <c r="B1244" s="45"/>
      <c r="C1244" s="45"/>
      <c r="D1244" s="45"/>
      <c r="E1244" s="45"/>
      <c r="F1244" s="45"/>
      <c r="G1244" s="45"/>
      <c r="H1244" s="45"/>
      <c r="I1244" s="45"/>
      <c r="J1244" s="45"/>
      <c r="K1244" s="45"/>
      <c r="L1244" s="45"/>
      <c r="M1244" s="45"/>
      <c r="N1244" s="45"/>
      <c r="O1244" s="45"/>
      <c r="P1244" s="45"/>
      <c r="Q1244" s="45"/>
      <c r="R1244" s="45"/>
      <c r="S1244" s="45"/>
      <c r="T1244" s="45"/>
      <c r="U1244" s="45"/>
      <c r="V1244" s="45"/>
      <c r="W1244" s="45"/>
      <c r="X1244" s="45"/>
    </row>
    <row r="1245" spans="1:29">
      <c r="A1245" s="45"/>
      <c r="B1245" s="45"/>
      <c r="C1245" s="45"/>
      <c r="D1245" s="45"/>
      <c r="E1245" s="45"/>
      <c r="F1245" s="45"/>
      <c r="G1245" s="45"/>
      <c r="H1245" s="45"/>
      <c r="I1245" s="45"/>
      <c r="J1245" s="45"/>
      <c r="K1245" s="45"/>
      <c r="L1245" s="45"/>
      <c r="M1245" s="45"/>
      <c r="N1245" s="45"/>
      <c r="O1245" s="45"/>
      <c r="P1245" s="45"/>
      <c r="Q1245" s="45"/>
      <c r="R1245" s="45"/>
      <c r="S1245" s="45"/>
      <c r="T1245" s="45"/>
      <c r="U1245" s="45"/>
      <c r="V1245" s="45"/>
      <c r="W1245" s="45"/>
      <c r="X1245" s="45"/>
    </row>
    <row r="1246" spans="1:29">
      <c r="A1246" s="45"/>
      <c r="B1246" s="45"/>
      <c r="C1246" s="45"/>
      <c r="D1246" s="45"/>
      <c r="E1246" s="45"/>
      <c r="F1246" s="45"/>
      <c r="G1246" s="45"/>
      <c r="H1246" s="45"/>
      <c r="I1246" s="45"/>
      <c r="J1246" s="45"/>
      <c r="K1246" s="45"/>
      <c r="L1246" s="45"/>
      <c r="M1246" s="45"/>
      <c r="N1246" s="45"/>
      <c r="O1246" s="45"/>
      <c r="P1246" s="45"/>
      <c r="Q1246" s="45"/>
      <c r="R1246" s="45"/>
      <c r="S1246" s="45"/>
      <c r="T1246" s="45"/>
      <c r="U1246" s="45"/>
      <c r="V1246" s="45"/>
      <c r="W1246" s="45"/>
      <c r="X1246" s="45"/>
      <c r="Y1246"/>
      <c r="Z1246"/>
      <c r="AA1246"/>
      <c r="AB1246"/>
      <c r="AC1246"/>
    </row>
    <row r="1247" spans="1:29">
      <c r="A1247" s="45"/>
      <c r="B1247" s="45"/>
      <c r="C1247" s="45"/>
      <c r="D1247" s="45"/>
      <c r="E1247" s="45"/>
      <c r="F1247" s="45"/>
      <c r="G1247" s="45"/>
      <c r="H1247" s="45"/>
      <c r="I1247" s="45"/>
      <c r="J1247" s="45"/>
      <c r="K1247" s="45"/>
      <c r="L1247" s="45"/>
      <c r="M1247" s="45"/>
      <c r="N1247" s="45"/>
      <c r="O1247" s="45"/>
      <c r="P1247" s="45"/>
      <c r="Q1247" s="45"/>
      <c r="R1247" s="45"/>
      <c r="S1247" s="45"/>
      <c r="T1247" s="45"/>
      <c r="U1247" s="45"/>
      <c r="V1247" s="45"/>
      <c r="W1247" s="45"/>
      <c r="X1247" s="45"/>
      <c r="Y1247"/>
      <c r="Z1247"/>
      <c r="AA1247"/>
      <c r="AB1247"/>
      <c r="AC1247"/>
    </row>
    <row r="1248" spans="1:29">
      <c r="A1248" s="45"/>
      <c r="B1248" s="45"/>
      <c r="C1248" s="45"/>
      <c r="D1248" s="45"/>
      <c r="E1248" s="45"/>
      <c r="F1248" s="45"/>
      <c r="G1248" s="45"/>
      <c r="H1248" s="45"/>
      <c r="I1248" s="45"/>
      <c r="J1248" s="45"/>
      <c r="K1248" s="45"/>
      <c r="L1248" s="45"/>
      <c r="M1248" s="45"/>
      <c r="N1248" s="45"/>
      <c r="O1248" s="45"/>
      <c r="P1248" s="45"/>
      <c r="Q1248" s="45"/>
      <c r="R1248" s="45"/>
      <c r="S1248" s="45"/>
      <c r="T1248" s="45"/>
      <c r="U1248" s="45"/>
      <c r="V1248" s="45"/>
      <c r="W1248" s="45"/>
      <c r="X1248" s="45"/>
      <c r="Y1248"/>
      <c r="Z1248"/>
      <c r="AA1248"/>
      <c r="AB1248"/>
      <c r="AC1248"/>
    </row>
    <row r="1249" spans="1:29">
      <c r="A1249" s="45"/>
      <c r="B1249" s="45"/>
      <c r="C1249" s="45"/>
      <c r="D1249" s="45"/>
      <c r="E1249" s="45"/>
      <c r="F1249" s="45"/>
      <c r="G1249" s="45"/>
      <c r="H1249" s="45"/>
      <c r="I1249" s="45"/>
      <c r="J1249" s="45"/>
      <c r="K1249" s="45"/>
      <c r="L1249" s="45"/>
      <c r="M1249" s="45"/>
      <c r="N1249" s="45"/>
      <c r="O1249" s="45"/>
      <c r="P1249" s="45"/>
      <c r="Q1249" s="45"/>
      <c r="R1249" s="45"/>
      <c r="S1249" s="45"/>
      <c r="T1249" s="45"/>
      <c r="U1249" s="45"/>
      <c r="V1249" s="45"/>
      <c r="W1249" s="45"/>
      <c r="X1249" s="45"/>
      <c r="Y1249"/>
      <c r="Z1249"/>
      <c r="AA1249"/>
      <c r="AB1249"/>
      <c r="AC1249"/>
    </row>
    <row r="1250" spans="1:29">
      <c r="A1250" s="45"/>
      <c r="B1250" s="45"/>
      <c r="C1250" s="45"/>
      <c r="D1250" s="45"/>
      <c r="E1250" s="45"/>
      <c r="F1250" s="45"/>
      <c r="G1250" s="45"/>
      <c r="H1250" s="45"/>
      <c r="I1250" s="45"/>
      <c r="J1250" s="45"/>
      <c r="K1250" s="45"/>
      <c r="L1250" s="45"/>
      <c r="M1250" s="45"/>
      <c r="N1250" s="45"/>
      <c r="O1250" s="45"/>
      <c r="P1250" s="45"/>
      <c r="Q1250" s="45"/>
      <c r="R1250" s="45"/>
      <c r="S1250" s="45"/>
      <c r="T1250" s="45"/>
      <c r="U1250" s="45"/>
      <c r="V1250" s="45"/>
      <c r="W1250" s="45"/>
      <c r="X1250" s="45"/>
      <c r="Y1250"/>
      <c r="Z1250"/>
      <c r="AA1250"/>
      <c r="AB1250"/>
      <c r="AC1250"/>
    </row>
    <row r="1251" spans="1:29">
      <c r="A1251" s="45"/>
      <c r="B1251" s="45"/>
      <c r="C1251" s="45"/>
      <c r="D1251" s="45"/>
      <c r="E1251" s="45"/>
      <c r="F1251" s="45"/>
      <c r="G1251" s="45"/>
      <c r="H1251" s="45"/>
      <c r="I1251" s="45"/>
      <c r="J1251" s="45"/>
      <c r="K1251" s="45"/>
      <c r="L1251" s="45"/>
      <c r="M1251" s="45"/>
      <c r="N1251" s="45"/>
      <c r="O1251" s="45"/>
      <c r="P1251" s="45"/>
      <c r="Q1251" s="45"/>
      <c r="R1251" s="45"/>
      <c r="S1251" s="45"/>
      <c r="T1251" s="45"/>
      <c r="U1251" s="45"/>
      <c r="V1251" s="45"/>
      <c r="W1251" s="45"/>
      <c r="X1251" s="45"/>
      <c r="Y1251"/>
      <c r="Z1251"/>
      <c r="AA1251"/>
      <c r="AB1251"/>
      <c r="AC1251"/>
    </row>
    <row r="1252" spans="1:29">
      <c r="A1252" s="45"/>
      <c r="B1252" s="45"/>
      <c r="C1252" s="45"/>
      <c r="D1252" s="45"/>
      <c r="E1252" s="45"/>
      <c r="F1252" s="45"/>
      <c r="G1252" s="45"/>
      <c r="H1252" s="45"/>
      <c r="I1252" s="45"/>
      <c r="J1252" s="45"/>
      <c r="K1252" s="45"/>
      <c r="L1252" s="45"/>
      <c r="M1252" s="45"/>
      <c r="N1252" s="45"/>
      <c r="O1252" s="45"/>
      <c r="P1252" s="45"/>
      <c r="Q1252" s="45"/>
      <c r="R1252" s="45"/>
      <c r="S1252" s="45"/>
      <c r="T1252" s="45"/>
      <c r="U1252" s="45"/>
      <c r="V1252" s="45"/>
      <c r="W1252" s="45"/>
      <c r="X1252" s="45"/>
      <c r="Y1252"/>
      <c r="Z1252"/>
      <c r="AA1252"/>
      <c r="AB1252"/>
      <c r="AC1252"/>
    </row>
    <row r="1253" spans="1:29">
      <c r="A1253" s="45"/>
      <c r="B1253" s="45"/>
      <c r="C1253" s="45"/>
      <c r="D1253" s="45"/>
      <c r="E1253" s="45"/>
      <c r="F1253" s="45"/>
      <c r="G1253" s="45"/>
      <c r="H1253" s="45"/>
      <c r="I1253" s="45"/>
      <c r="J1253" s="45"/>
      <c r="K1253" s="45"/>
      <c r="L1253" s="45"/>
      <c r="M1253" s="45"/>
      <c r="N1253" s="45"/>
      <c r="O1253" s="45"/>
      <c r="P1253" s="45"/>
      <c r="Q1253" s="45"/>
      <c r="R1253" s="45"/>
      <c r="S1253" s="45"/>
      <c r="T1253" s="45"/>
      <c r="U1253" s="45"/>
      <c r="V1253" s="45"/>
      <c r="W1253" s="45"/>
      <c r="X1253" s="45"/>
      <c r="Y1253"/>
      <c r="Z1253"/>
      <c r="AA1253"/>
      <c r="AB1253"/>
      <c r="AC1253"/>
    </row>
    <row r="1254" spans="1:29">
      <c r="A1254" s="45"/>
      <c r="B1254" s="45"/>
      <c r="C1254" s="45"/>
      <c r="D1254" s="45"/>
      <c r="E1254" s="45"/>
      <c r="F1254" s="45"/>
      <c r="G1254" s="45"/>
      <c r="H1254" s="45"/>
      <c r="I1254" s="45"/>
      <c r="J1254" s="45"/>
      <c r="K1254" s="45"/>
      <c r="L1254" s="45"/>
      <c r="M1254" s="45"/>
      <c r="N1254" s="45"/>
      <c r="O1254" s="45"/>
      <c r="P1254" s="45"/>
      <c r="Q1254" s="45"/>
      <c r="R1254" s="45"/>
      <c r="S1254" s="45"/>
      <c r="T1254" s="45"/>
      <c r="U1254" s="45"/>
      <c r="V1254" s="45"/>
      <c r="W1254" s="45"/>
      <c r="X1254" s="45"/>
      <c r="Y1254"/>
      <c r="Z1254"/>
      <c r="AA1254"/>
      <c r="AB1254"/>
      <c r="AC1254"/>
    </row>
    <row r="1255" spans="1:29" ht="23.25">
      <c r="A1255" s="45"/>
      <c r="B1255" s="136"/>
      <c r="C1255" s="408" t="s">
        <v>102</v>
      </c>
      <c r="D1255" s="408"/>
      <c r="E1255" s="408"/>
      <c r="F1255" s="135"/>
      <c r="G1255" s="133"/>
      <c r="H1255" s="133"/>
      <c r="I1255" s="133"/>
      <c r="J1255" s="133"/>
      <c r="K1255" s="133"/>
      <c r="L1255" s="133"/>
      <c r="M1255" s="133"/>
      <c r="N1255" s="136"/>
      <c r="O1255" s="408" t="s">
        <v>102</v>
      </c>
      <c r="P1255" s="408"/>
      <c r="Q1255" s="408"/>
      <c r="R1255" s="408"/>
      <c r="S1255" s="133"/>
      <c r="T1255" s="133"/>
      <c r="U1255" s="133"/>
      <c r="V1255" s="45"/>
      <c r="W1255" s="45"/>
      <c r="X1255" s="45"/>
      <c r="Y1255"/>
      <c r="Z1255"/>
      <c r="AA1255"/>
      <c r="AB1255"/>
      <c r="AC1255"/>
    </row>
    <row r="1256" spans="1:29" ht="23.25">
      <c r="A1256" s="45"/>
      <c r="B1256" s="419" t="s">
        <v>121</v>
      </c>
      <c r="C1256" s="419"/>
      <c r="D1256" s="419"/>
      <c r="E1256" s="419"/>
      <c r="F1256" s="419"/>
      <c r="G1256" s="419"/>
      <c r="H1256" s="419"/>
      <c r="I1256" s="419"/>
      <c r="J1256" s="133"/>
      <c r="K1256" s="133"/>
      <c r="L1256" s="133"/>
      <c r="M1256" s="133"/>
      <c r="N1256" s="419" t="s">
        <v>121</v>
      </c>
      <c r="O1256" s="419"/>
      <c r="P1256" s="419"/>
      <c r="Q1256" s="419"/>
      <c r="R1256" s="419"/>
      <c r="S1256" s="419"/>
      <c r="T1256" s="419"/>
      <c r="U1256" s="419"/>
      <c r="V1256" s="45"/>
      <c r="W1256" s="45"/>
      <c r="X1256" s="45"/>
      <c r="Y1256"/>
      <c r="Z1256"/>
      <c r="AA1256"/>
      <c r="AB1256"/>
      <c r="AC1256"/>
    </row>
    <row r="1257" spans="1:29" ht="15.75" thickBot="1">
      <c r="A1257" s="45"/>
      <c r="B1257" s="65"/>
      <c r="C1257" s="93" t="s">
        <v>45</v>
      </c>
      <c r="D1257" s="60" t="s">
        <v>113</v>
      </c>
      <c r="E1257" s="414" t="s">
        <v>114</v>
      </c>
      <c r="F1257" s="414"/>
      <c r="G1257" s="60" t="s">
        <v>115</v>
      </c>
      <c r="H1257" s="411" t="s">
        <v>116</v>
      </c>
      <c r="I1257" s="412"/>
      <c r="J1257" s="45"/>
      <c r="K1257" s="45"/>
      <c r="L1257" s="45"/>
      <c r="M1257" s="45"/>
      <c r="N1257" s="65"/>
      <c r="O1257" s="93" t="s">
        <v>45</v>
      </c>
      <c r="P1257" s="60" t="s">
        <v>113</v>
      </c>
      <c r="Q1257" s="414" t="s">
        <v>114</v>
      </c>
      <c r="R1257" s="414"/>
      <c r="S1257" s="60" t="s">
        <v>115</v>
      </c>
      <c r="T1257" s="411" t="s">
        <v>116</v>
      </c>
      <c r="U1257" s="412"/>
    </row>
    <row r="1258" spans="1:29" ht="15.75" thickBot="1">
      <c r="A1258" s="45"/>
      <c r="B1258" s="65" t="s">
        <v>5</v>
      </c>
      <c r="C1258" s="82" t="e">
        <f>D1258+E1258+G1258+H1258</f>
        <v>#REF!</v>
      </c>
      <c r="D1258" s="58">
        <f>Algandmed!AE220</f>
        <v>0</v>
      </c>
      <c r="E1258" s="415" t="e">
        <f>Algandmed!#REF!</f>
        <v>#REF!</v>
      </c>
      <c r="F1258" s="415"/>
      <c r="G1258" s="58">
        <f>Algandmed!AF220</f>
        <v>0</v>
      </c>
      <c r="H1258" s="415">
        <f>Algandmed!AG220</f>
        <v>0</v>
      </c>
      <c r="I1258" s="416"/>
      <c r="J1258" s="45"/>
      <c r="K1258" s="45"/>
      <c r="L1258" s="45"/>
      <c r="M1258" s="45"/>
      <c r="N1258" s="65" t="s">
        <v>1</v>
      </c>
      <c r="O1258" s="82" t="e">
        <f>P1258+Q1258+S1258+T1258</f>
        <v>#REF!</v>
      </c>
      <c r="P1258" s="58">
        <f>Algandmed!AT220</f>
        <v>0</v>
      </c>
      <c r="Q1258" s="415" t="e">
        <f>Algandmed!#REF!</f>
        <v>#REF!</v>
      </c>
      <c r="R1258" s="415"/>
      <c r="S1258" s="58">
        <f>Algandmed!AU220</f>
        <v>0</v>
      </c>
      <c r="T1258" s="415">
        <f>Algandmed!AV220</f>
        <v>0</v>
      </c>
      <c r="U1258" s="416"/>
    </row>
    <row r="1259" spans="1:29">
      <c r="A1259" s="45"/>
      <c r="B1259" s="45"/>
      <c r="D1259" s="45"/>
      <c r="E1259" s="45"/>
      <c r="F1259" s="45"/>
      <c r="G1259" s="45"/>
      <c r="H1259" s="45"/>
      <c r="I1259" s="45"/>
      <c r="J1259" s="45"/>
      <c r="K1259" s="45"/>
      <c r="L1259" s="45"/>
      <c r="M1259" s="45"/>
      <c r="N1259" s="45"/>
      <c r="O1259" s="45"/>
      <c r="P1259" s="45"/>
      <c r="Q1259" s="45"/>
      <c r="R1259" s="45"/>
      <c r="S1259" s="45"/>
      <c r="T1259" s="45"/>
      <c r="U1259" s="45"/>
    </row>
    <row r="1260" spans="1:29">
      <c r="A1260" s="45"/>
      <c r="B1260" s="94"/>
      <c r="C1260" s="417"/>
      <c r="D1260" s="72" t="s">
        <v>113</v>
      </c>
      <c r="E1260" s="414" t="s">
        <v>114</v>
      </c>
      <c r="F1260" s="414"/>
      <c r="G1260" s="60" t="s">
        <v>115</v>
      </c>
      <c r="H1260" s="414" t="s">
        <v>116</v>
      </c>
      <c r="I1260" s="414"/>
      <c r="J1260" s="45"/>
      <c r="K1260" s="45"/>
      <c r="L1260" s="45"/>
      <c r="M1260" s="45"/>
      <c r="N1260" s="94"/>
      <c r="O1260" s="417"/>
      <c r="P1260" s="72" t="s">
        <v>113</v>
      </c>
      <c r="Q1260" s="414" t="s">
        <v>114</v>
      </c>
      <c r="R1260" s="414"/>
      <c r="S1260" s="60" t="s">
        <v>115</v>
      </c>
      <c r="T1260" s="411" t="s">
        <v>116</v>
      </c>
      <c r="U1260" s="412"/>
    </row>
    <row r="1261" spans="1:29">
      <c r="A1261" s="45"/>
      <c r="B1261" s="94" t="s">
        <v>5</v>
      </c>
      <c r="C1261" s="418"/>
      <c r="D1261" s="73" t="e">
        <f>D1258/C1258</f>
        <v>#REF!</v>
      </c>
      <c r="E1261" s="413" t="e">
        <f>E1258/C1258</f>
        <v>#REF!</v>
      </c>
      <c r="F1261" s="413"/>
      <c r="G1261" s="66" t="e">
        <f>G1258/C1258</f>
        <v>#REF!</v>
      </c>
      <c r="H1261" s="413" t="e">
        <f>H1258/C1258</f>
        <v>#REF!</v>
      </c>
      <c r="I1261" s="413"/>
      <c r="J1261" s="45"/>
      <c r="K1261" s="45"/>
      <c r="L1261" s="45"/>
      <c r="M1261" s="45"/>
      <c r="N1261" s="94" t="s">
        <v>1</v>
      </c>
      <c r="O1261" s="418"/>
      <c r="P1261" s="73" t="e">
        <f>P1258/O1258</f>
        <v>#REF!</v>
      </c>
      <c r="Q1261" s="413" t="e">
        <f>Q1258/O1258</f>
        <v>#REF!</v>
      </c>
      <c r="R1261" s="413"/>
      <c r="S1261" s="66" t="e">
        <f>S1258/O1258</f>
        <v>#REF!</v>
      </c>
      <c r="T1261" s="413" t="e">
        <f>T1258/O1258</f>
        <v>#REF!</v>
      </c>
      <c r="U1261" s="413"/>
    </row>
    <row r="1262" spans="1:29">
      <c r="A1262" s="45"/>
      <c r="B1262" s="45"/>
      <c r="C1262" s="45"/>
      <c r="D1262" s="45"/>
      <c r="E1262" s="45"/>
      <c r="F1262" s="45"/>
      <c r="G1262" s="45"/>
      <c r="H1262" s="45"/>
      <c r="I1262" s="68"/>
      <c r="J1262" s="45"/>
      <c r="K1262" s="45"/>
      <c r="L1262" s="45"/>
      <c r="M1262" s="45"/>
      <c r="N1262" s="45"/>
      <c r="O1262" s="45"/>
      <c r="P1262" s="45"/>
      <c r="Q1262" s="45"/>
      <c r="R1262" s="45"/>
      <c r="S1262" s="45"/>
      <c r="T1262" s="45"/>
      <c r="U1262" s="45"/>
      <c r="V1262" s="45"/>
      <c r="W1262" s="45"/>
      <c r="X1262" s="45"/>
    </row>
    <row r="1263" spans="1:29">
      <c r="A1263" s="45"/>
      <c r="B1263" s="45"/>
      <c r="C1263" s="45"/>
      <c r="D1263" s="45"/>
      <c r="E1263" s="45"/>
      <c r="F1263" s="45"/>
      <c r="G1263" s="45"/>
      <c r="H1263" s="45"/>
      <c r="I1263" s="45"/>
      <c r="J1263" s="45"/>
      <c r="K1263" s="45"/>
      <c r="L1263" s="45"/>
      <c r="M1263" s="45"/>
      <c r="N1263" s="45"/>
      <c r="O1263" s="45"/>
      <c r="P1263" s="45"/>
      <c r="Q1263" s="45"/>
      <c r="R1263" s="45"/>
      <c r="S1263" s="45"/>
      <c r="T1263" s="45"/>
      <c r="U1263" s="45"/>
      <c r="V1263" s="45"/>
      <c r="W1263" s="45"/>
      <c r="X1263" s="45"/>
    </row>
    <row r="1264" spans="1:29">
      <c r="A1264" s="45"/>
      <c r="B1264" s="45"/>
      <c r="C1264" s="45"/>
      <c r="D1264" s="45"/>
      <c r="E1264" s="45"/>
      <c r="F1264" s="45"/>
      <c r="G1264" s="45"/>
      <c r="H1264" s="45"/>
      <c r="I1264" s="45"/>
      <c r="J1264" s="45"/>
      <c r="K1264" s="45"/>
      <c r="L1264" s="45"/>
      <c r="M1264" s="45"/>
      <c r="N1264" s="45"/>
      <c r="O1264" s="45"/>
      <c r="P1264" s="45"/>
      <c r="Q1264" s="45"/>
      <c r="R1264" s="45"/>
      <c r="S1264" s="45"/>
      <c r="T1264" s="45"/>
      <c r="U1264" s="45"/>
      <c r="V1264" s="45"/>
      <c r="W1264" s="45"/>
      <c r="X1264" s="45"/>
    </row>
    <row r="1265" spans="1:24">
      <c r="A1265" s="45"/>
      <c r="B1265" s="45"/>
      <c r="C1265" s="45"/>
      <c r="D1265" s="45"/>
      <c r="E1265" s="45"/>
      <c r="F1265" s="45"/>
      <c r="G1265" s="45"/>
      <c r="H1265" s="45"/>
      <c r="I1265" s="45"/>
      <c r="J1265" s="45"/>
      <c r="K1265" s="45"/>
      <c r="L1265" s="45"/>
      <c r="M1265" s="45"/>
      <c r="N1265" s="45"/>
      <c r="O1265" s="45"/>
      <c r="P1265" s="45"/>
      <c r="Q1265" s="45"/>
      <c r="R1265" s="45"/>
      <c r="S1265" s="45"/>
      <c r="T1265" s="45"/>
      <c r="U1265" s="45"/>
      <c r="V1265" s="45"/>
      <c r="W1265" s="45"/>
      <c r="X1265" s="45"/>
    </row>
    <row r="1266" spans="1:24">
      <c r="A1266" s="45"/>
      <c r="B1266" s="45"/>
      <c r="C1266" s="45"/>
      <c r="D1266" s="45"/>
      <c r="E1266" s="45"/>
      <c r="F1266" s="45"/>
      <c r="G1266" s="45"/>
      <c r="H1266" s="45"/>
      <c r="I1266" s="45"/>
      <c r="J1266" s="45"/>
      <c r="K1266" s="45"/>
      <c r="L1266" s="45"/>
      <c r="M1266" s="45"/>
      <c r="N1266" s="45"/>
      <c r="O1266" s="45"/>
      <c r="P1266" s="45"/>
      <c r="Q1266" s="45"/>
      <c r="R1266" s="45"/>
      <c r="S1266" s="45"/>
      <c r="T1266" s="45"/>
      <c r="U1266" s="45"/>
      <c r="V1266" s="45"/>
      <c r="W1266" s="45"/>
      <c r="X1266" s="45"/>
    </row>
    <row r="1267" spans="1:24">
      <c r="A1267" s="45"/>
      <c r="B1267" s="45"/>
      <c r="C1267" s="45"/>
      <c r="D1267" s="45"/>
      <c r="E1267" s="45"/>
      <c r="F1267" s="45"/>
      <c r="G1267" s="45"/>
      <c r="H1267" s="45"/>
      <c r="I1267" s="45"/>
      <c r="J1267" s="45"/>
      <c r="K1267" s="45"/>
      <c r="L1267" s="45"/>
      <c r="M1267" s="45"/>
      <c r="N1267" s="45"/>
      <c r="O1267" s="45"/>
      <c r="P1267" s="45"/>
      <c r="Q1267" s="45"/>
      <c r="R1267" s="45"/>
      <c r="S1267" s="45"/>
      <c r="T1267" s="45"/>
      <c r="U1267" s="45"/>
      <c r="V1267" s="45"/>
      <c r="W1267" s="45"/>
      <c r="X1267" s="45"/>
    </row>
    <row r="1268" spans="1:24">
      <c r="A1268" s="45"/>
      <c r="B1268" s="45"/>
      <c r="C1268" s="45"/>
      <c r="D1268" s="45"/>
      <c r="E1268" s="45"/>
      <c r="F1268" s="45"/>
      <c r="G1268" s="45"/>
      <c r="H1268" s="45"/>
      <c r="I1268" s="45"/>
      <c r="J1268" s="45"/>
      <c r="K1268" s="45"/>
      <c r="L1268" s="45"/>
      <c r="M1268" s="45"/>
      <c r="N1268" s="45"/>
      <c r="O1268" s="45"/>
      <c r="P1268" s="45"/>
      <c r="Q1268" s="45"/>
      <c r="R1268" s="45"/>
      <c r="S1268" s="45"/>
      <c r="T1268" s="45"/>
      <c r="U1268" s="45"/>
      <c r="V1268" s="45"/>
      <c r="W1268" s="45"/>
      <c r="X1268" s="45"/>
    </row>
    <row r="1269" spans="1:24">
      <c r="A1269" s="45"/>
      <c r="B1269" s="45"/>
      <c r="C1269" s="45"/>
      <c r="D1269" s="45"/>
      <c r="E1269" s="45"/>
      <c r="F1269" s="45"/>
      <c r="G1269" s="45"/>
      <c r="H1269" s="45"/>
      <c r="I1269" s="45"/>
      <c r="J1269" s="45"/>
      <c r="K1269" s="45"/>
      <c r="L1269" s="45"/>
      <c r="M1269" s="45"/>
      <c r="N1269" s="45"/>
      <c r="O1269" s="45"/>
      <c r="P1269" s="45"/>
      <c r="Q1269" s="45"/>
      <c r="R1269" s="45"/>
      <c r="S1269" s="45"/>
      <c r="T1269" s="45"/>
      <c r="U1269" s="45"/>
      <c r="V1269" s="45"/>
      <c r="W1269" s="45"/>
      <c r="X1269" s="45"/>
    </row>
    <row r="1270" spans="1:24">
      <c r="A1270" s="45"/>
      <c r="B1270" s="45"/>
      <c r="C1270" s="45"/>
      <c r="D1270" s="45"/>
      <c r="E1270" s="45"/>
      <c r="F1270" s="45"/>
      <c r="G1270" s="45"/>
      <c r="H1270" s="45"/>
      <c r="I1270" s="45"/>
      <c r="J1270" s="45"/>
      <c r="K1270" s="45"/>
      <c r="L1270" s="45"/>
      <c r="M1270" s="45"/>
      <c r="N1270" s="45"/>
      <c r="O1270" s="45"/>
      <c r="P1270" s="45"/>
      <c r="Q1270" s="45"/>
      <c r="R1270" s="45"/>
      <c r="S1270" s="45"/>
      <c r="T1270" s="45"/>
      <c r="U1270" s="45"/>
      <c r="V1270" s="45"/>
      <c r="W1270" s="45"/>
      <c r="X1270" s="45"/>
    </row>
    <row r="1271" spans="1:24">
      <c r="A1271" s="45"/>
      <c r="B1271" s="45"/>
      <c r="C1271" s="45"/>
      <c r="D1271" s="45"/>
      <c r="E1271" s="45"/>
      <c r="F1271" s="45"/>
      <c r="G1271" s="45"/>
      <c r="H1271" s="45"/>
      <c r="I1271" s="45"/>
      <c r="J1271" s="45"/>
      <c r="K1271" s="45"/>
      <c r="L1271" s="45"/>
      <c r="M1271" s="45"/>
      <c r="N1271" s="45"/>
      <c r="O1271" s="45"/>
      <c r="P1271" s="45"/>
      <c r="Q1271" s="45"/>
      <c r="R1271" s="45"/>
      <c r="S1271" s="45"/>
      <c r="T1271" s="45"/>
      <c r="U1271" s="45"/>
      <c r="V1271" s="45"/>
      <c r="W1271" s="45"/>
      <c r="X1271" s="45"/>
    </row>
    <row r="1272" spans="1:24">
      <c r="A1272" s="45"/>
      <c r="B1272" s="45"/>
      <c r="C1272" s="45"/>
      <c r="D1272" s="45"/>
      <c r="E1272" s="45"/>
      <c r="F1272" s="45"/>
      <c r="G1272" s="45"/>
      <c r="H1272" s="45"/>
      <c r="I1272" s="45"/>
      <c r="J1272" s="45"/>
      <c r="K1272" s="45"/>
      <c r="L1272" s="45"/>
      <c r="M1272" s="45"/>
      <c r="N1272" s="45"/>
      <c r="O1272" s="45"/>
      <c r="P1272" s="45"/>
      <c r="Q1272" s="45"/>
      <c r="R1272" s="45"/>
      <c r="S1272" s="45"/>
      <c r="T1272" s="45"/>
      <c r="U1272" s="45"/>
      <c r="V1272" s="45"/>
      <c r="W1272" s="45"/>
      <c r="X1272" s="45"/>
    </row>
    <row r="1273" spans="1:24">
      <c r="A1273" s="45"/>
      <c r="B1273" s="45"/>
      <c r="C1273" s="45"/>
      <c r="D1273" s="45"/>
      <c r="E1273" s="45"/>
      <c r="F1273" s="45"/>
      <c r="G1273" s="45"/>
      <c r="H1273" s="45"/>
      <c r="I1273" s="45"/>
      <c r="J1273" s="45"/>
      <c r="K1273" s="45"/>
      <c r="L1273" s="45"/>
      <c r="M1273" s="45"/>
      <c r="N1273" s="45"/>
      <c r="O1273" s="45"/>
      <c r="P1273" s="45"/>
      <c r="Q1273" s="45"/>
      <c r="R1273" s="45"/>
      <c r="S1273" s="45"/>
      <c r="T1273" s="45"/>
      <c r="U1273" s="45"/>
      <c r="V1273" s="45"/>
      <c r="W1273" s="45"/>
      <c r="X1273" s="45"/>
    </row>
    <row r="1274" spans="1:24" s="56" customFormat="1">
      <c r="A1274" s="45"/>
      <c r="B1274" s="45"/>
      <c r="C1274" s="45"/>
      <c r="D1274" s="45"/>
      <c r="E1274" s="45"/>
      <c r="F1274" s="45"/>
      <c r="G1274" s="45"/>
      <c r="H1274" s="45"/>
      <c r="I1274" s="45"/>
      <c r="J1274" s="45"/>
      <c r="K1274" s="45"/>
      <c r="L1274" s="45"/>
      <c r="M1274" s="45"/>
      <c r="N1274" s="45"/>
      <c r="O1274" s="45"/>
      <c r="P1274" s="45"/>
      <c r="Q1274" s="45"/>
      <c r="R1274" s="45"/>
      <c r="S1274" s="45"/>
      <c r="T1274" s="45"/>
      <c r="U1274" s="45"/>
      <c r="V1274" s="45"/>
      <c r="W1274" s="45"/>
      <c r="X1274" s="45"/>
    </row>
    <row r="1275" spans="1:24" s="56" customFormat="1"/>
    <row r="1276" spans="1:24" s="56" customFormat="1"/>
    <row r="1277" spans="1:24" s="56" customFormat="1"/>
    <row r="1278" spans="1:24" s="56" customFormat="1"/>
    <row r="1279" spans="1:24" s="56" customFormat="1"/>
    <row r="1280" spans="1:24" s="56" customFormat="1"/>
    <row r="1281" spans="1:24" s="56" customFormat="1"/>
    <row r="1282" spans="1:24" s="56" customFormat="1"/>
    <row r="1283" spans="1:24" s="56" customFormat="1"/>
    <row r="1284" spans="1:24">
      <c r="A1284" s="56"/>
      <c r="B1284" s="56"/>
      <c r="C1284" s="56"/>
      <c r="D1284" s="56"/>
      <c r="E1284" s="56"/>
      <c r="F1284" s="56"/>
      <c r="G1284" s="56"/>
      <c r="H1284" s="56"/>
      <c r="I1284" s="56"/>
      <c r="J1284" s="56"/>
      <c r="K1284" s="56"/>
      <c r="L1284" s="56"/>
      <c r="M1284" s="56"/>
      <c r="N1284" s="56"/>
      <c r="O1284" s="56"/>
      <c r="P1284" s="56"/>
      <c r="Q1284" s="56"/>
      <c r="R1284" s="56"/>
      <c r="S1284" s="56"/>
      <c r="T1284" s="56"/>
      <c r="U1284" s="56"/>
      <c r="V1284" s="56"/>
      <c r="W1284" s="56"/>
      <c r="X1284" s="56"/>
    </row>
    <row r="1285" spans="1:24" ht="23.25">
      <c r="A1285" s="45"/>
      <c r="B1285" s="136"/>
      <c r="C1285" s="408" t="s">
        <v>102</v>
      </c>
      <c r="D1285" s="408"/>
      <c r="E1285" s="408"/>
      <c r="F1285" s="135"/>
      <c r="G1285" s="133"/>
      <c r="H1285" s="133"/>
      <c r="I1285" s="133"/>
      <c r="J1285" s="133"/>
      <c r="K1285" s="133"/>
      <c r="L1285" s="133"/>
      <c r="M1285" s="133"/>
      <c r="N1285" s="136"/>
      <c r="O1285" s="408" t="s">
        <v>102</v>
      </c>
      <c r="P1285" s="408"/>
      <c r="Q1285" s="408"/>
      <c r="R1285" s="408"/>
      <c r="S1285" s="133"/>
      <c r="T1285" s="133"/>
      <c r="U1285" s="133"/>
      <c r="V1285" s="45"/>
      <c r="W1285" s="45"/>
      <c r="X1285" s="45"/>
    </row>
    <row r="1286" spans="1:24" ht="23.25">
      <c r="A1286" s="45"/>
      <c r="B1286" s="137" t="s">
        <v>122</v>
      </c>
      <c r="C1286" s="137"/>
      <c r="D1286" s="137"/>
      <c r="E1286" s="137"/>
      <c r="F1286" s="137"/>
      <c r="G1286" s="137"/>
      <c r="H1286" s="137"/>
      <c r="I1286" s="137"/>
      <c r="J1286" s="133"/>
      <c r="K1286" s="133"/>
      <c r="L1286" s="133"/>
      <c r="M1286" s="133"/>
      <c r="N1286" s="419" t="s">
        <v>123</v>
      </c>
      <c r="O1286" s="419"/>
      <c r="P1286" s="419"/>
      <c r="Q1286" s="419"/>
      <c r="R1286" s="419"/>
      <c r="S1286" s="419"/>
      <c r="T1286" s="419"/>
      <c r="U1286" s="419"/>
      <c r="V1286" s="45"/>
      <c r="W1286" s="45"/>
      <c r="X1286" s="45"/>
    </row>
    <row r="1287" spans="1:24" ht="15.75" thickBot="1">
      <c r="A1287" s="45"/>
      <c r="B1287" s="65"/>
      <c r="C1287" s="93" t="s">
        <v>45</v>
      </c>
      <c r="D1287" s="60" t="s">
        <v>113</v>
      </c>
      <c r="E1287" s="414" t="s">
        <v>114</v>
      </c>
      <c r="F1287" s="414"/>
      <c r="G1287" s="60" t="s">
        <v>115</v>
      </c>
      <c r="H1287" s="411" t="s">
        <v>116</v>
      </c>
      <c r="I1287" s="412"/>
      <c r="J1287" s="45"/>
      <c r="K1287" s="45"/>
      <c r="L1287" s="45"/>
      <c r="M1287" s="45"/>
      <c r="N1287" s="65"/>
      <c r="O1287" s="93" t="s">
        <v>45</v>
      </c>
      <c r="P1287" s="60" t="s">
        <v>113</v>
      </c>
      <c r="Q1287" s="414" t="s">
        <v>114</v>
      </c>
      <c r="R1287" s="414"/>
      <c r="S1287" s="60" t="s">
        <v>115</v>
      </c>
      <c r="T1287" s="411" t="s">
        <v>116</v>
      </c>
      <c r="U1287" s="412"/>
    </row>
    <row r="1288" spans="1:24" ht="15.75" thickBot="1">
      <c r="A1288" s="45"/>
      <c r="B1288" s="65" t="s">
        <v>14</v>
      </c>
      <c r="C1288" s="82" t="e">
        <f>D1288+E1288+G1288+H1288</f>
        <v>#REF!</v>
      </c>
      <c r="D1288" s="58">
        <f>Algandmed!AE226</f>
        <v>0</v>
      </c>
      <c r="E1288" s="415" t="e">
        <f>Algandmed!#REF!</f>
        <v>#REF!</v>
      </c>
      <c r="F1288" s="415"/>
      <c r="G1288" s="58">
        <f>Algandmed!AF226</f>
        <v>0</v>
      </c>
      <c r="H1288" s="415">
        <f>Algandmed!AG226</f>
        <v>0</v>
      </c>
      <c r="I1288" s="416"/>
      <c r="J1288" s="45"/>
      <c r="K1288" s="45"/>
      <c r="L1288" s="45"/>
      <c r="M1288" s="45"/>
      <c r="N1288" s="65" t="s">
        <v>17</v>
      </c>
      <c r="O1288" s="82" t="e">
        <f>P1288+Q1288+S1288+T1288</f>
        <v>#REF!</v>
      </c>
      <c r="P1288" s="58">
        <f>Algandmed!AT226</f>
        <v>1</v>
      </c>
      <c r="Q1288" s="415" t="e">
        <f>Algandmed!#REF!</f>
        <v>#REF!</v>
      </c>
      <c r="R1288" s="415"/>
      <c r="S1288" s="58">
        <f>Algandmed!AU226</f>
        <v>1</v>
      </c>
      <c r="T1288" s="415">
        <f>Algandmed!AV226</f>
        <v>3</v>
      </c>
      <c r="U1288" s="416"/>
    </row>
    <row r="1289" spans="1:24">
      <c r="A1289" s="45"/>
      <c r="B1289" s="45"/>
      <c r="D1289" s="45"/>
      <c r="E1289" s="45"/>
      <c r="F1289" s="45"/>
      <c r="G1289" s="45"/>
      <c r="H1289" s="45"/>
      <c r="I1289" s="45"/>
      <c r="J1289" s="45"/>
      <c r="K1289" s="45"/>
      <c r="L1289" s="45"/>
      <c r="M1289" s="45"/>
      <c r="N1289" s="45"/>
      <c r="O1289" s="45"/>
      <c r="P1289" s="45"/>
      <c r="Q1289" s="45"/>
      <c r="R1289" s="45"/>
      <c r="S1289" s="45"/>
      <c r="T1289" s="45"/>
      <c r="U1289" s="45"/>
    </row>
    <row r="1290" spans="1:24">
      <c r="A1290" s="45"/>
      <c r="B1290" s="65"/>
      <c r="C1290" s="417"/>
      <c r="D1290" s="60" t="s">
        <v>113</v>
      </c>
      <c r="E1290" s="414" t="s">
        <v>114</v>
      </c>
      <c r="F1290" s="414"/>
      <c r="G1290" s="60" t="s">
        <v>115</v>
      </c>
      <c r="H1290" s="414" t="s">
        <v>116</v>
      </c>
      <c r="I1290" s="414"/>
      <c r="J1290" s="45"/>
      <c r="K1290" s="45"/>
      <c r="L1290" s="45"/>
      <c r="M1290" s="45"/>
      <c r="N1290" s="65"/>
      <c r="O1290" s="417"/>
      <c r="P1290" s="60" t="s">
        <v>113</v>
      </c>
      <c r="Q1290" s="414" t="s">
        <v>114</v>
      </c>
      <c r="R1290" s="414"/>
      <c r="S1290" s="60" t="s">
        <v>115</v>
      </c>
      <c r="T1290" s="411" t="s">
        <v>116</v>
      </c>
      <c r="U1290" s="412"/>
    </row>
    <row r="1291" spans="1:24">
      <c r="A1291" s="45"/>
      <c r="B1291" s="65" t="s">
        <v>14</v>
      </c>
      <c r="C1291" s="418"/>
      <c r="D1291" s="66" t="e">
        <f>D1288/C1288</f>
        <v>#REF!</v>
      </c>
      <c r="E1291" s="413" t="e">
        <f>E1288/C1288</f>
        <v>#REF!</v>
      </c>
      <c r="F1291" s="413"/>
      <c r="G1291" s="66" t="e">
        <f>G1288/C1288</f>
        <v>#REF!</v>
      </c>
      <c r="H1291" s="413" t="e">
        <f>H1288/C1288</f>
        <v>#REF!</v>
      </c>
      <c r="I1291" s="413"/>
      <c r="J1291" s="45"/>
      <c r="K1291" s="45"/>
      <c r="L1291" s="45"/>
      <c r="M1291" s="45"/>
      <c r="N1291" s="65" t="s">
        <v>17</v>
      </c>
      <c r="O1291" s="418"/>
      <c r="P1291" s="66" t="e">
        <f>P1288/O1288</f>
        <v>#REF!</v>
      </c>
      <c r="Q1291" s="413" t="e">
        <f>Q1288/O1288</f>
        <v>#REF!</v>
      </c>
      <c r="R1291" s="413"/>
      <c r="S1291" s="66" t="e">
        <f>S1288/O1288</f>
        <v>#REF!</v>
      </c>
      <c r="T1291" s="413" t="e">
        <f>T1288/O1288</f>
        <v>#REF!</v>
      </c>
      <c r="U1291" s="413"/>
    </row>
    <row r="1292" spans="1:24">
      <c r="A1292" s="45"/>
      <c r="B1292" s="45"/>
      <c r="C1292" s="45"/>
      <c r="D1292" s="45"/>
      <c r="E1292" s="45"/>
      <c r="F1292" s="45"/>
      <c r="G1292" s="45"/>
      <c r="H1292" s="45"/>
      <c r="I1292" s="45"/>
      <c r="J1292" s="45"/>
      <c r="K1292" s="45"/>
      <c r="L1292" s="45"/>
      <c r="M1292" s="45"/>
      <c r="N1292" s="45"/>
      <c r="O1292" s="45"/>
      <c r="P1292" s="45"/>
      <c r="Q1292" s="45"/>
      <c r="R1292" s="45"/>
      <c r="S1292" s="45"/>
      <c r="T1292" s="45"/>
      <c r="U1292" s="45"/>
      <c r="V1292" s="45"/>
      <c r="W1292" s="45"/>
      <c r="X1292" s="45"/>
    </row>
    <row r="1293" spans="1:24">
      <c r="A1293" s="45"/>
      <c r="B1293" s="45"/>
      <c r="C1293" s="45"/>
      <c r="D1293" s="45"/>
      <c r="E1293" s="45"/>
      <c r="F1293" s="45"/>
      <c r="G1293" s="45"/>
      <c r="H1293" s="45"/>
      <c r="I1293" s="45"/>
      <c r="J1293" s="45"/>
      <c r="K1293" s="45"/>
      <c r="L1293" s="45"/>
      <c r="M1293" s="45"/>
      <c r="N1293" s="45"/>
      <c r="O1293" s="45"/>
      <c r="P1293" s="45"/>
      <c r="Q1293" s="45"/>
      <c r="R1293" s="45"/>
      <c r="S1293" s="45"/>
      <c r="T1293" s="45"/>
      <c r="U1293" s="45"/>
      <c r="V1293" s="45"/>
      <c r="W1293" s="45"/>
      <c r="X1293" s="45"/>
    </row>
    <row r="1294" spans="1:24">
      <c r="A1294" s="45"/>
      <c r="B1294" s="45"/>
      <c r="C1294" s="45"/>
      <c r="D1294" s="45"/>
      <c r="E1294" s="45"/>
      <c r="F1294" s="45"/>
      <c r="G1294" s="45"/>
      <c r="H1294" s="45"/>
      <c r="I1294" s="45"/>
      <c r="J1294" s="45"/>
      <c r="K1294" s="45"/>
      <c r="L1294" s="45"/>
      <c r="M1294" s="45"/>
      <c r="N1294" s="45"/>
      <c r="O1294" s="45"/>
      <c r="P1294" s="45"/>
      <c r="Q1294" s="45"/>
      <c r="R1294" s="45"/>
      <c r="S1294" s="45"/>
      <c r="T1294" s="45"/>
      <c r="U1294" s="45"/>
      <c r="V1294" s="45"/>
      <c r="W1294" s="45"/>
      <c r="X1294" s="45"/>
    </row>
    <row r="1295" spans="1:24">
      <c r="A1295" s="45"/>
      <c r="B1295" s="45"/>
      <c r="C1295" s="45"/>
      <c r="D1295" s="45"/>
      <c r="E1295" s="45"/>
      <c r="F1295" s="45"/>
      <c r="G1295" s="45"/>
      <c r="H1295" s="45"/>
      <c r="I1295" s="45"/>
      <c r="J1295" s="45"/>
      <c r="K1295" s="45"/>
      <c r="L1295" s="45"/>
      <c r="M1295" s="45"/>
      <c r="N1295" s="45"/>
      <c r="O1295" s="45"/>
      <c r="P1295" s="45"/>
      <c r="Q1295" s="45"/>
      <c r="R1295" s="45"/>
      <c r="S1295" s="45"/>
      <c r="T1295" s="45"/>
      <c r="U1295" s="45"/>
      <c r="V1295" s="45"/>
      <c r="W1295" s="45"/>
      <c r="X1295" s="45"/>
    </row>
    <row r="1296" spans="1:24">
      <c r="A1296" s="45"/>
      <c r="B1296" s="45"/>
      <c r="C1296" s="45"/>
      <c r="D1296" s="45"/>
      <c r="E1296" s="45"/>
      <c r="F1296" s="45"/>
      <c r="G1296" s="45"/>
      <c r="H1296" s="45"/>
      <c r="I1296" s="45"/>
      <c r="J1296" s="45"/>
      <c r="K1296" s="45"/>
      <c r="L1296" s="45"/>
      <c r="M1296" s="45"/>
      <c r="N1296" s="45"/>
      <c r="O1296" s="45"/>
      <c r="P1296" s="45"/>
      <c r="Q1296" s="45"/>
      <c r="R1296" s="45"/>
      <c r="S1296" s="45"/>
      <c r="T1296" s="45"/>
      <c r="U1296" s="45"/>
      <c r="V1296" s="45"/>
      <c r="W1296" s="45"/>
      <c r="X1296" s="45"/>
    </row>
    <row r="1297" spans="1:28">
      <c r="A1297" s="45"/>
      <c r="B1297" s="45"/>
      <c r="C1297" s="45"/>
      <c r="D1297" s="45"/>
      <c r="E1297" s="45"/>
      <c r="F1297" s="45"/>
      <c r="G1297" s="45"/>
      <c r="H1297" s="45"/>
      <c r="I1297" s="45"/>
      <c r="J1297" s="45"/>
      <c r="K1297" s="45"/>
      <c r="L1297" s="45"/>
      <c r="M1297" s="45"/>
      <c r="N1297" s="45"/>
      <c r="O1297" s="45"/>
      <c r="P1297" s="45"/>
      <c r="Q1297" s="45"/>
      <c r="R1297" s="45"/>
      <c r="S1297" s="45"/>
      <c r="T1297" s="45"/>
      <c r="U1297" s="45"/>
      <c r="V1297" s="45"/>
      <c r="W1297" s="45"/>
      <c r="X1297" s="45"/>
    </row>
    <row r="1298" spans="1:28">
      <c r="A1298" s="45"/>
      <c r="B1298" s="45"/>
      <c r="C1298" s="45"/>
      <c r="D1298" s="45"/>
      <c r="E1298" s="45"/>
      <c r="F1298" s="45"/>
      <c r="G1298" s="45"/>
      <c r="H1298" s="45"/>
      <c r="I1298" s="45"/>
      <c r="J1298" s="45"/>
      <c r="K1298" s="45"/>
      <c r="L1298" s="45"/>
      <c r="M1298" s="45"/>
      <c r="N1298" s="45"/>
      <c r="O1298" s="45"/>
      <c r="P1298" s="45"/>
      <c r="Q1298" s="45"/>
      <c r="R1298" s="45"/>
      <c r="S1298" s="45"/>
      <c r="T1298" s="45"/>
      <c r="U1298" s="45"/>
      <c r="V1298" s="45"/>
      <c r="W1298" s="45"/>
      <c r="X1298" s="45"/>
    </row>
    <row r="1299" spans="1:28">
      <c r="A1299" s="45"/>
      <c r="B1299" s="45"/>
      <c r="C1299" s="45"/>
      <c r="D1299" s="45"/>
      <c r="E1299" s="45"/>
      <c r="F1299" s="45"/>
      <c r="G1299" s="45"/>
      <c r="H1299" s="45"/>
      <c r="I1299" s="45"/>
      <c r="J1299" s="45"/>
      <c r="K1299" s="45"/>
      <c r="L1299" s="45"/>
      <c r="M1299" s="45"/>
      <c r="N1299" s="45"/>
      <c r="O1299" s="45"/>
      <c r="P1299" s="45"/>
      <c r="Q1299" s="45"/>
      <c r="R1299" s="45"/>
      <c r="S1299" s="45"/>
      <c r="T1299" s="45"/>
      <c r="U1299" s="45"/>
      <c r="V1299" s="45"/>
      <c r="W1299" s="45"/>
      <c r="X1299" s="45"/>
      <c r="Y1299"/>
      <c r="Z1299"/>
      <c r="AA1299"/>
      <c r="AB1299"/>
    </row>
    <row r="1300" spans="1:28">
      <c r="A1300" s="45"/>
      <c r="B1300" s="45"/>
      <c r="C1300" s="45"/>
      <c r="D1300" s="45"/>
      <c r="E1300" s="45"/>
      <c r="F1300" s="45"/>
      <c r="G1300" s="45"/>
      <c r="H1300" s="45"/>
      <c r="I1300" s="45"/>
      <c r="J1300" s="45"/>
      <c r="K1300" s="45"/>
      <c r="L1300" s="45"/>
      <c r="M1300" s="45"/>
      <c r="N1300" s="45"/>
      <c r="O1300" s="45"/>
      <c r="P1300" s="45"/>
      <c r="Q1300" s="45"/>
      <c r="R1300" s="45"/>
      <c r="S1300" s="45"/>
      <c r="T1300" s="45"/>
      <c r="U1300" s="45"/>
      <c r="V1300" s="45"/>
      <c r="W1300" s="45"/>
      <c r="X1300" s="45"/>
      <c r="Y1300"/>
      <c r="Z1300"/>
      <c r="AA1300"/>
      <c r="AB1300"/>
    </row>
    <row r="1301" spans="1:28">
      <c r="A1301" s="45"/>
      <c r="B1301" s="45"/>
      <c r="C1301" s="45"/>
      <c r="D1301" s="45"/>
      <c r="E1301" s="45"/>
      <c r="F1301" s="45"/>
      <c r="G1301" s="45"/>
      <c r="H1301" s="45"/>
      <c r="I1301" s="45"/>
      <c r="J1301" s="45"/>
      <c r="K1301" s="45"/>
      <c r="L1301" s="45"/>
      <c r="M1301" s="45"/>
      <c r="N1301" s="45"/>
      <c r="O1301" s="45"/>
      <c r="P1301" s="45"/>
      <c r="Q1301" s="45"/>
      <c r="R1301" s="45"/>
      <c r="S1301" s="45"/>
      <c r="T1301" s="45"/>
      <c r="U1301" s="45"/>
      <c r="V1301" s="45"/>
      <c r="W1301" s="45"/>
      <c r="X1301" s="45"/>
      <c r="Y1301"/>
      <c r="Z1301"/>
      <c r="AA1301"/>
      <c r="AB1301"/>
    </row>
    <row r="1302" spans="1:28">
      <c r="A1302" s="45"/>
      <c r="B1302" s="45"/>
      <c r="C1302" s="45"/>
      <c r="D1302" s="45"/>
      <c r="E1302" s="45"/>
      <c r="F1302" s="45"/>
      <c r="G1302" s="45"/>
      <c r="H1302" s="45"/>
      <c r="I1302" s="45"/>
      <c r="J1302" s="45"/>
      <c r="K1302" s="45"/>
      <c r="L1302" s="45"/>
      <c r="M1302" s="45"/>
      <c r="N1302" s="45"/>
      <c r="O1302" s="45"/>
      <c r="P1302" s="45"/>
      <c r="Q1302" s="45"/>
      <c r="R1302" s="45"/>
      <c r="S1302" s="45"/>
      <c r="T1302" s="45"/>
      <c r="U1302" s="45"/>
      <c r="V1302" s="45"/>
      <c r="W1302" s="45"/>
      <c r="X1302" s="45"/>
      <c r="Y1302"/>
      <c r="Z1302"/>
      <c r="AA1302"/>
      <c r="AB1302"/>
    </row>
    <row r="1303" spans="1:28">
      <c r="A1303" s="45"/>
      <c r="B1303" s="45"/>
      <c r="C1303" s="45"/>
      <c r="D1303" s="45"/>
      <c r="E1303" s="45"/>
      <c r="F1303" s="45"/>
      <c r="G1303" s="45"/>
      <c r="H1303" s="45"/>
      <c r="I1303" s="45"/>
      <c r="J1303" s="45"/>
      <c r="K1303" s="45"/>
      <c r="L1303" s="45"/>
      <c r="M1303" s="45"/>
      <c r="N1303" s="45"/>
      <c r="O1303" s="45"/>
      <c r="P1303" s="45"/>
      <c r="Q1303" s="45"/>
      <c r="R1303" s="45"/>
      <c r="S1303" s="45"/>
      <c r="T1303" s="45"/>
      <c r="U1303" s="45"/>
      <c r="V1303" s="45"/>
      <c r="W1303" s="45"/>
      <c r="X1303" s="45"/>
      <c r="Y1303"/>
      <c r="Z1303"/>
      <c r="AA1303"/>
      <c r="AB1303"/>
    </row>
    <row r="1304" spans="1:28">
      <c r="A1304" s="45"/>
      <c r="B1304" s="45"/>
      <c r="C1304" s="45"/>
      <c r="D1304" s="45"/>
      <c r="E1304" s="45"/>
      <c r="F1304" s="45"/>
      <c r="G1304" s="45"/>
      <c r="H1304" s="45"/>
      <c r="I1304" s="45"/>
      <c r="J1304" s="45"/>
      <c r="K1304" s="45"/>
      <c r="L1304" s="45"/>
      <c r="M1304" s="45"/>
      <c r="N1304" s="45"/>
      <c r="O1304" s="45"/>
      <c r="P1304" s="45"/>
      <c r="Q1304" s="45"/>
      <c r="R1304" s="45"/>
      <c r="S1304" s="45"/>
      <c r="T1304" s="45"/>
      <c r="U1304" s="45"/>
      <c r="V1304" s="45"/>
      <c r="W1304" s="45"/>
      <c r="X1304" s="45"/>
      <c r="Y1304"/>
      <c r="Z1304"/>
      <c r="AA1304"/>
      <c r="AB1304"/>
    </row>
    <row r="1305" spans="1:28" ht="23.25">
      <c r="A1305" s="45"/>
      <c r="B1305" s="136"/>
      <c r="C1305" s="408" t="s">
        <v>102</v>
      </c>
      <c r="D1305" s="408"/>
      <c r="E1305" s="408"/>
      <c r="F1305" s="408"/>
      <c r="G1305" s="133"/>
      <c r="H1305" s="133"/>
      <c r="I1305" s="133"/>
      <c r="J1305" s="133"/>
      <c r="K1305" s="133"/>
      <c r="L1305" s="133"/>
      <c r="M1305" s="133"/>
      <c r="N1305" s="136"/>
      <c r="O1305" s="408" t="s">
        <v>102</v>
      </c>
      <c r="P1305" s="408"/>
      <c r="Q1305" s="408"/>
      <c r="R1305" s="408"/>
      <c r="S1305" s="133"/>
      <c r="T1305" s="136"/>
      <c r="U1305" s="136"/>
      <c r="V1305" s="133"/>
      <c r="W1305" s="133"/>
      <c r="X1305" s="45"/>
      <c r="Y1305"/>
      <c r="Z1305"/>
      <c r="AA1305"/>
      <c r="AB1305"/>
    </row>
    <row r="1306" spans="1:28" ht="23.25">
      <c r="A1306" s="45"/>
      <c r="B1306" s="133"/>
      <c r="C1306" s="408" t="s">
        <v>117</v>
      </c>
      <c r="D1306" s="408"/>
      <c r="E1306" s="408"/>
      <c r="F1306" s="408"/>
      <c r="G1306" s="133"/>
      <c r="H1306" s="133"/>
      <c r="I1306" s="133"/>
      <c r="J1306" s="133"/>
      <c r="K1306" s="133"/>
      <c r="L1306" s="133"/>
      <c r="M1306" s="133"/>
      <c r="N1306" s="133"/>
      <c r="O1306" s="408" t="s">
        <v>117</v>
      </c>
      <c r="P1306" s="408"/>
      <c r="Q1306" s="408"/>
      <c r="R1306" s="408"/>
      <c r="S1306" s="133"/>
      <c r="T1306" s="136"/>
      <c r="U1306" s="136"/>
      <c r="V1306" s="133"/>
      <c r="W1306" s="133"/>
      <c r="X1306" s="45"/>
      <c r="Y1306"/>
      <c r="Z1306"/>
      <c r="AA1306"/>
      <c r="AB1306"/>
    </row>
    <row r="1307" spans="1:28" ht="36.75" thickBot="1">
      <c r="A1307" s="45"/>
      <c r="B1307" s="65"/>
      <c r="C1307" s="93" t="s">
        <v>45</v>
      </c>
      <c r="D1307" s="121" t="s">
        <v>174</v>
      </c>
      <c r="E1307" s="410" t="s">
        <v>173</v>
      </c>
      <c r="F1307" s="410"/>
      <c r="G1307" s="123" t="s">
        <v>176</v>
      </c>
      <c r="H1307" s="124" t="s">
        <v>175</v>
      </c>
      <c r="I1307" s="122" t="s">
        <v>177</v>
      </c>
      <c r="J1307" s="125" t="s">
        <v>178</v>
      </c>
      <c r="K1307" s="126" t="s">
        <v>179</v>
      </c>
      <c r="L1307" s="45"/>
      <c r="M1307" s="45"/>
      <c r="N1307" s="65"/>
      <c r="O1307" s="93" t="s">
        <v>45</v>
      </c>
      <c r="P1307" s="121" t="s">
        <v>174</v>
      </c>
      <c r="Q1307" s="410" t="s">
        <v>173</v>
      </c>
      <c r="R1307" s="410"/>
      <c r="S1307" s="123" t="s">
        <v>176</v>
      </c>
      <c r="T1307" s="124" t="s">
        <v>175</v>
      </c>
      <c r="U1307" s="122" t="s">
        <v>177</v>
      </c>
      <c r="V1307" s="125" t="s">
        <v>178</v>
      </c>
      <c r="W1307" s="126" t="s">
        <v>179</v>
      </c>
      <c r="X1307" s="45"/>
      <c r="Y1307"/>
      <c r="Z1307"/>
      <c r="AA1307"/>
      <c r="AB1307"/>
    </row>
    <row r="1308" spans="1:28" ht="15.75" thickBot="1">
      <c r="A1308" s="45"/>
      <c r="B1308" s="65" t="s">
        <v>5</v>
      </c>
      <c r="C1308" s="82">
        <f>D1308+E1308+G1308+H1308+I1308+J1308+K1308</f>
        <v>0</v>
      </c>
      <c r="D1308" s="58">
        <f>Algandmed!AE244</f>
        <v>0</v>
      </c>
      <c r="E1308" s="415">
        <f>Algandmed!AF244</f>
        <v>0</v>
      </c>
      <c r="F1308" s="415"/>
      <c r="G1308" s="74">
        <f>Algandmed!AG244</f>
        <v>0</v>
      </c>
      <c r="H1308" s="98">
        <f>Algandmed!AH244</f>
        <v>0</v>
      </c>
      <c r="I1308" s="98">
        <f>Algandmed!AI244</f>
        <v>0</v>
      </c>
      <c r="J1308" s="176">
        <f>Algandmed!AJ244</f>
        <v>0</v>
      </c>
      <c r="K1308" s="176">
        <f>Algandmed!AK244</f>
        <v>0</v>
      </c>
      <c r="L1308" s="45"/>
      <c r="M1308" s="45"/>
      <c r="N1308" s="65" t="s">
        <v>1</v>
      </c>
      <c r="O1308" s="82" t="e">
        <f>P1308+Q1308+S1308+T1308+U1308+V1308+W1308</f>
        <v>#REF!</v>
      </c>
      <c r="P1308" s="58">
        <f>Algandmed!AT244</f>
        <v>0</v>
      </c>
      <c r="Q1308" s="415">
        <f>Algandmed!AU244</f>
        <v>0</v>
      </c>
      <c r="R1308" s="415"/>
      <c r="S1308" s="74">
        <f>Algandmed!AV244</f>
        <v>0</v>
      </c>
      <c r="T1308" s="98">
        <f>Algandmed!AW244</f>
        <v>0</v>
      </c>
      <c r="U1308" s="98">
        <f>Algandmed!AX244</f>
        <v>0</v>
      </c>
      <c r="V1308" s="98" t="e">
        <f>Algandmed!#REF!</f>
        <v>#REF!</v>
      </c>
      <c r="W1308" s="177">
        <f>Algandmed!AZ244</f>
        <v>0</v>
      </c>
      <c r="X1308" s="45"/>
      <c r="Y1308"/>
      <c r="Z1308"/>
      <c r="AA1308"/>
      <c r="AB1308"/>
    </row>
    <row r="1309" spans="1:28">
      <c r="A1309" s="45"/>
      <c r="B1309" s="45"/>
      <c r="C1309" s="45"/>
      <c r="D1309" s="45"/>
      <c r="E1309" s="45"/>
      <c r="F1309" s="45"/>
      <c r="G1309" s="45"/>
      <c r="L1309" s="45"/>
      <c r="M1309" s="45"/>
      <c r="N1309" s="45"/>
      <c r="O1309" s="45"/>
      <c r="P1309" s="45"/>
      <c r="Q1309" s="45"/>
      <c r="R1309" s="45"/>
      <c r="S1309" s="45"/>
      <c r="X1309" s="45"/>
      <c r="Y1309"/>
      <c r="Z1309"/>
      <c r="AA1309"/>
      <c r="AB1309"/>
    </row>
    <row r="1310" spans="1:28" ht="36">
      <c r="A1310" s="45"/>
      <c r="B1310" s="94"/>
      <c r="C1310" s="417"/>
      <c r="D1310" s="121" t="s">
        <v>174</v>
      </c>
      <c r="E1310" s="410" t="s">
        <v>173</v>
      </c>
      <c r="F1310" s="410"/>
      <c r="G1310" s="123" t="s">
        <v>176</v>
      </c>
      <c r="H1310" s="124" t="s">
        <v>175</v>
      </c>
      <c r="I1310" s="122" t="s">
        <v>177</v>
      </c>
      <c r="J1310" s="125" t="s">
        <v>178</v>
      </c>
      <c r="K1310" s="126" t="s">
        <v>179</v>
      </c>
      <c r="L1310" s="45"/>
      <c r="M1310" s="45"/>
      <c r="N1310" s="94"/>
      <c r="O1310" s="417"/>
      <c r="P1310" s="121" t="s">
        <v>174</v>
      </c>
      <c r="Q1310" s="410" t="s">
        <v>173</v>
      </c>
      <c r="R1310" s="410"/>
      <c r="S1310" s="123" t="s">
        <v>176</v>
      </c>
      <c r="T1310" s="124" t="s">
        <v>175</v>
      </c>
      <c r="U1310" s="122" t="s">
        <v>177</v>
      </c>
      <c r="V1310" s="125" t="s">
        <v>178</v>
      </c>
      <c r="W1310" s="126" t="s">
        <v>179</v>
      </c>
      <c r="X1310" s="45"/>
      <c r="Y1310"/>
      <c r="Z1310"/>
      <c r="AA1310"/>
      <c r="AB1310"/>
    </row>
    <row r="1311" spans="1:28">
      <c r="A1311" s="45"/>
      <c r="B1311" s="94" t="s">
        <v>5</v>
      </c>
      <c r="C1311" s="418"/>
      <c r="D1311" s="73" t="e">
        <f>D1308/C1308</f>
        <v>#DIV/0!</v>
      </c>
      <c r="E1311" s="413" t="e">
        <f>E1308/C1308</f>
        <v>#DIV/0!</v>
      </c>
      <c r="F1311" s="413"/>
      <c r="G1311" s="78" t="e">
        <f>G1308/C1308</f>
        <v>#DIV/0!</v>
      </c>
      <c r="H1311" s="99" t="e">
        <f>H1308/C1308</f>
        <v>#DIV/0!</v>
      </c>
      <c r="I1311" s="99" t="e">
        <f>I1308/C1308</f>
        <v>#DIV/0!</v>
      </c>
      <c r="J1311" s="99" t="e">
        <f>J1308/C1308</f>
        <v>#DIV/0!</v>
      </c>
      <c r="K1311" s="119" t="e">
        <f>K1308/C1308</f>
        <v>#DIV/0!</v>
      </c>
      <c r="L1311" s="45"/>
      <c r="M1311" s="45"/>
      <c r="N1311" s="94" t="s">
        <v>1</v>
      </c>
      <c r="O1311" s="418"/>
      <c r="P1311" s="73" t="e">
        <f>P1308/O1308</f>
        <v>#REF!</v>
      </c>
      <c r="Q1311" s="413" t="e">
        <f>Q1308/O1308</f>
        <v>#REF!</v>
      </c>
      <c r="R1311" s="413"/>
      <c r="S1311" s="78" t="e">
        <f>S1308/O1308</f>
        <v>#REF!</v>
      </c>
      <c r="T1311" s="99" t="e">
        <f>T1308/O1308</f>
        <v>#REF!</v>
      </c>
      <c r="U1311" s="99" t="e">
        <f>U1308/O1308</f>
        <v>#REF!</v>
      </c>
      <c r="V1311" s="99" t="e">
        <f>V1308/O1308</f>
        <v>#REF!</v>
      </c>
      <c r="W1311" s="119" t="e">
        <f>W1308/O1308</f>
        <v>#REF!</v>
      </c>
      <c r="X1311" s="45"/>
      <c r="Y1311"/>
      <c r="Z1311"/>
      <c r="AA1311"/>
      <c r="AB1311"/>
    </row>
    <row r="1312" spans="1:28">
      <c r="A1312" s="45"/>
      <c r="B1312" s="45"/>
      <c r="C1312" s="45"/>
      <c r="D1312" s="45"/>
      <c r="E1312" s="45"/>
      <c r="F1312" s="45"/>
      <c r="G1312" s="45"/>
      <c r="H1312" s="45"/>
      <c r="I1312" s="45"/>
      <c r="J1312" s="45"/>
      <c r="K1312" s="45"/>
      <c r="L1312" s="45"/>
      <c r="M1312" s="45"/>
      <c r="N1312" s="45"/>
      <c r="O1312" s="45"/>
      <c r="P1312" s="45"/>
      <c r="Q1312" s="45"/>
      <c r="R1312" s="45"/>
      <c r="S1312" s="45"/>
      <c r="T1312" s="45"/>
      <c r="U1312" s="45"/>
      <c r="V1312" s="45"/>
      <c r="W1312" s="45"/>
      <c r="X1312" s="45"/>
      <c r="Y1312"/>
      <c r="Z1312"/>
      <c r="AA1312"/>
      <c r="AB1312"/>
    </row>
    <row r="1313" spans="1:28">
      <c r="A1313" s="45"/>
      <c r="B1313" s="45"/>
      <c r="C1313" s="45"/>
      <c r="D1313" s="45"/>
      <c r="E1313" s="45"/>
      <c r="F1313" s="45"/>
      <c r="G1313" s="45"/>
      <c r="H1313" s="45"/>
      <c r="I1313" s="45"/>
      <c r="J1313" s="45"/>
      <c r="K1313" s="45"/>
      <c r="L1313" s="45"/>
      <c r="M1313" s="45"/>
      <c r="N1313" s="45"/>
      <c r="O1313" s="45"/>
      <c r="P1313" s="45"/>
      <c r="Q1313" s="45"/>
      <c r="R1313" s="45"/>
      <c r="S1313" s="45"/>
      <c r="T1313" s="45"/>
      <c r="U1313" s="45"/>
      <c r="V1313" s="45"/>
      <c r="W1313" s="45"/>
      <c r="X1313" s="45"/>
      <c r="Y1313"/>
      <c r="Z1313"/>
      <c r="AA1313"/>
      <c r="AB1313"/>
    </row>
    <row r="1314" spans="1:28">
      <c r="A1314" s="45"/>
      <c r="B1314" s="45"/>
      <c r="C1314" s="45"/>
      <c r="D1314" s="45"/>
      <c r="E1314" s="45"/>
      <c r="F1314" s="45"/>
      <c r="G1314" s="45"/>
      <c r="H1314" s="45"/>
      <c r="I1314" s="45"/>
      <c r="J1314" s="45"/>
      <c r="K1314" s="45"/>
      <c r="L1314" s="45"/>
      <c r="M1314" s="45"/>
      <c r="N1314" s="45"/>
      <c r="O1314" s="45"/>
      <c r="P1314" s="45"/>
      <c r="Q1314" s="45"/>
      <c r="R1314" s="45"/>
      <c r="S1314" s="45"/>
      <c r="T1314" s="45"/>
      <c r="U1314" s="45"/>
      <c r="V1314" s="45"/>
      <c r="W1314" s="45"/>
      <c r="X1314" s="45"/>
      <c r="Y1314"/>
      <c r="Z1314"/>
      <c r="AA1314"/>
      <c r="AB1314"/>
    </row>
    <row r="1315" spans="1:28">
      <c r="A1315" s="45"/>
      <c r="B1315" s="45"/>
      <c r="C1315" s="45"/>
      <c r="D1315" s="45"/>
      <c r="E1315" s="45"/>
      <c r="F1315" s="45"/>
      <c r="G1315" s="45"/>
      <c r="H1315" s="45"/>
      <c r="I1315" s="45"/>
      <c r="J1315" s="45"/>
      <c r="K1315" s="45"/>
      <c r="L1315" s="45"/>
      <c r="M1315" s="45"/>
      <c r="N1315" s="45"/>
      <c r="O1315" s="45"/>
      <c r="P1315" s="45"/>
      <c r="Q1315" s="45"/>
      <c r="R1315" s="45"/>
      <c r="S1315" s="45"/>
      <c r="T1315" s="45"/>
      <c r="U1315" s="45"/>
      <c r="V1315" s="45"/>
      <c r="W1315" s="45"/>
      <c r="X1315" s="45"/>
      <c r="Y1315"/>
      <c r="Z1315"/>
      <c r="AA1315"/>
      <c r="AB1315"/>
    </row>
    <row r="1316" spans="1:28">
      <c r="A1316" s="45"/>
      <c r="B1316" s="45"/>
      <c r="C1316" s="45"/>
      <c r="D1316" s="45"/>
      <c r="E1316" s="45"/>
      <c r="F1316" s="45"/>
      <c r="G1316" s="45"/>
      <c r="H1316" s="45"/>
      <c r="I1316" s="45"/>
      <c r="J1316" s="45"/>
      <c r="K1316" s="45"/>
      <c r="L1316" s="45"/>
      <c r="M1316" s="45"/>
      <c r="N1316" s="45"/>
      <c r="O1316" s="45"/>
      <c r="P1316" s="45"/>
      <c r="Q1316" s="45"/>
      <c r="R1316" s="45"/>
      <c r="S1316" s="45"/>
      <c r="T1316" s="45"/>
      <c r="U1316" s="45"/>
      <c r="V1316" s="45"/>
      <c r="W1316" s="45"/>
      <c r="X1316" s="45"/>
      <c r="Y1316"/>
      <c r="Z1316"/>
      <c r="AA1316"/>
      <c r="AB1316"/>
    </row>
    <row r="1317" spans="1:28">
      <c r="A1317" s="45"/>
      <c r="B1317" s="45"/>
      <c r="C1317" s="45"/>
      <c r="D1317" s="45"/>
      <c r="E1317" s="45"/>
      <c r="F1317" s="45"/>
      <c r="G1317" s="45"/>
      <c r="H1317" s="45"/>
      <c r="I1317" s="45"/>
      <c r="J1317" s="45"/>
      <c r="K1317" s="45"/>
      <c r="L1317" s="45"/>
      <c r="M1317" s="45"/>
      <c r="N1317" s="45"/>
      <c r="O1317" s="45"/>
      <c r="P1317" s="45"/>
      <c r="Q1317" s="45"/>
      <c r="R1317" s="45"/>
      <c r="S1317" s="45"/>
      <c r="T1317" s="45"/>
      <c r="U1317" s="45"/>
      <c r="V1317" s="45"/>
      <c r="W1317" s="45"/>
      <c r="X1317" s="45"/>
      <c r="Y1317"/>
      <c r="Z1317"/>
      <c r="AA1317"/>
      <c r="AB1317"/>
    </row>
    <row r="1318" spans="1:28">
      <c r="A1318" s="45"/>
      <c r="B1318" s="45"/>
      <c r="C1318" s="45"/>
      <c r="D1318" s="45"/>
      <c r="E1318" s="45"/>
      <c r="F1318" s="45"/>
      <c r="G1318" s="45"/>
      <c r="H1318" s="45"/>
      <c r="I1318" s="45"/>
      <c r="J1318" s="45"/>
      <c r="K1318" s="45"/>
      <c r="L1318" s="45"/>
      <c r="M1318" s="45"/>
      <c r="N1318" s="45"/>
      <c r="O1318" s="45"/>
      <c r="P1318" s="45"/>
      <c r="Q1318" s="45"/>
      <c r="R1318" s="45"/>
      <c r="S1318" s="45"/>
      <c r="T1318" s="45"/>
      <c r="U1318" s="45"/>
      <c r="V1318" s="45"/>
      <c r="W1318" s="45"/>
      <c r="X1318" s="45"/>
      <c r="Y1318"/>
      <c r="Z1318"/>
      <c r="AA1318"/>
      <c r="AB1318"/>
    </row>
    <row r="1319" spans="1:28">
      <c r="A1319" s="45"/>
      <c r="B1319" s="45"/>
      <c r="C1319" s="45"/>
      <c r="D1319" s="45"/>
      <c r="E1319" s="45"/>
      <c r="F1319" s="45"/>
      <c r="G1319" s="45"/>
      <c r="H1319" s="45"/>
      <c r="I1319" s="45"/>
      <c r="J1319" s="45"/>
      <c r="K1319" s="45"/>
      <c r="L1319" s="45"/>
      <c r="M1319" s="45"/>
      <c r="N1319" s="45"/>
      <c r="O1319" s="45"/>
      <c r="P1319" s="45"/>
      <c r="Q1319" s="45"/>
      <c r="R1319" s="45"/>
      <c r="S1319" s="45"/>
      <c r="T1319" s="45"/>
      <c r="U1319" s="45"/>
      <c r="V1319" s="45"/>
      <c r="W1319" s="45"/>
      <c r="X1319" s="45"/>
      <c r="Y1319"/>
      <c r="Z1319"/>
      <c r="AA1319"/>
      <c r="AB1319"/>
    </row>
    <row r="1320" spans="1:28">
      <c r="A1320" s="45"/>
      <c r="B1320" s="45"/>
      <c r="C1320" s="45"/>
      <c r="D1320" s="45"/>
      <c r="E1320" s="45"/>
      <c r="F1320" s="45"/>
      <c r="G1320" s="45"/>
      <c r="H1320" s="45"/>
      <c r="I1320" s="45"/>
      <c r="J1320" s="45"/>
      <c r="K1320" s="45"/>
      <c r="L1320" s="45"/>
      <c r="M1320" s="45"/>
      <c r="N1320" s="45"/>
      <c r="O1320" s="45"/>
      <c r="P1320" s="45"/>
      <c r="Q1320" s="45"/>
      <c r="R1320" s="45"/>
      <c r="S1320" s="45"/>
      <c r="T1320" s="45"/>
      <c r="U1320" s="45"/>
      <c r="V1320" s="45"/>
      <c r="W1320" s="45"/>
      <c r="X1320" s="45"/>
    </row>
    <row r="1321" spans="1:28">
      <c r="A1321" s="45"/>
      <c r="B1321" s="45"/>
      <c r="C1321" s="45"/>
      <c r="D1321" s="45"/>
      <c r="E1321" s="45"/>
      <c r="F1321" s="45"/>
      <c r="G1321" s="45"/>
      <c r="H1321" s="45"/>
      <c r="I1321" s="45"/>
      <c r="J1321" s="45"/>
      <c r="K1321" s="45"/>
      <c r="L1321" s="45"/>
      <c r="M1321" s="45"/>
      <c r="N1321" s="45"/>
      <c r="O1321" s="45"/>
      <c r="P1321" s="45"/>
      <c r="Q1321" s="45"/>
      <c r="R1321" s="45"/>
      <c r="S1321" s="45"/>
      <c r="T1321" s="45"/>
      <c r="U1321" s="45"/>
      <c r="V1321" s="45"/>
      <c r="W1321" s="45"/>
      <c r="X1321" s="45"/>
    </row>
    <row r="1322" spans="1:28" s="56" customFormat="1">
      <c r="A1322" s="45"/>
      <c r="B1322" s="45"/>
      <c r="C1322" s="45"/>
      <c r="D1322" s="45"/>
      <c r="E1322" s="45"/>
      <c r="F1322" s="45"/>
      <c r="G1322" s="45"/>
      <c r="H1322" s="45"/>
      <c r="I1322" s="45"/>
      <c r="J1322" s="45"/>
      <c r="K1322" s="45"/>
      <c r="L1322" s="45"/>
      <c r="M1322" s="45"/>
      <c r="N1322" s="45"/>
      <c r="O1322" s="45"/>
      <c r="P1322" s="45"/>
      <c r="Q1322" s="45"/>
      <c r="R1322" s="45"/>
      <c r="S1322" s="45"/>
      <c r="T1322" s="45"/>
      <c r="U1322" s="45"/>
      <c r="V1322" s="45"/>
      <c r="W1322" s="45"/>
      <c r="X1322" s="45"/>
    </row>
    <row r="1323" spans="1:28" s="56" customFormat="1"/>
    <row r="1324" spans="1:28" s="56" customFormat="1"/>
    <row r="1325" spans="1:28" s="56" customFormat="1"/>
    <row r="1326" spans="1:28" s="56" customFormat="1"/>
    <row r="1327" spans="1:28" s="56" customFormat="1"/>
    <row r="1328" spans="1:28" s="56" customFormat="1"/>
    <row r="1329" spans="1:24" s="56" customFormat="1"/>
    <row r="1330" spans="1:24" s="56" customFormat="1"/>
    <row r="1331" spans="1:24" s="56" customFormat="1"/>
    <row r="1332" spans="1:24" s="56" customFormat="1"/>
    <row r="1333" spans="1:24">
      <c r="A1333" s="56"/>
      <c r="B1333" s="56"/>
      <c r="C1333" s="56"/>
      <c r="D1333" s="56"/>
      <c r="E1333" s="56"/>
      <c r="F1333" s="56"/>
      <c r="G1333" s="56"/>
      <c r="H1333" s="56"/>
      <c r="I1333" s="56"/>
      <c r="J1333" s="56"/>
      <c r="K1333" s="56"/>
      <c r="L1333" s="56"/>
      <c r="M1333" s="56"/>
      <c r="N1333" s="56"/>
      <c r="O1333" s="56"/>
      <c r="P1333" s="56"/>
      <c r="Q1333" s="56"/>
      <c r="R1333" s="56"/>
      <c r="S1333" s="56"/>
      <c r="T1333" s="56"/>
      <c r="U1333" s="56"/>
      <c r="V1333" s="56"/>
      <c r="W1333" s="56"/>
      <c r="X1333" s="56"/>
    </row>
    <row r="1334" spans="1:24" ht="23.25">
      <c r="A1334" s="408" t="s">
        <v>124</v>
      </c>
      <c r="B1334" s="408"/>
      <c r="C1334" s="408"/>
      <c r="D1334" s="408"/>
      <c r="E1334" s="408"/>
      <c r="F1334" s="408"/>
      <c r="G1334" s="408"/>
      <c r="H1334" s="408"/>
      <c r="I1334" s="408"/>
      <c r="J1334" s="408"/>
      <c r="K1334" s="408"/>
      <c r="L1334" s="408"/>
      <c r="M1334" s="408" t="s">
        <v>124</v>
      </c>
      <c r="N1334" s="408"/>
      <c r="O1334" s="408"/>
      <c r="P1334" s="408"/>
      <c r="Q1334" s="408"/>
      <c r="R1334" s="408"/>
      <c r="S1334" s="408"/>
      <c r="T1334" s="408"/>
      <c r="U1334" s="408"/>
      <c r="V1334" s="408"/>
      <c r="W1334" s="408"/>
      <c r="X1334" s="408"/>
    </row>
    <row r="1335" spans="1:24">
      <c r="A1335" s="56"/>
      <c r="B1335" s="56"/>
      <c r="C1335" s="56"/>
      <c r="D1335" s="56"/>
      <c r="E1335" s="56"/>
      <c r="F1335" s="56"/>
      <c r="G1335" s="56"/>
      <c r="H1335" s="56"/>
      <c r="I1335" s="56"/>
      <c r="J1335" s="56"/>
      <c r="K1335" s="56"/>
      <c r="L1335" s="56"/>
      <c r="M1335" s="56"/>
      <c r="N1335" s="56"/>
      <c r="O1335" s="56"/>
      <c r="P1335" s="56"/>
      <c r="Q1335" s="56"/>
      <c r="R1335" s="56"/>
      <c r="S1335" s="56"/>
      <c r="T1335" s="56"/>
      <c r="U1335" s="56"/>
      <c r="V1335" s="56"/>
      <c r="W1335" s="56"/>
      <c r="X1335" s="56"/>
    </row>
    <row r="1336" spans="1:24" ht="23.25">
      <c r="A1336" s="56"/>
      <c r="B1336" s="408" t="s">
        <v>125</v>
      </c>
      <c r="C1336" s="408"/>
      <c r="D1336" s="408"/>
      <c r="E1336" s="408"/>
      <c r="F1336" s="408"/>
      <c r="G1336" s="408"/>
      <c r="H1336" s="133"/>
      <c r="I1336" s="133"/>
      <c r="J1336" s="133"/>
      <c r="K1336" s="133"/>
      <c r="L1336" s="133"/>
      <c r="M1336" s="133"/>
      <c r="N1336" s="133"/>
      <c r="O1336" s="408" t="s">
        <v>126</v>
      </c>
      <c r="P1336" s="408"/>
      <c r="Q1336" s="408"/>
      <c r="R1336" s="408"/>
      <c r="S1336" s="408"/>
      <c r="T1336" s="56"/>
      <c r="U1336" s="56"/>
      <c r="V1336" s="56"/>
      <c r="W1336" s="56"/>
      <c r="X1336" s="56"/>
    </row>
    <row r="1337" spans="1:24" ht="23.25">
      <c r="A1337" s="56"/>
      <c r="B1337" s="428" t="s">
        <v>301</v>
      </c>
      <c r="C1337" s="428"/>
      <c r="D1337" s="428"/>
      <c r="E1337" s="428"/>
      <c r="F1337" s="428"/>
      <c r="G1337" s="428"/>
      <c r="H1337" s="428"/>
      <c r="I1337" s="428"/>
      <c r="J1337" s="133"/>
      <c r="K1337" s="133"/>
      <c r="L1337" s="133"/>
      <c r="M1337" s="133"/>
      <c r="N1337" s="428" t="s">
        <v>302</v>
      </c>
      <c r="O1337" s="428"/>
      <c r="P1337" s="428"/>
      <c r="Q1337" s="428"/>
      <c r="R1337" s="428"/>
      <c r="S1337" s="428"/>
      <c r="T1337" s="428"/>
      <c r="U1337" s="428"/>
      <c r="V1337" s="56"/>
      <c r="W1337" s="56"/>
      <c r="X1337" s="56"/>
    </row>
    <row r="1338" spans="1:24" ht="15.75" thickBot="1">
      <c r="A1338" s="56"/>
      <c r="B1338" s="62"/>
      <c r="C1338" s="93" t="s">
        <v>45</v>
      </c>
      <c r="D1338" s="414" t="s">
        <v>0</v>
      </c>
      <c r="E1338" s="414"/>
      <c r="F1338" s="63" t="s">
        <v>107</v>
      </c>
      <c r="G1338" s="64"/>
      <c r="L1338" s="56"/>
      <c r="M1338" s="56"/>
      <c r="N1338" s="62"/>
      <c r="O1338" s="93" t="s">
        <v>45</v>
      </c>
      <c r="P1338" s="414" t="s">
        <v>0</v>
      </c>
      <c r="Q1338" s="414"/>
      <c r="R1338" s="63" t="s">
        <v>107</v>
      </c>
      <c r="S1338" s="64"/>
      <c r="X1338" s="56"/>
    </row>
    <row r="1339" spans="1:24" ht="15.75" thickBot="1">
      <c r="A1339" s="56"/>
      <c r="B1339" s="61" t="s">
        <v>97</v>
      </c>
      <c r="C1339" s="82">
        <f>D1339+F1339</f>
        <v>30</v>
      </c>
      <c r="D1339" s="416">
        <f>Algandmed!AE250</f>
        <v>19</v>
      </c>
      <c r="E1339" s="421"/>
      <c r="F1339" s="416">
        <f>Algandmed!AF250</f>
        <v>11</v>
      </c>
      <c r="G1339" s="422"/>
      <c r="L1339" s="56"/>
      <c r="M1339" s="56"/>
      <c r="N1339" s="61" t="s">
        <v>39</v>
      </c>
      <c r="O1339" s="82">
        <f>P1339+R1339</f>
        <v>54</v>
      </c>
      <c r="P1339" s="416">
        <f>Algandmed!AT250</f>
        <v>22</v>
      </c>
      <c r="Q1339" s="421"/>
      <c r="R1339" s="416">
        <f>Algandmed!AU250</f>
        <v>32</v>
      </c>
      <c r="S1339" s="422"/>
      <c r="X1339" s="56"/>
    </row>
    <row r="1340" spans="1:24">
      <c r="A1340" s="56"/>
      <c r="B1340" s="56"/>
      <c r="C1340" s="56"/>
      <c r="D1340" s="56"/>
      <c r="E1340" s="56"/>
      <c r="F1340" s="56"/>
      <c r="G1340" s="56"/>
      <c r="L1340" s="56"/>
      <c r="M1340" s="56"/>
      <c r="N1340" s="56"/>
      <c r="O1340" s="56"/>
      <c r="P1340" s="56"/>
      <c r="Q1340" s="56"/>
      <c r="R1340" s="56"/>
      <c r="S1340" s="56"/>
      <c r="X1340" s="56"/>
    </row>
    <row r="1341" spans="1:24">
      <c r="A1341" s="56"/>
      <c r="B1341" s="71"/>
      <c r="C1341" s="417"/>
      <c r="D1341" s="412" t="s">
        <v>0</v>
      </c>
      <c r="E1341" s="414"/>
      <c r="F1341" s="63" t="s">
        <v>107</v>
      </c>
      <c r="G1341" s="64"/>
      <c r="L1341" s="56"/>
      <c r="M1341" s="56"/>
      <c r="N1341" s="71"/>
      <c r="O1341" s="417"/>
      <c r="P1341" s="412" t="s">
        <v>0</v>
      </c>
      <c r="Q1341" s="414"/>
      <c r="R1341" s="63" t="s">
        <v>107</v>
      </c>
      <c r="S1341" s="64"/>
      <c r="X1341" s="56"/>
    </row>
    <row r="1342" spans="1:24">
      <c r="A1342" s="56"/>
      <c r="B1342" s="92" t="s">
        <v>97</v>
      </c>
      <c r="C1342" s="418"/>
      <c r="D1342" s="425">
        <f>D1339/C1339</f>
        <v>0.6333333333333333</v>
      </c>
      <c r="E1342" s="424"/>
      <c r="F1342" s="423">
        <f>F1339/C1339</f>
        <v>0.36666666666666664</v>
      </c>
      <c r="G1342" s="424"/>
      <c r="L1342" s="56"/>
      <c r="M1342" s="56"/>
      <c r="N1342" s="92" t="s">
        <v>39</v>
      </c>
      <c r="O1342" s="418"/>
      <c r="P1342" s="425">
        <f>P1339/O1339</f>
        <v>0.40740740740740738</v>
      </c>
      <c r="Q1342" s="424"/>
      <c r="R1342" s="423">
        <f>R1339/O1339</f>
        <v>0.59259259259259256</v>
      </c>
      <c r="S1342" s="424"/>
      <c r="X1342" s="56"/>
    </row>
    <row r="1343" spans="1:24">
      <c r="A1343" s="56"/>
      <c r="B1343" s="56"/>
      <c r="C1343" s="56"/>
      <c r="D1343" s="56"/>
      <c r="E1343" s="56"/>
      <c r="F1343" s="56"/>
      <c r="G1343" s="56"/>
      <c r="H1343" s="56"/>
      <c r="I1343" s="56"/>
      <c r="J1343" s="56"/>
      <c r="K1343" s="56"/>
      <c r="L1343" s="56"/>
      <c r="M1343" s="56"/>
      <c r="N1343" s="56"/>
      <c r="O1343" s="56"/>
      <c r="P1343" s="56"/>
      <c r="Q1343" s="56"/>
      <c r="R1343" s="56"/>
      <c r="S1343" s="56"/>
      <c r="T1343" s="56"/>
      <c r="U1343" s="56"/>
      <c r="V1343" s="56"/>
      <c r="W1343" s="56"/>
      <c r="X1343" s="56"/>
    </row>
    <row r="1344" spans="1:24">
      <c r="A1344" s="56"/>
      <c r="B1344" s="56"/>
      <c r="C1344" s="56"/>
      <c r="D1344" s="56"/>
      <c r="E1344" s="56"/>
      <c r="F1344" s="56"/>
      <c r="G1344" s="56"/>
      <c r="H1344" s="56"/>
      <c r="I1344" s="56"/>
      <c r="J1344" s="56"/>
      <c r="K1344" s="56"/>
      <c r="L1344" s="56"/>
      <c r="M1344" s="56"/>
      <c r="N1344" s="56"/>
      <c r="O1344" s="56"/>
      <c r="P1344" s="56"/>
      <c r="Q1344" s="56"/>
      <c r="R1344" s="56"/>
      <c r="S1344" s="56"/>
      <c r="T1344" s="56"/>
      <c r="U1344" s="56"/>
      <c r="V1344" s="56"/>
      <c r="W1344" s="56"/>
      <c r="X1344" s="56"/>
    </row>
    <row r="1345" spans="1:24">
      <c r="A1345" s="56"/>
      <c r="B1345" s="56"/>
      <c r="C1345" s="56"/>
      <c r="D1345" s="56"/>
      <c r="E1345" s="56"/>
      <c r="F1345" s="56"/>
      <c r="G1345" s="56"/>
      <c r="H1345" s="56"/>
      <c r="I1345" s="56"/>
      <c r="J1345" s="56"/>
      <c r="K1345" s="56"/>
      <c r="L1345" s="56"/>
      <c r="M1345" s="56"/>
      <c r="N1345" s="56"/>
      <c r="O1345" s="56"/>
      <c r="P1345" s="56"/>
      <c r="Q1345" s="56"/>
      <c r="R1345" s="56"/>
      <c r="S1345" s="56"/>
      <c r="T1345" s="56"/>
      <c r="U1345" s="56"/>
      <c r="V1345" s="56"/>
      <c r="W1345" s="56"/>
      <c r="X1345" s="56"/>
    </row>
    <row r="1346" spans="1:24">
      <c r="A1346" s="56"/>
      <c r="B1346" s="56"/>
      <c r="C1346" s="56"/>
      <c r="D1346" s="56"/>
      <c r="E1346" s="56"/>
      <c r="F1346" s="56"/>
      <c r="G1346" s="56"/>
      <c r="H1346" s="56"/>
      <c r="I1346" s="56"/>
      <c r="J1346" s="56"/>
      <c r="K1346" s="56"/>
      <c r="L1346" s="56"/>
      <c r="M1346" s="56"/>
      <c r="N1346" s="56"/>
      <c r="O1346" s="56"/>
      <c r="P1346" s="56"/>
      <c r="Q1346" s="56"/>
      <c r="R1346" s="56"/>
      <c r="S1346" s="56"/>
      <c r="T1346" s="56"/>
      <c r="U1346" s="56"/>
      <c r="V1346" s="56"/>
      <c r="W1346" s="56"/>
      <c r="X1346" s="56"/>
    </row>
    <row r="1347" spans="1:24">
      <c r="A1347" s="56"/>
      <c r="B1347" s="56"/>
      <c r="C1347" s="56"/>
      <c r="D1347" s="56"/>
      <c r="E1347" s="56"/>
      <c r="F1347" s="56"/>
      <c r="G1347" s="56"/>
      <c r="H1347" s="56"/>
      <c r="I1347" s="56"/>
      <c r="J1347" s="56"/>
      <c r="K1347" s="56"/>
      <c r="L1347" s="56"/>
      <c r="M1347" s="56"/>
      <c r="N1347" s="56"/>
      <c r="O1347" s="56"/>
      <c r="P1347" s="56"/>
      <c r="Q1347" s="56"/>
      <c r="R1347" s="56"/>
      <c r="S1347" s="56"/>
      <c r="T1347" s="56"/>
      <c r="U1347" s="56"/>
      <c r="V1347" s="56"/>
      <c r="W1347" s="56"/>
      <c r="X1347" s="56"/>
    </row>
    <row r="1348" spans="1:24">
      <c r="A1348" s="56"/>
      <c r="B1348" s="56"/>
      <c r="C1348" s="56"/>
      <c r="D1348" s="56"/>
      <c r="E1348" s="56"/>
      <c r="F1348" s="56"/>
      <c r="G1348" s="56"/>
      <c r="H1348" s="56"/>
      <c r="I1348" s="56"/>
      <c r="J1348" s="56"/>
      <c r="K1348" s="56"/>
      <c r="L1348" s="56"/>
      <c r="M1348" s="56"/>
      <c r="N1348" s="56"/>
      <c r="O1348" s="56"/>
      <c r="P1348" s="56"/>
      <c r="Q1348" s="56"/>
      <c r="R1348" s="56"/>
      <c r="S1348" s="56"/>
      <c r="T1348" s="56"/>
      <c r="U1348" s="56"/>
      <c r="V1348" s="56"/>
      <c r="W1348" s="56"/>
      <c r="X1348" s="56"/>
    </row>
    <row r="1349" spans="1:24">
      <c r="A1349" s="56"/>
      <c r="B1349" s="56"/>
      <c r="C1349" s="56"/>
      <c r="D1349" s="56"/>
      <c r="E1349" s="56"/>
      <c r="F1349" s="56"/>
      <c r="G1349" s="56"/>
      <c r="H1349" s="56"/>
      <c r="I1349" s="56"/>
      <c r="J1349" s="56"/>
      <c r="K1349" s="56"/>
      <c r="L1349" s="56"/>
      <c r="M1349" s="56"/>
      <c r="N1349" s="56"/>
      <c r="O1349" s="56"/>
      <c r="P1349" s="56"/>
      <c r="Q1349" s="56"/>
      <c r="R1349" s="56"/>
      <c r="S1349" s="56"/>
      <c r="T1349" s="56"/>
      <c r="U1349" s="56"/>
      <c r="V1349" s="56"/>
      <c r="W1349" s="56"/>
      <c r="X1349" s="56"/>
    </row>
    <row r="1350" spans="1:24">
      <c r="A1350" s="56"/>
      <c r="B1350" s="56"/>
      <c r="C1350" s="56"/>
      <c r="D1350" s="56"/>
      <c r="E1350" s="56"/>
      <c r="F1350" s="56"/>
      <c r="G1350" s="56"/>
      <c r="H1350" s="56"/>
      <c r="I1350" s="56"/>
      <c r="J1350" s="56"/>
      <c r="K1350" s="56"/>
      <c r="L1350" s="56"/>
      <c r="M1350" s="56"/>
      <c r="N1350" s="56"/>
      <c r="O1350" s="56"/>
      <c r="P1350" s="56"/>
      <c r="Q1350" s="56"/>
      <c r="R1350" s="56"/>
      <c r="S1350" s="56"/>
      <c r="T1350" s="56"/>
      <c r="U1350" s="56"/>
      <c r="V1350" s="56"/>
      <c r="W1350" s="56"/>
      <c r="X1350" s="56"/>
    </row>
    <row r="1351" spans="1:24">
      <c r="A1351" s="56"/>
      <c r="B1351" s="56"/>
      <c r="C1351" s="56"/>
      <c r="D1351" s="56"/>
      <c r="E1351" s="56"/>
      <c r="F1351" s="56"/>
      <c r="G1351" s="56"/>
      <c r="H1351" s="56"/>
      <c r="I1351" s="56"/>
      <c r="J1351" s="56"/>
      <c r="K1351" s="56"/>
      <c r="L1351" s="56"/>
      <c r="M1351" s="56"/>
      <c r="N1351" s="56"/>
      <c r="O1351" s="56"/>
      <c r="P1351" s="56"/>
      <c r="Q1351" s="56"/>
      <c r="R1351" s="56"/>
      <c r="S1351" s="56"/>
      <c r="T1351" s="56"/>
      <c r="U1351" s="56"/>
      <c r="V1351" s="56"/>
      <c r="W1351" s="56"/>
      <c r="X1351" s="56"/>
    </row>
    <row r="1352" spans="1:24">
      <c r="A1352" s="56"/>
      <c r="B1352" s="56"/>
      <c r="C1352" s="56"/>
      <c r="D1352" s="56"/>
      <c r="E1352" s="56"/>
      <c r="F1352" s="56"/>
      <c r="G1352" s="56"/>
      <c r="H1352" s="56"/>
      <c r="I1352" s="56"/>
      <c r="J1352" s="56"/>
      <c r="K1352" s="56"/>
      <c r="L1352" s="56"/>
      <c r="M1352" s="56"/>
      <c r="N1352" s="56"/>
      <c r="O1352" s="56"/>
      <c r="P1352" s="56"/>
      <c r="Q1352" s="56"/>
      <c r="R1352" s="56"/>
      <c r="S1352" s="56"/>
      <c r="T1352" s="56"/>
      <c r="U1352" s="56"/>
      <c r="V1352" s="56"/>
      <c r="W1352" s="56"/>
      <c r="X1352" s="56"/>
    </row>
    <row r="1353" spans="1:24">
      <c r="A1353" s="56"/>
      <c r="B1353" s="56"/>
      <c r="C1353" s="56"/>
      <c r="D1353" s="56"/>
      <c r="E1353" s="56"/>
      <c r="F1353" s="56"/>
      <c r="G1353" s="56"/>
      <c r="H1353" s="56"/>
      <c r="I1353" s="56"/>
      <c r="J1353" s="56"/>
      <c r="K1353" s="56"/>
      <c r="L1353" s="56"/>
      <c r="M1353" s="56"/>
      <c r="N1353" s="56"/>
      <c r="O1353" s="56"/>
      <c r="P1353" s="56"/>
      <c r="Q1353" s="56"/>
      <c r="R1353" s="56"/>
      <c r="S1353" s="56"/>
      <c r="T1353" s="56"/>
      <c r="U1353" s="56"/>
      <c r="V1353" s="56"/>
      <c r="W1353" s="56"/>
      <c r="X1353" s="56"/>
    </row>
    <row r="1354" spans="1:24">
      <c r="A1354" s="56"/>
      <c r="B1354" s="56"/>
      <c r="C1354" s="56"/>
      <c r="D1354" s="56"/>
      <c r="E1354" s="56"/>
      <c r="F1354" s="56"/>
      <c r="G1354" s="56"/>
      <c r="H1354" s="56"/>
      <c r="I1354" s="56"/>
      <c r="J1354" s="56"/>
      <c r="K1354" s="56"/>
      <c r="L1354" s="56"/>
      <c r="M1354" s="56"/>
      <c r="N1354" s="56"/>
      <c r="O1354" s="56"/>
      <c r="P1354" s="56"/>
      <c r="Q1354" s="56"/>
      <c r="R1354" s="56"/>
      <c r="S1354" s="56"/>
      <c r="T1354" s="56"/>
      <c r="U1354" s="56"/>
      <c r="V1354" s="56"/>
      <c r="W1354" s="56"/>
      <c r="X1354" s="56"/>
    </row>
    <row r="1355" spans="1:24" ht="23.25">
      <c r="A1355" s="56"/>
      <c r="B1355" s="408" t="s">
        <v>125</v>
      </c>
      <c r="C1355" s="408"/>
      <c r="D1355" s="408"/>
      <c r="E1355" s="408"/>
      <c r="F1355" s="408"/>
      <c r="G1355" s="408"/>
      <c r="H1355" s="133"/>
      <c r="I1355" s="133"/>
      <c r="J1355" s="133"/>
      <c r="K1355" s="133"/>
      <c r="L1355" s="133"/>
      <c r="M1355" s="133"/>
      <c r="N1355" s="133"/>
      <c r="O1355" s="408" t="s">
        <v>126</v>
      </c>
      <c r="P1355" s="408"/>
      <c r="Q1355" s="408"/>
      <c r="R1355" s="408"/>
      <c r="S1355" s="408"/>
      <c r="T1355" s="133"/>
      <c r="U1355" s="133"/>
      <c r="V1355" s="56"/>
      <c r="W1355" s="56"/>
      <c r="X1355" s="56"/>
    </row>
    <row r="1356" spans="1:24" ht="23.25">
      <c r="A1356" s="56"/>
      <c r="B1356" s="419" t="s">
        <v>301</v>
      </c>
      <c r="C1356" s="419"/>
      <c r="D1356" s="419"/>
      <c r="E1356" s="419"/>
      <c r="F1356" s="419"/>
      <c r="G1356" s="419"/>
      <c r="H1356" s="419"/>
      <c r="I1356" s="419"/>
      <c r="J1356" s="133"/>
      <c r="K1356" s="133"/>
      <c r="L1356" s="133"/>
      <c r="M1356" s="133"/>
      <c r="N1356" s="419" t="s">
        <v>302</v>
      </c>
      <c r="O1356" s="419"/>
      <c r="P1356" s="419"/>
      <c r="Q1356" s="419"/>
      <c r="R1356" s="419"/>
      <c r="S1356" s="419"/>
      <c r="T1356" s="419"/>
      <c r="U1356" s="419"/>
      <c r="V1356" s="56"/>
      <c r="W1356" s="56"/>
      <c r="X1356" s="56"/>
    </row>
    <row r="1357" spans="1:24" ht="15.75" thickBot="1">
      <c r="A1357" s="56"/>
      <c r="B1357" s="62"/>
      <c r="C1357" s="93" t="s">
        <v>45</v>
      </c>
      <c r="D1357" s="414" t="s">
        <v>0</v>
      </c>
      <c r="E1357" s="414"/>
      <c r="F1357" s="411" t="s">
        <v>108</v>
      </c>
      <c r="G1357" s="412"/>
      <c r="H1357" s="414" t="s">
        <v>109</v>
      </c>
      <c r="I1357" s="414"/>
      <c r="J1357" s="56"/>
      <c r="K1357" s="56"/>
      <c r="L1357" s="56"/>
      <c r="M1357" s="56"/>
      <c r="N1357" s="62"/>
      <c r="O1357" s="93" t="s">
        <v>45</v>
      </c>
      <c r="P1357" s="414" t="s">
        <v>0</v>
      </c>
      <c r="Q1357" s="414"/>
      <c r="R1357" s="411" t="s">
        <v>108</v>
      </c>
      <c r="S1357" s="412"/>
      <c r="T1357" s="414" t="s">
        <v>109</v>
      </c>
      <c r="U1357" s="414"/>
    </row>
    <row r="1358" spans="1:24" ht="15.75" thickBot="1">
      <c r="A1358" s="56"/>
      <c r="B1358" s="61" t="s">
        <v>97</v>
      </c>
      <c r="C1358" s="82">
        <f>D1358+F1358+H1358</f>
        <v>30</v>
      </c>
      <c r="D1358" s="416">
        <f>Algandmed!AE255</f>
        <v>19</v>
      </c>
      <c r="E1358" s="421"/>
      <c r="F1358" s="416">
        <f>Algandmed!AF255</f>
        <v>9</v>
      </c>
      <c r="G1358" s="421"/>
      <c r="H1358" s="416">
        <f>Algandmed!AG255</f>
        <v>2</v>
      </c>
      <c r="I1358" s="422"/>
      <c r="J1358" s="56"/>
      <c r="K1358" s="56"/>
      <c r="L1358" s="56"/>
      <c r="M1358" s="56"/>
      <c r="N1358" s="61" t="s">
        <v>39</v>
      </c>
      <c r="O1358" s="82">
        <f>P1358+R1358+T1358</f>
        <v>54</v>
      </c>
      <c r="P1358" s="416">
        <f>Algandmed!AT255</f>
        <v>22</v>
      </c>
      <c r="Q1358" s="421"/>
      <c r="R1358" s="416">
        <f>Algandmed!AU255</f>
        <v>26</v>
      </c>
      <c r="S1358" s="421"/>
      <c r="T1358" s="416">
        <f>Algandmed!AV255</f>
        <v>6</v>
      </c>
      <c r="U1358" s="422"/>
    </row>
    <row r="1359" spans="1:24">
      <c r="A1359" s="56"/>
      <c r="B1359" s="56"/>
      <c r="D1359" s="56"/>
      <c r="E1359" s="56"/>
      <c r="F1359" s="56"/>
      <c r="G1359" s="56"/>
      <c r="H1359" s="56"/>
      <c r="I1359" s="56"/>
      <c r="J1359" s="56"/>
      <c r="K1359" s="56"/>
      <c r="L1359" s="56"/>
      <c r="M1359" s="56"/>
      <c r="N1359" s="56"/>
      <c r="O1359" s="56"/>
      <c r="P1359" s="56"/>
      <c r="Q1359" s="56"/>
      <c r="R1359" s="56"/>
      <c r="S1359" s="56"/>
      <c r="T1359" s="56"/>
      <c r="U1359" s="56"/>
    </row>
    <row r="1360" spans="1:24">
      <c r="A1360" s="56"/>
      <c r="B1360" s="62"/>
      <c r="C1360" s="417"/>
      <c r="D1360" s="414" t="s">
        <v>0</v>
      </c>
      <c r="E1360" s="414"/>
      <c r="F1360" s="411" t="s">
        <v>108</v>
      </c>
      <c r="G1360" s="412"/>
      <c r="H1360" s="414" t="s">
        <v>109</v>
      </c>
      <c r="I1360" s="414"/>
      <c r="J1360" s="56"/>
      <c r="K1360" s="56"/>
      <c r="L1360" s="56"/>
      <c r="M1360" s="56"/>
      <c r="N1360" s="62"/>
      <c r="O1360" s="417"/>
      <c r="P1360" s="414" t="s">
        <v>0</v>
      </c>
      <c r="Q1360" s="414"/>
      <c r="R1360" s="411" t="s">
        <v>108</v>
      </c>
      <c r="S1360" s="412"/>
      <c r="T1360" s="414" t="s">
        <v>109</v>
      </c>
      <c r="U1360" s="414"/>
    </row>
    <row r="1361" spans="1:24">
      <c r="A1361" s="56"/>
      <c r="B1361" s="61" t="s">
        <v>97</v>
      </c>
      <c r="C1361" s="418"/>
      <c r="D1361" s="423">
        <f>D1358/C1358</f>
        <v>0.6333333333333333</v>
      </c>
      <c r="E1361" s="424"/>
      <c r="F1361" s="423">
        <f>F1358/C1358</f>
        <v>0.3</v>
      </c>
      <c r="G1361" s="424"/>
      <c r="H1361" s="423">
        <f>H1358/C1358</f>
        <v>6.6666666666666666E-2</v>
      </c>
      <c r="I1361" s="424"/>
      <c r="J1361" s="56"/>
      <c r="K1361" s="56"/>
      <c r="L1361" s="56"/>
      <c r="M1361" s="56"/>
      <c r="N1361" s="61" t="s">
        <v>39</v>
      </c>
      <c r="O1361" s="418"/>
      <c r="P1361" s="423">
        <f>P1358/O1358</f>
        <v>0.40740740740740738</v>
      </c>
      <c r="Q1361" s="424"/>
      <c r="R1361" s="423">
        <f>R1358/O1358</f>
        <v>0.48148148148148145</v>
      </c>
      <c r="S1361" s="424"/>
      <c r="T1361" s="423">
        <f>T1358/O1358</f>
        <v>0.1111111111111111</v>
      </c>
      <c r="U1361" s="424"/>
    </row>
    <row r="1362" spans="1:24">
      <c r="A1362" s="56"/>
      <c r="B1362" s="56"/>
      <c r="C1362" s="56"/>
      <c r="D1362" s="56"/>
      <c r="E1362" s="56"/>
      <c r="F1362" s="56"/>
      <c r="G1362" s="56"/>
      <c r="H1362" s="56"/>
      <c r="I1362" s="56"/>
      <c r="J1362" s="56"/>
      <c r="K1362" s="56"/>
      <c r="L1362" s="56"/>
      <c r="M1362" s="56"/>
      <c r="N1362" s="56"/>
      <c r="O1362" s="56"/>
      <c r="P1362" s="56"/>
      <c r="Q1362" s="56"/>
      <c r="R1362" s="56"/>
      <c r="S1362" s="56"/>
      <c r="T1362" s="56"/>
      <c r="U1362" s="56"/>
      <c r="V1362" s="56"/>
      <c r="W1362" s="56"/>
      <c r="X1362" s="56"/>
    </row>
    <row r="1363" spans="1:24">
      <c r="A1363" s="56"/>
      <c r="B1363" s="56"/>
      <c r="C1363" s="56"/>
      <c r="D1363" s="56"/>
      <c r="E1363" s="56"/>
      <c r="F1363" s="56"/>
      <c r="G1363" s="56"/>
      <c r="H1363" s="56"/>
      <c r="I1363" s="56"/>
      <c r="J1363" s="56"/>
      <c r="K1363" s="56"/>
      <c r="L1363" s="56"/>
      <c r="M1363" s="56"/>
      <c r="N1363" s="56"/>
      <c r="O1363" s="56"/>
      <c r="P1363" s="56"/>
      <c r="Q1363" s="56"/>
      <c r="R1363" s="56"/>
      <c r="S1363" s="56"/>
      <c r="T1363" s="56"/>
      <c r="U1363" s="56"/>
      <c r="V1363" s="56"/>
      <c r="W1363" s="56"/>
      <c r="X1363" s="56"/>
    </row>
    <row r="1364" spans="1:24">
      <c r="A1364" s="56"/>
      <c r="B1364" s="56"/>
      <c r="C1364" s="56"/>
      <c r="D1364" s="56"/>
      <c r="E1364" s="56"/>
      <c r="F1364" s="56"/>
      <c r="G1364" s="56"/>
      <c r="H1364" s="56"/>
      <c r="I1364" s="56"/>
      <c r="J1364" s="56"/>
      <c r="K1364" s="56"/>
      <c r="L1364" s="56"/>
      <c r="M1364" s="56"/>
      <c r="N1364" s="56"/>
      <c r="O1364" s="56"/>
      <c r="P1364" s="56"/>
      <c r="Q1364" s="56"/>
      <c r="R1364" s="56"/>
      <c r="S1364" s="56"/>
      <c r="T1364" s="56"/>
      <c r="U1364" s="56"/>
      <c r="V1364" s="56"/>
      <c r="W1364" s="56"/>
      <c r="X1364" s="56"/>
    </row>
    <row r="1365" spans="1:24">
      <c r="A1365" s="56"/>
      <c r="B1365" s="56"/>
      <c r="C1365" s="56"/>
      <c r="D1365" s="56"/>
      <c r="E1365" s="56"/>
      <c r="F1365" s="56"/>
      <c r="G1365" s="56"/>
      <c r="H1365" s="56"/>
      <c r="I1365" s="56"/>
      <c r="J1365" s="56"/>
      <c r="K1365" s="56"/>
      <c r="L1365" s="56"/>
      <c r="M1365" s="56"/>
      <c r="N1365" s="56"/>
      <c r="O1365" s="56"/>
      <c r="P1365" s="56"/>
      <c r="Q1365" s="56"/>
      <c r="R1365" s="56"/>
      <c r="S1365" s="56"/>
      <c r="T1365" s="56"/>
      <c r="U1365" s="56"/>
      <c r="V1365" s="56"/>
      <c r="W1365" s="56"/>
      <c r="X1365" s="56"/>
    </row>
    <row r="1366" spans="1:24">
      <c r="A1366" s="56"/>
      <c r="B1366" s="56"/>
      <c r="C1366" s="56"/>
      <c r="D1366" s="56"/>
      <c r="E1366" s="56"/>
      <c r="F1366" s="56"/>
      <c r="G1366" s="56"/>
      <c r="H1366" s="56"/>
      <c r="I1366" s="56"/>
      <c r="J1366" s="56"/>
      <c r="K1366" s="56"/>
      <c r="L1366" s="56"/>
      <c r="M1366" s="56"/>
      <c r="N1366" s="56"/>
      <c r="O1366" s="56"/>
      <c r="P1366" s="56"/>
      <c r="Q1366" s="56"/>
      <c r="R1366" s="56"/>
      <c r="S1366" s="56"/>
      <c r="T1366" s="56"/>
      <c r="U1366" s="56"/>
      <c r="V1366" s="56"/>
      <c r="W1366" s="56"/>
      <c r="X1366" s="56"/>
    </row>
    <row r="1367" spans="1:24">
      <c r="A1367" s="56"/>
      <c r="B1367" s="56"/>
      <c r="C1367" s="56"/>
      <c r="D1367" s="56"/>
      <c r="E1367" s="56"/>
      <c r="F1367" s="56"/>
      <c r="G1367" s="56"/>
      <c r="H1367" s="56"/>
      <c r="I1367" s="56"/>
      <c r="J1367" s="56"/>
      <c r="K1367" s="56"/>
      <c r="L1367" s="56"/>
      <c r="M1367" s="56"/>
      <c r="N1367" s="56"/>
      <c r="O1367" s="56"/>
      <c r="P1367" s="56"/>
      <c r="Q1367" s="56"/>
      <c r="R1367" s="56"/>
      <c r="S1367" s="56"/>
      <c r="T1367" s="56"/>
      <c r="U1367" s="56"/>
      <c r="V1367" s="56"/>
      <c r="W1367" s="56"/>
      <c r="X1367" s="56"/>
    </row>
    <row r="1368" spans="1:24">
      <c r="A1368" s="56"/>
      <c r="B1368" s="56"/>
      <c r="C1368" s="56"/>
      <c r="D1368" s="56"/>
      <c r="E1368" s="56"/>
      <c r="F1368" s="56"/>
      <c r="G1368" s="56"/>
      <c r="H1368" s="56"/>
      <c r="I1368" s="56"/>
      <c r="J1368" s="56"/>
      <c r="K1368" s="56"/>
      <c r="L1368" s="56"/>
      <c r="M1368" s="56"/>
      <c r="N1368" s="56"/>
      <c r="O1368" s="56"/>
      <c r="P1368" s="56"/>
      <c r="Q1368" s="56"/>
      <c r="R1368" s="56"/>
      <c r="S1368" s="56"/>
      <c r="T1368" s="56"/>
      <c r="U1368" s="56"/>
      <c r="V1368" s="56"/>
      <c r="W1368" s="56"/>
      <c r="X1368" s="56"/>
    </row>
    <row r="1369" spans="1:24">
      <c r="A1369" s="56"/>
      <c r="B1369" s="56"/>
      <c r="C1369" s="56"/>
      <c r="D1369" s="56"/>
      <c r="E1369" s="56"/>
      <c r="F1369" s="56"/>
      <c r="G1369" s="56"/>
      <c r="H1369" s="56"/>
      <c r="I1369" s="56"/>
      <c r="J1369" s="56"/>
      <c r="K1369" s="56"/>
      <c r="L1369" s="56"/>
      <c r="M1369" s="56"/>
      <c r="N1369" s="56"/>
      <c r="O1369" s="56"/>
      <c r="P1369" s="56"/>
      <c r="Q1369" s="56"/>
      <c r="R1369" s="56"/>
      <c r="S1369" s="56"/>
      <c r="T1369" s="56"/>
      <c r="U1369" s="56"/>
      <c r="V1369" s="56"/>
      <c r="W1369" s="56"/>
      <c r="X1369" s="56"/>
    </row>
    <row r="1370" spans="1:24">
      <c r="A1370" s="56"/>
      <c r="B1370" s="56"/>
      <c r="C1370" s="56"/>
      <c r="D1370" s="56"/>
      <c r="E1370" s="56"/>
      <c r="F1370" s="56"/>
      <c r="G1370" s="56"/>
      <c r="H1370" s="56"/>
      <c r="I1370" s="56"/>
      <c r="J1370" s="56"/>
      <c r="K1370" s="56"/>
      <c r="L1370" s="56"/>
      <c r="M1370" s="56"/>
      <c r="N1370" s="56"/>
      <c r="O1370" s="56"/>
      <c r="P1370" s="56"/>
      <c r="Q1370" s="56"/>
      <c r="R1370" s="56"/>
      <c r="S1370" s="56"/>
      <c r="T1370" s="56"/>
      <c r="U1370" s="56"/>
      <c r="V1370" s="56"/>
      <c r="W1370" s="56"/>
      <c r="X1370" s="56"/>
    </row>
    <row r="1371" spans="1:24">
      <c r="A1371" s="56"/>
      <c r="B1371" s="56"/>
      <c r="C1371" s="56"/>
      <c r="D1371" s="56"/>
      <c r="E1371" s="56"/>
      <c r="F1371" s="56"/>
      <c r="G1371" s="56"/>
      <c r="H1371" s="56"/>
      <c r="I1371" s="56"/>
      <c r="J1371" s="56"/>
      <c r="K1371" s="56"/>
      <c r="L1371" s="56"/>
      <c r="M1371" s="56"/>
      <c r="N1371" s="56"/>
      <c r="O1371" s="56"/>
      <c r="P1371" s="56"/>
      <c r="Q1371" s="56"/>
      <c r="R1371" s="56"/>
      <c r="S1371" s="56"/>
      <c r="T1371" s="56"/>
      <c r="U1371" s="56"/>
      <c r="V1371" s="56"/>
      <c r="W1371" s="56"/>
      <c r="X1371" s="56"/>
    </row>
    <row r="1372" spans="1:24">
      <c r="A1372" s="56"/>
      <c r="B1372" s="56"/>
      <c r="C1372" s="56"/>
      <c r="D1372" s="56"/>
      <c r="E1372" s="56"/>
      <c r="F1372" s="56"/>
      <c r="G1372" s="56"/>
      <c r="H1372" s="56"/>
      <c r="I1372" s="56"/>
      <c r="J1372" s="56"/>
      <c r="K1372" s="56"/>
      <c r="L1372" s="56"/>
      <c r="M1372" s="56"/>
      <c r="N1372" s="56"/>
      <c r="O1372" s="56"/>
      <c r="P1372" s="56"/>
      <c r="Q1372" s="56"/>
      <c r="R1372" s="56"/>
      <c r="S1372" s="56"/>
      <c r="T1372" s="56"/>
      <c r="U1372" s="56"/>
      <c r="V1372" s="56"/>
      <c r="W1372" s="56"/>
      <c r="X1372" s="56"/>
    </row>
    <row r="1373" spans="1:24">
      <c r="A1373" s="56"/>
      <c r="B1373" s="56"/>
      <c r="C1373" s="56"/>
      <c r="D1373" s="56"/>
      <c r="E1373" s="56"/>
      <c r="F1373" s="56"/>
      <c r="G1373" s="56"/>
      <c r="H1373" s="56"/>
      <c r="I1373" s="56"/>
      <c r="J1373" s="56"/>
      <c r="K1373" s="56"/>
      <c r="L1373" s="56"/>
      <c r="M1373" s="56"/>
      <c r="N1373" s="56"/>
      <c r="O1373" s="56"/>
      <c r="P1373" s="56"/>
      <c r="Q1373" s="56"/>
      <c r="R1373" s="56"/>
      <c r="S1373" s="56"/>
      <c r="T1373" s="56"/>
      <c r="U1373" s="56"/>
      <c r="V1373" s="56"/>
      <c r="W1373" s="56"/>
      <c r="X1373" s="56"/>
    </row>
    <row r="1374" spans="1:24">
      <c r="A1374" s="56"/>
      <c r="B1374" s="56"/>
      <c r="C1374" s="56"/>
      <c r="D1374" s="56"/>
      <c r="E1374" s="56"/>
      <c r="F1374" s="56"/>
      <c r="G1374" s="56"/>
      <c r="H1374" s="56"/>
      <c r="I1374" s="56"/>
      <c r="J1374" s="56"/>
      <c r="K1374" s="56"/>
      <c r="L1374" s="56"/>
      <c r="M1374" s="56"/>
      <c r="N1374" s="56"/>
      <c r="O1374" s="56"/>
      <c r="P1374" s="56"/>
      <c r="Q1374" s="56"/>
      <c r="R1374" s="56"/>
      <c r="S1374" s="56"/>
      <c r="T1374" s="56"/>
      <c r="U1374" s="56"/>
      <c r="V1374" s="56"/>
      <c r="W1374" s="56"/>
      <c r="X1374" s="56"/>
    </row>
    <row r="1375" spans="1:24">
      <c r="A1375" s="56"/>
      <c r="B1375" s="56"/>
      <c r="C1375" s="56"/>
      <c r="D1375" s="56"/>
      <c r="E1375" s="56"/>
      <c r="F1375" s="56"/>
      <c r="G1375" s="56"/>
      <c r="H1375" s="56"/>
      <c r="I1375" s="56"/>
      <c r="J1375" s="56"/>
      <c r="K1375" s="56"/>
      <c r="L1375" s="56"/>
      <c r="M1375" s="56"/>
      <c r="N1375" s="56"/>
      <c r="O1375" s="56"/>
      <c r="P1375" s="56"/>
      <c r="Q1375" s="56"/>
      <c r="R1375" s="56"/>
      <c r="S1375" s="56"/>
      <c r="T1375" s="56"/>
      <c r="U1375" s="56"/>
      <c r="V1375" s="56"/>
      <c r="W1375" s="56"/>
      <c r="X1375" s="56"/>
    </row>
    <row r="1376" spans="1:24">
      <c r="A1376" s="56"/>
      <c r="B1376" s="56"/>
      <c r="C1376" s="56"/>
      <c r="D1376" s="56"/>
      <c r="E1376" s="56"/>
      <c r="F1376" s="56"/>
      <c r="G1376" s="56"/>
      <c r="H1376" s="56"/>
      <c r="I1376" s="56"/>
      <c r="J1376" s="56"/>
      <c r="K1376" s="56"/>
      <c r="L1376" s="56"/>
      <c r="M1376" s="56"/>
      <c r="N1376" s="56"/>
      <c r="O1376" s="56"/>
      <c r="P1376" s="56"/>
      <c r="Q1376" s="56"/>
      <c r="R1376" s="56"/>
      <c r="S1376" s="56"/>
      <c r="T1376" s="56"/>
      <c r="U1376" s="56"/>
      <c r="V1376" s="56"/>
      <c r="W1376" s="56"/>
      <c r="X1376" s="56"/>
    </row>
    <row r="1377" spans="1:24">
      <c r="A1377" s="56"/>
      <c r="B1377" s="56"/>
      <c r="C1377" s="56"/>
      <c r="D1377" s="56"/>
      <c r="E1377" s="56"/>
      <c r="F1377" s="56"/>
      <c r="G1377" s="56"/>
      <c r="H1377" s="56"/>
      <c r="I1377" s="56"/>
      <c r="J1377" s="56"/>
      <c r="K1377" s="56"/>
      <c r="L1377" s="56"/>
      <c r="M1377" s="56"/>
      <c r="N1377" s="56"/>
      <c r="O1377" s="56"/>
      <c r="P1377" s="56"/>
      <c r="Q1377" s="56"/>
      <c r="R1377" s="56"/>
      <c r="S1377" s="56"/>
      <c r="T1377" s="56"/>
      <c r="U1377" s="56"/>
      <c r="V1377" s="56"/>
      <c r="W1377" s="56"/>
      <c r="X1377" s="56"/>
    </row>
    <row r="1378" spans="1:24">
      <c r="A1378" s="56"/>
      <c r="B1378" s="56"/>
      <c r="C1378" s="56"/>
      <c r="D1378" s="56"/>
      <c r="E1378" s="56"/>
      <c r="F1378" s="56"/>
      <c r="G1378" s="56"/>
      <c r="H1378" s="56"/>
      <c r="I1378" s="56"/>
      <c r="J1378" s="56"/>
      <c r="K1378" s="56"/>
      <c r="L1378" s="56"/>
      <c r="M1378" s="56"/>
      <c r="N1378" s="56"/>
      <c r="O1378" s="56"/>
      <c r="P1378" s="56"/>
      <c r="Q1378" s="56"/>
      <c r="R1378" s="56"/>
      <c r="S1378" s="56"/>
      <c r="T1378" s="56"/>
      <c r="U1378" s="56"/>
      <c r="V1378" s="56"/>
      <c r="W1378" s="56"/>
      <c r="X1378" s="56"/>
    </row>
    <row r="1379" spans="1:24">
      <c r="A1379" s="56"/>
      <c r="B1379" s="56"/>
      <c r="C1379" s="56"/>
      <c r="D1379" s="56"/>
      <c r="E1379" s="56"/>
      <c r="F1379" s="56"/>
      <c r="G1379" s="56"/>
      <c r="H1379" s="56"/>
      <c r="I1379" s="56"/>
      <c r="J1379" s="56"/>
      <c r="K1379" s="56"/>
      <c r="L1379" s="56"/>
      <c r="M1379" s="56"/>
      <c r="N1379" s="56"/>
      <c r="O1379" s="56"/>
      <c r="P1379" s="56"/>
      <c r="Q1379" s="56"/>
      <c r="R1379" s="56"/>
      <c r="S1379" s="56"/>
      <c r="T1379" s="56"/>
      <c r="U1379" s="56"/>
      <c r="V1379" s="56"/>
      <c r="W1379" s="56"/>
      <c r="X1379" s="56"/>
    </row>
    <row r="1380" spans="1:24">
      <c r="A1380" s="56"/>
      <c r="B1380" s="56"/>
      <c r="C1380" s="56"/>
      <c r="D1380" s="56"/>
      <c r="E1380" s="56"/>
      <c r="F1380" s="56"/>
      <c r="G1380" s="56"/>
      <c r="H1380" s="56"/>
      <c r="I1380" s="56"/>
      <c r="J1380" s="56"/>
      <c r="K1380" s="56"/>
      <c r="L1380" s="56"/>
      <c r="M1380" s="56"/>
      <c r="N1380" s="56"/>
      <c r="O1380" s="56"/>
      <c r="P1380" s="56"/>
      <c r="Q1380" s="56"/>
      <c r="R1380" s="56"/>
      <c r="S1380" s="56"/>
      <c r="T1380" s="56"/>
      <c r="U1380" s="56"/>
      <c r="V1380" s="56"/>
      <c r="W1380" s="56"/>
      <c r="X1380" s="56"/>
    </row>
    <row r="1381" spans="1:24">
      <c r="A1381" s="56"/>
      <c r="B1381" s="56"/>
      <c r="C1381" s="56"/>
      <c r="D1381" s="56"/>
      <c r="E1381" s="56"/>
      <c r="F1381" s="56"/>
      <c r="G1381" s="56"/>
      <c r="H1381" s="56"/>
      <c r="I1381" s="56"/>
      <c r="J1381" s="56"/>
      <c r="K1381" s="56"/>
      <c r="L1381" s="56"/>
      <c r="M1381" s="56"/>
      <c r="N1381" s="56"/>
      <c r="O1381" s="56"/>
      <c r="P1381" s="56"/>
      <c r="Q1381" s="56"/>
      <c r="R1381" s="56"/>
      <c r="S1381" s="56"/>
      <c r="T1381" s="56"/>
      <c r="U1381" s="56"/>
      <c r="V1381" s="56"/>
      <c r="W1381" s="56"/>
      <c r="X1381" s="56"/>
    </row>
    <row r="1382" spans="1:24">
      <c r="A1382" s="56"/>
      <c r="B1382" s="56"/>
      <c r="C1382" s="56"/>
      <c r="D1382" s="56"/>
      <c r="E1382" s="56"/>
      <c r="F1382" s="56"/>
      <c r="G1382" s="56"/>
      <c r="H1382" s="56"/>
      <c r="I1382" s="56"/>
      <c r="J1382" s="56"/>
      <c r="K1382" s="56"/>
      <c r="L1382" s="56"/>
      <c r="M1382" s="56"/>
      <c r="N1382" s="56"/>
      <c r="O1382" s="56"/>
      <c r="P1382" s="56"/>
      <c r="Q1382" s="56"/>
      <c r="R1382" s="56"/>
      <c r="S1382" s="56"/>
      <c r="T1382" s="56"/>
      <c r="U1382" s="56"/>
      <c r="V1382" s="56"/>
      <c r="W1382" s="56"/>
      <c r="X1382" s="56"/>
    </row>
    <row r="1383" spans="1:24" ht="23.25">
      <c r="A1383" s="56"/>
      <c r="B1383" s="408" t="s">
        <v>125</v>
      </c>
      <c r="C1383" s="408"/>
      <c r="D1383" s="408"/>
      <c r="E1383" s="408"/>
      <c r="F1383" s="408"/>
      <c r="G1383" s="408"/>
      <c r="H1383" s="133"/>
      <c r="I1383" s="133"/>
      <c r="J1383" s="133"/>
      <c r="K1383" s="133"/>
      <c r="L1383" s="133"/>
      <c r="M1383" s="133"/>
      <c r="N1383" s="136"/>
      <c r="O1383" s="408" t="s">
        <v>126</v>
      </c>
      <c r="P1383" s="408"/>
      <c r="Q1383" s="408"/>
      <c r="R1383" s="408"/>
      <c r="S1383" s="408"/>
      <c r="T1383" s="133"/>
      <c r="U1383" s="133"/>
      <c r="V1383" s="56"/>
      <c r="W1383" s="56"/>
      <c r="X1383" s="56"/>
    </row>
    <row r="1384" spans="1:24" ht="23.25">
      <c r="A1384" s="56"/>
      <c r="B1384" s="419" t="s">
        <v>112</v>
      </c>
      <c r="C1384" s="419"/>
      <c r="D1384" s="419"/>
      <c r="E1384" s="419"/>
      <c r="F1384" s="419"/>
      <c r="G1384" s="419"/>
      <c r="H1384" s="419"/>
      <c r="I1384" s="419"/>
      <c r="J1384" s="133"/>
      <c r="K1384" s="133"/>
      <c r="L1384" s="133"/>
      <c r="M1384" s="133"/>
      <c r="N1384" s="419" t="s">
        <v>112</v>
      </c>
      <c r="O1384" s="419"/>
      <c r="P1384" s="419"/>
      <c r="Q1384" s="419"/>
      <c r="R1384" s="419"/>
      <c r="S1384" s="419"/>
      <c r="T1384" s="419"/>
      <c r="U1384" s="419"/>
      <c r="V1384" s="56"/>
      <c r="W1384" s="56"/>
      <c r="X1384" s="56"/>
    </row>
    <row r="1385" spans="1:24" ht="15.75" thickBot="1">
      <c r="A1385" s="56"/>
      <c r="B1385" s="65"/>
      <c r="C1385" s="93" t="s">
        <v>45</v>
      </c>
      <c r="D1385" s="62" t="s">
        <v>52</v>
      </c>
      <c r="E1385" s="414" t="s">
        <v>110</v>
      </c>
      <c r="F1385" s="414"/>
      <c r="G1385" s="62" t="s">
        <v>54</v>
      </c>
      <c r="H1385" s="420" t="s">
        <v>111</v>
      </c>
      <c r="I1385" s="420"/>
      <c r="J1385" s="56"/>
      <c r="K1385" s="56"/>
      <c r="L1385" s="56"/>
      <c r="M1385" s="56"/>
      <c r="N1385" s="65"/>
      <c r="O1385" s="93" t="s">
        <v>45</v>
      </c>
      <c r="P1385" s="62" t="s">
        <v>52</v>
      </c>
      <c r="Q1385" s="414" t="s">
        <v>110</v>
      </c>
      <c r="R1385" s="414"/>
      <c r="S1385" s="62" t="s">
        <v>54</v>
      </c>
      <c r="T1385" s="420" t="s">
        <v>119</v>
      </c>
      <c r="U1385" s="420"/>
    </row>
    <row r="1386" spans="1:24" ht="15.75" thickBot="1">
      <c r="A1386" s="56"/>
      <c r="B1386" s="65" t="s">
        <v>68</v>
      </c>
      <c r="C1386" s="82">
        <f>D1386+E1386+G1386+H1386</f>
        <v>9</v>
      </c>
      <c r="D1386" s="59">
        <f>Algandmed!AE261</f>
        <v>0</v>
      </c>
      <c r="E1386" s="415">
        <f>Algandmed!AF261</f>
        <v>0</v>
      </c>
      <c r="F1386" s="415"/>
      <c r="G1386" s="59">
        <f>Algandmed!AG261</f>
        <v>0</v>
      </c>
      <c r="H1386" s="415">
        <f>Algandmed!AH261</f>
        <v>9</v>
      </c>
      <c r="I1386" s="416"/>
      <c r="J1386" s="56"/>
      <c r="K1386" s="56"/>
      <c r="L1386" s="56"/>
      <c r="M1386" s="56"/>
      <c r="N1386" s="65" t="s">
        <v>39</v>
      </c>
      <c r="O1386" s="82">
        <f>P1386+Q1386+S1386+T1386</f>
        <v>26</v>
      </c>
      <c r="P1386" s="59">
        <f>Algandmed!AT261</f>
        <v>0</v>
      </c>
      <c r="Q1386" s="415">
        <f>Algandmed!AU261</f>
        <v>0</v>
      </c>
      <c r="R1386" s="415"/>
      <c r="S1386" s="59">
        <f>Algandmed!AV261</f>
        <v>0</v>
      </c>
      <c r="T1386" s="415">
        <f>Algandmed!AW261</f>
        <v>26</v>
      </c>
      <c r="U1386" s="416"/>
    </row>
    <row r="1387" spans="1:24">
      <c r="A1387" s="56"/>
      <c r="B1387" s="56"/>
      <c r="D1387" s="56"/>
      <c r="E1387" s="56"/>
      <c r="F1387" s="56"/>
      <c r="G1387" s="56"/>
      <c r="H1387" s="56"/>
      <c r="I1387" s="56"/>
      <c r="J1387" s="56"/>
      <c r="K1387" s="56"/>
      <c r="L1387" s="56"/>
      <c r="M1387" s="56"/>
      <c r="N1387" s="56"/>
      <c r="O1387" s="56"/>
      <c r="P1387" s="56"/>
      <c r="Q1387" s="56"/>
      <c r="R1387" s="56"/>
      <c r="S1387" s="56"/>
      <c r="T1387" s="56"/>
      <c r="U1387" s="56"/>
    </row>
    <row r="1388" spans="1:24">
      <c r="A1388" s="56"/>
      <c r="B1388" s="65"/>
      <c r="C1388" s="417"/>
      <c r="D1388" s="62" t="s">
        <v>52</v>
      </c>
      <c r="E1388" s="414" t="s">
        <v>110</v>
      </c>
      <c r="F1388" s="414"/>
      <c r="G1388" s="62" t="s">
        <v>54</v>
      </c>
      <c r="H1388" s="420" t="s">
        <v>111</v>
      </c>
      <c r="I1388" s="420"/>
      <c r="J1388" s="56"/>
      <c r="K1388" s="56"/>
      <c r="L1388" s="56"/>
      <c r="M1388" s="56"/>
      <c r="N1388" s="65"/>
      <c r="O1388" s="417"/>
      <c r="P1388" s="62" t="s">
        <v>52</v>
      </c>
      <c r="Q1388" s="414" t="s">
        <v>110</v>
      </c>
      <c r="R1388" s="414"/>
      <c r="S1388" s="62" t="s">
        <v>54</v>
      </c>
      <c r="T1388" s="420" t="s">
        <v>119</v>
      </c>
      <c r="U1388" s="420"/>
    </row>
    <row r="1389" spans="1:24">
      <c r="A1389" s="56"/>
      <c r="B1389" s="65" t="s">
        <v>68</v>
      </c>
      <c r="C1389" s="418"/>
      <c r="D1389" s="67">
        <f>D1386/C1386</f>
        <v>0</v>
      </c>
      <c r="E1389" s="413">
        <f>E1386/C1386</f>
        <v>0</v>
      </c>
      <c r="F1389" s="413"/>
      <c r="G1389" s="67">
        <f>G1386/C1386</f>
        <v>0</v>
      </c>
      <c r="H1389" s="413">
        <f>H1386/C1386</f>
        <v>1</v>
      </c>
      <c r="I1389" s="413"/>
      <c r="J1389" s="56"/>
      <c r="K1389" s="56"/>
      <c r="L1389" s="56"/>
      <c r="M1389" s="56"/>
      <c r="N1389" s="65" t="s">
        <v>39</v>
      </c>
      <c r="O1389" s="418"/>
      <c r="P1389" s="67">
        <f>P1386/O1386</f>
        <v>0</v>
      </c>
      <c r="Q1389" s="413">
        <f>Q1386/O1386</f>
        <v>0</v>
      </c>
      <c r="R1389" s="413"/>
      <c r="S1389" s="67">
        <f>S1386/O1386</f>
        <v>0</v>
      </c>
      <c r="T1389" s="413">
        <f>T1386/O1386</f>
        <v>1</v>
      </c>
      <c r="U1389" s="413"/>
    </row>
    <row r="1390" spans="1:24">
      <c r="A1390" s="56"/>
      <c r="B1390" s="56"/>
      <c r="C1390" s="56"/>
      <c r="D1390" s="56"/>
      <c r="E1390" s="56"/>
      <c r="F1390" s="56"/>
      <c r="G1390" s="56"/>
      <c r="H1390" s="56"/>
      <c r="I1390" s="56"/>
      <c r="J1390" s="56"/>
      <c r="K1390" s="56"/>
      <c r="L1390" s="56"/>
      <c r="M1390" s="56"/>
      <c r="N1390" s="56"/>
      <c r="O1390" s="56"/>
      <c r="P1390" s="56"/>
      <c r="Q1390" s="56"/>
      <c r="R1390" s="56"/>
      <c r="S1390" s="56"/>
      <c r="T1390" s="56"/>
      <c r="U1390" s="56"/>
      <c r="V1390" s="56"/>
      <c r="W1390" s="56"/>
      <c r="X1390" s="56"/>
    </row>
    <row r="1391" spans="1:24">
      <c r="A1391" s="56"/>
      <c r="B1391" s="56"/>
      <c r="C1391" s="56"/>
      <c r="D1391" s="56"/>
      <c r="E1391" s="56"/>
      <c r="F1391" s="56"/>
      <c r="G1391" s="56"/>
      <c r="H1391" s="56"/>
      <c r="I1391" s="56"/>
      <c r="J1391" s="56"/>
      <c r="K1391" s="56"/>
      <c r="L1391" s="56"/>
      <c r="M1391" s="56"/>
      <c r="N1391" s="56"/>
      <c r="O1391" s="56"/>
      <c r="P1391" s="56"/>
      <c r="Q1391" s="56"/>
      <c r="R1391" s="56"/>
      <c r="S1391" s="56"/>
      <c r="T1391" s="56"/>
      <c r="U1391" s="56"/>
      <c r="V1391" s="56"/>
      <c r="W1391" s="56"/>
      <c r="X1391" s="56"/>
    </row>
    <row r="1392" spans="1:24">
      <c r="A1392" s="56"/>
      <c r="B1392" s="56"/>
      <c r="C1392" s="56"/>
      <c r="D1392" s="56"/>
      <c r="E1392" s="56"/>
      <c r="F1392" s="56"/>
      <c r="G1392" s="56"/>
      <c r="H1392" s="56"/>
      <c r="I1392" s="56"/>
      <c r="J1392" s="56"/>
      <c r="K1392" s="56"/>
      <c r="L1392" s="56"/>
      <c r="M1392" s="56"/>
      <c r="N1392" s="56"/>
      <c r="O1392" s="56"/>
      <c r="P1392" s="56"/>
      <c r="Q1392" s="56"/>
      <c r="R1392" s="56"/>
      <c r="S1392" s="56"/>
      <c r="T1392" s="56"/>
      <c r="U1392" s="56"/>
      <c r="V1392" s="56"/>
      <c r="W1392" s="56"/>
      <c r="X1392" s="56"/>
    </row>
    <row r="1393" spans="1:24">
      <c r="A1393" s="56"/>
      <c r="B1393" s="56"/>
      <c r="C1393" s="56"/>
      <c r="D1393" s="56"/>
      <c r="E1393" s="56"/>
      <c r="F1393" s="56"/>
      <c r="G1393" s="56"/>
      <c r="H1393" s="56"/>
      <c r="I1393" s="56"/>
      <c r="J1393" s="56"/>
      <c r="K1393" s="56"/>
      <c r="L1393" s="56"/>
      <c r="M1393" s="56"/>
      <c r="N1393" s="56"/>
      <c r="O1393" s="56"/>
      <c r="P1393" s="56"/>
      <c r="Q1393" s="56"/>
      <c r="R1393" s="56"/>
      <c r="S1393" s="56"/>
      <c r="T1393" s="56"/>
      <c r="U1393" s="56"/>
      <c r="V1393" s="56"/>
      <c r="W1393" s="56"/>
      <c r="X1393" s="56"/>
    </row>
    <row r="1394" spans="1:24">
      <c r="A1394" s="56"/>
      <c r="B1394" s="56"/>
      <c r="C1394" s="56"/>
      <c r="D1394" s="56"/>
      <c r="E1394" s="56"/>
      <c r="F1394" s="56"/>
      <c r="G1394" s="56"/>
      <c r="H1394" s="56"/>
      <c r="I1394" s="56"/>
      <c r="J1394" s="56"/>
      <c r="K1394" s="56"/>
      <c r="L1394" s="56"/>
      <c r="M1394" s="56"/>
      <c r="N1394" s="56"/>
      <c r="O1394" s="56"/>
      <c r="P1394" s="56"/>
      <c r="Q1394" s="56"/>
      <c r="R1394" s="56"/>
      <c r="S1394" s="56"/>
      <c r="T1394" s="56"/>
      <c r="U1394" s="56"/>
      <c r="V1394" s="56"/>
      <c r="W1394" s="56"/>
      <c r="X1394" s="56"/>
    </row>
    <row r="1395" spans="1:24">
      <c r="A1395" s="56"/>
      <c r="B1395" s="56"/>
      <c r="C1395" s="56"/>
      <c r="D1395" s="56"/>
      <c r="E1395" s="56"/>
      <c r="F1395" s="56"/>
      <c r="G1395" s="56"/>
      <c r="H1395" s="56"/>
      <c r="I1395" s="56"/>
      <c r="J1395" s="56"/>
      <c r="K1395" s="56"/>
      <c r="L1395" s="56"/>
      <c r="M1395" s="56"/>
      <c r="N1395" s="56"/>
      <c r="O1395" s="56"/>
      <c r="P1395" s="56"/>
      <c r="Q1395" s="56"/>
      <c r="R1395" s="56"/>
      <c r="S1395" s="56"/>
      <c r="T1395" s="56"/>
      <c r="U1395" s="56"/>
      <c r="V1395" s="56"/>
      <c r="W1395" s="56"/>
      <c r="X1395" s="56"/>
    </row>
    <row r="1396" spans="1:24">
      <c r="A1396" s="56"/>
      <c r="B1396" s="56"/>
      <c r="C1396" s="56"/>
      <c r="D1396" s="56"/>
      <c r="E1396" s="56"/>
      <c r="F1396" s="56"/>
      <c r="G1396" s="56"/>
      <c r="H1396" s="56"/>
      <c r="I1396" s="56"/>
      <c r="J1396" s="56"/>
      <c r="K1396" s="56"/>
      <c r="L1396" s="56"/>
      <c r="M1396" s="56"/>
      <c r="N1396" s="56"/>
      <c r="O1396" s="56"/>
      <c r="P1396" s="56"/>
      <c r="Q1396" s="56"/>
      <c r="R1396" s="56"/>
      <c r="S1396" s="56"/>
      <c r="T1396" s="56"/>
      <c r="U1396" s="56"/>
      <c r="V1396" s="56"/>
      <c r="W1396" s="56"/>
      <c r="X1396" s="56"/>
    </row>
    <row r="1397" spans="1:24">
      <c r="A1397" s="56"/>
      <c r="B1397" s="56"/>
      <c r="C1397" s="56"/>
      <c r="D1397" s="56"/>
      <c r="E1397" s="56"/>
      <c r="F1397" s="56"/>
      <c r="G1397" s="56"/>
      <c r="H1397" s="56"/>
      <c r="I1397" s="56"/>
      <c r="J1397" s="56"/>
      <c r="K1397" s="56"/>
      <c r="L1397" s="56"/>
      <c r="M1397" s="56"/>
      <c r="N1397" s="56"/>
      <c r="O1397" s="56"/>
      <c r="P1397" s="56"/>
      <c r="Q1397" s="56"/>
      <c r="R1397" s="56"/>
      <c r="S1397" s="56"/>
      <c r="T1397" s="56"/>
      <c r="U1397" s="56"/>
      <c r="V1397" s="56"/>
      <c r="W1397" s="56"/>
      <c r="X1397" s="56"/>
    </row>
    <row r="1398" spans="1:24">
      <c r="A1398" s="56"/>
      <c r="B1398" s="56"/>
      <c r="C1398" s="56"/>
      <c r="D1398" s="56"/>
      <c r="E1398" s="56"/>
      <c r="F1398" s="56"/>
      <c r="G1398" s="56"/>
      <c r="H1398" s="56"/>
      <c r="I1398" s="56"/>
      <c r="J1398" s="56"/>
      <c r="K1398" s="56"/>
      <c r="L1398" s="56"/>
      <c r="M1398" s="56"/>
      <c r="N1398" s="56"/>
      <c r="O1398" s="56"/>
      <c r="P1398" s="56"/>
      <c r="Q1398" s="56"/>
      <c r="R1398" s="56"/>
      <c r="S1398" s="56"/>
      <c r="T1398" s="56"/>
      <c r="U1398" s="56"/>
      <c r="V1398" s="56"/>
      <c r="W1398" s="56"/>
      <c r="X1398" s="56"/>
    </row>
    <row r="1399" spans="1:24">
      <c r="A1399" s="56"/>
      <c r="B1399" s="56"/>
      <c r="C1399" s="56"/>
      <c r="D1399" s="56"/>
      <c r="E1399" s="56"/>
      <c r="F1399" s="56"/>
      <c r="G1399" s="56"/>
      <c r="H1399" s="56"/>
      <c r="I1399" s="56"/>
      <c r="J1399" s="56"/>
      <c r="K1399" s="56"/>
      <c r="L1399" s="56"/>
      <c r="M1399" s="56"/>
      <c r="N1399" s="56"/>
      <c r="O1399" s="56"/>
      <c r="P1399" s="56"/>
      <c r="Q1399" s="56"/>
      <c r="R1399" s="56"/>
      <c r="S1399" s="56"/>
      <c r="T1399" s="56"/>
      <c r="U1399" s="56"/>
      <c r="V1399" s="56"/>
      <c r="W1399" s="56"/>
      <c r="X1399" s="56"/>
    </row>
    <row r="1400" spans="1:24">
      <c r="A1400" s="56"/>
      <c r="B1400" s="56"/>
      <c r="C1400" s="56"/>
      <c r="D1400" s="56"/>
      <c r="E1400" s="56"/>
      <c r="F1400" s="56"/>
      <c r="G1400" s="56"/>
      <c r="H1400" s="56"/>
      <c r="I1400" s="56"/>
      <c r="J1400" s="56"/>
      <c r="K1400" s="56"/>
      <c r="L1400" s="56"/>
      <c r="M1400" s="56"/>
      <c r="N1400" s="56"/>
      <c r="O1400" s="56"/>
      <c r="P1400" s="56"/>
      <c r="Q1400" s="56"/>
      <c r="R1400" s="56"/>
      <c r="S1400" s="56"/>
      <c r="T1400" s="56"/>
      <c r="U1400" s="56"/>
      <c r="V1400" s="56"/>
      <c r="W1400" s="56"/>
      <c r="X1400" s="56"/>
    </row>
    <row r="1401" spans="1:24">
      <c r="A1401" s="56"/>
      <c r="B1401" s="56"/>
      <c r="C1401" s="56"/>
      <c r="D1401" s="56"/>
      <c r="E1401" s="56"/>
      <c r="F1401" s="56"/>
      <c r="G1401" s="56"/>
      <c r="H1401" s="56"/>
      <c r="I1401" s="56"/>
      <c r="J1401" s="56"/>
      <c r="K1401" s="56"/>
      <c r="L1401" s="56"/>
      <c r="M1401" s="56"/>
      <c r="N1401" s="56"/>
      <c r="O1401" s="56"/>
      <c r="P1401" s="56"/>
      <c r="Q1401" s="56"/>
      <c r="R1401" s="56"/>
      <c r="S1401" s="56"/>
      <c r="T1401" s="56"/>
      <c r="U1401" s="56"/>
      <c r="V1401" s="56"/>
      <c r="W1401" s="56"/>
      <c r="X1401" s="56"/>
    </row>
    <row r="1402" spans="1:24">
      <c r="A1402" s="56"/>
      <c r="B1402" s="56"/>
      <c r="C1402" s="56"/>
      <c r="D1402" s="56"/>
      <c r="E1402" s="56"/>
      <c r="F1402" s="56"/>
      <c r="G1402" s="56"/>
      <c r="H1402" s="56"/>
      <c r="I1402" s="56"/>
      <c r="J1402" s="56"/>
      <c r="K1402" s="56"/>
      <c r="L1402" s="56"/>
      <c r="M1402" s="56"/>
      <c r="N1402" s="56"/>
      <c r="O1402" s="56"/>
      <c r="P1402" s="56"/>
      <c r="Q1402" s="56"/>
      <c r="R1402" s="56"/>
      <c r="S1402" s="56"/>
      <c r="T1402" s="56"/>
      <c r="U1402" s="56"/>
      <c r="V1402" s="56"/>
      <c r="W1402" s="56"/>
      <c r="X1402" s="56"/>
    </row>
    <row r="1403" spans="1:24" ht="23.25">
      <c r="A1403" s="56"/>
      <c r="B1403" s="408" t="s">
        <v>125</v>
      </c>
      <c r="C1403" s="408"/>
      <c r="D1403" s="408"/>
      <c r="E1403" s="408"/>
      <c r="F1403" s="408"/>
      <c r="G1403" s="408"/>
      <c r="H1403" s="133"/>
      <c r="I1403" s="133"/>
      <c r="J1403" s="133"/>
      <c r="K1403" s="133"/>
      <c r="L1403" s="133"/>
      <c r="M1403" s="133"/>
      <c r="N1403" s="136"/>
      <c r="O1403" s="408" t="s">
        <v>126</v>
      </c>
      <c r="P1403" s="408"/>
      <c r="Q1403" s="408"/>
      <c r="R1403" s="408"/>
      <c r="S1403" s="408"/>
      <c r="T1403" s="133"/>
      <c r="U1403" s="133"/>
      <c r="V1403" s="56"/>
      <c r="W1403" s="56"/>
      <c r="X1403" s="56"/>
    </row>
    <row r="1404" spans="1:24" ht="23.25">
      <c r="A1404" s="56"/>
      <c r="B1404" s="419" t="s">
        <v>120</v>
      </c>
      <c r="C1404" s="419"/>
      <c r="D1404" s="419"/>
      <c r="E1404" s="419"/>
      <c r="F1404" s="419"/>
      <c r="G1404" s="419"/>
      <c r="H1404" s="419"/>
      <c r="I1404" s="419"/>
      <c r="J1404" s="133"/>
      <c r="K1404" s="133"/>
      <c r="L1404" s="133"/>
      <c r="M1404" s="133"/>
      <c r="N1404" s="419" t="s">
        <v>121</v>
      </c>
      <c r="O1404" s="419"/>
      <c r="P1404" s="419"/>
      <c r="Q1404" s="419"/>
      <c r="R1404" s="419"/>
      <c r="S1404" s="419"/>
      <c r="T1404" s="419"/>
      <c r="U1404" s="419"/>
      <c r="V1404" s="56"/>
      <c r="W1404" s="56"/>
      <c r="X1404" s="56"/>
    </row>
    <row r="1405" spans="1:24" ht="15.75" thickBot="1">
      <c r="A1405" s="56"/>
      <c r="B1405" s="65"/>
      <c r="C1405" s="93" t="s">
        <v>45</v>
      </c>
      <c r="D1405" s="62" t="s">
        <v>113</v>
      </c>
      <c r="E1405" s="414" t="s">
        <v>114</v>
      </c>
      <c r="F1405" s="414"/>
      <c r="G1405" s="62" t="s">
        <v>115</v>
      </c>
      <c r="H1405" s="411" t="s">
        <v>116</v>
      </c>
      <c r="I1405" s="412"/>
      <c r="J1405" s="56"/>
      <c r="K1405" s="56"/>
      <c r="L1405" s="56"/>
      <c r="M1405" s="56"/>
      <c r="N1405" s="65"/>
      <c r="O1405" s="93" t="s">
        <v>45</v>
      </c>
      <c r="P1405" s="62" t="s">
        <v>113</v>
      </c>
      <c r="Q1405" s="414" t="s">
        <v>114</v>
      </c>
      <c r="R1405" s="414"/>
      <c r="S1405" s="62" t="s">
        <v>115</v>
      </c>
      <c r="T1405" s="411" t="s">
        <v>116</v>
      </c>
      <c r="U1405" s="412"/>
    </row>
    <row r="1406" spans="1:24" ht="15.75" thickBot="1">
      <c r="A1406" s="56"/>
      <c r="B1406" s="65" t="s">
        <v>5</v>
      </c>
      <c r="C1406" s="82" t="e">
        <f>D1406+E1406+G1406+H1406</f>
        <v>#REF!</v>
      </c>
      <c r="D1406" s="59">
        <f>Algandmed!AE267</f>
        <v>0</v>
      </c>
      <c r="E1406" s="415" t="e">
        <f>Algandmed!#REF!</f>
        <v>#REF!</v>
      </c>
      <c r="F1406" s="415"/>
      <c r="G1406" s="59">
        <f>Algandmed!AF267</f>
        <v>0</v>
      </c>
      <c r="H1406" s="415">
        <f>Algandmed!AG267</f>
        <v>0</v>
      </c>
      <c r="I1406" s="416"/>
      <c r="J1406" s="56"/>
      <c r="K1406" s="56"/>
      <c r="L1406" s="56"/>
      <c r="M1406" s="56"/>
      <c r="N1406" s="65" t="s">
        <v>1</v>
      </c>
      <c r="O1406" s="82" t="e">
        <f>P1406+Q1406+S1406+T1406</f>
        <v>#REF!</v>
      </c>
      <c r="P1406" s="59">
        <f>Algandmed!AT267</f>
        <v>0</v>
      </c>
      <c r="Q1406" s="415" t="e">
        <f>Algandmed!#REF!</f>
        <v>#REF!</v>
      </c>
      <c r="R1406" s="415"/>
      <c r="S1406" s="59">
        <f>Algandmed!AU267</f>
        <v>0</v>
      </c>
      <c r="T1406" s="415">
        <f>Algandmed!AV267</f>
        <v>0</v>
      </c>
      <c r="U1406" s="416"/>
    </row>
    <row r="1407" spans="1:24">
      <c r="A1407" s="56"/>
      <c r="B1407" s="56"/>
      <c r="D1407" s="56"/>
      <c r="E1407" s="56"/>
      <c r="F1407" s="56"/>
      <c r="G1407" s="56"/>
      <c r="H1407" s="56"/>
      <c r="I1407" s="56"/>
      <c r="J1407" s="56"/>
      <c r="K1407" s="56"/>
      <c r="L1407" s="56"/>
      <c r="M1407" s="56"/>
      <c r="N1407" s="56"/>
      <c r="O1407" s="56"/>
      <c r="P1407" s="56"/>
      <c r="Q1407" s="56"/>
      <c r="R1407" s="56"/>
      <c r="S1407" s="56"/>
      <c r="T1407" s="56"/>
      <c r="U1407" s="56"/>
    </row>
    <row r="1408" spans="1:24">
      <c r="A1408" s="56"/>
      <c r="B1408" s="65"/>
      <c r="C1408" s="417"/>
      <c r="D1408" s="62" t="s">
        <v>113</v>
      </c>
      <c r="E1408" s="414" t="s">
        <v>114</v>
      </c>
      <c r="F1408" s="414"/>
      <c r="G1408" s="62" t="s">
        <v>115</v>
      </c>
      <c r="H1408" s="414" t="s">
        <v>116</v>
      </c>
      <c r="I1408" s="414"/>
      <c r="J1408" s="56"/>
      <c r="K1408" s="56"/>
      <c r="L1408" s="56"/>
      <c r="M1408" s="56"/>
      <c r="N1408" s="65"/>
      <c r="O1408" s="417"/>
      <c r="P1408" s="62" t="s">
        <v>113</v>
      </c>
      <c r="Q1408" s="414" t="s">
        <v>114</v>
      </c>
      <c r="R1408" s="414"/>
      <c r="S1408" s="62" t="s">
        <v>115</v>
      </c>
      <c r="T1408" s="411" t="s">
        <v>116</v>
      </c>
      <c r="U1408" s="412"/>
    </row>
    <row r="1409" spans="1:24">
      <c r="A1409" s="56"/>
      <c r="B1409" s="65" t="s">
        <v>5</v>
      </c>
      <c r="C1409" s="418"/>
      <c r="D1409" s="67" t="e">
        <f>D1406/C1406</f>
        <v>#REF!</v>
      </c>
      <c r="E1409" s="413" t="e">
        <f>E1406/C1406</f>
        <v>#REF!</v>
      </c>
      <c r="F1409" s="413"/>
      <c r="G1409" s="67" t="e">
        <f>G1406/C1406</f>
        <v>#REF!</v>
      </c>
      <c r="H1409" s="413" t="e">
        <f>H1406/C1406</f>
        <v>#REF!</v>
      </c>
      <c r="I1409" s="413"/>
      <c r="J1409" s="56"/>
      <c r="K1409" s="56"/>
      <c r="L1409" s="56"/>
      <c r="M1409" s="56"/>
      <c r="N1409" s="65" t="s">
        <v>1</v>
      </c>
      <c r="O1409" s="418"/>
      <c r="P1409" s="67" t="e">
        <f>P1406/O1406</f>
        <v>#REF!</v>
      </c>
      <c r="Q1409" s="413" t="e">
        <f>Q1406/O1406</f>
        <v>#REF!</v>
      </c>
      <c r="R1409" s="413"/>
      <c r="S1409" s="67" t="e">
        <f>S1406/O1406</f>
        <v>#REF!</v>
      </c>
      <c r="T1409" s="413" t="e">
        <f>T1406/O1406</f>
        <v>#REF!</v>
      </c>
      <c r="U1409" s="413"/>
    </row>
    <row r="1410" spans="1:24">
      <c r="A1410" s="56"/>
      <c r="B1410" s="56"/>
      <c r="C1410" s="56"/>
      <c r="D1410" s="56"/>
      <c r="E1410" s="56"/>
      <c r="F1410" s="56"/>
      <c r="G1410" s="56"/>
      <c r="H1410" s="56"/>
      <c r="I1410" s="68"/>
      <c r="J1410" s="56"/>
      <c r="K1410" s="56"/>
      <c r="L1410" s="56"/>
      <c r="M1410" s="56"/>
      <c r="N1410" s="56"/>
      <c r="O1410" s="56"/>
      <c r="P1410" s="56"/>
      <c r="Q1410" s="56"/>
      <c r="R1410" s="56"/>
      <c r="S1410" s="56"/>
      <c r="T1410" s="56"/>
      <c r="U1410" s="56"/>
      <c r="V1410" s="56"/>
      <c r="W1410" s="56"/>
      <c r="X1410" s="56"/>
    </row>
    <row r="1411" spans="1:24">
      <c r="A1411" s="56"/>
      <c r="B1411" s="56"/>
      <c r="C1411" s="56"/>
      <c r="D1411" s="56"/>
      <c r="E1411" s="56"/>
      <c r="F1411" s="56"/>
      <c r="G1411" s="56"/>
      <c r="H1411" s="56"/>
      <c r="I1411" s="56"/>
      <c r="J1411" s="56"/>
      <c r="K1411" s="56"/>
      <c r="L1411" s="56"/>
      <c r="M1411" s="56"/>
      <c r="N1411" s="56"/>
      <c r="O1411" s="56"/>
      <c r="P1411" s="56"/>
      <c r="Q1411" s="56"/>
      <c r="R1411" s="56"/>
      <c r="S1411" s="56"/>
      <c r="T1411" s="56"/>
      <c r="U1411" s="56"/>
      <c r="V1411" s="56"/>
      <c r="W1411" s="56"/>
      <c r="X1411" s="56"/>
    </row>
    <row r="1412" spans="1:24">
      <c r="A1412" s="56"/>
      <c r="B1412" s="56"/>
      <c r="C1412" s="56"/>
      <c r="D1412" s="56"/>
      <c r="E1412" s="56"/>
      <c r="F1412" s="56"/>
      <c r="G1412" s="56"/>
      <c r="H1412" s="56"/>
      <c r="I1412" s="56"/>
      <c r="J1412" s="56"/>
      <c r="K1412" s="56"/>
      <c r="L1412" s="56"/>
      <c r="M1412" s="56"/>
      <c r="N1412" s="56"/>
      <c r="O1412" s="56"/>
      <c r="P1412" s="56"/>
      <c r="Q1412" s="56"/>
      <c r="R1412" s="56"/>
      <c r="S1412" s="56"/>
      <c r="T1412" s="56"/>
      <c r="U1412" s="56"/>
      <c r="V1412" s="56"/>
      <c r="W1412" s="56"/>
      <c r="X1412" s="56"/>
    </row>
    <row r="1413" spans="1:24">
      <c r="A1413" s="56"/>
      <c r="B1413" s="56"/>
      <c r="C1413" s="56"/>
      <c r="D1413" s="56"/>
      <c r="E1413" s="56"/>
      <c r="F1413" s="56"/>
      <c r="G1413" s="56"/>
      <c r="H1413" s="56"/>
      <c r="I1413" s="56"/>
      <c r="J1413" s="56"/>
      <c r="K1413" s="56"/>
      <c r="L1413" s="56"/>
      <c r="M1413" s="56"/>
      <c r="N1413" s="56"/>
      <c r="O1413" s="56"/>
      <c r="P1413" s="56"/>
      <c r="Q1413" s="56"/>
      <c r="R1413" s="56"/>
      <c r="S1413" s="56"/>
      <c r="T1413" s="56"/>
      <c r="U1413" s="56"/>
      <c r="V1413" s="56"/>
      <c r="W1413" s="56"/>
      <c r="X1413" s="56"/>
    </row>
    <row r="1414" spans="1:24">
      <c r="A1414" s="56"/>
      <c r="B1414" s="56"/>
      <c r="C1414" s="56"/>
      <c r="D1414" s="56"/>
      <c r="E1414" s="56"/>
      <c r="F1414" s="56"/>
      <c r="G1414" s="56"/>
      <c r="H1414" s="56"/>
      <c r="I1414" s="56"/>
      <c r="J1414" s="56"/>
      <c r="K1414" s="56"/>
      <c r="L1414" s="56"/>
      <c r="M1414" s="56"/>
      <c r="N1414" s="56"/>
      <c r="O1414" s="56"/>
      <c r="P1414" s="56"/>
      <c r="Q1414" s="56"/>
      <c r="R1414" s="56"/>
      <c r="S1414" s="56"/>
      <c r="T1414" s="56"/>
      <c r="U1414" s="56"/>
      <c r="V1414" s="56"/>
      <c r="W1414" s="56"/>
      <c r="X1414" s="56"/>
    </row>
    <row r="1415" spans="1:24">
      <c r="A1415" s="56"/>
      <c r="B1415" s="56"/>
      <c r="C1415" s="56"/>
      <c r="D1415" s="56"/>
      <c r="E1415" s="56"/>
      <c r="F1415" s="56"/>
      <c r="G1415" s="56"/>
      <c r="H1415" s="56"/>
      <c r="I1415" s="56"/>
      <c r="J1415" s="56"/>
      <c r="K1415" s="56"/>
      <c r="L1415" s="56"/>
      <c r="M1415" s="56"/>
      <c r="N1415" s="56"/>
      <c r="O1415" s="56"/>
      <c r="P1415" s="56"/>
      <c r="Q1415" s="56"/>
      <c r="R1415" s="56"/>
      <c r="S1415" s="56"/>
      <c r="T1415" s="56"/>
      <c r="U1415" s="56"/>
      <c r="V1415" s="56"/>
      <c r="W1415" s="56"/>
      <c r="X1415" s="56"/>
    </row>
    <row r="1416" spans="1:24">
      <c r="A1416" s="56"/>
      <c r="B1416" s="56"/>
      <c r="C1416" s="56"/>
      <c r="D1416" s="56"/>
      <c r="E1416" s="56"/>
      <c r="F1416" s="56"/>
      <c r="G1416" s="56"/>
      <c r="H1416" s="56"/>
      <c r="I1416" s="56"/>
      <c r="J1416" s="56"/>
      <c r="K1416" s="56"/>
      <c r="L1416" s="56"/>
      <c r="M1416" s="56"/>
      <c r="N1416" s="56"/>
      <c r="O1416" s="56"/>
      <c r="P1416" s="56"/>
      <c r="Q1416" s="56"/>
      <c r="R1416" s="56"/>
      <c r="S1416" s="56"/>
      <c r="T1416" s="56"/>
      <c r="U1416" s="56"/>
      <c r="V1416" s="56"/>
      <c r="W1416" s="56"/>
      <c r="X1416" s="56"/>
    </row>
    <row r="1417" spans="1:24">
      <c r="A1417" s="56"/>
      <c r="B1417" s="56"/>
      <c r="C1417" s="56"/>
      <c r="D1417" s="56"/>
      <c r="E1417" s="56"/>
      <c r="F1417" s="56"/>
      <c r="G1417" s="56"/>
      <c r="H1417" s="56"/>
      <c r="I1417" s="56"/>
      <c r="J1417" s="56"/>
      <c r="K1417" s="56"/>
      <c r="L1417" s="56"/>
      <c r="M1417" s="56"/>
      <c r="N1417" s="56"/>
      <c r="O1417" s="56"/>
      <c r="P1417" s="56"/>
      <c r="Q1417" s="56"/>
      <c r="R1417" s="56"/>
      <c r="S1417" s="56"/>
      <c r="T1417" s="56"/>
      <c r="U1417" s="56"/>
      <c r="V1417" s="56"/>
      <c r="W1417" s="56"/>
      <c r="X1417" s="56"/>
    </row>
    <row r="1418" spans="1:24">
      <c r="A1418" s="56"/>
      <c r="B1418" s="56"/>
      <c r="C1418" s="56"/>
      <c r="D1418" s="56"/>
      <c r="E1418" s="56"/>
      <c r="F1418" s="56"/>
      <c r="G1418" s="56"/>
      <c r="H1418" s="56"/>
      <c r="I1418" s="56"/>
      <c r="J1418" s="56"/>
      <c r="K1418" s="56"/>
      <c r="L1418" s="56"/>
      <c r="M1418" s="56"/>
      <c r="N1418" s="56"/>
      <c r="O1418" s="56"/>
      <c r="P1418" s="56"/>
      <c r="Q1418" s="56"/>
      <c r="R1418" s="56"/>
      <c r="S1418" s="56"/>
      <c r="T1418" s="56"/>
      <c r="U1418" s="56"/>
      <c r="V1418" s="56"/>
      <c r="W1418" s="56"/>
      <c r="X1418" s="56"/>
    </row>
    <row r="1419" spans="1:24">
      <c r="A1419" s="56"/>
      <c r="B1419" s="56"/>
      <c r="C1419" s="56"/>
      <c r="D1419" s="56"/>
      <c r="E1419" s="56"/>
      <c r="F1419" s="56"/>
      <c r="G1419" s="56"/>
      <c r="H1419" s="56"/>
      <c r="I1419" s="56"/>
      <c r="J1419" s="56"/>
      <c r="K1419" s="56"/>
      <c r="L1419" s="56"/>
      <c r="M1419" s="56"/>
      <c r="N1419" s="56"/>
      <c r="O1419" s="56"/>
      <c r="P1419" s="56"/>
      <c r="Q1419" s="56"/>
      <c r="R1419" s="56"/>
      <c r="S1419" s="56"/>
      <c r="T1419" s="56"/>
      <c r="U1419" s="56"/>
      <c r="V1419" s="56"/>
      <c r="W1419" s="56"/>
      <c r="X1419" s="56"/>
    </row>
    <row r="1420" spans="1:24">
      <c r="A1420" s="56"/>
      <c r="B1420" s="56"/>
      <c r="C1420" s="56"/>
      <c r="D1420" s="56"/>
      <c r="E1420" s="56"/>
      <c r="F1420" s="56"/>
      <c r="G1420" s="56"/>
      <c r="H1420" s="56"/>
      <c r="I1420" s="56"/>
      <c r="J1420" s="56"/>
      <c r="K1420" s="56"/>
      <c r="L1420" s="56"/>
      <c r="M1420" s="56"/>
      <c r="N1420" s="56"/>
      <c r="O1420" s="56"/>
      <c r="P1420" s="56"/>
      <c r="Q1420" s="56"/>
      <c r="R1420" s="56"/>
      <c r="S1420" s="56"/>
      <c r="T1420" s="56"/>
      <c r="U1420" s="56"/>
      <c r="V1420" s="56"/>
      <c r="W1420" s="56"/>
      <c r="X1420" s="56"/>
    </row>
    <row r="1421" spans="1:24">
      <c r="A1421" s="56"/>
      <c r="B1421" s="56"/>
      <c r="C1421" s="56"/>
      <c r="D1421" s="56"/>
      <c r="E1421" s="56"/>
      <c r="F1421" s="56"/>
      <c r="G1421" s="56"/>
      <c r="H1421" s="56"/>
      <c r="I1421" s="56"/>
      <c r="J1421" s="56"/>
      <c r="K1421" s="56"/>
      <c r="L1421" s="56"/>
      <c r="M1421" s="56"/>
      <c r="N1421" s="56"/>
      <c r="O1421" s="56"/>
      <c r="P1421" s="56"/>
      <c r="Q1421" s="56"/>
      <c r="R1421" s="56"/>
      <c r="S1421" s="56"/>
      <c r="T1421" s="56"/>
      <c r="U1421" s="56"/>
      <c r="V1421" s="56"/>
      <c r="W1421" s="56"/>
      <c r="X1421" s="56"/>
    </row>
    <row r="1422" spans="1:24">
      <c r="A1422" s="56"/>
      <c r="B1422" s="56"/>
      <c r="C1422" s="56"/>
      <c r="D1422" s="56"/>
      <c r="E1422" s="56"/>
      <c r="F1422" s="56"/>
      <c r="G1422" s="56"/>
      <c r="H1422" s="56"/>
      <c r="I1422" s="56"/>
      <c r="J1422" s="56"/>
      <c r="K1422" s="56"/>
      <c r="L1422" s="56"/>
      <c r="M1422" s="56"/>
      <c r="N1422" s="56"/>
      <c r="O1422" s="56"/>
      <c r="P1422" s="56"/>
      <c r="Q1422" s="56"/>
      <c r="R1422" s="56"/>
      <c r="S1422" s="56"/>
      <c r="T1422" s="56"/>
      <c r="U1422" s="56"/>
      <c r="V1422" s="56"/>
      <c r="W1422" s="56"/>
      <c r="X1422" s="56"/>
    </row>
    <row r="1423" spans="1:24">
      <c r="A1423" s="56"/>
      <c r="B1423" s="56"/>
      <c r="C1423" s="56"/>
      <c r="D1423" s="56"/>
      <c r="E1423" s="56"/>
      <c r="F1423" s="56"/>
      <c r="G1423" s="56"/>
      <c r="H1423" s="56"/>
      <c r="I1423" s="56"/>
      <c r="J1423" s="56"/>
      <c r="K1423" s="56"/>
      <c r="L1423" s="56"/>
      <c r="M1423" s="56"/>
      <c r="N1423" s="56"/>
      <c r="O1423" s="56"/>
      <c r="P1423" s="56"/>
      <c r="Q1423" s="56"/>
      <c r="R1423" s="56"/>
      <c r="S1423" s="56"/>
      <c r="T1423" s="56"/>
      <c r="U1423" s="56"/>
      <c r="V1423" s="56"/>
      <c r="W1423" s="56"/>
      <c r="X1423" s="56"/>
    </row>
    <row r="1424" spans="1:24">
      <c r="A1424" s="56"/>
      <c r="B1424" s="56"/>
      <c r="C1424" s="56"/>
      <c r="D1424" s="56"/>
      <c r="E1424" s="56"/>
      <c r="F1424" s="56"/>
      <c r="G1424" s="56"/>
      <c r="H1424" s="56"/>
      <c r="I1424" s="56"/>
      <c r="J1424" s="56"/>
      <c r="K1424" s="56"/>
      <c r="L1424" s="56"/>
      <c r="M1424" s="56"/>
      <c r="N1424" s="56"/>
      <c r="O1424" s="56"/>
      <c r="P1424" s="56"/>
      <c r="Q1424" s="56"/>
      <c r="R1424" s="56"/>
      <c r="S1424" s="56"/>
      <c r="T1424" s="56"/>
      <c r="U1424" s="56"/>
      <c r="V1424" s="56"/>
      <c r="W1424" s="56"/>
      <c r="X1424" s="56"/>
    </row>
    <row r="1425" spans="1:24">
      <c r="A1425" s="56"/>
      <c r="B1425" s="56"/>
      <c r="C1425" s="56"/>
      <c r="D1425" s="56"/>
      <c r="E1425" s="56"/>
      <c r="F1425" s="56"/>
      <c r="G1425" s="56"/>
      <c r="H1425" s="56"/>
      <c r="I1425" s="56"/>
      <c r="J1425" s="56"/>
      <c r="K1425" s="56"/>
      <c r="L1425" s="56"/>
      <c r="M1425" s="56"/>
      <c r="N1425" s="56"/>
      <c r="O1425" s="56"/>
      <c r="P1425" s="56"/>
      <c r="Q1425" s="56"/>
      <c r="R1425" s="56"/>
      <c r="S1425" s="56"/>
      <c r="T1425" s="56"/>
      <c r="U1425" s="56"/>
      <c r="V1425" s="56"/>
      <c r="W1425" s="56"/>
      <c r="X1425" s="56"/>
    </row>
    <row r="1426" spans="1:24">
      <c r="A1426" s="56"/>
      <c r="B1426" s="56"/>
      <c r="C1426" s="56"/>
      <c r="D1426" s="56"/>
      <c r="E1426" s="56"/>
      <c r="F1426" s="56"/>
      <c r="G1426" s="56"/>
      <c r="H1426" s="56"/>
      <c r="I1426" s="56"/>
      <c r="J1426" s="56"/>
      <c r="K1426" s="56"/>
      <c r="L1426" s="56"/>
      <c r="M1426" s="56"/>
      <c r="N1426" s="56"/>
      <c r="O1426" s="56"/>
      <c r="P1426" s="56"/>
      <c r="Q1426" s="56"/>
      <c r="R1426" s="56"/>
      <c r="S1426" s="56"/>
      <c r="T1426" s="56"/>
      <c r="U1426" s="56"/>
      <c r="V1426" s="56"/>
      <c r="W1426" s="56"/>
      <c r="X1426" s="56"/>
    </row>
    <row r="1427" spans="1:24">
      <c r="A1427" s="56"/>
      <c r="B1427" s="56"/>
      <c r="C1427" s="56"/>
      <c r="D1427" s="56"/>
      <c r="E1427" s="56"/>
      <c r="F1427" s="56"/>
      <c r="G1427" s="56"/>
      <c r="H1427" s="56"/>
      <c r="I1427" s="56"/>
      <c r="J1427" s="56"/>
      <c r="K1427" s="56"/>
      <c r="L1427" s="56"/>
      <c r="M1427" s="56"/>
      <c r="N1427" s="56"/>
      <c r="O1427" s="56"/>
      <c r="P1427" s="56"/>
      <c r="Q1427" s="56"/>
      <c r="R1427" s="56"/>
      <c r="S1427" s="56"/>
      <c r="T1427" s="56"/>
      <c r="U1427" s="56"/>
      <c r="V1427" s="56"/>
      <c r="W1427" s="56"/>
      <c r="X1427" s="56"/>
    </row>
    <row r="1428" spans="1:24">
      <c r="A1428" s="56"/>
      <c r="B1428" s="56"/>
      <c r="C1428" s="56"/>
      <c r="D1428" s="56"/>
      <c r="E1428" s="56"/>
      <c r="F1428" s="56"/>
      <c r="G1428" s="56"/>
      <c r="H1428" s="56"/>
      <c r="I1428" s="56"/>
      <c r="J1428" s="56"/>
      <c r="K1428" s="56"/>
      <c r="L1428" s="56"/>
      <c r="M1428" s="56"/>
      <c r="N1428" s="56"/>
      <c r="O1428" s="56"/>
      <c r="P1428" s="56"/>
      <c r="Q1428" s="56"/>
      <c r="R1428" s="56"/>
      <c r="S1428" s="56"/>
      <c r="T1428" s="56"/>
      <c r="U1428" s="56"/>
      <c r="V1428" s="56"/>
      <c r="W1428" s="56"/>
      <c r="X1428" s="56"/>
    </row>
    <row r="1429" spans="1:24">
      <c r="A1429" s="56"/>
      <c r="B1429" s="56"/>
      <c r="C1429" s="56"/>
      <c r="D1429" s="56"/>
      <c r="E1429" s="56"/>
      <c r="F1429" s="56"/>
      <c r="G1429" s="56"/>
      <c r="H1429" s="56"/>
      <c r="I1429" s="56"/>
      <c r="J1429" s="56"/>
      <c r="K1429" s="56"/>
      <c r="L1429" s="56"/>
      <c r="M1429" s="56"/>
      <c r="N1429" s="56"/>
      <c r="O1429" s="56"/>
      <c r="P1429" s="56"/>
      <c r="Q1429" s="56"/>
      <c r="R1429" s="56"/>
      <c r="S1429" s="56"/>
      <c r="T1429" s="56"/>
      <c r="U1429" s="56"/>
      <c r="V1429" s="56"/>
      <c r="W1429" s="56"/>
      <c r="X1429" s="56"/>
    </row>
    <row r="1430" spans="1:24">
      <c r="A1430" s="56"/>
      <c r="B1430" s="56"/>
      <c r="C1430" s="56"/>
      <c r="D1430" s="56"/>
      <c r="E1430" s="56"/>
      <c r="F1430" s="56"/>
      <c r="G1430" s="56"/>
      <c r="H1430" s="56"/>
      <c r="I1430" s="56"/>
      <c r="J1430" s="56"/>
      <c r="K1430" s="56"/>
      <c r="L1430" s="56"/>
      <c r="M1430" s="56"/>
      <c r="N1430" s="56"/>
      <c r="O1430" s="56"/>
      <c r="P1430" s="56"/>
      <c r="Q1430" s="56"/>
      <c r="R1430" s="56"/>
      <c r="S1430" s="56"/>
      <c r="T1430" s="56"/>
      <c r="U1430" s="56"/>
      <c r="V1430" s="56"/>
      <c r="W1430" s="56"/>
      <c r="X1430" s="56"/>
    </row>
    <row r="1431" spans="1:24">
      <c r="A1431" s="56"/>
      <c r="B1431" s="56"/>
      <c r="C1431" s="56"/>
      <c r="D1431" s="56"/>
      <c r="E1431" s="56"/>
      <c r="F1431" s="56"/>
      <c r="G1431" s="56"/>
      <c r="H1431" s="56"/>
      <c r="I1431" s="56"/>
      <c r="J1431" s="56"/>
      <c r="K1431" s="56"/>
      <c r="L1431" s="56"/>
      <c r="M1431" s="56"/>
      <c r="N1431" s="56"/>
      <c r="O1431" s="56"/>
      <c r="P1431" s="56"/>
      <c r="Q1431" s="56"/>
      <c r="R1431" s="56"/>
      <c r="S1431" s="56"/>
      <c r="T1431" s="56"/>
      <c r="U1431" s="56"/>
      <c r="V1431" s="56"/>
      <c r="W1431" s="56"/>
      <c r="X1431" s="56"/>
    </row>
    <row r="1432" spans="1:24">
      <c r="A1432" s="56"/>
      <c r="B1432" s="56"/>
      <c r="C1432" s="56"/>
      <c r="D1432" s="56"/>
      <c r="E1432" s="56"/>
      <c r="F1432" s="56"/>
      <c r="G1432" s="56"/>
      <c r="H1432" s="56"/>
      <c r="I1432" s="56"/>
      <c r="J1432" s="56"/>
      <c r="K1432" s="56"/>
      <c r="L1432" s="56"/>
      <c r="M1432" s="56"/>
      <c r="N1432" s="56"/>
      <c r="O1432" s="56"/>
      <c r="P1432" s="56"/>
      <c r="Q1432" s="56"/>
      <c r="R1432" s="56"/>
      <c r="S1432" s="56"/>
      <c r="T1432" s="56"/>
      <c r="U1432" s="56"/>
      <c r="V1432" s="56"/>
      <c r="W1432" s="56"/>
      <c r="X1432" s="56"/>
    </row>
    <row r="1433" spans="1:24" ht="23.25">
      <c r="A1433" s="56"/>
      <c r="B1433" s="408" t="s">
        <v>125</v>
      </c>
      <c r="C1433" s="408"/>
      <c r="D1433" s="408"/>
      <c r="E1433" s="408"/>
      <c r="F1433" s="408"/>
      <c r="G1433" s="408"/>
      <c r="H1433" s="133"/>
      <c r="I1433" s="133"/>
      <c r="J1433" s="133"/>
      <c r="K1433" s="133"/>
      <c r="L1433" s="133"/>
      <c r="M1433" s="133"/>
      <c r="N1433" s="136"/>
      <c r="O1433" s="408" t="s">
        <v>126</v>
      </c>
      <c r="P1433" s="408"/>
      <c r="Q1433" s="408"/>
      <c r="R1433" s="408"/>
      <c r="S1433" s="408"/>
      <c r="T1433" s="133"/>
      <c r="U1433" s="133"/>
      <c r="V1433" s="56"/>
      <c r="W1433" s="56"/>
      <c r="X1433" s="56"/>
    </row>
    <row r="1434" spans="1:24" ht="23.25">
      <c r="A1434" s="56"/>
      <c r="B1434" s="419" t="s">
        <v>122</v>
      </c>
      <c r="C1434" s="419"/>
      <c r="D1434" s="419"/>
      <c r="E1434" s="419"/>
      <c r="F1434" s="419"/>
      <c r="G1434" s="419"/>
      <c r="H1434" s="419"/>
      <c r="I1434" s="419"/>
      <c r="J1434" s="133"/>
      <c r="K1434" s="133"/>
      <c r="L1434" s="133"/>
      <c r="M1434" s="133"/>
      <c r="N1434" s="419" t="s">
        <v>123</v>
      </c>
      <c r="O1434" s="419"/>
      <c r="P1434" s="419"/>
      <c r="Q1434" s="419"/>
      <c r="R1434" s="419"/>
      <c r="S1434" s="419"/>
      <c r="T1434" s="419"/>
      <c r="U1434" s="419"/>
      <c r="V1434" s="56"/>
      <c r="W1434" s="56"/>
      <c r="X1434" s="56"/>
    </row>
    <row r="1435" spans="1:24" ht="15.75" thickBot="1">
      <c r="A1435" s="56"/>
      <c r="B1435" s="65"/>
      <c r="C1435" s="93" t="s">
        <v>45</v>
      </c>
      <c r="D1435" s="62" t="s">
        <v>113</v>
      </c>
      <c r="E1435" s="414" t="s">
        <v>114</v>
      </c>
      <c r="F1435" s="414"/>
      <c r="G1435" s="62" t="s">
        <v>115</v>
      </c>
      <c r="H1435" s="411" t="s">
        <v>116</v>
      </c>
      <c r="I1435" s="412"/>
      <c r="J1435" s="56"/>
      <c r="K1435" s="56"/>
      <c r="L1435" s="56"/>
      <c r="M1435" s="56"/>
      <c r="N1435" s="65"/>
      <c r="O1435" s="93" t="s">
        <v>45</v>
      </c>
      <c r="P1435" s="62" t="s">
        <v>113</v>
      </c>
      <c r="Q1435" s="414" t="s">
        <v>114</v>
      </c>
      <c r="R1435" s="414"/>
      <c r="S1435" s="62" t="s">
        <v>115</v>
      </c>
      <c r="T1435" s="411" t="s">
        <v>116</v>
      </c>
      <c r="U1435" s="412"/>
    </row>
    <row r="1436" spans="1:24" ht="15.75" thickBot="1">
      <c r="A1436" s="56"/>
      <c r="B1436" s="65" t="s">
        <v>14</v>
      </c>
      <c r="C1436" s="82" t="e">
        <f>D1436+E1436+G1436+H1436</f>
        <v>#REF!</v>
      </c>
      <c r="D1436" s="59">
        <f>Algandmed!AE273</f>
        <v>4</v>
      </c>
      <c r="E1436" s="415" t="e">
        <f>Algandmed!#REF!</f>
        <v>#REF!</v>
      </c>
      <c r="F1436" s="415"/>
      <c r="G1436" s="59">
        <f>Algandmed!AF273</f>
        <v>3</v>
      </c>
      <c r="H1436" s="415">
        <f>Algandmed!AG273</f>
        <v>2</v>
      </c>
      <c r="I1436" s="416"/>
      <c r="J1436" s="56"/>
      <c r="K1436" s="56"/>
      <c r="L1436" s="56"/>
      <c r="M1436" s="56"/>
      <c r="N1436" s="65" t="s">
        <v>17</v>
      </c>
      <c r="O1436" s="82" t="e">
        <f>P1436+Q1436+S1436+T1436</f>
        <v>#REF!</v>
      </c>
      <c r="P1436" s="59">
        <f>Algandmed!AT273</f>
        <v>2</v>
      </c>
      <c r="Q1436" s="415" t="e">
        <f>Algandmed!#REF!</f>
        <v>#REF!</v>
      </c>
      <c r="R1436" s="415"/>
      <c r="S1436" s="59">
        <f>Algandmed!AU273</f>
        <v>12</v>
      </c>
      <c r="T1436" s="415">
        <f>Algandmed!AV273</f>
        <v>12</v>
      </c>
      <c r="U1436" s="416"/>
    </row>
    <row r="1437" spans="1:24">
      <c r="A1437" s="56"/>
      <c r="B1437" s="56"/>
      <c r="D1437" s="56"/>
      <c r="E1437" s="56"/>
      <c r="F1437" s="56"/>
      <c r="G1437" s="56"/>
      <c r="H1437" s="56"/>
      <c r="I1437" s="56"/>
      <c r="J1437" s="56"/>
      <c r="K1437" s="56"/>
      <c r="L1437" s="56"/>
      <c r="M1437" s="56"/>
      <c r="N1437" s="56"/>
      <c r="O1437" s="56"/>
      <c r="P1437" s="56"/>
      <c r="Q1437" s="56"/>
      <c r="R1437" s="56"/>
      <c r="S1437" s="56"/>
      <c r="T1437" s="56"/>
      <c r="U1437" s="56"/>
    </row>
    <row r="1438" spans="1:24">
      <c r="A1438" s="56"/>
      <c r="B1438" s="65"/>
      <c r="C1438" s="417"/>
      <c r="D1438" s="62" t="s">
        <v>113</v>
      </c>
      <c r="E1438" s="414" t="s">
        <v>114</v>
      </c>
      <c r="F1438" s="414"/>
      <c r="G1438" s="62" t="s">
        <v>115</v>
      </c>
      <c r="H1438" s="414" t="s">
        <v>116</v>
      </c>
      <c r="I1438" s="414"/>
      <c r="J1438" s="56"/>
      <c r="K1438" s="56"/>
      <c r="L1438" s="56"/>
      <c r="M1438" s="56"/>
      <c r="N1438" s="65"/>
      <c r="O1438" s="417"/>
      <c r="P1438" s="62" t="s">
        <v>113</v>
      </c>
      <c r="Q1438" s="414" t="s">
        <v>114</v>
      </c>
      <c r="R1438" s="414"/>
      <c r="S1438" s="62" t="s">
        <v>115</v>
      </c>
      <c r="T1438" s="411" t="s">
        <v>116</v>
      </c>
      <c r="U1438" s="412"/>
    </row>
    <row r="1439" spans="1:24">
      <c r="A1439" s="56"/>
      <c r="B1439" s="65" t="s">
        <v>14</v>
      </c>
      <c r="C1439" s="418"/>
      <c r="D1439" s="67" t="e">
        <f>D1436/C1436</f>
        <v>#REF!</v>
      </c>
      <c r="E1439" s="413" t="e">
        <f>E1436/C1436</f>
        <v>#REF!</v>
      </c>
      <c r="F1439" s="413"/>
      <c r="G1439" s="67" t="e">
        <f>G1436/C1436</f>
        <v>#REF!</v>
      </c>
      <c r="H1439" s="413" t="e">
        <f>H1436/C1436</f>
        <v>#REF!</v>
      </c>
      <c r="I1439" s="413"/>
      <c r="J1439" s="56"/>
      <c r="K1439" s="56"/>
      <c r="L1439" s="56"/>
      <c r="M1439" s="56"/>
      <c r="N1439" s="65" t="s">
        <v>17</v>
      </c>
      <c r="O1439" s="418"/>
      <c r="P1439" s="67" t="e">
        <f>P1436/O1436</f>
        <v>#REF!</v>
      </c>
      <c r="Q1439" s="413" t="e">
        <f>Q1436/O1436</f>
        <v>#REF!</v>
      </c>
      <c r="R1439" s="413"/>
      <c r="S1439" s="67" t="e">
        <f>S1436/O1436</f>
        <v>#REF!</v>
      </c>
      <c r="T1439" s="413" t="e">
        <f>T1436/O1436</f>
        <v>#REF!</v>
      </c>
      <c r="U1439" s="413"/>
    </row>
    <row r="1440" spans="1:24">
      <c r="A1440" s="56"/>
      <c r="B1440" s="56"/>
      <c r="C1440" s="56"/>
      <c r="D1440" s="56"/>
      <c r="E1440" s="56"/>
      <c r="F1440" s="56"/>
      <c r="G1440" s="56"/>
      <c r="H1440" s="56"/>
      <c r="I1440" s="56"/>
      <c r="J1440" s="56"/>
      <c r="K1440" s="56"/>
      <c r="L1440" s="56"/>
      <c r="M1440" s="56"/>
      <c r="N1440" s="56"/>
      <c r="O1440" s="56"/>
      <c r="P1440" s="56"/>
      <c r="Q1440" s="56"/>
      <c r="R1440" s="56"/>
      <c r="S1440" s="56"/>
      <c r="T1440" s="56"/>
      <c r="U1440" s="56"/>
      <c r="V1440" s="56"/>
      <c r="W1440" s="56"/>
      <c r="X1440" s="56"/>
    </row>
    <row r="1441" spans="1:24">
      <c r="A1441" s="56"/>
      <c r="B1441" s="56"/>
      <c r="C1441" s="56"/>
      <c r="D1441" s="56"/>
      <c r="E1441" s="56"/>
      <c r="F1441" s="56"/>
      <c r="G1441" s="56"/>
      <c r="H1441" s="56"/>
      <c r="I1441" s="56"/>
      <c r="J1441" s="56"/>
      <c r="K1441" s="56"/>
      <c r="L1441" s="56"/>
      <c r="M1441" s="56"/>
      <c r="N1441" s="56"/>
      <c r="O1441" s="56"/>
      <c r="P1441" s="56"/>
      <c r="Q1441" s="56"/>
      <c r="R1441" s="56"/>
      <c r="S1441" s="56"/>
      <c r="T1441" s="56"/>
      <c r="U1441" s="56"/>
      <c r="V1441" s="56"/>
      <c r="W1441" s="56"/>
      <c r="X1441" s="56"/>
    </row>
    <row r="1442" spans="1:24">
      <c r="A1442" s="56"/>
      <c r="B1442" s="56"/>
      <c r="C1442" s="56"/>
      <c r="D1442" s="56"/>
      <c r="E1442" s="56"/>
      <c r="F1442" s="56"/>
      <c r="G1442" s="56"/>
      <c r="H1442" s="56"/>
      <c r="I1442" s="56"/>
      <c r="J1442" s="56"/>
      <c r="K1442" s="56"/>
      <c r="L1442" s="56"/>
      <c r="M1442" s="56"/>
      <c r="N1442" s="56"/>
      <c r="O1442" s="56"/>
      <c r="P1442" s="56"/>
      <c r="Q1442" s="56"/>
      <c r="R1442" s="56"/>
      <c r="S1442" s="56"/>
      <c r="T1442" s="56"/>
      <c r="U1442" s="56"/>
      <c r="V1442" s="56"/>
      <c r="W1442" s="56"/>
      <c r="X1442" s="56"/>
    </row>
    <row r="1443" spans="1:24">
      <c r="A1443" s="56"/>
      <c r="B1443" s="56"/>
      <c r="C1443" s="56"/>
      <c r="D1443" s="56"/>
      <c r="E1443" s="56"/>
      <c r="F1443" s="56"/>
      <c r="G1443" s="56"/>
      <c r="H1443" s="56"/>
      <c r="I1443" s="56"/>
      <c r="J1443" s="56"/>
      <c r="K1443" s="56"/>
      <c r="L1443" s="56"/>
      <c r="M1443" s="56"/>
      <c r="N1443" s="56"/>
      <c r="O1443" s="56"/>
      <c r="P1443" s="56"/>
      <c r="Q1443" s="56"/>
      <c r="R1443" s="56"/>
      <c r="S1443" s="56"/>
      <c r="T1443" s="56"/>
      <c r="U1443" s="56"/>
      <c r="V1443" s="56"/>
      <c r="W1443" s="56"/>
      <c r="X1443" s="56"/>
    </row>
    <row r="1444" spans="1:24">
      <c r="A1444" s="56"/>
      <c r="B1444" s="56"/>
      <c r="C1444" s="56"/>
      <c r="D1444" s="56"/>
      <c r="E1444" s="56"/>
      <c r="F1444" s="56"/>
      <c r="G1444" s="56"/>
      <c r="H1444" s="56"/>
      <c r="I1444" s="56"/>
      <c r="J1444" s="56"/>
      <c r="K1444" s="56"/>
      <c r="L1444" s="56"/>
      <c r="M1444" s="56"/>
      <c r="N1444" s="56"/>
      <c r="O1444" s="56"/>
      <c r="P1444" s="56"/>
      <c r="Q1444" s="56"/>
      <c r="R1444" s="56"/>
      <c r="S1444" s="56"/>
      <c r="T1444" s="56"/>
      <c r="U1444" s="56"/>
      <c r="V1444" s="56"/>
      <c r="W1444" s="56"/>
      <c r="X1444" s="56"/>
    </row>
    <row r="1445" spans="1:24">
      <c r="A1445" s="56"/>
      <c r="B1445" s="56"/>
      <c r="C1445" s="56"/>
      <c r="D1445" s="56"/>
      <c r="E1445" s="56"/>
      <c r="F1445" s="56"/>
      <c r="G1445" s="56"/>
      <c r="H1445" s="56"/>
      <c r="I1445" s="56"/>
      <c r="J1445" s="56"/>
      <c r="K1445" s="56"/>
      <c r="L1445" s="56"/>
      <c r="M1445" s="56"/>
      <c r="N1445" s="56"/>
      <c r="O1445" s="56"/>
      <c r="P1445" s="56"/>
      <c r="Q1445" s="56"/>
      <c r="R1445" s="56"/>
      <c r="S1445" s="56"/>
      <c r="T1445" s="56"/>
      <c r="U1445" s="56"/>
      <c r="V1445" s="56"/>
      <c r="W1445" s="56"/>
      <c r="X1445" s="56"/>
    </row>
    <row r="1446" spans="1:24">
      <c r="A1446" s="56"/>
      <c r="B1446" s="56"/>
      <c r="C1446" s="56"/>
      <c r="D1446" s="56"/>
      <c r="E1446" s="56"/>
      <c r="F1446" s="56"/>
      <c r="G1446" s="56"/>
      <c r="H1446" s="56"/>
      <c r="I1446" s="56"/>
      <c r="J1446" s="56"/>
      <c r="K1446" s="56"/>
      <c r="L1446" s="56"/>
      <c r="M1446" s="56"/>
      <c r="N1446" s="56"/>
      <c r="O1446" s="56"/>
      <c r="P1446" s="56"/>
      <c r="Q1446" s="56"/>
      <c r="R1446" s="56"/>
      <c r="S1446" s="56"/>
      <c r="T1446" s="56"/>
      <c r="U1446" s="56"/>
      <c r="V1446" s="56"/>
      <c r="W1446" s="56"/>
      <c r="X1446" s="56"/>
    </row>
    <row r="1447" spans="1:24">
      <c r="A1447" s="56"/>
      <c r="B1447" s="56"/>
      <c r="C1447" s="56"/>
      <c r="D1447" s="56"/>
      <c r="E1447" s="56"/>
      <c r="F1447" s="56"/>
      <c r="G1447" s="56"/>
      <c r="H1447" s="56"/>
      <c r="I1447" s="56"/>
      <c r="J1447" s="56"/>
      <c r="K1447" s="56"/>
      <c r="L1447" s="56"/>
      <c r="M1447" s="56"/>
      <c r="N1447" s="56"/>
      <c r="O1447" s="56"/>
      <c r="P1447" s="56"/>
      <c r="Q1447" s="56"/>
      <c r="R1447" s="56"/>
      <c r="S1447" s="56"/>
      <c r="T1447" s="56"/>
      <c r="U1447" s="56"/>
      <c r="V1447" s="56"/>
      <c r="W1447" s="56"/>
      <c r="X1447" s="56"/>
    </row>
    <row r="1448" spans="1:24">
      <c r="A1448" s="56"/>
      <c r="B1448" s="56"/>
      <c r="C1448" s="56"/>
      <c r="D1448" s="56"/>
      <c r="E1448" s="56"/>
      <c r="F1448" s="56"/>
      <c r="G1448" s="56"/>
      <c r="H1448" s="56"/>
      <c r="I1448" s="56"/>
      <c r="J1448" s="56"/>
      <c r="K1448" s="56"/>
      <c r="L1448" s="56"/>
      <c r="M1448" s="56"/>
      <c r="N1448" s="56"/>
      <c r="O1448" s="56"/>
      <c r="P1448" s="56"/>
      <c r="Q1448" s="56"/>
      <c r="R1448" s="56"/>
      <c r="S1448" s="56"/>
      <c r="T1448" s="56"/>
      <c r="U1448" s="56"/>
      <c r="V1448" s="56"/>
      <c r="W1448" s="56"/>
      <c r="X1448" s="56"/>
    </row>
    <row r="1449" spans="1:24">
      <c r="A1449" s="56"/>
      <c r="B1449" s="56"/>
      <c r="C1449" s="56"/>
      <c r="D1449" s="56"/>
      <c r="E1449" s="56"/>
      <c r="F1449" s="56"/>
      <c r="G1449" s="56"/>
      <c r="H1449" s="56"/>
      <c r="I1449" s="56"/>
      <c r="J1449" s="56"/>
      <c r="K1449" s="56"/>
      <c r="L1449" s="56"/>
      <c r="M1449" s="56"/>
      <c r="N1449" s="56"/>
      <c r="O1449" s="56"/>
      <c r="P1449" s="56"/>
      <c r="Q1449" s="56"/>
      <c r="R1449" s="56"/>
      <c r="S1449" s="56"/>
      <c r="T1449" s="56"/>
      <c r="U1449" s="56"/>
      <c r="V1449" s="56"/>
      <c r="W1449" s="56"/>
      <c r="X1449" s="56"/>
    </row>
    <row r="1450" spans="1:24">
      <c r="A1450" s="56"/>
      <c r="B1450" s="56"/>
      <c r="C1450" s="56"/>
      <c r="D1450" s="56"/>
      <c r="E1450" s="56"/>
      <c r="F1450" s="56"/>
      <c r="G1450" s="56"/>
      <c r="H1450" s="56"/>
      <c r="I1450" s="56"/>
      <c r="J1450" s="56"/>
      <c r="K1450" s="56"/>
      <c r="L1450" s="56"/>
      <c r="M1450" s="56"/>
      <c r="N1450" s="56"/>
      <c r="O1450" s="56"/>
      <c r="P1450" s="56"/>
      <c r="Q1450" s="56"/>
      <c r="R1450" s="56"/>
      <c r="S1450" s="56"/>
      <c r="T1450" s="56"/>
      <c r="U1450" s="56"/>
      <c r="V1450" s="56"/>
      <c r="W1450" s="56"/>
      <c r="X1450" s="56"/>
    </row>
    <row r="1451" spans="1:24">
      <c r="A1451" s="56"/>
      <c r="B1451" s="56"/>
      <c r="C1451" s="56"/>
      <c r="D1451" s="56"/>
      <c r="E1451" s="56"/>
      <c r="F1451" s="56"/>
      <c r="G1451" s="56"/>
      <c r="H1451" s="56"/>
      <c r="I1451" s="56"/>
      <c r="J1451" s="56"/>
      <c r="K1451" s="56"/>
      <c r="L1451" s="56"/>
      <c r="M1451" s="56"/>
      <c r="N1451" s="56"/>
      <c r="O1451" s="56"/>
      <c r="P1451" s="56"/>
      <c r="Q1451" s="56"/>
      <c r="R1451" s="56"/>
      <c r="S1451" s="56"/>
      <c r="T1451" s="56"/>
      <c r="U1451" s="56"/>
      <c r="V1451" s="56"/>
      <c r="W1451" s="56"/>
      <c r="X1451" s="56"/>
    </row>
    <row r="1452" spans="1:24">
      <c r="A1452" s="56"/>
      <c r="B1452" s="56"/>
      <c r="C1452" s="56"/>
      <c r="D1452" s="56"/>
      <c r="E1452" s="56"/>
      <c r="F1452" s="56"/>
      <c r="G1452" s="56"/>
      <c r="H1452" s="56"/>
      <c r="I1452" s="56"/>
      <c r="J1452" s="56"/>
      <c r="K1452" s="56"/>
      <c r="L1452" s="56"/>
      <c r="M1452" s="56"/>
      <c r="N1452" s="56"/>
      <c r="O1452" s="56"/>
      <c r="P1452" s="56"/>
      <c r="Q1452" s="56"/>
      <c r="R1452" s="56"/>
      <c r="S1452" s="56"/>
      <c r="T1452" s="56"/>
      <c r="U1452" s="56"/>
      <c r="V1452" s="56"/>
      <c r="W1452" s="56"/>
      <c r="X1452" s="56"/>
    </row>
    <row r="1453" spans="1:24" ht="23.25">
      <c r="A1453" s="56"/>
      <c r="B1453" s="408" t="s">
        <v>125</v>
      </c>
      <c r="C1453" s="408"/>
      <c r="D1453" s="408"/>
      <c r="E1453" s="408"/>
      <c r="F1453" s="408"/>
      <c r="G1453" s="408"/>
      <c r="H1453" s="408"/>
      <c r="I1453" s="408"/>
      <c r="J1453" s="133"/>
      <c r="K1453" s="133"/>
      <c r="L1453" s="133"/>
      <c r="M1453" s="133"/>
      <c r="N1453" s="408" t="s">
        <v>126</v>
      </c>
      <c r="O1453" s="408"/>
      <c r="P1453" s="408"/>
      <c r="Q1453" s="408"/>
      <c r="R1453" s="408"/>
      <c r="S1453" s="408"/>
      <c r="T1453" s="408"/>
      <c r="U1453" s="408"/>
      <c r="V1453" s="133"/>
      <c r="W1453" s="133"/>
      <c r="X1453" s="56"/>
    </row>
    <row r="1454" spans="1:24" ht="23.25">
      <c r="A1454" s="56"/>
      <c r="B1454" s="419" t="s">
        <v>117</v>
      </c>
      <c r="C1454" s="419"/>
      <c r="D1454" s="419"/>
      <c r="E1454" s="419"/>
      <c r="F1454" s="419"/>
      <c r="G1454" s="419"/>
      <c r="H1454" s="419"/>
      <c r="I1454" s="133"/>
      <c r="J1454" s="133"/>
      <c r="K1454" s="133"/>
      <c r="L1454" s="133"/>
      <c r="M1454" s="133"/>
      <c r="N1454" s="419" t="s">
        <v>117</v>
      </c>
      <c r="O1454" s="419"/>
      <c r="P1454" s="419"/>
      <c r="Q1454" s="419"/>
      <c r="R1454" s="419"/>
      <c r="S1454" s="419"/>
      <c r="T1454" s="419"/>
      <c r="U1454" s="136"/>
      <c r="V1454" s="133"/>
      <c r="W1454" s="133"/>
      <c r="X1454" s="56"/>
    </row>
    <row r="1455" spans="1:24" ht="36.75" thickBot="1">
      <c r="A1455" s="56"/>
      <c r="B1455" s="65"/>
      <c r="C1455" s="93" t="s">
        <v>45</v>
      </c>
      <c r="D1455" s="121" t="s">
        <v>174</v>
      </c>
      <c r="E1455" s="410" t="s">
        <v>173</v>
      </c>
      <c r="F1455" s="410"/>
      <c r="G1455" s="123" t="s">
        <v>176</v>
      </c>
      <c r="H1455" s="124" t="s">
        <v>175</v>
      </c>
      <c r="I1455" s="122" t="s">
        <v>177</v>
      </c>
      <c r="J1455" s="125" t="s">
        <v>178</v>
      </c>
      <c r="K1455" s="126" t="s">
        <v>179</v>
      </c>
      <c r="L1455" s="56"/>
      <c r="M1455" s="56"/>
      <c r="N1455" s="65"/>
      <c r="O1455" s="93" t="s">
        <v>45</v>
      </c>
      <c r="P1455" s="121" t="s">
        <v>174</v>
      </c>
      <c r="Q1455" s="410" t="s">
        <v>173</v>
      </c>
      <c r="R1455" s="410"/>
      <c r="S1455" s="123" t="s">
        <v>176</v>
      </c>
      <c r="T1455" s="124" t="s">
        <v>175</v>
      </c>
      <c r="U1455" s="122" t="s">
        <v>177</v>
      </c>
      <c r="V1455" s="125" t="s">
        <v>178</v>
      </c>
      <c r="W1455" s="126" t="s">
        <v>179</v>
      </c>
      <c r="X1455" s="56"/>
    </row>
    <row r="1456" spans="1:24" ht="15.75" thickBot="1">
      <c r="A1456" s="56"/>
      <c r="B1456" s="65" t="s">
        <v>5</v>
      </c>
      <c r="C1456" s="82">
        <f>D1456+E1456+G1456+H1456+I1456+J1456+K1456</f>
        <v>19</v>
      </c>
      <c r="D1456" s="59">
        <f>Algandmed!AE279</f>
        <v>1</v>
      </c>
      <c r="E1456" s="415">
        <f>Algandmed!AF279</f>
        <v>8</v>
      </c>
      <c r="F1456" s="415"/>
      <c r="G1456" s="74">
        <f>Algandmed!AG279</f>
        <v>5</v>
      </c>
      <c r="H1456" s="98">
        <f>Algandmed!AH279</f>
        <v>1</v>
      </c>
      <c r="I1456" s="98">
        <f>Algandmed!AI279</f>
        <v>3</v>
      </c>
      <c r="J1456" s="98">
        <f>Algandmed!AJ279</f>
        <v>0</v>
      </c>
      <c r="K1456" s="118">
        <f>Algandmed!AK279</f>
        <v>1</v>
      </c>
      <c r="L1456" s="56"/>
      <c r="M1456" s="56"/>
      <c r="N1456" s="65" t="s">
        <v>1</v>
      </c>
      <c r="O1456" s="82">
        <f>P1456+Q1456+S1456+T1456+U1456+V1456+W1456</f>
        <v>22</v>
      </c>
      <c r="P1456" s="59">
        <f>Algandmed!AT279</f>
        <v>3</v>
      </c>
      <c r="Q1456" s="415">
        <f>Algandmed!AU279</f>
        <v>13</v>
      </c>
      <c r="R1456" s="415"/>
      <c r="S1456" s="74">
        <f>Algandmed!AV279</f>
        <v>3</v>
      </c>
      <c r="T1456" s="98">
        <f>Algandmed!AW279</f>
        <v>1</v>
      </c>
      <c r="U1456" s="98">
        <f>Algandmed!AX279</f>
        <v>1</v>
      </c>
      <c r="V1456" s="98">
        <f>Algandmed!AY279</f>
        <v>0</v>
      </c>
      <c r="W1456" s="118">
        <f>Algandmed!AZ279</f>
        <v>1</v>
      </c>
      <c r="X1456" s="56"/>
    </row>
    <row r="1457" spans="1:24">
      <c r="A1457" s="56"/>
      <c r="B1457" s="56"/>
      <c r="C1457" s="56"/>
      <c r="D1457" s="56"/>
      <c r="E1457" s="56"/>
      <c r="F1457" s="56"/>
      <c r="G1457" s="56"/>
      <c r="L1457" s="56"/>
      <c r="M1457" s="56"/>
      <c r="N1457" s="56"/>
      <c r="O1457" s="56"/>
      <c r="P1457" s="56"/>
      <c r="Q1457" s="56"/>
      <c r="R1457" s="56"/>
      <c r="S1457" s="56"/>
      <c r="X1457" s="56"/>
    </row>
    <row r="1458" spans="1:24" ht="36">
      <c r="A1458" s="56"/>
      <c r="B1458" s="65"/>
      <c r="C1458" s="417"/>
      <c r="D1458" s="121" t="s">
        <v>174</v>
      </c>
      <c r="E1458" s="410" t="s">
        <v>173</v>
      </c>
      <c r="F1458" s="410"/>
      <c r="G1458" s="123" t="s">
        <v>176</v>
      </c>
      <c r="H1458" s="124" t="s">
        <v>175</v>
      </c>
      <c r="I1458" s="122" t="s">
        <v>177</v>
      </c>
      <c r="J1458" s="125" t="s">
        <v>178</v>
      </c>
      <c r="K1458" s="126" t="s">
        <v>179</v>
      </c>
      <c r="L1458" s="56"/>
      <c r="M1458" s="56"/>
      <c r="N1458" s="65"/>
      <c r="O1458" s="417"/>
      <c r="P1458" s="121" t="s">
        <v>174</v>
      </c>
      <c r="Q1458" s="410" t="s">
        <v>173</v>
      </c>
      <c r="R1458" s="410"/>
      <c r="S1458" s="123" t="s">
        <v>176</v>
      </c>
      <c r="T1458" s="124" t="s">
        <v>175</v>
      </c>
      <c r="U1458" s="122" t="s">
        <v>177</v>
      </c>
      <c r="V1458" s="125" t="s">
        <v>178</v>
      </c>
      <c r="W1458" s="126" t="s">
        <v>179</v>
      </c>
      <c r="X1458" s="56"/>
    </row>
    <row r="1459" spans="1:24">
      <c r="A1459" s="56"/>
      <c r="B1459" s="65" t="s">
        <v>5</v>
      </c>
      <c r="C1459" s="418"/>
      <c r="D1459" s="67">
        <f>D1456/C1456</f>
        <v>5.2631578947368418E-2</v>
      </c>
      <c r="E1459" s="413">
        <f>E1456/C1456</f>
        <v>0.42105263157894735</v>
      </c>
      <c r="F1459" s="413"/>
      <c r="G1459" s="78">
        <f>G1456/C1456</f>
        <v>0.26315789473684209</v>
      </c>
      <c r="H1459" s="99">
        <f>H1456/C1456</f>
        <v>5.2631578947368418E-2</v>
      </c>
      <c r="I1459" s="99">
        <f>I1456/C1456</f>
        <v>0.15789473684210525</v>
      </c>
      <c r="J1459" s="99">
        <f>J1456/C1456</f>
        <v>0</v>
      </c>
      <c r="K1459" s="119">
        <f>K1456/C1456</f>
        <v>5.2631578947368418E-2</v>
      </c>
      <c r="L1459" s="56"/>
      <c r="M1459" s="56"/>
      <c r="N1459" s="65" t="s">
        <v>1</v>
      </c>
      <c r="O1459" s="418"/>
      <c r="P1459" s="67">
        <f>P1456/O1456</f>
        <v>0.13636363636363635</v>
      </c>
      <c r="Q1459" s="413">
        <f>Q1456/O1456</f>
        <v>0.59090909090909094</v>
      </c>
      <c r="R1459" s="413"/>
      <c r="S1459" s="78">
        <f>S1456/O1456</f>
        <v>0.13636363636363635</v>
      </c>
      <c r="T1459" s="99">
        <f>T1456/O1456</f>
        <v>4.5454545454545456E-2</v>
      </c>
      <c r="U1459" s="99">
        <f>U1456/O1456</f>
        <v>4.5454545454545456E-2</v>
      </c>
      <c r="V1459" s="99">
        <f>V1456/O1456</f>
        <v>0</v>
      </c>
      <c r="W1459" s="119">
        <f>W1456/O1456</f>
        <v>4.5454545454545456E-2</v>
      </c>
      <c r="X1459" s="56"/>
    </row>
    <row r="1460" spans="1:24">
      <c r="A1460" s="56"/>
      <c r="B1460" s="56"/>
      <c r="C1460" s="56"/>
      <c r="D1460" s="56"/>
      <c r="E1460" s="56"/>
      <c r="F1460" s="56"/>
      <c r="G1460" s="56"/>
      <c r="H1460" s="56"/>
      <c r="I1460" s="56"/>
      <c r="J1460" s="56"/>
      <c r="K1460" s="56"/>
      <c r="L1460" s="56"/>
      <c r="M1460" s="56"/>
      <c r="N1460" s="56"/>
      <c r="O1460" s="56"/>
      <c r="P1460" s="56"/>
      <c r="Q1460" s="56"/>
      <c r="R1460" s="56"/>
      <c r="S1460" s="56"/>
      <c r="T1460" s="56"/>
      <c r="U1460" s="56"/>
      <c r="V1460" s="56"/>
      <c r="W1460" s="56"/>
      <c r="X1460" s="56"/>
    </row>
    <row r="1461" spans="1:24">
      <c r="A1461" s="56"/>
      <c r="B1461" s="56"/>
      <c r="C1461" s="56"/>
      <c r="D1461" s="56"/>
      <c r="E1461" s="56"/>
      <c r="F1461" s="56"/>
      <c r="G1461" s="56"/>
      <c r="H1461" s="56"/>
      <c r="I1461" s="56"/>
      <c r="J1461" s="56"/>
      <c r="K1461" s="56"/>
      <c r="L1461" s="56"/>
      <c r="M1461" s="56"/>
      <c r="N1461" s="56"/>
      <c r="O1461" s="56"/>
      <c r="P1461" s="56"/>
      <c r="Q1461" s="56"/>
      <c r="R1461" s="56"/>
      <c r="S1461" s="56"/>
      <c r="T1461" s="56"/>
      <c r="U1461" s="56"/>
      <c r="V1461" s="56"/>
      <c r="W1461" s="56"/>
      <c r="X1461" s="56"/>
    </row>
    <row r="1462" spans="1:24">
      <c r="A1462" s="56"/>
      <c r="B1462" s="56"/>
      <c r="C1462" s="56"/>
      <c r="D1462" s="56"/>
      <c r="E1462" s="56"/>
      <c r="F1462" s="56"/>
      <c r="G1462" s="56"/>
      <c r="H1462" s="56"/>
      <c r="I1462" s="56"/>
      <c r="J1462" s="56"/>
      <c r="K1462" s="56"/>
      <c r="L1462" s="56"/>
      <c r="M1462" s="56"/>
      <c r="N1462" s="56"/>
      <c r="O1462" s="56"/>
      <c r="P1462" s="56"/>
      <c r="Q1462" s="56"/>
      <c r="R1462" s="56"/>
      <c r="S1462" s="56"/>
      <c r="T1462" s="56"/>
      <c r="U1462" s="56"/>
      <c r="V1462" s="56"/>
      <c r="W1462" s="56"/>
      <c r="X1462" s="56"/>
    </row>
    <row r="1463" spans="1:24">
      <c r="A1463" s="56"/>
      <c r="B1463" s="56"/>
      <c r="C1463" s="56"/>
      <c r="D1463" s="56"/>
      <c r="E1463" s="56"/>
      <c r="F1463" s="56"/>
      <c r="G1463" s="56"/>
      <c r="H1463" s="56"/>
      <c r="I1463" s="56"/>
      <c r="J1463" s="56"/>
      <c r="K1463" s="56"/>
      <c r="L1463" s="56"/>
      <c r="M1463" s="56"/>
      <c r="N1463" s="56"/>
      <c r="O1463" s="56"/>
      <c r="P1463" s="56"/>
      <c r="Q1463" s="56"/>
      <c r="R1463" s="56"/>
      <c r="S1463" s="56"/>
      <c r="T1463" s="56"/>
      <c r="U1463" s="56"/>
      <c r="V1463" s="56"/>
      <c r="W1463" s="56"/>
      <c r="X1463" s="56"/>
    </row>
    <row r="1464" spans="1:24">
      <c r="A1464" s="56"/>
      <c r="B1464" s="56"/>
      <c r="C1464" s="56"/>
      <c r="D1464" s="56"/>
      <c r="E1464" s="56"/>
      <c r="F1464" s="56"/>
      <c r="G1464" s="56"/>
      <c r="H1464" s="56"/>
      <c r="I1464" s="56"/>
      <c r="J1464" s="56"/>
      <c r="K1464" s="56"/>
      <c r="L1464" s="56"/>
      <c r="M1464" s="56"/>
      <c r="N1464" s="56"/>
      <c r="O1464" s="56"/>
      <c r="P1464" s="56"/>
      <c r="Q1464" s="56"/>
      <c r="R1464" s="56"/>
      <c r="S1464" s="56"/>
      <c r="T1464" s="56"/>
      <c r="U1464" s="56"/>
      <c r="V1464" s="56"/>
      <c r="W1464" s="56"/>
      <c r="X1464" s="56"/>
    </row>
    <row r="1465" spans="1:24">
      <c r="A1465" s="56"/>
      <c r="B1465" s="56"/>
      <c r="C1465" s="56"/>
      <c r="D1465" s="56"/>
      <c r="E1465" s="56"/>
      <c r="F1465" s="56"/>
      <c r="G1465" s="56"/>
      <c r="H1465" s="56"/>
      <c r="I1465" s="56"/>
      <c r="J1465" s="56"/>
      <c r="K1465" s="56"/>
      <c r="L1465" s="56"/>
      <c r="M1465" s="56"/>
      <c r="N1465" s="56"/>
      <c r="O1465" s="56"/>
      <c r="P1465" s="56"/>
      <c r="Q1465" s="56"/>
      <c r="R1465" s="56"/>
      <c r="S1465" s="56"/>
      <c r="T1465" s="56"/>
      <c r="U1465" s="56"/>
      <c r="V1465" s="56"/>
      <c r="W1465" s="56"/>
      <c r="X1465" s="56"/>
    </row>
    <row r="1466" spans="1:24">
      <c r="A1466" s="56"/>
      <c r="B1466" s="56"/>
      <c r="C1466" s="56"/>
      <c r="D1466" s="56"/>
      <c r="E1466" s="56"/>
      <c r="F1466" s="56"/>
      <c r="G1466" s="56"/>
      <c r="H1466" s="56"/>
      <c r="I1466" s="56"/>
      <c r="J1466" s="56"/>
      <c r="K1466" s="56"/>
      <c r="L1466" s="56"/>
      <c r="M1466" s="56"/>
      <c r="N1466" s="56"/>
      <c r="O1466" s="56"/>
      <c r="P1466" s="56"/>
      <c r="Q1466" s="56"/>
      <c r="R1466" s="56"/>
      <c r="S1466" s="56"/>
      <c r="T1466" s="56"/>
      <c r="U1466" s="56"/>
      <c r="V1466" s="56"/>
      <c r="W1466" s="56"/>
      <c r="X1466" s="56"/>
    </row>
    <row r="1467" spans="1:24">
      <c r="A1467" s="56"/>
      <c r="B1467" s="56"/>
      <c r="C1467" s="56"/>
      <c r="D1467" s="56"/>
      <c r="E1467" s="56"/>
      <c r="F1467" s="56"/>
      <c r="G1467" s="56"/>
      <c r="H1467" s="56"/>
      <c r="I1467" s="56"/>
      <c r="J1467" s="56"/>
      <c r="K1467" s="56"/>
      <c r="L1467" s="56"/>
      <c r="M1467" s="56"/>
      <c r="N1467" s="56"/>
      <c r="O1467" s="56"/>
      <c r="P1467" s="56"/>
      <c r="Q1467" s="56"/>
      <c r="R1467" s="56"/>
      <c r="S1467" s="56"/>
      <c r="T1467" s="56"/>
      <c r="U1467" s="56"/>
      <c r="V1467" s="56"/>
      <c r="W1467" s="56"/>
      <c r="X1467" s="56"/>
    </row>
    <row r="1468" spans="1:24">
      <c r="A1468" s="56"/>
      <c r="B1468" s="56"/>
      <c r="C1468" s="56"/>
      <c r="D1468" s="56"/>
      <c r="E1468" s="56"/>
      <c r="F1468" s="56"/>
      <c r="G1468" s="56"/>
      <c r="H1468" s="56"/>
      <c r="I1468" s="56"/>
      <c r="J1468" s="56"/>
      <c r="K1468" s="56"/>
      <c r="L1468" s="56"/>
      <c r="M1468" s="56"/>
      <c r="N1468" s="56"/>
      <c r="O1468" s="56"/>
      <c r="P1468" s="56"/>
      <c r="Q1468" s="56"/>
      <c r="R1468" s="56"/>
      <c r="S1468" s="56"/>
      <c r="T1468" s="56"/>
      <c r="U1468" s="56"/>
      <c r="V1468" s="56"/>
      <c r="W1468" s="56"/>
      <c r="X1468" s="56"/>
    </row>
    <row r="1469" spans="1:24">
      <c r="A1469" s="56"/>
      <c r="B1469" s="56"/>
      <c r="C1469" s="56"/>
      <c r="D1469" s="56"/>
      <c r="E1469" s="56"/>
      <c r="F1469" s="56"/>
      <c r="G1469" s="56"/>
      <c r="H1469" s="56"/>
      <c r="I1469" s="56"/>
      <c r="J1469" s="56"/>
      <c r="K1469" s="56"/>
      <c r="L1469" s="56"/>
      <c r="M1469" s="56"/>
      <c r="N1469" s="56"/>
      <c r="O1469" s="56"/>
      <c r="P1469" s="56"/>
      <c r="Q1469" s="56"/>
      <c r="R1469" s="56"/>
      <c r="S1469" s="56"/>
      <c r="T1469" s="56"/>
      <c r="U1469" s="56"/>
      <c r="V1469" s="56"/>
      <c r="W1469" s="56"/>
      <c r="X1469" s="56"/>
    </row>
    <row r="1470" spans="1:24">
      <c r="A1470" s="56"/>
      <c r="B1470" s="56"/>
      <c r="C1470" s="56"/>
      <c r="D1470" s="56"/>
      <c r="E1470" s="56"/>
      <c r="F1470" s="56"/>
      <c r="G1470" s="56"/>
      <c r="H1470" s="56"/>
      <c r="I1470" s="56"/>
      <c r="J1470" s="56"/>
      <c r="K1470" s="56"/>
      <c r="L1470" s="56"/>
      <c r="M1470" s="56"/>
      <c r="N1470" s="56"/>
      <c r="O1470" s="56"/>
      <c r="P1470" s="56"/>
      <c r="Q1470" s="56"/>
      <c r="R1470" s="56"/>
      <c r="S1470" s="56"/>
      <c r="T1470" s="56"/>
      <c r="U1470" s="56"/>
      <c r="V1470" s="56"/>
      <c r="W1470" s="56"/>
      <c r="X1470" s="56"/>
    </row>
  </sheetData>
  <mergeCells count="423">
    <mergeCell ref="B1384:I1384"/>
    <mergeCell ref="N1384:U1384"/>
    <mergeCell ref="B1404:I1404"/>
    <mergeCell ref="N1404:U1404"/>
    <mergeCell ref="H1290:I1290"/>
    <mergeCell ref="T1288:U1288"/>
    <mergeCell ref="O1290:O1291"/>
    <mergeCell ref="E1287:F1287"/>
    <mergeCell ref="H1287:I1287"/>
    <mergeCell ref="Q1287:R1287"/>
    <mergeCell ref="O1355:S1355"/>
    <mergeCell ref="B1355:G1355"/>
    <mergeCell ref="D1338:E1338"/>
    <mergeCell ref="P1338:Q1338"/>
    <mergeCell ref="D1339:E1339"/>
    <mergeCell ref="F1339:G1339"/>
    <mergeCell ref="P1339:Q1339"/>
    <mergeCell ref="R1339:S1339"/>
    <mergeCell ref="O1310:O1311"/>
    <mergeCell ref="C1310:C1311"/>
    <mergeCell ref="O1341:O1342"/>
    <mergeCell ref="C1341:C1342"/>
    <mergeCell ref="Q1308:R1308"/>
    <mergeCell ref="Q1310:R1310"/>
    <mergeCell ref="B1434:I1434"/>
    <mergeCell ref="N1434:U1434"/>
    <mergeCell ref="B1453:I1453"/>
    <mergeCell ref="N1453:U1453"/>
    <mergeCell ref="B1236:I1236"/>
    <mergeCell ref="N1236:U1236"/>
    <mergeCell ref="B1256:I1256"/>
    <mergeCell ref="N1256:U1256"/>
    <mergeCell ref="N1286:U1286"/>
    <mergeCell ref="O1305:R1305"/>
    <mergeCell ref="C1305:F1305"/>
    <mergeCell ref="C1240:C1241"/>
    <mergeCell ref="E1240:F1240"/>
    <mergeCell ref="H1240:I1240"/>
    <mergeCell ref="E1308:F1308"/>
    <mergeCell ref="E1310:F1310"/>
    <mergeCell ref="E1311:F1311"/>
    <mergeCell ref="C1306:F1306"/>
    <mergeCell ref="O1306:R1306"/>
    <mergeCell ref="E1307:F1307"/>
    <mergeCell ref="O1285:R1285"/>
    <mergeCell ref="B1356:I1356"/>
    <mergeCell ref="Q1311:R1311"/>
    <mergeCell ref="Q1290:R1290"/>
    <mergeCell ref="T1290:U1290"/>
    <mergeCell ref="E1291:F1291"/>
    <mergeCell ref="H1291:I1291"/>
    <mergeCell ref="Q1291:R1291"/>
    <mergeCell ref="T1291:U1291"/>
    <mergeCell ref="D1341:E1341"/>
    <mergeCell ref="P1341:Q1341"/>
    <mergeCell ref="B1337:I1337"/>
    <mergeCell ref="N1337:U1337"/>
    <mergeCell ref="R1194:S1194"/>
    <mergeCell ref="D1209:E1209"/>
    <mergeCell ref="F1209:G1209"/>
    <mergeCell ref="H1209:I1209"/>
    <mergeCell ref="P1209:Q1209"/>
    <mergeCell ref="Q1307:R1307"/>
    <mergeCell ref="E1290:F1290"/>
    <mergeCell ref="P1:U1"/>
    <mergeCell ref="C1290:C1291"/>
    <mergeCell ref="T1287:U1287"/>
    <mergeCell ref="E1288:F1288"/>
    <mergeCell ref="H1288:I1288"/>
    <mergeCell ref="Q1288:R1288"/>
    <mergeCell ref="C1235:E1235"/>
    <mergeCell ref="P1193:Q1193"/>
    <mergeCell ref="A1186:L1186"/>
    <mergeCell ref="A346:K346"/>
    <mergeCell ref="M346:X346"/>
    <mergeCell ref="C1285:E1285"/>
    <mergeCell ref="H1213:I1213"/>
    <mergeCell ref="P1213:Q1213"/>
    <mergeCell ref="R1213:S1213"/>
    <mergeCell ref="T1213:U1213"/>
    <mergeCell ref="D1212:E1212"/>
    <mergeCell ref="F1212:G1212"/>
    <mergeCell ref="H1212:I1212"/>
    <mergeCell ref="P1212:Q1212"/>
    <mergeCell ref="R1212:S1212"/>
    <mergeCell ref="B199:K199"/>
    <mergeCell ref="B248:K248"/>
    <mergeCell ref="B537:K537"/>
    <mergeCell ref="C1092:C1093"/>
    <mergeCell ref="O1092:O1093"/>
    <mergeCell ref="C1064:C1065"/>
    <mergeCell ref="O1064:O1065"/>
    <mergeCell ref="O1045:O1046"/>
    <mergeCell ref="C1045:C1046"/>
    <mergeCell ref="E1093:F1093"/>
    <mergeCell ref="H1093:I1093"/>
    <mergeCell ref="D1043:E1043"/>
    <mergeCell ref="F1043:G1043"/>
    <mergeCell ref="M687:W687"/>
    <mergeCell ref="A587:L587"/>
    <mergeCell ref="M587:X587"/>
    <mergeCell ref="B636:K636"/>
    <mergeCell ref="N636:V636"/>
    <mergeCell ref="A687:L687"/>
    <mergeCell ref="A737:L737"/>
    <mergeCell ref="M737:X737"/>
    <mergeCell ref="M199:X199"/>
    <mergeCell ref="M248:X248"/>
    <mergeCell ref="M298:X298"/>
    <mergeCell ref="Q1092:R1092"/>
    <mergeCell ref="T1092:U1092"/>
    <mergeCell ref="Q1093:R1093"/>
    <mergeCell ref="T1093:U1093"/>
    <mergeCell ref="T1089:U1089"/>
    <mergeCell ref="Q1090:R1090"/>
    <mergeCell ref="T1090:U1090"/>
    <mergeCell ref="P1087:Q1087"/>
    <mergeCell ref="Q1089:R1089"/>
    <mergeCell ref="P1043:Q1043"/>
    <mergeCell ref="M537:X537"/>
    <mergeCell ref="O425:T425"/>
    <mergeCell ref="P1065:Q1065"/>
    <mergeCell ref="R1065:S1065"/>
    <mergeCell ref="T1065:U1065"/>
    <mergeCell ref="E1092:F1092"/>
    <mergeCell ref="H1092:I1092"/>
    <mergeCell ref="E1089:F1089"/>
    <mergeCell ref="H1089:I1089"/>
    <mergeCell ref="E1090:F1090"/>
    <mergeCell ref="H1090:I1090"/>
    <mergeCell ref="O1260:O1261"/>
    <mergeCell ref="C1260:C1261"/>
    <mergeCell ref="T1257:U1257"/>
    <mergeCell ref="E1258:F1258"/>
    <mergeCell ref="H1258:I1258"/>
    <mergeCell ref="Q1258:R1258"/>
    <mergeCell ref="T1258:U1258"/>
    <mergeCell ref="E1257:F1257"/>
    <mergeCell ref="H1257:I1257"/>
    <mergeCell ref="Q1257:R1257"/>
    <mergeCell ref="E1260:F1260"/>
    <mergeCell ref="H1260:I1260"/>
    <mergeCell ref="Q1260:R1260"/>
    <mergeCell ref="T1260:U1260"/>
    <mergeCell ref="E1261:F1261"/>
    <mergeCell ref="H1261:I1261"/>
    <mergeCell ref="Q1261:R1261"/>
    <mergeCell ref="T1261:U1261"/>
    <mergeCell ref="T1209:U1209"/>
    <mergeCell ref="C1255:E1255"/>
    <mergeCell ref="T1240:U1240"/>
    <mergeCell ref="E1241:F1241"/>
    <mergeCell ref="H1241:I1241"/>
    <mergeCell ref="Q1241:R1241"/>
    <mergeCell ref="T1241:U1241"/>
    <mergeCell ref="T1237:U1237"/>
    <mergeCell ref="E1238:F1238"/>
    <mergeCell ref="H1238:I1238"/>
    <mergeCell ref="Q1238:R1238"/>
    <mergeCell ref="T1238:U1238"/>
    <mergeCell ref="Q1240:R1240"/>
    <mergeCell ref="E1237:F1237"/>
    <mergeCell ref="H1237:I1237"/>
    <mergeCell ref="Q1237:R1237"/>
    <mergeCell ref="O1240:O1241"/>
    <mergeCell ref="O1255:R1255"/>
    <mergeCell ref="O1235:R1235"/>
    <mergeCell ref="O1212:O1213"/>
    <mergeCell ref="C1212:C1213"/>
    <mergeCell ref="T1212:U1212"/>
    <mergeCell ref="D1213:E1213"/>
    <mergeCell ref="F1213:G1213"/>
    <mergeCell ref="D1210:E1210"/>
    <mergeCell ref="F1210:G1210"/>
    <mergeCell ref="H1210:I1210"/>
    <mergeCell ref="D1193:E1193"/>
    <mergeCell ref="P1191:Q1191"/>
    <mergeCell ref="R1191:S1191"/>
    <mergeCell ref="C1188:E1188"/>
    <mergeCell ref="P1188:R1188"/>
    <mergeCell ref="E1164:F1164"/>
    <mergeCell ref="E1165:F1165"/>
    <mergeCell ref="Q1164:R1164"/>
    <mergeCell ref="Q1165:R1165"/>
    <mergeCell ref="R1209:S1209"/>
    <mergeCell ref="C1207:E1207"/>
    <mergeCell ref="P1207:R1207"/>
    <mergeCell ref="D1194:E1194"/>
    <mergeCell ref="F1194:G1194"/>
    <mergeCell ref="P1194:Q1194"/>
    <mergeCell ref="O1193:O1194"/>
    <mergeCell ref="C1193:C1194"/>
    <mergeCell ref="M1186:X1186"/>
    <mergeCell ref="P1210:Q1210"/>
    <mergeCell ref="R1210:S1210"/>
    <mergeCell ref="T1210:U1210"/>
    <mergeCell ref="D1191:E1191"/>
    <mergeCell ref="F1191:G1191"/>
    <mergeCell ref="P1159:Q1159"/>
    <mergeCell ref="O1160:R1160"/>
    <mergeCell ref="Q1161:R1161"/>
    <mergeCell ref="Q1162:R1162"/>
    <mergeCell ref="D1159:E1159"/>
    <mergeCell ref="C1160:F1160"/>
    <mergeCell ref="E1161:F1161"/>
    <mergeCell ref="Q1140:R1140"/>
    <mergeCell ref="T1140:U1140"/>
    <mergeCell ref="Q1142:R1142"/>
    <mergeCell ref="T1142:U1142"/>
    <mergeCell ref="E1142:F1142"/>
    <mergeCell ref="H1142:I1142"/>
    <mergeCell ref="E1143:F1143"/>
    <mergeCell ref="E1162:F1162"/>
    <mergeCell ref="D1190:E1190"/>
    <mergeCell ref="P1190:Q1190"/>
    <mergeCell ref="E1114:F1114"/>
    <mergeCell ref="H1114:I1114"/>
    <mergeCell ref="E1115:F1115"/>
    <mergeCell ref="H1115:I1115"/>
    <mergeCell ref="Q1114:R1114"/>
    <mergeCell ref="T1114:U1114"/>
    <mergeCell ref="Q1115:R1115"/>
    <mergeCell ref="T1115:U1115"/>
    <mergeCell ref="T1139:U1139"/>
    <mergeCell ref="C1114:C1115"/>
    <mergeCell ref="O1114:O1115"/>
    <mergeCell ref="O1142:O1143"/>
    <mergeCell ref="C1142:C1143"/>
    <mergeCell ref="P1109:Q1109"/>
    <mergeCell ref="D1109:E1109"/>
    <mergeCell ref="E1111:F1111"/>
    <mergeCell ref="H1111:I1111"/>
    <mergeCell ref="E1112:F1112"/>
    <mergeCell ref="H1112:I1112"/>
    <mergeCell ref="Q1112:R1112"/>
    <mergeCell ref="B1110:H1110"/>
    <mergeCell ref="N1110:T1110"/>
    <mergeCell ref="Q1139:R1139"/>
    <mergeCell ref="Q1143:R1143"/>
    <mergeCell ref="E1139:F1139"/>
    <mergeCell ref="H1139:I1139"/>
    <mergeCell ref="E1140:F1140"/>
    <mergeCell ref="H1140:I1140"/>
    <mergeCell ref="Q1111:R1111"/>
    <mergeCell ref="T1111:U1111"/>
    <mergeCell ref="H1143:I1143"/>
    <mergeCell ref="T1112:U1112"/>
    <mergeCell ref="T1143:U1143"/>
    <mergeCell ref="D1064:E1064"/>
    <mergeCell ref="F1064:G1064"/>
    <mergeCell ref="H1064:I1064"/>
    <mergeCell ref="D1065:E1065"/>
    <mergeCell ref="F1065:G1065"/>
    <mergeCell ref="H1065:I1065"/>
    <mergeCell ref="B1088:H1088"/>
    <mergeCell ref="N1088:S1088"/>
    <mergeCell ref="T1061:U1061"/>
    <mergeCell ref="P1062:Q1062"/>
    <mergeCell ref="R1062:S1062"/>
    <mergeCell ref="T1062:U1062"/>
    <mergeCell ref="D1087:E1087"/>
    <mergeCell ref="P1064:Q1064"/>
    <mergeCell ref="R1064:S1064"/>
    <mergeCell ref="T1064:U1064"/>
    <mergeCell ref="D1045:E1045"/>
    <mergeCell ref="D1046:E1046"/>
    <mergeCell ref="F1046:G1046"/>
    <mergeCell ref="P1045:Q1045"/>
    <mergeCell ref="P1046:Q1046"/>
    <mergeCell ref="R1046:S1046"/>
    <mergeCell ref="D1061:E1061"/>
    <mergeCell ref="D1062:E1062"/>
    <mergeCell ref="F1062:G1062"/>
    <mergeCell ref="F1061:G1061"/>
    <mergeCell ref="H1061:I1061"/>
    <mergeCell ref="H1062:I1062"/>
    <mergeCell ref="P1061:Q1061"/>
    <mergeCell ref="R1061:S1061"/>
    <mergeCell ref="A1038:L1038"/>
    <mergeCell ref="M1038:X1038"/>
    <mergeCell ref="D1042:E1042"/>
    <mergeCell ref="N788:V788"/>
    <mergeCell ref="R1043:S1043"/>
    <mergeCell ref="M887:X887"/>
    <mergeCell ref="A936:K936"/>
    <mergeCell ref="N936:V936"/>
    <mergeCell ref="A987:L987"/>
    <mergeCell ref="M987:X987"/>
    <mergeCell ref="B788:K788"/>
    <mergeCell ref="A838:L838"/>
    <mergeCell ref="M838:X838"/>
    <mergeCell ref="A887:L887"/>
    <mergeCell ref="E1:I1"/>
    <mergeCell ref="O23:W23"/>
    <mergeCell ref="A1334:L1334"/>
    <mergeCell ref="M1334:X1334"/>
    <mergeCell ref="B1336:G1336"/>
    <mergeCell ref="O1336:S1336"/>
    <mergeCell ref="B49:J49"/>
    <mergeCell ref="N49:V49"/>
    <mergeCell ref="A3:J3"/>
    <mergeCell ref="N3:W3"/>
    <mergeCell ref="C23:K23"/>
    <mergeCell ref="M99:X99"/>
    <mergeCell ref="A99:L99"/>
    <mergeCell ref="A149:L149"/>
    <mergeCell ref="A440:L440"/>
    <mergeCell ref="M440:X440"/>
    <mergeCell ref="A489:L489"/>
    <mergeCell ref="M489:X489"/>
    <mergeCell ref="B513:K513"/>
    <mergeCell ref="N513:W513"/>
    <mergeCell ref="B392:J392"/>
    <mergeCell ref="N392:V392"/>
    <mergeCell ref="M149:X149"/>
    <mergeCell ref="P1042:Q1042"/>
    <mergeCell ref="D1342:E1342"/>
    <mergeCell ref="F1342:G1342"/>
    <mergeCell ref="P1342:Q1342"/>
    <mergeCell ref="R1342:S1342"/>
    <mergeCell ref="D1357:E1357"/>
    <mergeCell ref="F1357:G1357"/>
    <mergeCell ref="H1357:I1357"/>
    <mergeCell ref="P1357:Q1357"/>
    <mergeCell ref="R1357:S1357"/>
    <mergeCell ref="N1356:U1356"/>
    <mergeCell ref="T1357:U1357"/>
    <mergeCell ref="D1358:E1358"/>
    <mergeCell ref="F1358:G1358"/>
    <mergeCell ref="H1358:I1358"/>
    <mergeCell ref="P1358:Q1358"/>
    <mergeCell ref="R1358:S1358"/>
    <mergeCell ref="T1358:U1358"/>
    <mergeCell ref="B1383:G1383"/>
    <mergeCell ref="O1383:S1383"/>
    <mergeCell ref="D1360:E1360"/>
    <mergeCell ref="F1360:G1360"/>
    <mergeCell ref="H1360:I1360"/>
    <mergeCell ref="P1360:Q1360"/>
    <mergeCell ref="R1360:S1360"/>
    <mergeCell ref="T1360:U1360"/>
    <mergeCell ref="D1361:E1361"/>
    <mergeCell ref="F1361:G1361"/>
    <mergeCell ref="H1361:I1361"/>
    <mergeCell ref="P1361:Q1361"/>
    <mergeCell ref="R1361:S1361"/>
    <mergeCell ref="T1361:U1361"/>
    <mergeCell ref="O1360:O1361"/>
    <mergeCell ref="C1360:C1361"/>
    <mergeCell ref="E1385:F1385"/>
    <mergeCell ref="H1385:I1385"/>
    <mergeCell ref="Q1385:R1385"/>
    <mergeCell ref="T1385:U1385"/>
    <mergeCell ref="E1386:F1386"/>
    <mergeCell ref="H1386:I1386"/>
    <mergeCell ref="Q1386:R1386"/>
    <mergeCell ref="T1386:U1386"/>
    <mergeCell ref="E1388:F1388"/>
    <mergeCell ref="H1388:I1388"/>
    <mergeCell ref="Q1388:R1388"/>
    <mergeCell ref="T1388:U1388"/>
    <mergeCell ref="T1405:U1405"/>
    <mergeCell ref="E1406:F1406"/>
    <mergeCell ref="H1406:I1406"/>
    <mergeCell ref="Q1406:R1406"/>
    <mergeCell ref="T1406:U1406"/>
    <mergeCell ref="T1408:U1408"/>
    <mergeCell ref="E1409:F1409"/>
    <mergeCell ref="H1409:I1409"/>
    <mergeCell ref="Q1409:R1409"/>
    <mergeCell ref="T1409:U1409"/>
    <mergeCell ref="B1403:G1403"/>
    <mergeCell ref="O1403:S1403"/>
    <mergeCell ref="O1388:O1389"/>
    <mergeCell ref="C1388:C1389"/>
    <mergeCell ref="O1433:S1433"/>
    <mergeCell ref="O1408:O1409"/>
    <mergeCell ref="C1408:C1409"/>
    <mergeCell ref="E1405:F1405"/>
    <mergeCell ref="H1405:I1405"/>
    <mergeCell ref="Q1405:R1405"/>
    <mergeCell ref="E1456:F1456"/>
    <mergeCell ref="Q1456:R1456"/>
    <mergeCell ref="E1458:F1458"/>
    <mergeCell ref="Q1458:R1458"/>
    <mergeCell ref="E1459:F1459"/>
    <mergeCell ref="Q1459:R1459"/>
    <mergeCell ref="O1458:O1459"/>
    <mergeCell ref="C1458:C1459"/>
    <mergeCell ref="E1438:F1438"/>
    <mergeCell ref="H1438:I1438"/>
    <mergeCell ref="Q1438:R1438"/>
    <mergeCell ref="E1439:F1439"/>
    <mergeCell ref="H1439:I1439"/>
    <mergeCell ref="Q1439:R1439"/>
    <mergeCell ref="O1438:O1439"/>
    <mergeCell ref="C1438:C1439"/>
    <mergeCell ref="B1454:H1454"/>
    <mergeCell ref="N1454:T1454"/>
    <mergeCell ref="I422:K422"/>
    <mergeCell ref="U422:W422"/>
    <mergeCell ref="A298:K298"/>
    <mergeCell ref="D425:I425"/>
    <mergeCell ref="E1455:F1455"/>
    <mergeCell ref="Q1455:R1455"/>
    <mergeCell ref="T1438:U1438"/>
    <mergeCell ref="T1439:U1439"/>
    <mergeCell ref="E1435:F1435"/>
    <mergeCell ref="H1435:I1435"/>
    <mergeCell ref="Q1435:R1435"/>
    <mergeCell ref="T1435:U1435"/>
    <mergeCell ref="E1436:F1436"/>
    <mergeCell ref="H1436:I1436"/>
    <mergeCell ref="Q1436:R1436"/>
    <mergeCell ref="T1436:U1436"/>
    <mergeCell ref="E1408:F1408"/>
    <mergeCell ref="H1408:I1408"/>
    <mergeCell ref="Q1408:R1408"/>
    <mergeCell ref="B1433:G1433"/>
    <mergeCell ref="E1389:F1389"/>
    <mergeCell ref="H1389:I1389"/>
    <mergeCell ref="Q1389:R1389"/>
    <mergeCell ref="T1389:U1389"/>
  </mergeCells>
  <pageMargins left="0.23622047244094491" right="0.23622047244094491" top="0.74803149606299213" bottom="0.74803149606299213" header="0.31496062992125984" footer="0.31496062992125984"/>
  <pageSetup paperSize="9" scale="95" orientation="portrait" r:id="rId1"/>
  <rowBreaks count="6" manualBreakCount="6">
    <brk id="46" max="23" man="1"/>
    <brk id="96" max="23" man="1"/>
    <brk id="196" max="23" man="1"/>
    <brk id="246" max="23" man="1"/>
    <brk id="488" max="23" man="1"/>
    <brk id="536" max="23" man="1"/>
  </rowBreaks>
  <colBreaks count="1" manualBreakCount="1">
    <brk id="12" max="1427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U14"/>
  <sheetViews>
    <sheetView workbookViewId="0">
      <selection activeCell="I22" sqref="I22"/>
    </sheetView>
  </sheetViews>
  <sheetFormatPr defaultColWidth="8.85546875" defaultRowHeight="15"/>
  <cols>
    <col min="1" max="16384" width="8.85546875" style="115"/>
  </cols>
  <sheetData>
    <row r="1" spans="1:21">
      <c r="A1" s="115" t="s">
        <v>480</v>
      </c>
    </row>
    <row r="3" spans="1:21">
      <c r="C3" s="115" t="s">
        <v>481</v>
      </c>
      <c r="D3" s="115" t="s">
        <v>482</v>
      </c>
      <c r="E3" s="115" t="s">
        <v>483</v>
      </c>
      <c r="F3" s="115" t="s">
        <v>484</v>
      </c>
      <c r="G3" s="115" t="s">
        <v>485</v>
      </c>
      <c r="H3" s="115" t="s">
        <v>486</v>
      </c>
      <c r="I3" s="115" t="s">
        <v>487</v>
      </c>
      <c r="J3" s="115" t="s">
        <v>488</v>
      </c>
      <c r="K3" s="115" t="s">
        <v>489</v>
      </c>
      <c r="L3" s="115" t="s">
        <v>490</v>
      </c>
      <c r="M3" s="115" t="s">
        <v>491</v>
      </c>
      <c r="N3" s="115" t="s">
        <v>492</v>
      </c>
      <c r="O3" s="115" t="s">
        <v>493</v>
      </c>
      <c r="P3" s="115" t="s">
        <v>494</v>
      </c>
      <c r="R3" s="115" t="s">
        <v>481</v>
      </c>
    </row>
    <row r="4" spans="1:21">
      <c r="B4" s="115" t="s">
        <v>499</v>
      </c>
      <c r="C4" s="115">
        <v>307</v>
      </c>
      <c r="D4" s="115">
        <v>315</v>
      </c>
      <c r="E4" s="115">
        <v>294</v>
      </c>
      <c r="F4" s="115">
        <v>300</v>
      </c>
      <c r="G4" s="115">
        <v>309</v>
      </c>
      <c r="H4" s="115">
        <v>309</v>
      </c>
      <c r="I4" s="115">
        <v>306</v>
      </c>
      <c r="J4" s="115">
        <v>121</v>
      </c>
      <c r="K4" s="115">
        <v>327</v>
      </c>
      <c r="L4" s="115">
        <v>294</v>
      </c>
      <c r="M4" s="115">
        <v>272</v>
      </c>
      <c r="N4" s="115">
        <v>296</v>
      </c>
      <c r="O4" s="115">
        <v>306</v>
      </c>
      <c r="P4" s="246">
        <f t="shared" ref="P4:P8" si="0">AVERAGE(C4:O4)</f>
        <v>288.92307692307691</v>
      </c>
      <c r="R4" s="115">
        <v>88</v>
      </c>
    </row>
    <row r="5" spans="1:21">
      <c r="B5" s="115" t="s">
        <v>495</v>
      </c>
      <c r="C5" s="115">
        <v>36</v>
      </c>
      <c r="D5" s="115">
        <v>19</v>
      </c>
      <c r="E5" s="115">
        <v>21</v>
      </c>
      <c r="F5" s="115">
        <v>25</v>
      </c>
      <c r="G5" s="115">
        <v>10</v>
      </c>
      <c r="H5" s="115">
        <v>27</v>
      </c>
      <c r="I5" s="115">
        <v>19</v>
      </c>
      <c r="J5" s="115">
        <v>20</v>
      </c>
      <c r="K5" s="115">
        <v>24</v>
      </c>
      <c r="L5" s="115">
        <v>13</v>
      </c>
      <c r="M5" s="115">
        <v>27</v>
      </c>
      <c r="N5" s="115">
        <v>22</v>
      </c>
      <c r="O5" s="115">
        <v>18</v>
      </c>
      <c r="P5" s="246">
        <f t="shared" si="0"/>
        <v>21.615384615384617</v>
      </c>
      <c r="R5" s="115">
        <v>29</v>
      </c>
    </row>
    <row r="6" spans="1:21">
      <c r="B6" s="115" t="s">
        <v>37</v>
      </c>
      <c r="C6" s="115">
        <v>38</v>
      </c>
      <c r="D6" s="115">
        <v>16</v>
      </c>
      <c r="E6" s="115">
        <v>20</v>
      </c>
      <c r="F6" s="115">
        <v>31</v>
      </c>
      <c r="G6" s="115">
        <v>28</v>
      </c>
      <c r="H6" s="115">
        <v>19</v>
      </c>
      <c r="I6" s="115">
        <v>10</v>
      </c>
      <c r="J6" s="115">
        <v>12</v>
      </c>
      <c r="K6" s="115">
        <v>33</v>
      </c>
      <c r="L6" s="115">
        <v>12</v>
      </c>
      <c r="M6" s="115">
        <v>12</v>
      </c>
      <c r="N6" s="115">
        <v>12</v>
      </c>
      <c r="O6" s="115">
        <v>7</v>
      </c>
      <c r="P6" s="246">
        <f t="shared" si="0"/>
        <v>19.23076923076923</v>
      </c>
      <c r="R6" s="115">
        <v>12</v>
      </c>
    </row>
    <row r="7" spans="1:21">
      <c r="B7" s="115" t="s">
        <v>496</v>
      </c>
      <c r="C7" s="115">
        <v>229</v>
      </c>
      <c r="D7" s="115">
        <v>243</v>
      </c>
      <c r="E7" s="115">
        <v>195</v>
      </c>
      <c r="F7" s="115">
        <v>219</v>
      </c>
      <c r="G7" s="115">
        <v>234</v>
      </c>
      <c r="H7" s="115">
        <v>233</v>
      </c>
      <c r="I7" s="115">
        <v>216</v>
      </c>
      <c r="J7" s="115">
        <v>240</v>
      </c>
      <c r="K7" s="115">
        <v>186</v>
      </c>
      <c r="L7" s="115">
        <v>182</v>
      </c>
      <c r="M7" s="115">
        <v>202</v>
      </c>
      <c r="N7" s="115">
        <v>182</v>
      </c>
      <c r="O7" s="115">
        <v>233</v>
      </c>
      <c r="P7" s="246">
        <f t="shared" si="0"/>
        <v>214.92307692307693</v>
      </c>
      <c r="R7" s="115">
        <v>180</v>
      </c>
      <c r="T7" s="115">
        <v>374880</v>
      </c>
      <c r="U7" s="115">
        <f>T7/60000</f>
        <v>6.2480000000000002</v>
      </c>
    </row>
    <row r="8" spans="1:21">
      <c r="B8" s="115" t="s">
        <v>497</v>
      </c>
      <c r="C8" s="115">
        <v>90</v>
      </c>
      <c r="D8" s="115">
        <v>80</v>
      </c>
      <c r="E8" s="115">
        <v>80</v>
      </c>
      <c r="F8" s="115">
        <v>80</v>
      </c>
      <c r="G8" s="115">
        <v>90</v>
      </c>
      <c r="H8" s="115">
        <v>80</v>
      </c>
      <c r="I8" s="115">
        <v>80</v>
      </c>
      <c r="J8" s="115">
        <v>80</v>
      </c>
      <c r="K8" s="115">
        <v>90</v>
      </c>
      <c r="L8" s="115">
        <v>80</v>
      </c>
      <c r="M8" s="115">
        <v>80</v>
      </c>
      <c r="N8" s="115">
        <v>80</v>
      </c>
      <c r="O8" s="115">
        <v>80</v>
      </c>
      <c r="P8" s="246">
        <f t="shared" si="0"/>
        <v>82.307692307692307</v>
      </c>
      <c r="R8" s="115">
        <v>90</v>
      </c>
    </row>
    <row r="9" spans="1:21">
      <c r="P9" s="264"/>
    </row>
    <row r="10" spans="1:21">
      <c r="C10" s="264">
        <f>C4*0.6</f>
        <v>184.2</v>
      </c>
      <c r="D10" s="264">
        <f t="shared" ref="D10:O10" si="1">D4*0.6</f>
        <v>189</v>
      </c>
      <c r="E10" s="264">
        <f t="shared" si="1"/>
        <v>176.4</v>
      </c>
      <c r="F10" s="264">
        <f t="shared" si="1"/>
        <v>180</v>
      </c>
      <c r="G10" s="264">
        <f t="shared" si="1"/>
        <v>185.4</v>
      </c>
      <c r="H10" s="264">
        <f t="shared" si="1"/>
        <v>185.4</v>
      </c>
      <c r="I10" s="264">
        <f t="shared" si="1"/>
        <v>183.6</v>
      </c>
      <c r="J10" s="264">
        <f t="shared" si="1"/>
        <v>72.599999999999994</v>
      </c>
      <c r="K10" s="264">
        <f t="shared" si="1"/>
        <v>196.2</v>
      </c>
      <c r="L10" s="264">
        <f t="shared" si="1"/>
        <v>176.4</v>
      </c>
      <c r="M10" s="264">
        <f t="shared" si="1"/>
        <v>163.19999999999999</v>
      </c>
      <c r="N10" s="264">
        <f t="shared" si="1"/>
        <v>177.6</v>
      </c>
      <c r="O10" s="264">
        <f t="shared" si="1"/>
        <v>183.6</v>
      </c>
      <c r="P10" s="264"/>
      <c r="R10" s="264">
        <f>R4*0.6</f>
        <v>52.8</v>
      </c>
    </row>
    <row r="11" spans="1:21">
      <c r="C11" s="264">
        <f>C5*1.2</f>
        <v>43.199999999999996</v>
      </c>
      <c r="D11" s="264">
        <f t="shared" ref="D11:O11" si="2">D5*1.2</f>
        <v>22.8</v>
      </c>
      <c r="E11" s="264">
        <f t="shared" si="2"/>
        <v>25.2</v>
      </c>
      <c r="F11" s="264">
        <f t="shared" si="2"/>
        <v>30</v>
      </c>
      <c r="G11" s="264">
        <f t="shared" si="2"/>
        <v>12</v>
      </c>
      <c r="H11" s="264">
        <f t="shared" si="2"/>
        <v>32.4</v>
      </c>
      <c r="I11" s="264">
        <f t="shared" si="2"/>
        <v>22.8</v>
      </c>
      <c r="J11" s="264">
        <f t="shared" si="2"/>
        <v>24</v>
      </c>
      <c r="K11" s="264">
        <f t="shared" si="2"/>
        <v>28.799999999999997</v>
      </c>
      <c r="L11" s="264">
        <f t="shared" si="2"/>
        <v>15.6</v>
      </c>
      <c r="M11" s="264">
        <f t="shared" si="2"/>
        <v>32.4</v>
      </c>
      <c r="N11" s="264">
        <f t="shared" si="2"/>
        <v>26.4</v>
      </c>
      <c r="O11" s="264">
        <f t="shared" si="2"/>
        <v>21.599999999999998</v>
      </c>
      <c r="P11" s="264"/>
      <c r="R11" s="264">
        <f>R5*1.2</f>
        <v>34.799999999999997</v>
      </c>
    </row>
    <row r="12" spans="1:21">
      <c r="C12" s="264">
        <f>C6*0.8</f>
        <v>30.400000000000002</v>
      </c>
      <c r="D12" s="264">
        <f t="shared" ref="D12:O12" si="3">D6*0.8</f>
        <v>12.8</v>
      </c>
      <c r="E12" s="264">
        <f t="shared" si="3"/>
        <v>16</v>
      </c>
      <c r="F12" s="264">
        <f t="shared" si="3"/>
        <v>24.8</v>
      </c>
      <c r="G12" s="264">
        <f t="shared" si="3"/>
        <v>22.400000000000002</v>
      </c>
      <c r="H12" s="264">
        <f t="shared" si="3"/>
        <v>15.200000000000001</v>
      </c>
      <c r="I12" s="264">
        <f t="shared" si="3"/>
        <v>8</v>
      </c>
      <c r="J12" s="264">
        <f t="shared" si="3"/>
        <v>9.6000000000000014</v>
      </c>
      <c r="K12" s="264">
        <f t="shared" si="3"/>
        <v>26.400000000000002</v>
      </c>
      <c r="L12" s="264">
        <f t="shared" si="3"/>
        <v>9.6000000000000014</v>
      </c>
      <c r="M12" s="264">
        <f t="shared" si="3"/>
        <v>9.6000000000000014</v>
      </c>
      <c r="N12" s="264">
        <f t="shared" si="3"/>
        <v>9.6000000000000014</v>
      </c>
      <c r="O12" s="264">
        <f t="shared" si="3"/>
        <v>5.6000000000000005</v>
      </c>
      <c r="P12" s="264"/>
      <c r="R12" s="264">
        <f>R6*0.8</f>
        <v>9.6000000000000014</v>
      </c>
    </row>
    <row r="13" spans="1:21">
      <c r="C13" s="264">
        <f>C7*1.5</f>
        <v>343.5</v>
      </c>
      <c r="D13" s="264">
        <f t="shared" ref="D13:O13" si="4">D7*1.5</f>
        <v>364.5</v>
      </c>
      <c r="E13" s="264">
        <f t="shared" si="4"/>
        <v>292.5</v>
      </c>
      <c r="F13" s="264">
        <f t="shared" si="4"/>
        <v>328.5</v>
      </c>
      <c r="G13" s="264">
        <f t="shared" si="4"/>
        <v>351</v>
      </c>
      <c r="H13" s="264">
        <f t="shared" si="4"/>
        <v>349.5</v>
      </c>
      <c r="I13" s="264">
        <f t="shared" si="4"/>
        <v>324</v>
      </c>
      <c r="J13" s="264">
        <f t="shared" si="4"/>
        <v>360</v>
      </c>
      <c r="K13" s="264">
        <f t="shared" si="4"/>
        <v>279</v>
      </c>
      <c r="L13" s="264">
        <f t="shared" si="4"/>
        <v>273</v>
      </c>
      <c r="M13" s="264">
        <f t="shared" si="4"/>
        <v>303</v>
      </c>
      <c r="N13" s="264">
        <f t="shared" si="4"/>
        <v>273</v>
      </c>
      <c r="O13" s="264">
        <f t="shared" si="4"/>
        <v>349.5</v>
      </c>
      <c r="P13" s="264"/>
      <c r="R13" s="264">
        <f>R7*1.5</f>
        <v>270</v>
      </c>
    </row>
    <row r="14" spans="1:21">
      <c r="C14" s="264">
        <f>(SUM(C10:C11,C13)-C12)/C8</f>
        <v>6.0055555555555555</v>
      </c>
      <c r="D14" s="264">
        <f t="shared" ref="D14:G14" si="5">(SUM(D10:D11,D13)-D12)/D8</f>
        <v>7.0437500000000002</v>
      </c>
      <c r="E14" s="264">
        <f t="shared" si="5"/>
        <v>5.9762500000000003</v>
      </c>
      <c r="F14" s="264">
        <f t="shared" si="5"/>
        <v>6.4212500000000006</v>
      </c>
      <c r="G14" s="264">
        <f t="shared" si="5"/>
        <v>5.8444444444444441</v>
      </c>
      <c r="H14" s="264">
        <f>(SUM(H10:H11,H13)-H12)/H8</f>
        <v>6.9012499999999992</v>
      </c>
      <c r="I14" s="264">
        <f t="shared" ref="I14:J14" si="6">(SUM(I10:I11,I13)-I12)/I8</f>
        <v>6.5299999999999994</v>
      </c>
      <c r="J14" s="264">
        <f t="shared" si="6"/>
        <v>5.5875000000000004</v>
      </c>
      <c r="K14" s="264">
        <f>(SUM(K10:K11,K13)-K12)/K8</f>
        <v>5.3066666666666666</v>
      </c>
      <c r="L14" s="264">
        <f t="shared" ref="L14:M14" si="7">(SUM(L10:L11,L13)-L12)/L8</f>
        <v>5.6924999999999999</v>
      </c>
      <c r="M14" s="264">
        <f t="shared" si="7"/>
        <v>6.1124999999999998</v>
      </c>
      <c r="N14" s="264">
        <f>(SUM(N10:N11,N13)-N12)/N8</f>
        <v>5.8424999999999994</v>
      </c>
      <c r="O14" s="264">
        <f t="shared" ref="O14" si="8">(SUM(O10:O11,O13)-O12)/O8</f>
        <v>6.8637500000000005</v>
      </c>
      <c r="P14" s="264">
        <f>AVERAGE(C14:O14)</f>
        <v>6.1636858974358972</v>
      </c>
      <c r="R14" s="264">
        <f>(SUM(R10:R11,R13)-R12)/R8</f>
        <v>3.8666666666666667</v>
      </c>
    </row>
  </sheetData>
  <conditionalFormatting sqref="C14:O14">
    <cfRule type="cellIs" dxfId="14" priority="7" operator="greaterThan">
      <formula>6.2</formula>
    </cfRule>
    <cfRule type="cellIs" dxfId="13" priority="8" operator="greaterThan">
      <formula>6.3</formula>
    </cfRule>
    <cfRule type="cellIs" dxfId="12" priority="9" operator="greaterThan">
      <formula>6.3</formula>
    </cfRule>
    <cfRule type="cellIs" dxfId="11" priority="10" operator="lessThan">
      <formula>6.3</formula>
    </cfRule>
    <cfRule type="cellIs" dxfId="10" priority="11" operator="greaterThan">
      <formula>$P$14</formula>
    </cfRule>
    <cfRule type="cellIs" dxfId="9" priority="12" operator="lessThan">
      <formula>$P$14</formula>
    </cfRule>
  </conditionalFormatting>
  <conditionalFormatting sqref="R14">
    <cfRule type="cellIs" dxfId="8" priority="1" operator="greaterThan">
      <formula>6.2</formula>
    </cfRule>
    <cfRule type="cellIs" dxfId="7" priority="2" operator="greaterThan">
      <formula>6.3</formula>
    </cfRule>
    <cfRule type="cellIs" dxfId="6" priority="3" operator="greaterThan">
      <formula>6.3</formula>
    </cfRule>
    <cfRule type="cellIs" dxfId="5" priority="4" operator="lessThan">
      <formula>6.3</formula>
    </cfRule>
    <cfRule type="cellIs" dxfId="4" priority="5" operator="greaterThan">
      <formula>$P$14</formula>
    </cfRule>
    <cfRule type="cellIs" dxfId="3" priority="6" operator="lessThan">
      <formula>$P$14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AO72"/>
  <sheetViews>
    <sheetView zoomScale="110" zoomScaleNormal="110" workbookViewId="0">
      <selection sqref="A1:C16"/>
    </sheetView>
  </sheetViews>
  <sheetFormatPr defaultColWidth="8.85546875" defaultRowHeight="15"/>
  <cols>
    <col min="1" max="1" width="12" style="115" customWidth="1"/>
    <col min="2" max="5" width="8.85546875" style="115"/>
    <col min="6" max="6" width="8.85546875" style="115" customWidth="1"/>
    <col min="7" max="16384" width="8.85546875" style="115"/>
  </cols>
  <sheetData>
    <row r="1" spans="1:41" ht="15.75" thickBot="1">
      <c r="A1" s="346" t="s">
        <v>529</v>
      </c>
      <c r="B1" s="346" t="s">
        <v>477</v>
      </c>
      <c r="C1" s="346" t="s">
        <v>2</v>
      </c>
      <c r="AF1" s="429" t="s">
        <v>469</v>
      </c>
      <c r="AG1" s="429"/>
      <c r="AH1" s="429"/>
    </row>
    <row r="2" spans="1:41" ht="21.75" thickBot="1">
      <c r="A2" s="346" t="s">
        <v>520</v>
      </c>
      <c r="B2" s="346" t="s">
        <v>477</v>
      </c>
      <c r="C2" s="346" t="s">
        <v>6</v>
      </c>
      <c r="F2" s="289" t="s">
        <v>473</v>
      </c>
      <c r="G2" s="322"/>
      <c r="H2" s="290" t="s">
        <v>474</v>
      </c>
      <c r="AF2" s="429"/>
      <c r="AG2" s="429"/>
      <c r="AH2" s="429"/>
      <c r="AI2" s="271">
        <f>SUM(Z4:Z12,AC4:AC12,AF4:AF15,AI4:AI12,AL4:AL12)</f>
        <v>0</v>
      </c>
      <c r="AJ2" s="271">
        <f>SUM(AA4:AA12,AD4:AD12,AG4:AG15,AJ4:AJ12,AM4:AM12)</f>
        <v>5</v>
      </c>
      <c r="AK2" s="236"/>
    </row>
    <row r="3" spans="1:41" ht="24" thickBot="1">
      <c r="A3" s="346" t="s">
        <v>503</v>
      </c>
      <c r="B3" s="346" t="s">
        <v>477</v>
      </c>
      <c r="C3" s="346" t="s">
        <v>6</v>
      </c>
      <c r="E3" s="24" t="s">
        <v>475</v>
      </c>
      <c r="F3" s="334">
        <f>SUM(AB4,AB8,AB12,AE4,AE8,AE12,AH4,AH8,AH12,AK4,AK8,AK12,AN4,AN8,AN12,AB21,AB25,AB29,AE21,AE25,AE29,AH21,AH25,AH29,AH33,AK21,AK25,AK29,AN21,AN25,AN29,AB41,AB45,AB49,AE41,AE45,AE49,AH41,AH45,AH49,AH53,AH57,AK41,AK45,AK49,AN41,AN45,AN49,X4,X8)/3</f>
        <v>3.1578947368421054E-2</v>
      </c>
      <c r="G3" s="322"/>
      <c r="H3" s="335">
        <f>SUM(AB6,AB10,AB14,AE6,AE10,AE14,AH6,AH10,AH14,AK6,AK10,AK14,AN6,AN10,AN14,AB23,AB27,AB31,AE23,AE27,AE31,AH23,AH27,AH31,AH35,AK23,AK27,AK31,AN23,AN27,AN31,AB43,AB47,AB51,AE43,AE47,AE51,AH43,AH47,AH51,AH55,AH59,AK43,AK47,AK51,AN43,AN47,AN51,X5,X9)/3</f>
        <v>0.94297745861281268</v>
      </c>
      <c r="W3" s="323" t="s">
        <v>178</v>
      </c>
      <c r="Z3" s="273" t="s">
        <v>311</v>
      </c>
      <c r="AA3" s="273" t="s">
        <v>350</v>
      </c>
      <c r="AB3" s="273" t="s">
        <v>470</v>
      </c>
      <c r="AC3" s="273" t="s">
        <v>311</v>
      </c>
      <c r="AD3" s="273" t="s">
        <v>350</v>
      </c>
      <c r="AE3" s="273" t="s">
        <v>470</v>
      </c>
      <c r="AF3" s="273" t="s">
        <v>311</v>
      </c>
      <c r="AG3" s="273" t="s">
        <v>350</v>
      </c>
      <c r="AH3" s="273" t="s">
        <v>470</v>
      </c>
      <c r="AI3" s="274"/>
      <c r="AJ3" s="274"/>
      <c r="AK3" s="274"/>
      <c r="AL3" s="274"/>
      <c r="AM3" s="274"/>
      <c r="AN3" s="274"/>
    </row>
    <row r="4" spans="1:41">
      <c r="A4" s="346" t="s">
        <v>529</v>
      </c>
      <c r="B4" s="346" t="s">
        <v>477</v>
      </c>
      <c r="C4" s="346" t="s">
        <v>6</v>
      </c>
      <c r="E4" s="115" t="s">
        <v>476</v>
      </c>
      <c r="F4" s="291">
        <f>COUNTIFS(B:B,"GOAL",C:C,"POS")</f>
        <v>0</v>
      </c>
      <c r="G4" s="291"/>
      <c r="H4" s="291">
        <f>COUNTIFS(B:B,"GOAL",C:C,"NEG")</f>
        <v>2</v>
      </c>
      <c r="V4" s="324">
        <f>COUNTIFS(A:A,"Penalt",B:B,"GOAL",C:C,"POS")</f>
        <v>0</v>
      </c>
      <c r="W4" s="324">
        <f>COUNTIFS(A:A,"Penalt",B:B,"GOAL",C:C,"POS")+COUNTIFS(A:A,"Penalt",B:B,"ATTEMPT",C:C,"POS")</f>
        <v>0</v>
      </c>
      <c r="X4" s="325">
        <f>W4*'ATT DATA'!W5</f>
        <v>0</v>
      </c>
      <c r="Z4" s="292">
        <f>COUNTIFS(A:A,"BIGZONE10",B:B,"GOAL",C:C,"POS")</f>
        <v>0</v>
      </c>
      <c r="AA4" s="293">
        <f>COUNTIFS(A:A,"BIGZONE10",B:B,"GOAL",C:C,"POS")+COUNTIFS(A:A,"BIGZONE10",B:B,"ATTEMPT",C:C,"POS")</f>
        <v>1</v>
      </c>
      <c r="AB4" s="294">
        <f>'ATT '!AA4*'ATT DATA'!G5</f>
        <v>0</v>
      </c>
      <c r="AC4" s="292">
        <f>COUNTIFS(A:A,"BIGZONE7",B:B,"GOAL",C:C,"POS")</f>
        <v>0</v>
      </c>
      <c r="AD4" s="293">
        <f>COUNTIFS(A:A,"BIGZONE7",B:B,"GOAL",C:C,"POS")+COUNTIFS(A:A,"BIGZONE7",B:B,"ATTEMPT",C:C,"POS")</f>
        <v>0</v>
      </c>
      <c r="AE4" s="294">
        <f>AD4*'ATT DATA'!J5</f>
        <v>0</v>
      </c>
      <c r="AF4" s="292">
        <f>COUNTIFS(A:A,"BIGZONE1",B:B,"GOAL",C:C,"POS")</f>
        <v>0</v>
      </c>
      <c r="AG4" s="293">
        <f>COUNTIFS(A:A,"BIGZONE1",B:B,"GOAL",C:C,"POS")+COUNTIFS(A:A,"BIGZONE1",B:B,"ATTEMPT",C:C,"POS")</f>
        <v>0</v>
      </c>
      <c r="AH4" s="294">
        <f>AG4*'ATT DATA'!M5</f>
        <v>0</v>
      </c>
      <c r="AI4" s="292">
        <f>COUNTIFS(A:A,"BIGZONE4",B:B,"GOAL",C:C,"POS")</f>
        <v>0</v>
      </c>
      <c r="AJ4" s="293">
        <f>COUNTIFS(A:A,"BIGZONE4",B:B,"GOAL",C:C,"POS")+COUNTIFS(A:A,"BIGZONE4",B:B,"ATTEMPT",C:C,"POS")</f>
        <v>0</v>
      </c>
      <c r="AK4" s="294">
        <f>AJ4*'ATT DATA'!J5</f>
        <v>0</v>
      </c>
      <c r="AL4" s="292">
        <f>COUNTIFS(A:A,"BIGZONE13",B:B,"GOAL",C:C,"POS")</f>
        <v>0</v>
      </c>
      <c r="AM4" s="293">
        <f>COUNTIFS(A:A,"BIGZONE13",B:B,"GOAL",C:C,"POS")+COUNTIFS(A:A,"BIGZONE13",B:B,"ATTEMPT",C:C,"POS")</f>
        <v>0</v>
      </c>
      <c r="AN4" s="295">
        <f>AM4*'ATT DATA'!G5</f>
        <v>0</v>
      </c>
      <c r="AO4" s="260"/>
    </row>
    <row r="5" spans="1:41" ht="15.75" thickBot="1">
      <c r="A5" s="346" t="s">
        <v>503</v>
      </c>
      <c r="B5" s="346" t="s">
        <v>21</v>
      </c>
      <c r="C5" s="346" t="s">
        <v>6</v>
      </c>
      <c r="U5" s="115" t="s">
        <v>141</v>
      </c>
      <c r="V5" s="164">
        <f>COUNTIFS(A:A,"Penalt",B:B,"GOAL",C:C,"NEG")</f>
        <v>0</v>
      </c>
      <c r="W5" s="164">
        <f>COUNTIFS(A:A,"Penalt",B:B,"GOAL",C:C,"NEG")+COUNTIFS(A:A,"Penalt",B:B,"ATTEMPT",C:C,"NEG")</f>
        <v>0</v>
      </c>
      <c r="X5" s="326">
        <f>W5*'ATT DATA'!W5</f>
        <v>0</v>
      </c>
      <c r="Z5" s="296"/>
      <c r="AA5" s="297"/>
      <c r="AB5" s="298"/>
      <c r="AC5" s="296"/>
      <c r="AD5" s="297"/>
      <c r="AE5" s="298"/>
      <c r="AF5" s="296"/>
      <c r="AG5" s="297"/>
      <c r="AH5" s="298"/>
      <c r="AI5" s="296"/>
      <c r="AJ5" s="297"/>
      <c r="AK5" s="298"/>
      <c r="AL5" s="296"/>
      <c r="AM5" s="297"/>
      <c r="AN5" s="299"/>
      <c r="AO5" s="260"/>
    </row>
    <row r="6" spans="1:41" ht="15.75" thickBot="1">
      <c r="A6" s="346" t="s">
        <v>513</v>
      </c>
      <c r="B6" s="346" t="s">
        <v>477</v>
      </c>
      <c r="C6" s="346" t="s">
        <v>6</v>
      </c>
      <c r="Z6" s="300">
        <f>COUNTIFS(A:A,"BIGZONE10",B:B,"GOAL",C:C,"NEG")</f>
        <v>0</v>
      </c>
      <c r="AA6" s="301">
        <f>COUNTIFS(A:A,"BIGZONE10",B:B,"GOAL",C:C,"NEG")+COUNTIFS(A:A,"BIGZONE10",B:B,"ATTEMPT",C:C,"NEG")</f>
        <v>0</v>
      </c>
      <c r="AB6" s="302">
        <f>AA6*'ATT DATA'!G5</f>
        <v>0</v>
      </c>
      <c r="AC6" s="300">
        <f>COUNTIFS(A:A,"BIGZONE7",B:B,"GOAL",C:C,"NEG")</f>
        <v>0</v>
      </c>
      <c r="AD6" s="301">
        <f>COUNTIFS(A:A,"BIGZONE7",B:B,"GOAL",C:C,"NEG")+COUNTIFS(A:A,"BIGZONE7",B:B,"ATTEMPT",C:C,"NEG")</f>
        <v>1</v>
      </c>
      <c r="AE6" s="302">
        <f>AD6*'ATT DATA'!J5</f>
        <v>0.13636363636363635</v>
      </c>
      <c r="AF6" s="300">
        <f>COUNTIFS(A:A,"BIGZONE1",B:B,"GOAL",C:C,"NEG")</f>
        <v>0</v>
      </c>
      <c r="AG6" s="301">
        <f>COUNTIFS(A:A,"BIGZONE1",B:B,"GOAL",C:C,"NEG")+COUNTIFS(A:A,"BIGZONE1",B:B,"ATTEMPT",C:C,"NEG")</f>
        <v>2</v>
      </c>
      <c r="AH6" s="302">
        <f>AG6*'ATT DATA'!M5</f>
        <v>1.1929824561403508</v>
      </c>
      <c r="AI6" s="300">
        <f>COUNTIFS(A:A,"BIGZONE4",B:B,"GOAL",C:C,"NEG")</f>
        <v>0</v>
      </c>
      <c r="AJ6" s="301">
        <f>COUNTIFS(A:A,"BIGZONE4",B:B,"GOAL",C:C,"NEG")+COUNTIFS(A:A,"BIGZONE4",B:B,"ATTEMPT",C:C,"NEG")</f>
        <v>0</v>
      </c>
      <c r="AK6" s="302">
        <f>AJ6*'ATT DATA'!J5</f>
        <v>0</v>
      </c>
      <c r="AL6" s="300">
        <f>COUNTIFS(A:A,"BIGZONE13",B:B,"GOAL",C:C,"NEG")</f>
        <v>0</v>
      </c>
      <c r="AM6" s="301">
        <f>COUNTIFS(A:A,"BIGZONE13",B:B,"GOAL",C:C,"NEG")+COUNTIFS(A:A,"BIGZONE13",B:B,"ATTEMPT",C:C,"NEG")</f>
        <v>0</v>
      </c>
      <c r="AN6" s="303">
        <f>AM6*'ATT DATA'!G5</f>
        <v>0</v>
      </c>
      <c r="AO6" s="260"/>
    </row>
    <row r="7" spans="1:41" ht="16.5" thickBot="1">
      <c r="A7" s="346" t="s">
        <v>728</v>
      </c>
      <c r="B7" s="346" t="s">
        <v>477</v>
      </c>
      <c r="C7" s="346" t="s">
        <v>2</v>
      </c>
      <c r="W7" s="327" t="s">
        <v>529</v>
      </c>
      <c r="Z7" s="304"/>
      <c r="AA7" s="305"/>
      <c r="AB7" s="306"/>
      <c r="AC7" s="304"/>
      <c r="AD7" s="305"/>
      <c r="AE7" s="306"/>
      <c r="AF7" s="304"/>
      <c r="AG7" s="305"/>
      <c r="AH7" s="306"/>
      <c r="AI7" s="304"/>
      <c r="AJ7" s="305"/>
      <c r="AK7" s="306"/>
      <c r="AL7" s="304"/>
      <c r="AM7" s="305"/>
      <c r="AN7" s="307"/>
      <c r="AO7" s="260"/>
    </row>
    <row r="8" spans="1:41">
      <c r="A8" s="346" t="s">
        <v>502</v>
      </c>
      <c r="B8" s="346" t="s">
        <v>477</v>
      </c>
      <c r="C8" s="346" t="s">
        <v>6</v>
      </c>
      <c r="V8" s="324">
        <f>COUNTIFS(A:A,"DFK",B:B,"GOAL",C:C,"POS")</f>
        <v>0</v>
      </c>
      <c r="W8" s="324">
        <f>COUNTIFS(A:A,"DFK",B:B,"GOAL",C:C,"POS")+COUNTIFS(A:A,"DFK",B:B,"ATTEMPT",C:C,"POS")</f>
        <v>1</v>
      </c>
      <c r="X8" s="325">
        <f>W8*'ATT DATA'!W8</f>
        <v>9.4736842105263161E-2</v>
      </c>
      <c r="Z8" s="292">
        <f>COUNTIFS(A:A,"BIGZONE11",B:B,"GOAL",C:C,"POS")</f>
        <v>0</v>
      </c>
      <c r="AA8" s="293">
        <f>COUNTIFS(A:A,"BIGZONE11",B:B,"GOAL",C:C,"POS")+COUNTIFS(A:A,"BIGZONE11",B:B,"ATTEMPT",C:C,"POS")</f>
        <v>1</v>
      </c>
      <c r="AB8" s="294">
        <f>AA8*'ATT DATA'!G8</f>
        <v>0</v>
      </c>
      <c r="AC8" s="292">
        <f>COUNTIFS(A:A,"BIGZONE8",B:B,"GOAL",C:C,"POS")</f>
        <v>0</v>
      </c>
      <c r="AD8" s="293">
        <f>COUNTIFS(A:A,"BIGZONE8",B:B,"GOAL",C:C,"POS")+COUNTIFS(A:A,"BIGZONE8",B:B,"ATTEMPT",C:C,"POS")</f>
        <v>0</v>
      </c>
      <c r="AE8" s="294">
        <f>AD8*'ATT DATA'!J8</f>
        <v>0</v>
      </c>
      <c r="AF8" s="292">
        <f>COUNTIFS(A:A,"BIGZONE2",B:B,"GOAL",C:C,"POS")</f>
        <v>0</v>
      </c>
      <c r="AG8" s="293">
        <f>COUNTIFS(A:A,"BIGZONE2",B:B,"GOAL",C:C,"POS")+COUNTIFS(A:A,"BIGZONE2",B:B,"ATTEMPT",C:C,"POS")</f>
        <v>0</v>
      </c>
      <c r="AH8" s="294">
        <f>AG8*'ATT DATA'!M8</f>
        <v>0</v>
      </c>
      <c r="AI8" s="292">
        <f>COUNTIFS(A:A,"BIGZONE5",B:B,"GOAL",C:C,"POS")</f>
        <v>0</v>
      </c>
      <c r="AJ8" s="293">
        <f>COUNTIFS(A:A,"BIGZONE5",B:B,"GOAL",C:C,"POS")+COUNTIFS(A:A,"BIGZONE5",B:B,"ATTEMPT",C:C,"POS")</f>
        <v>0</v>
      </c>
      <c r="AK8" s="294">
        <f>AJ8*'ATT DATA'!J8</f>
        <v>0</v>
      </c>
      <c r="AL8" s="292">
        <f>COUNTIFS(A:A,"BIGZONE14",B:B,"GOAL",C:C,"POS")</f>
        <v>0</v>
      </c>
      <c r="AM8" s="293">
        <f>COUNTIFS(A:A,"BIGZONE14",B:B,"GOAL",C:C,"POS")+COUNTIFS(A:A,"BIGZONE14",B:B,"ATTEMPT",C:C,"POS")</f>
        <v>0</v>
      </c>
      <c r="AN8" s="295">
        <f>AM8*'ATT DATA'!G8</f>
        <v>0</v>
      </c>
      <c r="AO8" s="260"/>
    </row>
    <row r="9" spans="1:41" ht="15.75" thickBot="1">
      <c r="A9" s="346" t="s">
        <v>729</v>
      </c>
      <c r="B9" s="346" t="s">
        <v>477</v>
      </c>
      <c r="C9" s="346" t="s">
        <v>2</v>
      </c>
      <c r="V9" s="164">
        <f>COUNTIFS(A:A,"DFK",B:B,"GOAL",C:C,"NEG")</f>
        <v>0</v>
      </c>
      <c r="W9" s="164">
        <f>COUNTIFS(A:A,"DFK",B:B,"GOAL",C:C,"NEG")+COUNTIFS(A:A,"DFK",B:B,"ATTEMPT",C:C,"NEG")</f>
        <v>1</v>
      </c>
      <c r="X9" s="326">
        <f>W9*'ATT DATA'!W8</f>
        <v>9.4736842105263161E-2</v>
      </c>
      <c r="Z9" s="308"/>
      <c r="AA9" s="309"/>
      <c r="AB9" s="310"/>
      <c r="AC9" s="308"/>
      <c r="AD9" s="309"/>
      <c r="AE9" s="310"/>
      <c r="AF9" s="308"/>
      <c r="AG9" s="309"/>
      <c r="AH9" s="310"/>
      <c r="AI9" s="308"/>
      <c r="AJ9" s="309"/>
      <c r="AK9" s="310"/>
      <c r="AL9" s="308"/>
      <c r="AM9" s="309"/>
      <c r="AN9" s="311"/>
      <c r="AO9" s="260"/>
    </row>
    <row r="10" spans="1:41">
      <c r="A10" s="346" t="s">
        <v>535</v>
      </c>
      <c r="B10" s="346" t="s">
        <v>477</v>
      </c>
      <c r="C10" s="346" t="s">
        <v>6</v>
      </c>
      <c r="Z10" s="300">
        <f>COUNTIFS(A:A,"BIGZONE11",B:B,"GOAL",C:C,"NEG")</f>
        <v>0</v>
      </c>
      <c r="AA10" s="301">
        <f>COUNTIFS(A:A,"BIGZONE11",B:B,"GOAL",C:C,"NEG")+COUNTIFS(A:A,"BIGZONE11",B:B,"ATTEMPT",C:C,"NEG")</f>
        <v>0</v>
      </c>
      <c r="AB10" s="302">
        <f>AA10*'ATT DATA'!G8</f>
        <v>0</v>
      </c>
      <c r="AC10" s="300">
        <f>COUNTIFS(A:A,"BIGZONE8",B:B,"GOAL",C:C,"NEG")</f>
        <v>0</v>
      </c>
      <c r="AD10" s="301">
        <f>COUNTIFS(A:A,"BIGZONE8",B:B,"GOAL",C:C,"NEG")+COUNTIFS(A:A,"BIGZONE8",B:B,"ATTEMPT",C:C,"NEG")</f>
        <v>0</v>
      </c>
      <c r="AE10" s="302">
        <f>AD10*'ATT DATA'!J8</f>
        <v>0</v>
      </c>
      <c r="AF10" s="300">
        <f>COUNTIFS(A:A,"BIGZONE2",B:B,"GOAL",C:C,"NEG")</f>
        <v>0</v>
      </c>
      <c r="AG10" s="301">
        <f>COUNTIFS(A:A,"BIGZONE2",B:B,"GOAL",C:C,"NEG")+COUNTIFS(A:A,"BIGZONE2",B:B,"ATTEMPT",C:C,"NEG")</f>
        <v>0</v>
      </c>
      <c r="AH10" s="302">
        <f>AG10*'ATT DATA'!M8</f>
        <v>0</v>
      </c>
      <c r="AI10" s="300">
        <f>COUNTIFS(A:A,"BIGZONE5",B:B,"GOAL",C:C,"NEG")</f>
        <v>0</v>
      </c>
      <c r="AJ10" s="301">
        <f>COUNTIFS(A:A,"BIGZONE5",B:B,"GOAL",C:C,"NEG")+COUNTIFS(A:A,"BIGZONE5",B:B,"ATTEMPT",C:C,"NEG")</f>
        <v>0</v>
      </c>
      <c r="AK10" s="302">
        <f>AJ10*'ATT DATA'!J8</f>
        <v>0</v>
      </c>
      <c r="AL10" s="300">
        <f>COUNTIFS(A:A,"BIGZONE14",B:B,"GOAL",C:C,"NEG")</f>
        <v>0</v>
      </c>
      <c r="AM10" s="301">
        <f>COUNTIFS(A:A,"BIGZONE14",B:B,"GOAL",C:C,"NEG")+COUNTIFS(A:A,"BIGZONE14",B:B,"ATTEMPT",C:C,"NEG")</f>
        <v>0</v>
      </c>
      <c r="AN10" s="303">
        <f>AM10*'ATT DATA'!G8</f>
        <v>0</v>
      </c>
      <c r="AO10" s="260"/>
    </row>
    <row r="11" spans="1:41" ht="15.75" thickBot="1">
      <c r="A11" s="346" t="s">
        <v>498</v>
      </c>
      <c r="B11" s="346" t="s">
        <v>477</v>
      </c>
      <c r="C11" s="346" t="s">
        <v>6</v>
      </c>
      <c r="Z11" s="312"/>
      <c r="AA11" s="313"/>
      <c r="AB11" s="314"/>
      <c r="AC11" s="312"/>
      <c r="AD11" s="313"/>
      <c r="AE11" s="314"/>
      <c r="AF11" s="312"/>
      <c r="AG11" s="313"/>
      <c r="AH11" s="314"/>
      <c r="AI11" s="312"/>
      <c r="AJ11" s="313"/>
      <c r="AK11" s="314"/>
      <c r="AL11" s="312"/>
      <c r="AM11" s="313"/>
      <c r="AN11" s="315"/>
      <c r="AO11" s="260"/>
    </row>
    <row r="12" spans="1:41">
      <c r="A12" s="346" t="s">
        <v>501</v>
      </c>
      <c r="B12" s="346" t="s">
        <v>477</v>
      </c>
      <c r="C12" s="346" t="s">
        <v>6</v>
      </c>
      <c r="Z12" s="292">
        <f>COUNTIFS(A:A,"BIGZONE12",B:B,"GOAL",C:C,"POS")</f>
        <v>0</v>
      </c>
      <c r="AA12" s="293">
        <f>COUNTIFS(A:A,"BIGZONE12",B:B,"GOAL",C:C,"POS")+COUNTIFS(A:A,"BIGZONE12",B:B,"ATTEMPT",C:C,"POS")</f>
        <v>0</v>
      </c>
      <c r="AB12" s="294">
        <f>AA12*'ATT DATA'!G11</f>
        <v>0</v>
      </c>
      <c r="AC12" s="292">
        <f>COUNTIFS(A:A,"BIGZONE9",B:B,"GOAL",C:C,"POS")</f>
        <v>0</v>
      </c>
      <c r="AD12" s="293">
        <f>COUNTIFS(A:A,"BIGZONE9",B:B,"GOAL",C:C,"POS")+COUNTIFS(A:A,"BIGZONE9",B:B,"ATTEMPT",C:C,"POS")</f>
        <v>0</v>
      </c>
      <c r="AE12" s="294">
        <f>AD12*'ATT DATA'!J11</f>
        <v>0</v>
      </c>
      <c r="AF12" s="292">
        <f>COUNTIFS(A:A,"BIGZONE3",B:B,"GOAL",C:C,"POS")</f>
        <v>0</v>
      </c>
      <c r="AG12" s="293">
        <f>COUNTIFS(A:A,"BIGZONE3",B:B,"GOAL",C:C,"POS")+COUNTIFS(A:A,"BIGZONE3",B:B,"ATTEMPT",C:C,"POS")</f>
        <v>0</v>
      </c>
      <c r="AH12" s="294">
        <f>AG12*'ATT DATA'!M11</f>
        <v>0</v>
      </c>
      <c r="AI12" s="292">
        <f>COUNTIFS(A:A,"BIGZONE6",B:B,"GOAL",C:C,"POS")</f>
        <v>0</v>
      </c>
      <c r="AJ12" s="293">
        <f>COUNTIFS(A:A,"BIGZONE6",B:B,"GOAL",C:C,"POS")+COUNTIFS(A:A,"BIGZONE6",B:B,"ATTEMPT",C:C,"POS")</f>
        <v>0</v>
      </c>
      <c r="AK12" s="294">
        <f>AJ12*'ATT DATA'!J11</f>
        <v>0</v>
      </c>
      <c r="AL12" s="292">
        <f>COUNTIFS(A:A,"BIGZONE15",B:B,"GOAL",C:C,"POS")</f>
        <v>0</v>
      </c>
      <c r="AM12" s="293">
        <f>COUNTIFS(A:A,"BIGZONE15",B:B,"GOAL",C:C,"POS")+COUNTIFS(A:A,"BIGZONE15",B:B,"ATTEMPT",C:C,"POS")</f>
        <v>0</v>
      </c>
      <c r="AN12" s="295">
        <f>AM12*'ATT DATA'!G11</f>
        <v>0</v>
      </c>
      <c r="AO12" s="260"/>
    </row>
    <row r="13" spans="1:41" ht="15.75" thickBot="1">
      <c r="A13" s="346" t="s">
        <v>513</v>
      </c>
      <c r="B13" s="346" t="s">
        <v>477</v>
      </c>
      <c r="C13" s="346" t="s">
        <v>6</v>
      </c>
      <c r="V13" s="115" t="s">
        <v>141</v>
      </c>
      <c r="Z13" s="308"/>
      <c r="AA13" s="309"/>
      <c r="AB13" s="310"/>
      <c r="AC13" s="308"/>
      <c r="AD13" s="309"/>
      <c r="AE13" s="310"/>
      <c r="AF13" s="308"/>
      <c r="AG13" s="309"/>
      <c r="AH13" s="310"/>
      <c r="AI13" s="308"/>
      <c r="AJ13" s="309"/>
      <c r="AK13" s="310"/>
      <c r="AL13" s="308"/>
      <c r="AM13" s="309"/>
      <c r="AN13" s="311"/>
      <c r="AO13" s="260"/>
    </row>
    <row r="14" spans="1:41">
      <c r="A14" s="346" t="s">
        <v>532</v>
      </c>
      <c r="B14" s="346" t="s">
        <v>21</v>
      </c>
      <c r="C14" s="346" t="s">
        <v>6</v>
      </c>
      <c r="Z14" s="300">
        <f>COUNTIFS(A:A,"BIGZONE12",B:B,"GOAL",C:C,"NEG")</f>
        <v>0</v>
      </c>
      <c r="AA14" s="301">
        <f>COUNTIFS(A:A,"BIGZONE12",B:B,"GOAL",C:C,"NEG")+COUNTIFS(A:A,"BIGZONE12",B:B,"ATTEMPT",C:C,"NEG")</f>
        <v>0</v>
      </c>
      <c r="AB14" s="302">
        <f>AA14*'ATT DATA'!G11</f>
        <v>0</v>
      </c>
      <c r="AC14" s="300">
        <f>COUNTIFS(A:A,"BIGZONE9",B:B,"GOAL",C:C,"NEG")</f>
        <v>0</v>
      </c>
      <c r="AD14" s="301">
        <f>COUNTIFS(A:A,"BIGZONE9",B:B,"GOAL",C:C,"NEG")+COUNTIFS(A:A,"BIGZONE9",B:B,"ATTEMPT",C:C,"NEG")</f>
        <v>0</v>
      </c>
      <c r="AE14" s="302">
        <f>AD14*'ATT DATA'!J11</f>
        <v>0</v>
      </c>
      <c r="AF14" s="300">
        <f>COUNTIFS(A:A,"BIGZONE3",B:B,"GOAL",C:C,"NEG")</f>
        <v>0</v>
      </c>
      <c r="AG14" s="301">
        <f>COUNTIFS(A:A,"BIGZONE3",B:B,"GOAL",C:C,"NEG")+COUNTIFS(A:A,"BIGZONE3",B:B,"ATTEMPT",C:C,"NEG")</f>
        <v>0</v>
      </c>
      <c r="AH14" s="302">
        <f>AG14*'ATT DATA'!M11</f>
        <v>0</v>
      </c>
      <c r="AI14" s="300">
        <f>COUNTIFS(A:A,"BIGZONE6",B:B,"GOAL",C:C,"NEG")</f>
        <v>0</v>
      </c>
      <c r="AJ14" s="301">
        <f>COUNTIFS(A:A,"BIGZONE6",B:B,"GOAL",C:C,"NEG")+COUNTIFS(A:A,"BIGZONE6",B:B,"ATTEMPT",C:C,"NEG")</f>
        <v>0</v>
      </c>
      <c r="AK14" s="302">
        <f>AJ14*'ATT DATA'!J11</f>
        <v>0</v>
      </c>
      <c r="AL14" s="300">
        <f>COUNTIFS(A:A,"BIGZONE15",B:B,"GOAL",C:C,"NEG")</f>
        <v>0</v>
      </c>
      <c r="AM14" s="301">
        <f>COUNTIFS(A:A,"BIGZONE15",B:B,"GOAL",C:C,"NEG")+COUNTIFS(A:A,"BIGZONE15",B:B,"ATTEMPT",C:C,"NEG")</f>
        <v>0</v>
      </c>
      <c r="AN14" s="303">
        <f>AM14*'ATT DATA'!G11</f>
        <v>0</v>
      </c>
      <c r="AO14" s="260"/>
    </row>
    <row r="15" spans="1:41" ht="15.75" thickBot="1">
      <c r="A15" s="346" t="s">
        <v>501</v>
      </c>
      <c r="B15" s="346" t="s">
        <v>477</v>
      </c>
      <c r="C15" s="346" t="s">
        <v>6</v>
      </c>
      <c r="Z15" s="304"/>
      <c r="AA15" s="305"/>
      <c r="AB15" s="306"/>
      <c r="AC15" s="304"/>
      <c r="AD15" s="305"/>
      <c r="AE15" s="306"/>
      <c r="AF15" s="304"/>
      <c r="AG15" s="305"/>
      <c r="AH15" s="306"/>
      <c r="AI15" s="304"/>
      <c r="AJ15" s="305"/>
      <c r="AK15" s="306"/>
      <c r="AL15" s="304"/>
      <c r="AM15" s="305"/>
      <c r="AN15" s="307"/>
      <c r="AO15" s="260"/>
    </row>
    <row r="16" spans="1:41">
      <c r="A16" s="346" t="s">
        <v>510</v>
      </c>
      <c r="B16" s="346" t="s">
        <v>477</v>
      </c>
      <c r="C16" s="346" t="s">
        <v>6</v>
      </c>
      <c r="F16" s="115" t="s">
        <v>469</v>
      </c>
      <c r="G16" s="115" t="s">
        <v>471</v>
      </c>
      <c r="H16" s="115" t="s">
        <v>472</v>
      </c>
      <c r="U16" s="115" t="s">
        <v>141</v>
      </c>
    </row>
    <row r="17" spans="1:40">
      <c r="A17"/>
      <c r="B17"/>
      <c r="C17"/>
      <c r="E17" s="115" t="s">
        <v>2</v>
      </c>
      <c r="F17" s="115">
        <f>SUM(AA4,AD4,AG4,AJ4,AM4,AM8,AJ8,AG8,AD8,AA8,AA12,AD12,AG12,AJ12,AM12,W4)</f>
        <v>2</v>
      </c>
      <c r="G17" s="115">
        <f>SUM(AA21,AD21,AG21,AJ21,AM21,AM25,AJ25,AG25,AD25,AA25,AA29,AD29,AG29,AJ29,AM29,AG33)</f>
        <v>0</v>
      </c>
      <c r="H17" s="115">
        <f>SUM(AA41,AD41,AG41,AJ41,AM41,AM45,AJ45,AG45,AD45,AA45,AA49,AD49,AG49,AJ49,AM49,AG53,AG57,W8)</f>
        <v>1</v>
      </c>
    </row>
    <row r="18" spans="1:40" ht="15.75" thickBot="1">
      <c r="A18"/>
      <c r="B18"/>
      <c r="C18"/>
      <c r="AF18" s="429" t="s">
        <v>471</v>
      </c>
      <c r="AG18" s="429"/>
      <c r="AH18" s="429"/>
    </row>
    <row r="19" spans="1:40" ht="15.75" thickBot="1">
      <c r="A19"/>
      <c r="B19"/>
      <c r="C19"/>
      <c r="E19" s="115" t="s">
        <v>6</v>
      </c>
      <c r="F19" s="115">
        <f>SUM(AA6,AD6,AG6,AJ6,AM6,AM10,AJ10,AG10,AD10,AA10,AA14,AD14,AG14,AJ14,AM14,W5)</f>
        <v>3</v>
      </c>
      <c r="G19" s="115">
        <f t="shared" ref="G19" si="0">SUM(AA23,AD23,AG23,AJ23,AM23,AM27,AJ27,AG27,AD27,AA27,AA31,AD31,AG31,AJ31,AM31,AG35)</f>
        <v>4</v>
      </c>
      <c r="H19" s="115">
        <f>SUM(AA43,AD43,AG43,AJ43,AM43,AM47,AJ47,AG47,AD47,AA47,AA51,AD51,AG51,AJ51,AM51,AG55,AG59,W9)</f>
        <v>6</v>
      </c>
      <c r="AF19" s="429"/>
      <c r="AG19" s="429"/>
      <c r="AH19" s="429"/>
      <c r="AI19" s="271">
        <f>SUM(Z21:Z29,AC21:AC29,AF21:AF32,AI21:AI29,AL21:AL29)</f>
        <v>2</v>
      </c>
      <c r="AJ19" s="271">
        <f>SUM(AA21:AA29,AD21:AD29,AG21:AG32,AJ21:AJ29,AM21:AM29)</f>
        <v>4</v>
      </c>
      <c r="AK19" s="236"/>
    </row>
    <row r="20" spans="1:40" ht="16.5" thickBot="1">
      <c r="A20"/>
      <c r="B20"/>
      <c r="C20"/>
      <c r="Z20" s="273" t="s">
        <v>311</v>
      </c>
      <c r="AA20" s="273" t="s">
        <v>350</v>
      </c>
      <c r="AB20" s="273" t="s">
        <v>470</v>
      </c>
      <c r="AC20" s="273" t="s">
        <v>311</v>
      </c>
      <c r="AD20" s="273" t="s">
        <v>350</v>
      </c>
      <c r="AE20" s="273" t="s">
        <v>470</v>
      </c>
      <c r="AF20" s="273" t="s">
        <v>311</v>
      </c>
      <c r="AG20" s="273" t="s">
        <v>350</v>
      </c>
      <c r="AH20" s="273" t="s">
        <v>470</v>
      </c>
      <c r="AI20" s="274"/>
      <c r="AJ20" s="274"/>
      <c r="AK20" s="274"/>
      <c r="AL20" s="274"/>
      <c r="AM20" s="274"/>
      <c r="AN20" s="274"/>
    </row>
    <row r="21" spans="1:40">
      <c r="A21"/>
      <c r="B21"/>
      <c r="C21"/>
      <c r="Z21" s="292">
        <f>COUNTIFS(A:A,"MIDZONE10",B:B,"GOAL",C:C,"POS")</f>
        <v>0</v>
      </c>
      <c r="AA21" s="293">
        <f>COUNTIFS(A:A,"MIDZONE10",B:B,"GOAL",C:C,"POS")+COUNTIFS(A:A,"MIDZONE10",B:B,"ATTEMPT",C:C,"POS")</f>
        <v>0</v>
      </c>
      <c r="AB21" s="294">
        <f>AA21*'ATT DATA'!G19</f>
        <v>0</v>
      </c>
      <c r="AC21" s="292">
        <f>COUNTIFS(A:A,"MIDZONE7",B:B,"GOAL",C:C,"POS")</f>
        <v>0</v>
      </c>
      <c r="AD21" s="293">
        <f>COUNTIFS(A:A,"MIDZONE7",B:B,"GOAL",C:C,"POS")+COUNTIFS(A:A,"MIDZONE7",B:B,"ATTEMPT",C:C,"POS")</f>
        <v>0</v>
      </c>
      <c r="AE21" s="294">
        <f>AD21*'ATT DATA'!J19</f>
        <v>0</v>
      </c>
      <c r="AF21" s="292">
        <f>COUNTIFS(A:A,"MIDZONE1",B:B,"GOAL",C:C,"POS")</f>
        <v>0</v>
      </c>
      <c r="AG21" s="293">
        <f>COUNTIFS(A:A,"MIDZONE1",B:B,"GOAL",C:C,"POS")+COUNTIFS(A:A,"MIDZONE1",B:B,"ATTEMPT",C:C,"POS")</f>
        <v>0</v>
      </c>
      <c r="AH21" s="294">
        <f>AG21*'ATT DATA'!M19</f>
        <v>0</v>
      </c>
      <c r="AI21" s="292">
        <f>COUNTIFS(A:A,"MIDZONE4",B:B,"GOAL",C:C,"POS")</f>
        <v>0</v>
      </c>
      <c r="AJ21" s="293">
        <f>COUNTIFS(A:A,"MIDZONE4",B:B,"GOAL",C:C,"POS")+COUNTIFS(A:A,"MIDZONE4",B:B,"ATTEMPT",C:C,"POS")</f>
        <v>0</v>
      </c>
      <c r="AK21" s="294">
        <f>AJ21*'ATT DATA'!J19</f>
        <v>0</v>
      </c>
      <c r="AL21" s="292">
        <f>COUNTIFS(A:A,"MIDZONE13",B:B,"GOAL",C:C,"POS")</f>
        <v>0</v>
      </c>
      <c r="AM21" s="293">
        <f>COUNTIFS(A:A,"MIDZONE13",B:B,"GOAL",C:C,"POS")+COUNTIFS(A:A,"MIDZONE13",B:B,"ATTEMPT",C:C,"POS")</f>
        <v>0</v>
      </c>
      <c r="AN21" s="295">
        <f>AM21*'ATT DATA'!G19</f>
        <v>0</v>
      </c>
    </row>
    <row r="22" spans="1:40" ht="15.75" thickBot="1">
      <c r="A22"/>
      <c r="B22"/>
      <c r="C22"/>
      <c r="Z22" s="296"/>
      <c r="AA22" s="297"/>
      <c r="AB22" s="298"/>
      <c r="AC22" s="296"/>
      <c r="AD22" s="297"/>
      <c r="AE22" s="298"/>
      <c r="AF22" s="296"/>
      <c r="AG22" s="297"/>
      <c r="AH22" s="298"/>
      <c r="AI22" s="296"/>
      <c r="AJ22" s="297"/>
      <c r="AK22" s="298"/>
      <c r="AL22" s="296"/>
      <c r="AM22" s="297"/>
      <c r="AN22" s="299"/>
    </row>
    <row r="23" spans="1:40">
      <c r="A23"/>
      <c r="B23"/>
      <c r="C23"/>
      <c r="Z23" s="300">
        <f>COUNTIFS(A:A,"MIDZONE11",B:B,"GOAL",C:C,"NEG")</f>
        <v>0</v>
      </c>
      <c r="AA23" s="301">
        <f>COUNTIFS(A:A,"MIDZONE11",B:B,"GOAL",C:C,"NEG")+COUNTIFS(A:A,"MIDZONE11",B:B,"ATTEMPT",C:C,"NEG")</f>
        <v>0</v>
      </c>
      <c r="AB23" s="302">
        <f>AA23*'ATT DATA'!G19</f>
        <v>0</v>
      </c>
      <c r="AC23" s="300">
        <f>COUNTIFS(A:A,"MIDZONE7",B:B,"GOAL",C:C,"NEG")</f>
        <v>0</v>
      </c>
      <c r="AD23" s="301">
        <f>COUNTIFS(A:A,"MIDZONE7",B:B,"GOAL",C:C,"NEG")+COUNTIFS(A:A,"MIDZONE7",B:B,"ATTEMPT",C:C,"NEG")</f>
        <v>0</v>
      </c>
      <c r="AE23" s="302">
        <f>AD23*'ATT DATA'!J19</f>
        <v>0</v>
      </c>
      <c r="AF23" s="300">
        <f>COUNTIFS(A:A,"MIDZONE1",B:B,"GOAL",C:C,"NEG")</f>
        <v>1</v>
      </c>
      <c r="AG23" s="301">
        <f>COUNTIFS(A:A,"MIDZONE1",B:B,"GOAL",C:C,"NEG")+COUNTIFS(A:A,"MIDZONE1",B:B,"ATTEMPT",C:C,"NEG")</f>
        <v>1</v>
      </c>
      <c r="AH23" s="302">
        <f>AG23*'ATT DATA'!M19</f>
        <v>1</v>
      </c>
      <c r="AI23" s="300">
        <f>COUNTIFS(A:A,"MIDZONE4",B:B,"GOAL",C:C,"NEG")</f>
        <v>0</v>
      </c>
      <c r="AJ23" s="301">
        <f>COUNTIFS(A:A,"MIDZONE4",B:B,"GOAL",C:C,"NEG")+COUNTIFS(A:A,"MIDZONE4",B:B,"ATTEMPT",C:C,"NEG")</f>
        <v>0</v>
      </c>
      <c r="AK23" s="302">
        <f>AJ23*'ATT DATA'!J19</f>
        <v>0</v>
      </c>
      <c r="AL23" s="300">
        <f>COUNTIFS(A:A,"MIDZONE13",B:B,"GOAL",C:C,"NEG")</f>
        <v>0</v>
      </c>
      <c r="AM23" s="301">
        <f>COUNTIFS(A:A,"MIDZONE13",B:B,"GOAL",C:C,"NEG")+COUNTIFS(A:A,"MIDZONE13",B:B,"ATTEMPT",C:C,"NEG")</f>
        <v>0</v>
      </c>
      <c r="AN23" s="303">
        <f>AM23*'ATT DATA'!G19</f>
        <v>0</v>
      </c>
    </row>
    <row r="24" spans="1:40" ht="15.75" thickBot="1">
      <c r="A24"/>
      <c r="B24"/>
      <c r="C24"/>
      <c r="Z24" s="304"/>
      <c r="AA24" s="305"/>
      <c r="AB24" s="306"/>
      <c r="AC24" s="304"/>
      <c r="AD24" s="305"/>
      <c r="AE24" s="306"/>
      <c r="AF24" s="304"/>
      <c r="AG24" s="305"/>
      <c r="AH24" s="306"/>
      <c r="AI24" s="304"/>
      <c r="AJ24" s="305"/>
      <c r="AK24" s="306"/>
      <c r="AL24" s="304"/>
      <c r="AM24" s="305"/>
      <c r="AN24" s="307"/>
    </row>
    <row r="25" spans="1:40">
      <c r="A25"/>
      <c r="B25"/>
      <c r="C25"/>
      <c r="Z25" s="292">
        <f>COUNTIFS(A:A,"MIDZONE11",B:B,"GOAL",C:C,"POS")</f>
        <v>0</v>
      </c>
      <c r="AA25" s="293">
        <f>COUNTIFS(A:A,"MIDZONE11",B:B,"GOAL",C:C,"POS")+COUNTIFS(A:A,"MIDZONE11",B:B,"ATTEMPT",C:C,"POS")</f>
        <v>0</v>
      </c>
      <c r="AB25" s="294">
        <f>AA25*'ATT DATA'!G22</f>
        <v>0</v>
      </c>
      <c r="AC25" s="292">
        <f>COUNTIFS(A:A,"MIDZONE8",B:B,"GOAL",C:C,"POS")</f>
        <v>0</v>
      </c>
      <c r="AD25" s="293">
        <f>COUNTIFS(A:A,"MIDZONE8",B:B,"GOAL",C:C,"POS")+COUNTIFS(A:A,"MIDZONE8",B:B,"ATTEMPT",C:C,"POS")</f>
        <v>0</v>
      </c>
      <c r="AE25" s="294">
        <f>AD25*'ATT DATA'!J22</f>
        <v>0</v>
      </c>
      <c r="AF25" s="292">
        <f>COUNTIFS(A:A,"MIDZONE2",B:B,"GOAL",C:C,"POS")</f>
        <v>0</v>
      </c>
      <c r="AG25" s="293">
        <f>COUNTIFS(A:A,"MIDZONE2",B:B,"GOAL",C:C,"POS")+COUNTIFS(A:A,"MIDZONE2",B:B,"ATTEMPT",C:C,"POS")</f>
        <v>0</v>
      </c>
      <c r="AH25" s="294">
        <f>AG25*'ATT DATA'!M22</f>
        <v>0</v>
      </c>
      <c r="AI25" s="292">
        <f>COUNTIFS(A:A,"MIDZONE5",B:B,"GOAL",C:C,"POS")</f>
        <v>0</v>
      </c>
      <c r="AJ25" s="293">
        <f>COUNTIFS(A:A,"MIDZONE5",B:B,"GOAL",C:C,"POS")+COUNTIFS(A:A,"MIDZONE5",B:B,"ATTEMPT",C:C,"POS")</f>
        <v>0</v>
      </c>
      <c r="AK25" s="294">
        <f>AJ25*'ATT DATA'!J22</f>
        <v>0</v>
      </c>
      <c r="AL25" s="292">
        <f>COUNTIFS(A:A,"MIDZONE14",B:B,"GOAL",C:C,"POS")</f>
        <v>0</v>
      </c>
      <c r="AM25" s="293">
        <f>COUNTIFS(A:A,"MIDZONE14",B:B,"GOAL",C:C,"POS")+COUNTIFS(A:A,"MIDZONE14",B:B,"ATTEMPT",C:C,"POS")</f>
        <v>0</v>
      </c>
      <c r="AN25" s="295">
        <f>AM25*'ATT DATA'!G22</f>
        <v>0</v>
      </c>
    </row>
    <row r="26" spans="1:40" ht="15.75" thickBot="1">
      <c r="A26"/>
      <c r="B26"/>
      <c r="C26"/>
      <c r="Z26" s="308"/>
      <c r="AA26" s="309"/>
      <c r="AB26" s="310"/>
      <c r="AC26" s="308"/>
      <c r="AD26" s="309"/>
      <c r="AE26" s="310"/>
      <c r="AF26" s="308"/>
      <c r="AG26" s="309"/>
      <c r="AH26" s="310"/>
      <c r="AI26" s="308"/>
      <c r="AJ26" s="309"/>
      <c r="AK26" s="310"/>
      <c r="AL26" s="308"/>
      <c r="AM26" s="309"/>
      <c r="AN26" s="311"/>
    </row>
    <row r="27" spans="1:40">
      <c r="A27"/>
      <c r="B27"/>
      <c r="C27"/>
      <c r="Z27" s="300">
        <f>COUNTIFS(A:A,"MIDZONE11",B:B,"GOAL",C:C,"NEG")</f>
        <v>0</v>
      </c>
      <c r="AA27" s="301">
        <f>COUNTIFS(A:A,"MIDZONE11",B:B,"GOAL",C:C,"NEG")+COUNTIFS(A:A,"MIDZONE11",B:B,"ATTEMPT",C:C,"NEG")</f>
        <v>0</v>
      </c>
      <c r="AB27" s="302">
        <f>AA27*'ATT DATA'!G22</f>
        <v>0</v>
      </c>
      <c r="AC27" s="300">
        <f>COUNTIFS(A:A,"MIDZONE8",B:B,"GOAL",C:C,"NEG")</f>
        <v>1</v>
      </c>
      <c r="AD27" s="301">
        <f>COUNTIFS(A:A,"MIDZONE8",B:B,"GOAL",C:C,"NEG")+COUNTIFS(A:A,"MIDZONE8",B:B,"ATTEMPT",C:C,"NEG")</f>
        <v>2</v>
      </c>
      <c r="AE27" s="302">
        <f>AD27*'ATT DATA'!J22</f>
        <v>0.14399999999999999</v>
      </c>
      <c r="AF27" s="300">
        <f>COUNTIFS(A:A,"MIDZONE2",B:B,"GOAL",C:C,"NEG")</f>
        <v>0</v>
      </c>
      <c r="AG27" s="301">
        <f>COUNTIFS(A:A,"MIDZONE2",B:B,"GOAL",C:C,"NEG")+COUNTIFS(A:A,"MIDZONE2",B:B,"ATTEMPT",C:C,"NEG")</f>
        <v>1</v>
      </c>
      <c r="AH27" s="302">
        <f>AG27*'ATT DATA'!M22</f>
        <v>0.16025641025641027</v>
      </c>
      <c r="AI27" s="300">
        <f>COUNTIFS(A:A,"MIDZONE5",B:B,"GOAL",C:C,"NEG")</f>
        <v>0</v>
      </c>
      <c r="AJ27" s="301">
        <f>COUNTIFS(A:A,"MIDZONE5",B:B,"GOAL",C:C,"NEG")+COUNTIFS(A:A,"MIDZONE5",B:B,"ATTEMPT",C:C,"NEG")</f>
        <v>0</v>
      </c>
      <c r="AK27" s="302">
        <f>AJ27*'ATT DATA'!J22</f>
        <v>0</v>
      </c>
      <c r="AL27" s="300">
        <f>COUNTIFS(A:A,"MIDZONE14",B:B,"GOAL",C:C,"NEG")</f>
        <v>0</v>
      </c>
      <c r="AM27" s="301">
        <f>COUNTIFS(A:A,"MIDZONE14",B:B,"GOAL",C:C,"NEG")+COUNTIFS(A:A,"MIDZONE14",B:B,"ATTEMPT",C:C,"NEG")</f>
        <v>0</v>
      </c>
      <c r="AN27" s="303">
        <f>AM27*'ATT DATA'!G22</f>
        <v>0</v>
      </c>
    </row>
    <row r="28" spans="1:40" ht="15.75" thickBot="1">
      <c r="A28"/>
      <c r="B28"/>
      <c r="C28"/>
      <c r="Z28" s="312"/>
      <c r="AA28" s="313"/>
      <c r="AB28" s="314"/>
      <c r="AC28" s="312"/>
      <c r="AD28" s="313"/>
      <c r="AE28" s="314"/>
      <c r="AF28" s="312"/>
      <c r="AG28" s="313"/>
      <c r="AH28" s="314"/>
      <c r="AI28" s="312"/>
      <c r="AJ28" s="313"/>
      <c r="AK28" s="314"/>
      <c r="AL28" s="312"/>
      <c r="AM28" s="313"/>
      <c r="AN28" s="315"/>
    </row>
    <row r="29" spans="1:40">
      <c r="A29"/>
      <c r="B29"/>
      <c r="C29"/>
      <c r="Z29" s="292">
        <f>COUNTIFS(A:A,"MIDZONE12",B:B,"GOAL",C:C,"POS")</f>
        <v>0</v>
      </c>
      <c r="AA29" s="293">
        <f>COUNTIFS(A:A,"MIDZONE12",B:B,"GOAL",C:C,"POS")+COUNTIFS(A:A,"MIDZONE12",B:B,"ATTEMPT",C:C,"POS")</f>
        <v>0</v>
      </c>
      <c r="AB29" s="294">
        <f>AA29*'ATT DATA'!G25</f>
        <v>0</v>
      </c>
      <c r="AC29" s="292">
        <f>COUNTIFS(A:A,"MIDZONE9",B:B,"GOAL",C:C,"POS")</f>
        <v>0</v>
      </c>
      <c r="AD29" s="293">
        <f>COUNTIFS(A:A,"MIDZONE9",B:B,"GOAL",C:C,"POS")+COUNTIFS(A:A,"MIDZONE9",B:B,"ATTEMPT",C:C,"POS")</f>
        <v>0</v>
      </c>
      <c r="AE29" s="294">
        <f>AD29*'ATT DATA'!J25</f>
        <v>0</v>
      </c>
      <c r="AF29" s="292">
        <f>COUNTIFS(A:A,"MIDZONE3",B:B,"GOAL",C:C,"POS")</f>
        <v>0</v>
      </c>
      <c r="AG29" s="293">
        <f>COUNTIFS(A:A,"MIDZONE3",B:B,"GOAL",C:C,"POS")+COUNTIFS(A:A,"MIDZONE3",B:B,"ATTEMPT",C:C,"POS")</f>
        <v>0</v>
      </c>
      <c r="AH29" s="294">
        <f>AG29*'ATT DATA'!M25</f>
        <v>0</v>
      </c>
      <c r="AI29" s="292">
        <f>COUNTIFS(A:A,"MIDZONE6",B:B,"GOAL",C:C,"POS")</f>
        <v>0</v>
      </c>
      <c r="AJ29" s="293">
        <f>COUNTIFS(A:A,"MIDZONE6",B:B,"GOAL",C:C,"POS")+COUNTIFS(A:A,"MIDZONE6",B:B,"ATTEMPT",C:C,"POS")</f>
        <v>0</v>
      </c>
      <c r="AK29" s="294">
        <f>AJ29*'ATT DATA'!J25</f>
        <v>0</v>
      </c>
      <c r="AL29" s="292">
        <f>COUNTIFS(A:A,"MIDZONE15",B:B,"GOAL",C:C,"POS")</f>
        <v>0</v>
      </c>
      <c r="AM29" s="293">
        <f>COUNTIFS(A:A,"MIDZONE15",B:B,"GOAL",C:C,"POS")+COUNTIFS(A:A,"MIDZONE15",B:B,"ATTEMPT",C:C,"POS")</f>
        <v>0</v>
      </c>
      <c r="AN29" s="295">
        <f>AM29*'ATT DATA'!G25</f>
        <v>0</v>
      </c>
    </row>
    <row r="30" spans="1:40" ht="15.75" thickBot="1">
      <c r="A30"/>
      <c r="B30"/>
      <c r="C30"/>
      <c r="Z30" s="308"/>
      <c r="AA30" s="309"/>
      <c r="AB30" s="310"/>
      <c r="AC30" s="308"/>
      <c r="AD30" s="309"/>
      <c r="AE30" s="310"/>
      <c r="AF30" s="308"/>
      <c r="AG30" s="309"/>
      <c r="AH30" s="310"/>
      <c r="AI30" s="308"/>
      <c r="AJ30" s="309"/>
      <c r="AK30" s="310"/>
      <c r="AL30" s="308"/>
      <c r="AM30" s="309"/>
      <c r="AN30" s="311"/>
    </row>
    <row r="31" spans="1:40">
      <c r="A31"/>
      <c r="B31"/>
      <c r="C31"/>
      <c r="Z31" s="300">
        <f>COUNTIFS(A:A,"MIDZONE12",B:B,"GOAL",C:C,"NEG")</f>
        <v>0</v>
      </c>
      <c r="AA31" s="301">
        <f>COUNTIFS(A:A,"MIDZONE12",B:B,"GOAL",C:C,"NEG")+COUNTIFS(A:A,"MIDZONE12",B:B,"ATTEMPT",C:C,"NEG")</f>
        <v>0</v>
      </c>
      <c r="AB31" s="302">
        <f>AA31*'ATT DATA'!G25</f>
        <v>0</v>
      </c>
      <c r="AC31" s="300">
        <f>COUNTIFS(A:A,"MIDZONE9",B:B,"GOAL",C:C,"NEG")</f>
        <v>0</v>
      </c>
      <c r="AD31" s="301">
        <f>COUNTIFS(A:A,"MIDZONE9",B:B,"GOAL",C:C,"NEG")+COUNTIFS(A:A,"MIDZONE9",B:B,"ATTEMPT",C:C,"NEG")</f>
        <v>0</v>
      </c>
      <c r="AE31" s="302">
        <f>AD31*'ATT DATA'!J25</f>
        <v>0</v>
      </c>
      <c r="AF31" s="300">
        <f>COUNTIFS(A:A,"MIDZONE3",B:B,"GOAL",C:C,"NEG")</f>
        <v>0</v>
      </c>
      <c r="AG31" s="301">
        <f>COUNTIFS(A:A,"MIDZONE3",B:B,"GOAL",C:C,"NEG")+COUNTIFS(A:A,"MIDZONE3",B:B,"ATTEMPT",C:C,"NEG")</f>
        <v>0</v>
      </c>
      <c r="AH31" s="302">
        <f>AG31*'ATT DATA'!M25</f>
        <v>0</v>
      </c>
      <c r="AI31" s="300">
        <f>COUNTIFS(A:A,"MIDZONE6",B:B,"GOAL",C:C,"NEG")</f>
        <v>0</v>
      </c>
      <c r="AJ31" s="301">
        <f>COUNTIFS(A:A,"MIDZONE6",B:B,"GOAL",C:C,"NEG")+COUNTIFS(A:A,"MIDZONE6",B:B,"ATTEMPT",C:C,"NEG")</f>
        <v>0</v>
      </c>
      <c r="AK31" s="302">
        <f>AJ31*'ATT DATA'!J25</f>
        <v>0</v>
      </c>
      <c r="AL31" s="300">
        <f>COUNTIFS(A:A,"MIDZONE15",B:B,"GOAL",C:C,"NEG")</f>
        <v>0</v>
      </c>
      <c r="AM31" s="301">
        <f>COUNTIFS(A:A,"MIDZONE15",B:B,"GOAL",C:C,"NEG")+COUNTIFS(A:A,"MIDZONE15",B:B,"ATTEMPT",C:C,"NEG")</f>
        <v>0</v>
      </c>
      <c r="AN31" s="303">
        <f>AM31*'ATT DATA'!G25</f>
        <v>0</v>
      </c>
    </row>
    <row r="32" spans="1:40" ht="15.75" thickBot="1">
      <c r="A32"/>
      <c r="B32"/>
      <c r="C32"/>
      <c r="Z32" s="304"/>
      <c r="AA32" s="305"/>
      <c r="AB32" s="306"/>
      <c r="AC32" s="304"/>
      <c r="AD32" s="305"/>
      <c r="AE32" s="306"/>
      <c r="AF32" s="304"/>
      <c r="AG32" s="305"/>
      <c r="AH32" s="306"/>
      <c r="AI32" s="304"/>
      <c r="AJ32" s="305"/>
      <c r="AK32" s="306"/>
      <c r="AL32" s="304"/>
      <c r="AM32" s="305"/>
      <c r="AN32" s="307"/>
    </row>
    <row r="33" spans="1:40">
      <c r="A33"/>
      <c r="B33"/>
      <c r="C33"/>
      <c r="AF33" s="292">
        <f>COUNTIFS(A:A,"MIDZONE16",B:B,"GOAL",C:C,"POS")</f>
        <v>0</v>
      </c>
      <c r="AG33" s="293">
        <f>COUNTIFS(A:A,"MIDZONE16",B:B,"GOAL",C:C,"POS")+COUNTIFS(A:A,"MIDZONE16",B:B,"ATTEMPT",C:C,"POS")</f>
        <v>0</v>
      </c>
      <c r="AH33" s="295">
        <f>AG33*'ATT DATA'!M28</f>
        <v>0</v>
      </c>
    </row>
    <row r="34" spans="1:40" ht="15.75" thickBot="1">
      <c r="A34"/>
      <c r="B34"/>
      <c r="C34"/>
      <c r="AF34" s="308"/>
      <c r="AG34" s="309"/>
      <c r="AH34" s="311"/>
    </row>
    <row r="35" spans="1:40">
      <c r="A35"/>
      <c r="B35"/>
      <c r="C35"/>
      <c r="AF35" s="300">
        <f>COUNTIFS(A:A,"MIDZONE16",B:B,"GOAL",C:C,"NEG")</f>
        <v>0</v>
      </c>
      <c r="AG35" s="301">
        <f>COUNTIFS(A:A,"MIDZONE16",B:B,"GOAL",C:C,"NEG")+COUNTIFS(A:A,"MIDZONE16",B:B,"ATTEMPT",C:C,"NEG")</f>
        <v>0</v>
      </c>
      <c r="AH35" s="303">
        <f>AG35*'ATT DATA'!M28</f>
        <v>0</v>
      </c>
    </row>
    <row r="36" spans="1:40" ht="15.75" thickBot="1">
      <c r="A36"/>
      <c r="B36"/>
      <c r="C36"/>
      <c r="AF36" s="304"/>
      <c r="AG36" s="305"/>
      <c r="AH36" s="307"/>
    </row>
    <row r="37" spans="1:40">
      <c r="A37"/>
      <c r="B37"/>
      <c r="C37"/>
    </row>
    <row r="38" spans="1:40" ht="15.75" thickBot="1">
      <c r="A38"/>
      <c r="B38"/>
      <c r="C38"/>
      <c r="AF38" s="429" t="s">
        <v>472</v>
      </c>
      <c r="AG38" s="429"/>
      <c r="AH38" s="429"/>
    </row>
    <row r="39" spans="1:40" ht="15.75" thickBot="1">
      <c r="A39"/>
      <c r="B39"/>
      <c r="C39"/>
      <c r="AF39" s="429"/>
      <c r="AG39" s="429"/>
      <c r="AH39" s="429"/>
      <c r="AI39" s="271">
        <f>SUM(Z41:Z49,AC41:AC49,AF41:AF52,AI41:AI49,AL41:AL49)</f>
        <v>0</v>
      </c>
      <c r="AJ39" s="271">
        <f>SUM(AA41:AA49,AD41:AD49,AG41:AG52,AJ41:AJ49,AM41:AM49)</f>
        <v>1</v>
      </c>
      <c r="AK39" s="236"/>
    </row>
    <row r="40" spans="1:40" ht="16.5" thickBot="1">
      <c r="A40"/>
      <c r="B40"/>
      <c r="C40"/>
      <c r="Z40" s="273" t="s">
        <v>311</v>
      </c>
      <c r="AA40" s="273" t="s">
        <v>350</v>
      </c>
      <c r="AB40" s="273" t="s">
        <v>470</v>
      </c>
      <c r="AC40" s="273" t="s">
        <v>311</v>
      </c>
      <c r="AD40" s="273" t="s">
        <v>350</v>
      </c>
      <c r="AE40" s="273" t="s">
        <v>470</v>
      </c>
      <c r="AF40" s="273" t="s">
        <v>311</v>
      </c>
      <c r="AG40" s="273" t="s">
        <v>350</v>
      </c>
      <c r="AH40" s="273" t="s">
        <v>470</v>
      </c>
      <c r="AI40" s="274"/>
      <c r="AJ40" s="274"/>
      <c r="AK40" s="274"/>
      <c r="AL40" s="274"/>
      <c r="AM40" s="274"/>
      <c r="AN40" s="274"/>
    </row>
    <row r="41" spans="1:40">
      <c r="A41"/>
      <c r="B41"/>
      <c r="C41"/>
      <c r="Z41" s="292">
        <f>COUNTIFS(A:A,"SMLZONE10",B:B,"GOAL",C:C,"POS")</f>
        <v>0</v>
      </c>
      <c r="AA41" s="293">
        <f>COUNTIFS(A:A,"SMLZONE10",B:B,"GOAL",C:C,"POS")+COUNTIFS(A:A,"SMLZONE10",B:B,"ATTEMPT",C:C,"POS")</f>
        <v>0</v>
      </c>
      <c r="AB41" s="294">
        <f>AA41*'ATT DATA'!G35</f>
        <v>0</v>
      </c>
      <c r="AC41" s="292">
        <f>COUNTIFS(A:A,"SMLZONE7",B:B,"GOAL",C:C,"POS")</f>
        <v>0</v>
      </c>
      <c r="AD41" s="293">
        <f>COUNTIFS(A:A,"SMLZONE7",B:B,"GOAL",C:C,"POS")+COUNTIFS(A:A,"SMLZONE7",B:B,"ATTEMPT",C:C,"POS")</f>
        <v>0</v>
      </c>
      <c r="AE41" s="294">
        <f>AD41*'ATT DATA'!J35</f>
        <v>0</v>
      </c>
      <c r="AF41" s="292">
        <f>COUNTIFS(A:A,"SMLZONE1",B:B,"GOAL",C:C,"POS")</f>
        <v>0</v>
      </c>
      <c r="AG41" s="293">
        <f>COUNTIFS(A:A,"SMLZONE1",B:B,"GOAL",C:C,"POS")+COUNTIFS(A:A,"SMLZONE1",B:B,"ATTEMPT",C:C,"POS")</f>
        <v>0</v>
      </c>
      <c r="AH41" s="294">
        <f>AG41*'ATT DATA'!M35</f>
        <v>0</v>
      </c>
      <c r="AI41" s="292">
        <f>COUNTIFS(A:A,"SMLZONE4",B:B,"GOAL",C:C,"POS")</f>
        <v>0</v>
      </c>
      <c r="AJ41" s="293">
        <f>COUNTIFS(A:A,"SMLZONE4",B:B,"GOAL",C:C,"POS")+COUNTIFS(A:A,"SMLZONE",B:B,"ATTEMPT",C:C,"POS")</f>
        <v>0</v>
      </c>
      <c r="AK41" s="294">
        <f>AJ41*'ATT DATA'!J35</f>
        <v>0</v>
      </c>
      <c r="AL41" s="292">
        <f>COUNTIFS(A:A,"SMLZONE13",B:B,"GOAL",C:C,"POS")</f>
        <v>0</v>
      </c>
      <c r="AM41" s="293">
        <f>COUNTIFS(A:A,"SMLZONE13",B:B,"GOAL",C:C,"POS")+COUNTIFS(A:A,"SMLZONE13",B:B,"ATTEMPT",C:C,"POS")</f>
        <v>0</v>
      </c>
      <c r="AN41" s="295">
        <f>AM41*'ATT DATA'!G35</f>
        <v>0</v>
      </c>
    </row>
    <row r="42" spans="1:40" ht="15.75" thickBot="1">
      <c r="A42"/>
      <c r="B42"/>
      <c r="C42"/>
      <c r="Z42" s="296"/>
      <c r="AA42" s="297"/>
      <c r="AB42" s="298"/>
      <c r="AC42" s="296"/>
      <c r="AD42" s="297"/>
      <c r="AE42" s="298"/>
      <c r="AF42" s="296"/>
      <c r="AG42" s="297"/>
      <c r="AH42" s="298"/>
      <c r="AI42" s="296"/>
      <c r="AJ42" s="297"/>
      <c r="AK42" s="298"/>
      <c r="AL42" s="296"/>
      <c r="AM42" s="297"/>
      <c r="AN42" s="299"/>
    </row>
    <row r="43" spans="1:40">
      <c r="A43"/>
      <c r="B43"/>
      <c r="C43"/>
      <c r="Z43" s="300">
        <f>COUNTIFS(A:A,"SMLZONE10",B:B,"GOAL",C:C,"NEG")</f>
        <v>0</v>
      </c>
      <c r="AA43" s="301">
        <f>COUNTIFS(A:A,"SMLZONE10",B:B,"GOAL",C:C,"NEG")+COUNTIFS(A:A,"SMLZONE10",B:B,"ATTEMPT",C:C,"NEG")</f>
        <v>0</v>
      </c>
      <c r="AB43" s="302">
        <f>AA43*'ATT DATA'!G35</f>
        <v>0</v>
      </c>
      <c r="AC43" s="300">
        <f>COUNTIFS(A:A,"SMLZONE7",B:B,"GOAL",C:C,"NEG")</f>
        <v>0</v>
      </c>
      <c r="AD43" s="301">
        <f>COUNTIFS(A:A,"SMLZONE7",B:B,"GOAL",C:C,"NEG")+COUNTIFS(A:A,"SMLZONE7",B:B,"ATTEMPT",C:C,"NEG")</f>
        <v>0</v>
      </c>
      <c r="AE43" s="302">
        <f>AD43*'ATT DATA'!J35</f>
        <v>0</v>
      </c>
      <c r="AF43" s="300">
        <f>COUNTIFS(A:A,"SMLZONE1",B:B,"GOAL",C:C,"NEG")</f>
        <v>0</v>
      </c>
      <c r="AG43" s="301">
        <f>COUNTIFS(A:A,"SMLZONE1",B:B,"GOAL",C:C,"NEG")+COUNTIFS(A:A,"SMLZONE1",B:B,"ATTEMPT",C:C,"NEG")</f>
        <v>0</v>
      </c>
      <c r="AH43" s="302">
        <f>AG43*'ATT DATA'!M35</f>
        <v>0</v>
      </c>
      <c r="AI43" s="300">
        <f>COUNTIFS(A:A,"SMLZONE4",B:B,"GOAL",C:C,"NEG")</f>
        <v>0</v>
      </c>
      <c r="AJ43" s="301">
        <f>COUNTIFS(A:A,"SMLZONE4",B:B,"GOAL",C:C,"NEG")+COUNTIFS(A:A,"SMLZONE4",B:B,"ATTEMPT",C:C,"NEG")</f>
        <v>0</v>
      </c>
      <c r="AK43" s="302">
        <f>AJ43*'ATT DATA'!J35</f>
        <v>0</v>
      </c>
      <c r="AL43" s="300">
        <f>COUNTIFS(A:A,"SMLZONE13",B:B,"GOAL",C:C,"NEG")</f>
        <v>0</v>
      </c>
      <c r="AM43" s="301">
        <f>COUNTIFS(A:A,"SMLZONE13",B:B,"GOAL",C:C,"NEG")+COUNTIFS(A:A,"SMLZONE13",B:B,"ATTEMPT",C:C,"NEG")</f>
        <v>0</v>
      </c>
      <c r="AN43" s="303">
        <f>AM43*'ATT DATA'!G35</f>
        <v>0</v>
      </c>
    </row>
    <row r="44" spans="1:40" ht="15.75" thickBot="1">
      <c r="A44"/>
      <c r="B44"/>
      <c r="C44"/>
      <c r="Z44" s="304"/>
      <c r="AA44" s="305"/>
      <c r="AB44" s="306"/>
      <c r="AC44" s="304"/>
      <c r="AD44" s="305"/>
      <c r="AE44" s="306"/>
      <c r="AF44" s="304"/>
      <c r="AG44" s="305"/>
      <c r="AH44" s="306"/>
      <c r="AI44" s="304"/>
      <c r="AJ44" s="305"/>
      <c r="AK44" s="306"/>
      <c r="AL44" s="304"/>
      <c r="AM44" s="305"/>
      <c r="AN44" s="307"/>
    </row>
    <row r="45" spans="1:40">
      <c r="A45"/>
      <c r="B45"/>
      <c r="C45"/>
      <c r="Z45" s="292">
        <f>COUNTIFS(A:A,"SMLZONE11",B:B,"GOAL",C:C,"POS")</f>
        <v>0</v>
      </c>
      <c r="AA45" s="293">
        <f>COUNTIFS(A:A,"SMLZONE11",B:B,"GOAL",C:C,"POS")+COUNTIFS(A:A,"SMLZONE11",B:B,"ATTEMPT",C:C,"POS")</f>
        <v>0</v>
      </c>
      <c r="AB45" s="294">
        <f>AA45*'ATT DATA'!G38</f>
        <v>0</v>
      </c>
      <c r="AC45" s="292">
        <f>COUNTIFS(A:A,"SMLZONE8",B:B,"GOAL",C:C,"POS")</f>
        <v>0</v>
      </c>
      <c r="AD45" s="293">
        <f>COUNTIFS(A:A,"SMLZONE8",B:B,"GOAL",C:C,"POS")+COUNTIFS(A:A,"SMLZONE8",B:B,"ATTEMPT",C:C,"POS")</f>
        <v>0</v>
      </c>
      <c r="AE45" s="294">
        <f>AD45*'ATT DATA'!J38</f>
        <v>0</v>
      </c>
      <c r="AF45" s="292">
        <f>COUNTIFS(A:A,"SMLZONE2",B:B,"GOAL",C:C,"POS")</f>
        <v>0</v>
      </c>
      <c r="AG45" s="293">
        <f>COUNTIFS(A:A,"SMLZONE2",B:B,"GOAL",C:C,"POS")+COUNTIFS(A:A,"SMLZONE2",B:B,"ATTEMPT",C:C,"POS")</f>
        <v>0</v>
      </c>
      <c r="AH45" s="294">
        <f>AG45*'ATT DATA'!M38</f>
        <v>0</v>
      </c>
      <c r="AI45" s="292">
        <f>COUNTIFS(A:A,"SMLZONE5",B:B,"GOAL",C:C,"POS")</f>
        <v>0</v>
      </c>
      <c r="AJ45" s="293">
        <f>COUNTIFS(A:A,"SMLZONE5",B:B,"GOAL",C:C,"POS")+COUNTIFS(A:A,"SMLZONE5",B:B,"ATTEMPT",C:C,"POS")</f>
        <v>0</v>
      </c>
      <c r="AK45" s="294">
        <f>AJ45*'ATT DATA'!J38</f>
        <v>0</v>
      </c>
      <c r="AL45" s="292">
        <f>COUNTIFS(A:A,"SMLZONE14",B:B,"GOAL",C:C,"POS")</f>
        <v>0</v>
      </c>
      <c r="AM45" s="293">
        <f>COUNTIFS(A:A,"SMLZONE14",B:B,"GOAL",C:C,"POS")+COUNTIFS(A:A,"SMLZONE14",B:B,"ATTEMPT",C:C,"POS")</f>
        <v>0</v>
      </c>
      <c r="AN45" s="295">
        <f>AM45*'ATT DATA'!G38</f>
        <v>0</v>
      </c>
    </row>
    <row r="46" spans="1:40" ht="15.75" thickBot="1">
      <c r="A46"/>
      <c r="B46"/>
      <c r="C46"/>
      <c r="Z46" s="308"/>
      <c r="AA46" s="309"/>
      <c r="AB46" s="310"/>
      <c r="AC46" s="308"/>
      <c r="AD46" s="309"/>
      <c r="AE46" s="310"/>
      <c r="AF46" s="308"/>
      <c r="AG46" s="309"/>
      <c r="AH46" s="310"/>
      <c r="AI46" s="308"/>
      <c r="AJ46" s="309"/>
      <c r="AK46" s="310"/>
      <c r="AL46" s="308"/>
      <c r="AM46" s="309"/>
      <c r="AN46" s="311"/>
    </row>
    <row r="47" spans="1:40">
      <c r="A47"/>
      <c r="B47"/>
      <c r="C47"/>
      <c r="Z47" s="300">
        <f>COUNTIFS(A:A,"SMLZONE11",B:B,"GOAL",C:C,"NEG")</f>
        <v>0</v>
      </c>
      <c r="AA47" s="301">
        <f>COUNTIFS(A:A,"SMLZONE11",B:B,"GOAL",C:C,"NEG")+COUNTIFS(A:A,"SMLZONE11",B:B,"ATTEMPT",C:C,"NEG")</f>
        <v>1</v>
      </c>
      <c r="AB47" s="302">
        <f>AA47*'ATT DATA'!G38</f>
        <v>3.7037037037037035E-2</v>
      </c>
      <c r="AC47" s="300">
        <f>COUNTIFS(A:A,"SMLZONE8",B:B,"GOAL",C:C,"NEG")</f>
        <v>0</v>
      </c>
      <c r="AD47" s="301">
        <f>COUNTIFS(A:A,"SMLZONE8",B:B,"GOAL",C:C,"NEG")+COUNTIFS(A:A,"SMLZONE8",B:B,"ATTEMPT",C:C,"NEG")</f>
        <v>0</v>
      </c>
      <c r="AE47" s="302">
        <f>AD47*'ATT DATA'!J38</f>
        <v>0</v>
      </c>
      <c r="AF47" s="300">
        <f>COUNTIFS(A:A,"SMLZONE2",B:B,"GOAL",C:C,"NEG")</f>
        <v>0</v>
      </c>
      <c r="AG47" s="301">
        <f>COUNTIFS(A:A,"SMLZONE2",B:B,"GOAL",C:C,"NEG")+COUNTIFS(A:A,"SMLZONE2",B:B,"ATTEMPT",C:C,"NEG")</f>
        <v>0</v>
      </c>
      <c r="AH47" s="302">
        <f>AG47*'ATT DATA'!M38</f>
        <v>0</v>
      </c>
      <c r="AI47" s="300">
        <f>COUNTIFS(A:A,"SMLZONE5",B:B,"GOAL",C:C,"NEG")</f>
        <v>0</v>
      </c>
      <c r="AJ47" s="301">
        <f>COUNTIFS(A:A,"SMLZONE5",B:B,"GOAL",C:C,"NEG")+COUNTIFS(A:A,"SMLZONE5",B:B,"ATTEMPT",C:C,"NEG")</f>
        <v>0</v>
      </c>
      <c r="AK47" s="302">
        <f>AJ47*'ATT DATA'!J38</f>
        <v>0</v>
      </c>
      <c r="AL47" s="300">
        <f>COUNTIFS(A:A,"SMLZONE14",B:B,"GOAL",C:C,"NEG")</f>
        <v>0</v>
      </c>
      <c r="AM47" s="301">
        <f>COUNTIFS(A:A,"SMLZONE14",B:B,"GOAL",C:C,"NEG")+COUNTIFS(A:A,"SMLZONE14",B:B,"ATTEMPT",C:C,"NEG")</f>
        <v>0</v>
      </c>
      <c r="AN47" s="303">
        <f>AM47*'ATT DATA'!G38</f>
        <v>0</v>
      </c>
    </row>
    <row r="48" spans="1:40" ht="15.75" thickBot="1">
      <c r="A48"/>
      <c r="B48"/>
      <c r="C48"/>
      <c r="Z48" s="312"/>
      <c r="AA48" s="313"/>
      <c r="AB48" s="314"/>
      <c r="AC48" s="312"/>
      <c r="AD48" s="313"/>
      <c r="AE48" s="314"/>
      <c r="AF48" s="312"/>
      <c r="AG48" s="313"/>
      <c r="AH48" s="314"/>
      <c r="AI48" s="312"/>
      <c r="AJ48" s="313"/>
      <c r="AK48" s="314"/>
      <c r="AL48" s="312"/>
      <c r="AM48" s="313"/>
      <c r="AN48" s="315"/>
    </row>
    <row r="49" spans="1:40">
      <c r="A49"/>
      <c r="B49"/>
      <c r="C49"/>
      <c r="Z49" s="292">
        <f>COUNTIFS(A:A,"SMLZONE12",B:B,"GOAL",C:C,"POS")</f>
        <v>0</v>
      </c>
      <c r="AA49" s="293">
        <f>COUNTIFS(A:A,"SMLZONE12",B:B,"GOAL",C:C,"POS")+COUNTIFS(A:A,"SMLZONE12",B:B,"ATTEMPT",C:C,"POS")</f>
        <v>0</v>
      </c>
      <c r="AB49" s="294">
        <f>AA49*'ATT DATA'!G41</f>
        <v>0</v>
      </c>
      <c r="AC49" s="292">
        <f>COUNTIFS(A:A,"SMLZONE9",B:B,"GOAL",C:C,"POS")</f>
        <v>0</v>
      </c>
      <c r="AD49" s="293">
        <f>COUNTIFS(A:A,"SMLZONE9",B:B,"GOAL",C:C,"POS")+COUNTIFS(A:A,"SMLZONE9",B:B,"ATTEMPT",C:C,"POS")</f>
        <v>0</v>
      </c>
      <c r="AE49" s="294">
        <f>AD49*'ATT DATA'!J41</f>
        <v>0</v>
      </c>
      <c r="AF49" s="292">
        <f>COUNTIFS(A:A,"SMLZONE3",B:B,"GOAL",C:C,"POS")</f>
        <v>0</v>
      </c>
      <c r="AG49" s="293">
        <f>COUNTIFS(A:A,"SMLZONE3",B:B,"GOAL",C:C,"POS")+COUNTIFS(A:A,"SMLZONE3",B:B,"ATTEMPT",C:C,"POS")</f>
        <v>0</v>
      </c>
      <c r="AH49" s="294">
        <f>AG49*'ATT DATA'!M41</f>
        <v>0</v>
      </c>
      <c r="AI49" s="292">
        <f>COUNTIFS(A:A,"SMLZONE6",B:B,"GOAL",C:C,"POS")</f>
        <v>0</v>
      </c>
      <c r="AJ49" s="293">
        <f>COUNTIFS(A:A,"SMLZONE6",B:B,"GOAL",C:C,"POS")+COUNTIFS(A:A,"SMLZONE6",B:B,"ATTEMPT",C:C,"POS")</f>
        <v>0</v>
      </c>
      <c r="AK49" s="294">
        <f>AJ49*'ATT DATA'!J41</f>
        <v>0</v>
      </c>
      <c r="AL49" s="292">
        <f>COUNTIFS(A:A,"SMLZONE15",B:B,"GOAL",C:C,"POS")</f>
        <v>0</v>
      </c>
      <c r="AM49" s="293">
        <f>COUNTIFS(A:A,"SMLZONE15",B:B,"GOAL",C:C,"POS")+COUNTIFS(A:A,"SMLZONE15",B:B,"ATTEMPT",C:C,"POS")</f>
        <v>0</v>
      </c>
      <c r="AN49" s="295">
        <f>AM49*'ATT DATA'!G41</f>
        <v>0</v>
      </c>
    </row>
    <row r="50" spans="1:40" ht="15.75" thickBot="1">
      <c r="A50"/>
      <c r="B50"/>
      <c r="C50"/>
      <c r="Z50" s="308"/>
      <c r="AA50" s="309"/>
      <c r="AB50" s="310"/>
      <c r="AC50" s="308"/>
      <c r="AD50" s="309"/>
      <c r="AE50" s="310"/>
      <c r="AF50" s="308"/>
      <c r="AG50" s="309"/>
      <c r="AH50" s="310"/>
      <c r="AI50" s="308"/>
      <c r="AJ50" s="309"/>
      <c r="AK50" s="310"/>
      <c r="AL50" s="308"/>
      <c r="AM50" s="309"/>
      <c r="AN50" s="311"/>
    </row>
    <row r="51" spans="1:40">
      <c r="A51"/>
      <c r="B51"/>
      <c r="C51"/>
      <c r="Z51" s="300">
        <f>COUNTIFS(A:A,"SMLZONE12",B:B,"GOAL",C:C,"NEG")</f>
        <v>0</v>
      </c>
      <c r="AA51" s="301">
        <f>COUNTIFS(A:A,"SMLZONE12",B:B,"GOAL",C:C,"NEG")+COUNTIFS(A:A,"SMLZONE12",B:B,"ATTEMPT",C:C,"NEG")</f>
        <v>2</v>
      </c>
      <c r="AB51" s="302">
        <f>AA51*'ATT DATA'!G41</f>
        <v>2.5316455696202531E-2</v>
      </c>
      <c r="AC51" s="300">
        <f>COUNTIFS(A:A,"SMLZONE9",B:B,"GOAL",C:C,"NEG")</f>
        <v>0</v>
      </c>
      <c r="AD51" s="301">
        <f>COUNTIFS(A:A,"SMLZONE9",B:B,"GOAL",C:C,"NEG")+COUNTIFS(A:A,"SMLZONE9",B:B,"ATTEMPT",C:C,"NEG")</f>
        <v>1</v>
      </c>
      <c r="AE51" s="302">
        <f>AD51*'ATT DATA'!J41</f>
        <v>3.0303030303030304E-2</v>
      </c>
      <c r="AF51" s="300">
        <f>COUNTIFS(A:A,"SMLZONE3",B:B,"GOAL",C:C,"NEG")</f>
        <v>0</v>
      </c>
      <c r="AG51" s="301">
        <f>COUNTIFS(A:A,"SMLZONE3",B:B,"GOAL",C:C,"NEG")+COUNTIFS(A:A,"SMLZONE3",B:B,"ATTEMPT",C:C,"NEG")</f>
        <v>0</v>
      </c>
      <c r="AH51" s="302">
        <f>AG51*'ATT DATA'!M41</f>
        <v>0</v>
      </c>
      <c r="AI51" s="300">
        <f>COUNTIFS(A:A,"SMLZONE6",B:B,"GOAL",C:C,"NEG")</f>
        <v>0</v>
      </c>
      <c r="AJ51" s="301">
        <f>COUNTIFS(A:A,"SMLZONE6",B:B,"GOAL",C:C,"NEG")+COUNTIFS(A:A,"SMLZONE6",B:B,"ATTEMPT",C:C,"NEG")</f>
        <v>0</v>
      </c>
      <c r="AK51" s="302">
        <f>AJ51*'ATT DATA'!J41</f>
        <v>0</v>
      </c>
      <c r="AL51" s="300">
        <f>COUNTIFS(A:A,"SMLZONE15",B:B,"GOAL",C:C,"NEG")</f>
        <v>0</v>
      </c>
      <c r="AM51" s="301">
        <f>COUNTIFS(A:A,"SMLZONE15",B:B,"GOAL",C:C,"NEG")+COUNTIFS(A:A,"SMLZONE15",B:B,"ATTEMPT",C:C,"NEG")</f>
        <v>0</v>
      </c>
      <c r="AN51" s="303">
        <f>AM51*'ATT DATA'!G41</f>
        <v>0</v>
      </c>
    </row>
    <row r="52" spans="1:40" ht="15.75" thickBot="1">
      <c r="A52"/>
      <c r="B52"/>
      <c r="C52"/>
      <c r="Z52" s="304"/>
      <c r="AA52" s="305"/>
      <c r="AB52" s="306"/>
      <c r="AC52" s="304"/>
      <c r="AD52" s="305"/>
      <c r="AE52" s="306"/>
      <c r="AF52" s="304"/>
      <c r="AG52" s="305"/>
      <c r="AH52" s="306"/>
      <c r="AI52" s="304"/>
      <c r="AJ52" s="305"/>
      <c r="AK52" s="306"/>
      <c r="AL52" s="304"/>
      <c r="AM52" s="305"/>
      <c r="AN52" s="307"/>
    </row>
    <row r="53" spans="1:40">
      <c r="A53"/>
      <c r="B53"/>
      <c r="C53"/>
      <c r="AF53" s="292">
        <f>COUNTIFS(A:A,"SMLZONE16",B:B,"GOAL",C:C,"POS")</f>
        <v>0</v>
      </c>
      <c r="AG53" s="293">
        <f>COUNTIFS(A:A,"SMLZONE16",B:B,"GOAL",C:C,"POS")+COUNTIFS(A:A,"SMLZONE16",B:B,"ATTEMPT",C:C,"POS")</f>
        <v>0</v>
      </c>
      <c r="AH53" s="295">
        <f>AG53*'ATT DATA'!M44</f>
        <v>0</v>
      </c>
    </row>
    <row r="54" spans="1:40" ht="15.75" thickBot="1">
      <c r="A54"/>
      <c r="B54"/>
      <c r="C54"/>
      <c r="AF54" s="308"/>
      <c r="AG54" s="309"/>
      <c r="AH54" s="311"/>
    </row>
    <row r="55" spans="1:40">
      <c r="A55"/>
      <c r="B55"/>
      <c r="C55"/>
      <c r="AF55" s="300">
        <f>COUNTIFS(A:A,"SMLZONE16",B:B,"GOAL",C:C,"NEG")</f>
        <v>0</v>
      </c>
      <c r="AG55" s="301">
        <f>COUNTIFS(A:A,"SMLZONE16",B:B,"GOAL",C:C,"NEG")+COUNTIFS(A:A,"SMLZONE16",B:B,"ATTEMPT",C:C,"NEG")</f>
        <v>0</v>
      </c>
      <c r="AH55" s="303">
        <f>AG55*'ATT DATA'!M44</f>
        <v>0</v>
      </c>
    </row>
    <row r="56" spans="1:40" ht="15.75" thickBot="1">
      <c r="A56"/>
      <c r="B56"/>
      <c r="C56"/>
      <c r="AF56" s="304"/>
      <c r="AG56" s="305"/>
      <c r="AH56" s="307"/>
    </row>
    <row r="57" spans="1:40">
      <c r="A57"/>
      <c r="B57"/>
      <c r="C57"/>
      <c r="AF57" s="292">
        <f>COUNTIFS(A:A,"SMLZONE17",B:B,"GOAL",C:C,"POS")</f>
        <v>0</v>
      </c>
      <c r="AG57" s="293">
        <f>COUNTIFS(A:A,"SMLZONE17",B:B,"GOAL",C:C,"POS")+COUNTIFS(A:A,"SMLZONE17",B:B,"ATTEMPT",C:C,"POS")</f>
        <v>0</v>
      </c>
      <c r="AH57" s="295">
        <f>AG57*'ATT DATA'!M47</f>
        <v>0</v>
      </c>
    </row>
    <row r="58" spans="1:40" ht="15.75" thickBot="1">
      <c r="A58"/>
      <c r="B58"/>
      <c r="C58"/>
      <c r="AF58" s="308"/>
      <c r="AG58" s="309"/>
      <c r="AH58" s="311"/>
    </row>
    <row r="59" spans="1:40">
      <c r="A59"/>
      <c r="B59"/>
      <c r="C59"/>
      <c r="AF59" s="300">
        <f>COUNTIFS(A:A,"SMLZONE17",B:B,"GOAL",C:C,"NEG")</f>
        <v>0</v>
      </c>
      <c r="AG59" s="301">
        <f>COUNTIFS(A:A,"SMLZONE17",B:B,"GOAL",C:C,"NEG")+COUNTIFS(A:A,"SMLZONE17",B:B,"ATTEMPT",C:C,"NEG")</f>
        <v>1</v>
      </c>
      <c r="AH59" s="303">
        <f>AG59*'ATT DATA'!M47</f>
        <v>7.9365079365079361E-3</v>
      </c>
    </row>
    <row r="60" spans="1:40" ht="15.75" thickBot="1">
      <c r="A60"/>
      <c r="B60"/>
      <c r="C60"/>
      <c r="AF60" s="304"/>
      <c r="AG60" s="305"/>
      <c r="AH60" s="307"/>
    </row>
    <row r="61" spans="1:40">
      <c r="A61"/>
      <c r="B61"/>
      <c r="C61"/>
    </row>
    <row r="62" spans="1:40">
      <c r="A62"/>
      <c r="B62"/>
      <c r="C62"/>
    </row>
    <row r="63" spans="1:40">
      <c r="A63"/>
      <c r="B63"/>
      <c r="C63"/>
    </row>
    <row r="64" spans="1:40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</sheetData>
  <mergeCells count="3">
    <mergeCell ref="AF1:AH2"/>
    <mergeCell ref="AF18:AH19"/>
    <mergeCell ref="AF38:AH39"/>
  </mergeCells>
  <pageMargins left="0.7" right="0.7" top="0.75" bottom="0.75" header="0.3" footer="0.3"/>
  <pageSetup paperSize="9" orientation="portrait" horizontalDpi="4294967293" verticalDpi="4294967293" r:id="rId1"/>
  <legacyDrawing r:id="rId2"/>
  <controls>
    <control shapeId="8246" r:id="rId3" name="DFK"/>
    <control shapeId="8245" r:id="rId4" name="Penalt"/>
    <control shapeId="8244" r:id="rId5" name="MIDZONE16"/>
    <control shapeId="8243" r:id="rId6" name="SMLZONE17"/>
    <control shapeId="8242" r:id="rId7" name="SMLZONE16"/>
    <control shapeId="8241" r:id="rId8" name="NEG"/>
    <control shapeId="8240" r:id="rId9" name="POS"/>
    <control shapeId="8239" r:id="rId10" name="ATTEMPT"/>
    <control shapeId="8238" r:id="rId11" name="GOAL"/>
    <control shapeId="8237" r:id="rId12" name="SMLZONE12"/>
    <control shapeId="8236" r:id="rId13" name="SMLZONE9"/>
    <control shapeId="8235" r:id="rId14" name="SMLZONE15"/>
    <control shapeId="8234" r:id="rId15" name="SMLZONE6"/>
    <control shapeId="8233" r:id="rId16" name="SMLZONE3"/>
    <control shapeId="8232" r:id="rId17" name="SMLZONE11"/>
    <control shapeId="8231" r:id="rId18" name="SMLZONE10"/>
    <control shapeId="8230" r:id="rId19" name="SMLZONE8"/>
    <control shapeId="8229" r:id="rId20" name="SMLZONE7"/>
    <control shapeId="8228" r:id="rId21" name="SMLZONE14"/>
    <control shapeId="8227" r:id="rId22" name="SMLZONE13"/>
    <control shapeId="8226" r:id="rId23" name="SMLZONE5"/>
    <control shapeId="8225" r:id="rId24" name="SMLZONE4"/>
    <control shapeId="8224" r:id="rId25" name="SMLZONE2"/>
    <control shapeId="8223" r:id="rId26" name="SMLZONE1"/>
    <control shapeId="8222" r:id="rId27" name="MIDZONE12"/>
    <control shapeId="8221" r:id="rId28" name="MIDZONE9"/>
    <control shapeId="8220" r:id="rId29" name="MIDZONE15"/>
    <control shapeId="8219" r:id="rId30" name="MIDZONE6"/>
    <control shapeId="8218" r:id="rId31" name="MIDZONE3"/>
    <control shapeId="8217" r:id="rId32" name="MIDZONE11"/>
    <control shapeId="8216" r:id="rId33" name="MIDZONE10"/>
    <control shapeId="8215" r:id="rId34" name="MIDZONE8"/>
    <control shapeId="8214" r:id="rId35" name="MIDZONE7"/>
    <control shapeId="8213" r:id="rId36" name="MIDZONE14"/>
    <control shapeId="8212" r:id="rId37" name="MIDZONE13"/>
    <control shapeId="8211" r:id="rId38" name="MIDZONE5"/>
    <control shapeId="8210" r:id="rId39" name="MIDZONE4"/>
    <control shapeId="8209" r:id="rId40" name="MIDZONE2"/>
    <control shapeId="8208" r:id="rId41" name="MIDZONE1"/>
    <control shapeId="8207" r:id="rId42" name="BIGZONE12"/>
    <control shapeId="8206" r:id="rId43" name="BIGZONE9"/>
    <control shapeId="8205" r:id="rId44" name="BIGZONE15"/>
    <control shapeId="8204" r:id="rId45" name="BIGZONE6"/>
    <control shapeId="8203" r:id="rId46" name="BIGZONE3"/>
    <control shapeId="8202" r:id="rId47" name="BIGZONE11"/>
    <control shapeId="8201" r:id="rId48" name="BIGZONE10"/>
    <control shapeId="8200" r:id="rId49" name="BIGZONE8"/>
    <control shapeId="8199" r:id="rId50" name="BIGZONE7"/>
    <control shapeId="8198" r:id="rId51" name="BIGZONE14"/>
    <control shapeId="8197" r:id="rId52" name="BIGZONE13"/>
    <control shapeId="8196" r:id="rId53" name="BIGZONE5"/>
    <control shapeId="8195" r:id="rId54" name="BIGZONE4"/>
    <control shapeId="8194" r:id="rId55" name="BIGZONE2"/>
    <control shapeId="8193" r:id="rId56" name="BIGZONE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W558"/>
  <sheetViews>
    <sheetView zoomScale="90" zoomScaleNormal="90" workbookViewId="0">
      <selection activeCell="H5" sqref="H5"/>
    </sheetView>
  </sheetViews>
  <sheetFormatPr defaultColWidth="8.85546875" defaultRowHeight="15"/>
  <cols>
    <col min="1" max="1" width="12.5703125" style="115" customWidth="1"/>
    <col min="2" max="10" width="8.85546875" style="115"/>
    <col min="11" max="13" width="12.7109375" style="115" customWidth="1"/>
    <col min="14" max="16384" width="8.85546875" style="115"/>
  </cols>
  <sheetData>
    <row r="1" spans="1:23" ht="15.75" thickBot="1">
      <c r="A1" s="115" t="s">
        <v>500</v>
      </c>
      <c r="B1" s="115" t="s">
        <v>477</v>
      </c>
      <c r="C1" s="115" t="s">
        <v>6</v>
      </c>
      <c r="K1" s="429" t="s">
        <v>469</v>
      </c>
      <c r="L1" s="429"/>
      <c r="M1" s="429"/>
    </row>
    <row r="2" spans="1:23" ht="15.75" thickBot="1">
      <c r="A2" s="115" t="s">
        <v>500</v>
      </c>
      <c r="B2" s="115" t="s">
        <v>477</v>
      </c>
      <c r="C2" s="115" t="s">
        <v>6</v>
      </c>
      <c r="K2" s="429"/>
      <c r="L2" s="429"/>
      <c r="M2" s="429"/>
      <c r="N2" s="271">
        <f>SUM(E4:E12,H4:H12,K4:K13,N4:N12,Q4:Q12)</f>
        <v>232</v>
      </c>
      <c r="O2" s="271">
        <f>SUM(F4:F12,I4:I12,L4:L13,O4:O12,R4:R12)</f>
        <v>592</v>
      </c>
      <c r="P2" s="272">
        <f>N2/O2</f>
        <v>0.39189189189189189</v>
      </c>
    </row>
    <row r="3" spans="1:23" ht="16.5" thickBot="1">
      <c r="A3" s="115" t="s">
        <v>501</v>
      </c>
      <c r="B3" s="115" t="s">
        <v>477</v>
      </c>
      <c r="C3" s="115" t="s">
        <v>2</v>
      </c>
      <c r="E3" s="273" t="s">
        <v>311</v>
      </c>
      <c r="F3" s="273" t="s">
        <v>350</v>
      </c>
      <c r="G3" s="273" t="s">
        <v>470</v>
      </c>
      <c r="H3" s="273" t="s">
        <v>311</v>
      </c>
      <c r="I3" s="273" t="s">
        <v>350</v>
      </c>
      <c r="J3" s="273" t="s">
        <v>470</v>
      </c>
      <c r="K3" s="273" t="s">
        <v>311</v>
      </c>
      <c r="L3" s="273" t="s">
        <v>350</v>
      </c>
      <c r="M3" s="273" t="s">
        <v>470</v>
      </c>
      <c r="N3" s="274"/>
      <c r="O3" s="274"/>
      <c r="P3" s="274"/>
      <c r="Q3" s="274"/>
      <c r="R3" s="274"/>
      <c r="S3" s="274"/>
    </row>
    <row r="4" spans="1:23" ht="15.75">
      <c r="A4" s="115" t="s">
        <v>502</v>
      </c>
      <c r="B4" s="115" t="s">
        <v>477</v>
      </c>
      <c r="C4" s="115" t="s">
        <v>6</v>
      </c>
      <c r="E4" s="275"/>
      <c r="F4" s="276"/>
      <c r="G4" s="277"/>
      <c r="H4" s="275"/>
      <c r="I4" s="276"/>
      <c r="J4" s="277"/>
      <c r="K4" s="275"/>
      <c r="L4" s="276"/>
      <c r="M4" s="277"/>
      <c r="N4" s="275"/>
      <c r="O4" s="276"/>
      <c r="P4" s="277"/>
      <c r="Q4" s="275"/>
      <c r="R4" s="276"/>
      <c r="S4" s="277"/>
      <c r="U4" s="328"/>
      <c r="V4" s="329" t="s">
        <v>530</v>
      </c>
      <c r="W4" s="287"/>
    </row>
    <row r="5" spans="1:23" ht="15.75" thickBot="1">
      <c r="A5" s="115" t="s">
        <v>503</v>
      </c>
      <c r="B5" s="115" t="s">
        <v>477</v>
      </c>
      <c r="C5" s="115" t="s">
        <v>2</v>
      </c>
      <c r="E5" s="278">
        <f>COUNTIFS(A:A,"BIGZONE10",B:B,"GOAL")+COUNTIFS(A:A,"BIGZONE13",B:B,"GOAL")</f>
        <v>0</v>
      </c>
      <c r="F5" s="321">
        <f>COUNTIFS(A:A,"BIGZONE10",B:B,"GOAL")+COUNTIFS(A:A,"BIGZONE10",B:B,"ATTEMPT")+COUNTIFS(A:A,"BIGZONE13",B:B,"GOAL")+COUNTIFS(A:A,"BIGZONE13",B:B,"ATTEMPT")</f>
        <v>0</v>
      </c>
      <c r="G5" s="279">
        <v>0</v>
      </c>
      <c r="H5" s="278">
        <f>COUNTIFS(A:A,"BIGZONE7",B:B,"GOAL")+COUNTIFS(A:A,"BIGZONE4",B:B,"GOAL")+3</f>
        <v>3</v>
      </c>
      <c r="I5" s="321">
        <f>COUNTIFS(A:A,"BIGZONE7",B:B,"GOAL")+COUNTIFS(A:A,"BIGZONE7",B:B,"ATTEMPT")+COUNTIFS(A:A,"BIGZONE4",B:B,"GOAL")+COUNTIFS(A:A,"BIGZONE4",B:B,"ATTEMPT")+17</f>
        <v>22</v>
      </c>
      <c r="J5" s="279">
        <f>H5/I5</f>
        <v>0.13636363636363635</v>
      </c>
      <c r="K5" s="278">
        <f>COUNTIFS(A:A,"BIGZONE1",B:B,"GOAL")+58</f>
        <v>68</v>
      </c>
      <c r="L5" s="321">
        <f>COUNTIFS(A:A,"BIGZONE1",B:B,"GOAL")+COUNTIFS(A:A,"BIGZONE1",B:B,"ATTEMPT")+100</f>
        <v>114</v>
      </c>
      <c r="M5" s="279">
        <f>K5/L5</f>
        <v>0.59649122807017541</v>
      </c>
      <c r="N5" s="278"/>
      <c r="O5" s="321"/>
      <c r="P5" s="279"/>
      <c r="Q5" s="278"/>
      <c r="R5" s="321"/>
      <c r="S5" s="279"/>
      <c r="U5" s="330">
        <f>COUNTIFS(A:A,"Penalt",B:B,"GOAL")+50</f>
        <v>58</v>
      </c>
      <c r="V5" s="331">
        <f>COUNTIFS(A:A,"Penalt",B:B,"GOAL")+COUNTIFS(A:A,"Penalt",B:B,"ATTEMPT")+66</f>
        <v>76</v>
      </c>
      <c r="W5" s="332">
        <f>U5/V5</f>
        <v>0.76315789473684215</v>
      </c>
    </row>
    <row r="6" spans="1:23" ht="15.75" thickBot="1">
      <c r="A6" s="115" t="s">
        <v>479</v>
      </c>
      <c r="B6" s="115" t="s">
        <v>477</v>
      </c>
      <c r="C6" s="115" t="s">
        <v>2</v>
      </c>
      <c r="E6" s="278"/>
      <c r="F6" s="321"/>
      <c r="G6" s="279"/>
      <c r="H6" s="278"/>
      <c r="I6" s="321"/>
      <c r="J6" s="279"/>
      <c r="K6" s="278"/>
      <c r="L6" s="321"/>
      <c r="M6" s="279"/>
      <c r="N6" s="278"/>
      <c r="O6" s="321"/>
      <c r="P6" s="279"/>
      <c r="Q6" s="278"/>
      <c r="R6" s="321"/>
      <c r="S6" s="279"/>
      <c r="W6" s="153"/>
    </row>
    <row r="7" spans="1:23" ht="15.75">
      <c r="A7" s="115" t="s">
        <v>498</v>
      </c>
      <c r="B7" s="115" t="s">
        <v>477</v>
      </c>
      <c r="C7" s="115" t="s">
        <v>6</v>
      </c>
      <c r="E7" s="275"/>
      <c r="F7" s="276"/>
      <c r="G7" s="277"/>
      <c r="H7" s="275"/>
      <c r="I7" s="276"/>
      <c r="J7" s="277"/>
      <c r="K7" s="275"/>
      <c r="L7" s="276"/>
      <c r="M7" s="277"/>
      <c r="N7" s="275"/>
      <c r="O7" s="276"/>
      <c r="P7" s="277"/>
      <c r="Q7" s="275"/>
      <c r="R7" s="276"/>
      <c r="S7" s="277"/>
      <c r="U7" s="328"/>
      <c r="V7" s="329" t="s">
        <v>529</v>
      </c>
      <c r="W7" s="333"/>
    </row>
    <row r="8" spans="1:23" ht="15.75" thickBot="1">
      <c r="A8" s="115" t="s">
        <v>479</v>
      </c>
      <c r="B8" s="115" t="s">
        <v>21</v>
      </c>
      <c r="C8" s="115" t="s">
        <v>2</v>
      </c>
      <c r="E8" s="278">
        <f>COUNTIFS(A:A,"BIGZONE11",B:B,"GOAL")+COUNTIFS(A:A,"BIGZONE14",B:B,"GOAL")</f>
        <v>0</v>
      </c>
      <c r="F8" s="321">
        <f>COUNTIFS(A:A,"BIGZONE11",B:B,"GOAL")+COUNTIFS(A:A,"BIGZONE11",B:B,"ATTEMPT")+COUNTIFS(A:A,"BIGZONE14",B:B,"GOAL")+COUNTIFS(A:A,"BIGZONE14",B:B,"ATTEMPT")</f>
        <v>0</v>
      </c>
      <c r="G8" s="279">
        <v>0</v>
      </c>
      <c r="H8" s="278">
        <f>COUNTIFS(A:A,"BIGZONE8",B:B,"GOAL")+COUNTIFS(A:A,"BIGZONE5",B:B,"GOAL")+34</f>
        <v>42</v>
      </c>
      <c r="I8" s="321">
        <f>COUNTIFS(A:A,"BIGZONE8",B:B,"GOAL")+COUNTIFS(A:A,"BIGZONE8",B:B,"ATTEMPT")+COUNTIFS(A:A,"BIGZONE5",B:B,"GOAL")+COUNTIFS(A:A,"BIGZONE5",B:B,"ATTEMPT")+111</f>
        <v>138</v>
      </c>
      <c r="J8" s="279">
        <f>H8/I8</f>
        <v>0.30434782608695654</v>
      </c>
      <c r="K8" s="278">
        <f>COUNTIFS(A:A,"BIGZONE2",B:B,"GOAL")+74</f>
        <v>87</v>
      </c>
      <c r="L8" s="321">
        <f>COUNTIFS(A:A,"BIGZONE2",B:B,"GOAL")+COUNTIFS(A:A,"BIGZONE2",B:B,"ATTEMPT")+190</f>
        <v>220</v>
      </c>
      <c r="M8" s="279">
        <f>K8/L8</f>
        <v>0.39545454545454545</v>
      </c>
      <c r="N8" s="278"/>
      <c r="O8" s="321"/>
      <c r="P8" s="279"/>
      <c r="Q8" s="278"/>
      <c r="R8" s="321"/>
      <c r="S8" s="279"/>
      <c r="U8" s="330">
        <f>COUNTIFS(A:A,"DFK",B:B,"GOAL")+26</f>
        <v>27</v>
      </c>
      <c r="V8" s="331">
        <f>COUNTIFS(A:A,"DFK",B:B,"GOAL")+COUNTIFS(A:A,"DFK",B:B,"ATTEMPT")+257</f>
        <v>285</v>
      </c>
      <c r="W8" s="332">
        <f t="shared" ref="W8" si="0">U8/V8</f>
        <v>9.4736842105263161E-2</v>
      </c>
    </row>
    <row r="9" spans="1:23" ht="15.75" thickBot="1">
      <c r="A9" s="115" t="s">
        <v>504</v>
      </c>
      <c r="B9" s="115" t="s">
        <v>21</v>
      </c>
      <c r="C9" s="115" t="s">
        <v>6</v>
      </c>
      <c r="E9" s="280"/>
      <c r="F9" s="281"/>
      <c r="G9" s="282"/>
      <c r="H9" s="278"/>
      <c r="I9" s="321"/>
      <c r="J9" s="279"/>
      <c r="K9" s="278"/>
      <c r="L9" s="321"/>
      <c r="M9" s="279"/>
      <c r="N9" s="278"/>
      <c r="O9" s="321"/>
      <c r="P9" s="279"/>
      <c r="Q9" s="278"/>
      <c r="R9" s="321"/>
      <c r="S9" s="279"/>
    </row>
    <row r="10" spans="1:23">
      <c r="A10" s="115" t="s">
        <v>504</v>
      </c>
      <c r="B10" s="115" t="s">
        <v>21</v>
      </c>
      <c r="C10" s="115" t="s">
        <v>2</v>
      </c>
      <c r="E10" s="275"/>
      <c r="F10" s="276"/>
      <c r="G10" s="277"/>
      <c r="H10" s="275"/>
      <c r="I10" s="276"/>
      <c r="J10" s="277"/>
      <c r="K10" s="275"/>
      <c r="L10" s="276"/>
      <c r="M10" s="277"/>
      <c r="N10" s="275"/>
      <c r="O10" s="276"/>
      <c r="P10" s="277"/>
      <c r="Q10" s="275"/>
      <c r="R10" s="276"/>
      <c r="S10" s="277"/>
    </row>
    <row r="11" spans="1:23">
      <c r="A11" s="115" t="s">
        <v>498</v>
      </c>
      <c r="B11" s="115" t="s">
        <v>477</v>
      </c>
      <c r="C11" s="115" t="s">
        <v>2</v>
      </c>
      <c r="E11" s="278">
        <f>COUNTIFS(A:A,"BIGZONE12",B:B,"GOAL")+COUNTIFS(A:A,"BIGZONE15",B:B,"GOAL")</f>
        <v>0</v>
      </c>
      <c r="F11" s="321">
        <f>COUNTIFS(A:A,"BIGZONE12",B:B,"GOAL")+COUNTIFS(A:A,"BIGZONE12",B:B,"ATTEMPT")+COUNTIFS(A:A,"BIGZONE15",B:B,"GOAL")+COUNTIFS(A:A,"BIGZONE15",B:B,"ATTEMPT")</f>
        <v>0</v>
      </c>
      <c r="G11" s="279">
        <v>0</v>
      </c>
      <c r="H11" s="278">
        <f>COUNTIFS(A:A,"BIGZONE9",B:B,"GOAL")+COUNTIFS(A:A,"BIGZONE6",B:B,"GOAL")+6</f>
        <v>7</v>
      </c>
      <c r="I11" s="321">
        <f>COUNTIFS(A:A,"BIGZONE9",B:B,"GOAL")+COUNTIFS(A:A,"BIGZONE9",B:B,"ATTEMPT")+COUNTIFS(A:A,"BIGZONE6",B:B,"GOAL")+COUNTIFS(A:A,"BIGZONE6",B:B,"ATTEMPT")+26</f>
        <v>31</v>
      </c>
      <c r="J11" s="279">
        <f>H11/I11</f>
        <v>0.22580645161290322</v>
      </c>
      <c r="K11" s="278">
        <f>COUNTIFS(A:A,"BIGZONE3",B:B,"GOAL")+19</f>
        <v>25</v>
      </c>
      <c r="L11" s="321">
        <f>COUNTIFS(A:A,"BIGZONE3",B:B,"GOAL")+COUNTIFS(A:A,"BIGZONE3",B:B,"ATTEMPT")+54</f>
        <v>67</v>
      </c>
      <c r="M11" s="279">
        <f>K11/L11</f>
        <v>0.37313432835820898</v>
      </c>
      <c r="N11" s="278"/>
      <c r="O11" s="321"/>
      <c r="P11" s="279"/>
      <c r="Q11" s="278"/>
      <c r="R11" s="321"/>
      <c r="S11" s="279"/>
    </row>
    <row r="12" spans="1:23" ht="15.75" thickBot="1">
      <c r="A12" s="115" t="s">
        <v>505</v>
      </c>
      <c r="B12" s="115" t="s">
        <v>477</v>
      </c>
      <c r="C12" s="115" t="s">
        <v>2</v>
      </c>
      <c r="E12" s="280"/>
      <c r="F12" s="281"/>
      <c r="G12" s="282"/>
      <c r="H12" s="280"/>
      <c r="I12" s="281"/>
      <c r="J12" s="282"/>
      <c r="K12" s="280"/>
      <c r="L12" s="281"/>
      <c r="M12" s="282"/>
      <c r="N12" s="280"/>
      <c r="O12" s="281"/>
      <c r="P12" s="282"/>
      <c r="Q12" s="280"/>
      <c r="R12" s="281"/>
      <c r="S12" s="282"/>
    </row>
    <row r="13" spans="1:23">
      <c r="A13" s="115" t="s">
        <v>479</v>
      </c>
      <c r="B13" s="115" t="s">
        <v>477</v>
      </c>
      <c r="C13" s="115" t="s">
        <v>2</v>
      </c>
      <c r="E13" s="321"/>
      <c r="F13" s="321"/>
      <c r="G13" s="321"/>
      <c r="H13" s="321"/>
      <c r="I13" s="321"/>
      <c r="O13" s="321"/>
      <c r="P13" s="321"/>
      <c r="Q13" s="321"/>
      <c r="R13" s="321"/>
      <c r="S13" s="321"/>
    </row>
    <row r="14" spans="1:23">
      <c r="A14" s="115" t="s">
        <v>479</v>
      </c>
      <c r="B14" s="115" t="s">
        <v>477</v>
      </c>
      <c r="C14" s="115" t="s">
        <v>2</v>
      </c>
      <c r="E14" s="322"/>
      <c r="F14" s="322"/>
      <c r="G14" s="322"/>
      <c r="H14" s="322"/>
      <c r="I14" s="322"/>
      <c r="O14" s="322"/>
      <c r="P14" s="322"/>
      <c r="Q14" s="322"/>
      <c r="R14" s="322"/>
      <c r="S14" s="322"/>
    </row>
    <row r="15" spans="1:23" ht="15.75" thickBot="1">
      <c r="A15" s="115" t="s">
        <v>479</v>
      </c>
      <c r="B15" s="115" t="s">
        <v>477</v>
      </c>
      <c r="C15" s="115" t="s">
        <v>6</v>
      </c>
      <c r="E15" s="322"/>
      <c r="F15" s="322"/>
      <c r="G15" s="322"/>
      <c r="H15" s="322"/>
      <c r="I15" s="322"/>
      <c r="J15" s="322"/>
      <c r="K15" s="429" t="s">
        <v>471</v>
      </c>
      <c r="L15" s="429"/>
      <c r="M15" s="429"/>
      <c r="N15" s="322"/>
      <c r="O15" s="322"/>
      <c r="P15" s="322"/>
      <c r="Q15" s="322"/>
      <c r="R15" s="322"/>
      <c r="S15" s="322"/>
    </row>
    <row r="16" spans="1:23" ht="15.75" thickBot="1">
      <c r="A16" s="115" t="s">
        <v>500</v>
      </c>
      <c r="B16" s="115" t="s">
        <v>477</v>
      </c>
      <c r="C16" s="115" t="s">
        <v>2</v>
      </c>
      <c r="E16" s="322"/>
      <c r="F16" s="322"/>
      <c r="G16" s="322"/>
      <c r="H16" s="322"/>
      <c r="I16" s="322"/>
      <c r="J16" s="322"/>
      <c r="K16" s="429"/>
      <c r="L16" s="429"/>
      <c r="M16" s="429"/>
      <c r="N16" s="271">
        <f>SUM(E18:E26,H18:H26,K18:K29,N18:N26,Q18:Q26)</f>
        <v>81</v>
      </c>
      <c r="O16" s="271">
        <f>SUM(F18:F26,I18:I26,L18:L29,O18:O26,R18:R26)</f>
        <v>628</v>
      </c>
      <c r="P16" s="272">
        <f>N16/O16</f>
        <v>0.12898089171974522</v>
      </c>
      <c r="Q16" s="322"/>
      <c r="R16" s="322"/>
      <c r="S16" s="322"/>
    </row>
    <row r="17" spans="1:19" ht="16.5" thickBot="1">
      <c r="A17" s="115" t="s">
        <v>506</v>
      </c>
      <c r="B17" s="115" t="s">
        <v>21</v>
      </c>
      <c r="C17" s="115" t="s">
        <v>2</v>
      </c>
      <c r="E17" s="273" t="s">
        <v>311</v>
      </c>
      <c r="F17" s="273" t="s">
        <v>350</v>
      </c>
      <c r="G17" s="273" t="s">
        <v>470</v>
      </c>
      <c r="H17" s="273" t="s">
        <v>311</v>
      </c>
      <c r="I17" s="273" t="s">
        <v>350</v>
      </c>
      <c r="J17" s="273" t="s">
        <v>470</v>
      </c>
      <c r="K17" s="273" t="s">
        <v>311</v>
      </c>
      <c r="L17" s="273" t="s">
        <v>350</v>
      </c>
      <c r="M17" s="273" t="s">
        <v>470</v>
      </c>
      <c r="N17" s="283"/>
      <c r="O17" s="283"/>
      <c r="P17" s="283"/>
      <c r="Q17" s="283"/>
      <c r="R17" s="283"/>
      <c r="S17" s="283"/>
    </row>
    <row r="18" spans="1:19">
      <c r="A18" s="115" t="s">
        <v>507</v>
      </c>
      <c r="B18" s="115" t="s">
        <v>477</v>
      </c>
      <c r="C18" s="115" t="s">
        <v>6</v>
      </c>
      <c r="E18" s="275"/>
      <c r="F18" s="276"/>
      <c r="G18" s="277"/>
      <c r="H18" s="275"/>
      <c r="I18" s="276"/>
      <c r="J18" s="277"/>
      <c r="K18" s="275"/>
      <c r="L18" s="276"/>
      <c r="M18" s="277"/>
      <c r="N18" s="275"/>
      <c r="O18" s="276"/>
      <c r="P18" s="277"/>
      <c r="Q18" s="275"/>
      <c r="R18" s="276"/>
      <c r="S18" s="277"/>
    </row>
    <row r="19" spans="1:19">
      <c r="A19" s="115" t="s">
        <v>478</v>
      </c>
      <c r="B19" s="115" t="s">
        <v>477</v>
      </c>
      <c r="C19" s="115" t="s">
        <v>2</v>
      </c>
      <c r="E19" s="278">
        <f>COUNTIFS(A:A,"MIDZONE10",B:B,"GOAL")+COUNTIFS(A:A,"MIDZONE13",B:B,"GOAL")</f>
        <v>0</v>
      </c>
      <c r="F19" s="321">
        <f>COUNTIFS(A:A,"MIDZONE10",B:B,"GOAL")+COUNTIFS(A:A,"MIDZONE10",B:B,"ATTEMPT")+COUNTIFS(A:A,"MIDZONE13",B:B,"GOAL")+COUNTIFS(A:A,"MIDZONE13",B:B,"ATTEMPT")</f>
        <v>1</v>
      </c>
      <c r="G19" s="279">
        <v>0</v>
      </c>
      <c r="H19" s="278">
        <f>COUNTIFS(A:A,"MIDZONE7",B:B,"GOAL")+COUNTIFS(A:A,"MIDZONE4",B:B,"GOAL")+4</f>
        <v>4</v>
      </c>
      <c r="I19" s="321">
        <f>COUNTIFS(A:A,"MIDZONE7",B:B,"GOAL")+COUNTIFS(A:A,"MIDZONE7",B:B,"ATTEMPT")+COUNTIFS(A:A,"MIDZONE4",B:B,"GOAL")+COUNTIFS(A:A,"MIDZONE4",B:B,"ATTEMPT")+28</f>
        <v>33</v>
      </c>
      <c r="J19" s="279">
        <f>H19/I19</f>
        <v>0.12121212121212122</v>
      </c>
      <c r="K19" s="278">
        <f>COUNTIFS(A:A,"MIDZONE1",B:B,"GOAL")+1</f>
        <v>2</v>
      </c>
      <c r="L19" s="321">
        <f>COUNTIFS(A:A,"MIDZONE1",B:B,"GOAL")+COUNTIFS(A:A,"MIDZONE1",B:B,"ATTEMPT")+1</f>
        <v>2</v>
      </c>
      <c r="M19" s="279">
        <f>K19/L19</f>
        <v>1</v>
      </c>
      <c r="N19" s="278"/>
      <c r="O19" s="321"/>
      <c r="P19" s="279"/>
      <c r="Q19" s="278"/>
      <c r="R19" s="321"/>
      <c r="S19" s="279"/>
    </row>
    <row r="20" spans="1:19" ht="15.75" thickBot="1">
      <c r="A20" s="115" t="s">
        <v>508</v>
      </c>
      <c r="B20" s="115" t="s">
        <v>477</v>
      </c>
      <c r="C20" s="115" t="s">
        <v>6</v>
      </c>
      <c r="E20" s="278"/>
      <c r="F20" s="321"/>
      <c r="G20" s="279"/>
      <c r="H20" s="278"/>
      <c r="I20" s="321"/>
      <c r="J20" s="279"/>
      <c r="K20" s="278"/>
      <c r="L20" s="321"/>
      <c r="M20" s="279"/>
      <c r="N20" s="278"/>
      <c r="O20" s="321"/>
      <c r="P20" s="279"/>
      <c r="Q20" s="278"/>
      <c r="R20" s="321"/>
      <c r="S20" s="279"/>
    </row>
    <row r="21" spans="1:19">
      <c r="A21" s="115" t="s">
        <v>479</v>
      </c>
      <c r="B21" s="115" t="s">
        <v>477</v>
      </c>
      <c r="C21" s="115" t="s">
        <v>2</v>
      </c>
      <c r="E21" s="275"/>
      <c r="F21" s="276"/>
      <c r="G21" s="277"/>
      <c r="H21" s="275"/>
      <c r="I21" s="276"/>
      <c r="J21" s="277"/>
      <c r="K21" s="275"/>
      <c r="L21" s="276"/>
      <c r="M21" s="277"/>
      <c r="N21" s="275"/>
      <c r="O21" s="276"/>
      <c r="P21" s="277"/>
      <c r="Q21" s="275"/>
      <c r="R21" s="276"/>
      <c r="S21" s="277"/>
    </row>
    <row r="22" spans="1:19">
      <c r="A22" s="115" t="s">
        <v>500</v>
      </c>
      <c r="B22" s="115" t="s">
        <v>477</v>
      </c>
      <c r="C22" s="115" t="s">
        <v>6</v>
      </c>
      <c r="E22" s="278">
        <f>COUNTIFS(A:A,"MIDZONE11",B:B,"GOAL")+COUNTIFS(A:A,"MIDZONE14",B:B,"GOAL")</f>
        <v>0</v>
      </c>
      <c r="F22" s="321">
        <f>COUNTIFS(A:A,"MIDZONE11",B:B,"GOAL")+COUNTIFS(A:A,"MIDZONE11",B:B,"ATTEMPT")+COUNTIFS(A:A,"MIDZONE14",B:B,"GOAL")+COUNTIFS(A:A,"MIDZONE14",B:B,"ATTEMPT")+19</f>
        <v>20</v>
      </c>
      <c r="G22" s="279">
        <f>E22/F22</f>
        <v>0</v>
      </c>
      <c r="H22" s="278">
        <f>COUNTIFS(A:A,"MIDZONE8",B:B,"GOAL")+COUNTIFS(A:A,"MIDZONE5",B:B,"GOAL")+6</f>
        <v>9</v>
      </c>
      <c r="I22" s="321">
        <f>COUNTIFS(A:A,"MIDZONE8",B:B,"GOAL")+COUNTIFS(A:A,"MIDZONE8",B:B,"ATTEMPT")+COUNTIFS(A:A,"MIDZONE5",B:B,"GOAL")+COUNTIFS(A:A,"MIDZONE5",B:B,"ATTEMPT")+92</f>
        <v>125</v>
      </c>
      <c r="J22" s="279">
        <f>H22/I22</f>
        <v>7.1999999999999995E-2</v>
      </c>
      <c r="K22" s="278">
        <f>COUNTIFS(A:A,"MIDZONE2",B:B,"GOAL")+18</f>
        <v>25</v>
      </c>
      <c r="L22" s="321">
        <f>COUNTIFS(A:A,"MIDZONE2",B:B,"GOAL")+COUNTIFS(A:A,"MIDZONE2",B:B,"ATTEMPT")+122</f>
        <v>156</v>
      </c>
      <c r="M22" s="279">
        <f>K22/L22</f>
        <v>0.16025641025641027</v>
      </c>
      <c r="N22" s="278"/>
      <c r="O22" s="321"/>
      <c r="P22" s="279"/>
      <c r="Q22" s="278"/>
      <c r="R22" s="321"/>
      <c r="S22" s="279"/>
    </row>
    <row r="23" spans="1:19" ht="15.75" thickBot="1">
      <c r="A23" s="115" t="s">
        <v>498</v>
      </c>
      <c r="B23" s="115" t="s">
        <v>477</v>
      </c>
      <c r="C23" s="115" t="s">
        <v>6</v>
      </c>
      <c r="E23" s="278"/>
      <c r="F23" s="321"/>
      <c r="G23" s="279"/>
      <c r="H23" s="278"/>
      <c r="I23" s="321"/>
      <c r="J23" s="279"/>
      <c r="K23" s="278"/>
      <c r="L23" s="321"/>
      <c r="M23" s="279"/>
      <c r="N23" s="278"/>
      <c r="O23" s="321"/>
      <c r="P23" s="279"/>
      <c r="Q23" s="278"/>
      <c r="R23" s="321"/>
      <c r="S23" s="279"/>
    </row>
    <row r="24" spans="1:19">
      <c r="A24" s="115" t="s">
        <v>509</v>
      </c>
      <c r="B24" s="115" t="s">
        <v>477</v>
      </c>
      <c r="C24" s="115" t="s">
        <v>2</v>
      </c>
      <c r="E24" s="275"/>
      <c r="F24" s="276"/>
      <c r="G24" s="277"/>
      <c r="H24" s="275"/>
      <c r="I24" s="276"/>
      <c r="J24" s="277"/>
      <c r="K24" s="275"/>
      <c r="L24" s="276"/>
      <c r="M24" s="277"/>
      <c r="N24" s="275"/>
      <c r="O24" s="276"/>
      <c r="P24" s="277"/>
      <c r="Q24" s="275"/>
      <c r="R24" s="276"/>
      <c r="S24" s="277"/>
    </row>
    <row r="25" spans="1:19">
      <c r="A25" s="115" t="s">
        <v>479</v>
      </c>
      <c r="B25" s="115" t="s">
        <v>477</v>
      </c>
      <c r="C25" s="115" t="s">
        <v>6</v>
      </c>
      <c r="E25" s="278">
        <f>COUNTIFS(A:A,"MIDZONE12",B:B,"GOAL")+COUNTIFS(A:A,"MIDZONE15",B:B,"GOAL")+1</f>
        <v>2</v>
      </c>
      <c r="F25" s="321">
        <f>COUNTIFS(A:A,"MIDZONE12",B:B,"GOAL")+COUNTIFS(A:A,"MIDZONE12",B:B,"ATTEMPT")+COUNTIFS(A:A,"MIDZONE15",B:B,"GOAL")+COUNTIFS(A:A,"MIDZONE15",B:B,"ATTEMPT")+9</f>
        <v>15</v>
      </c>
      <c r="G25" s="279">
        <f>E25/F25</f>
        <v>0.13333333333333333</v>
      </c>
      <c r="H25" s="278">
        <f>COUNTIFS(A:A,"MIDZONE9",B:B,"GOAL")+COUNTIFS(A:A,"MIDZONE6",B:B,"GOAL")+12</f>
        <v>15</v>
      </c>
      <c r="I25" s="321">
        <f>COUNTIFS(A:A,"MIDZONE9",B:B,"GOAL")+COUNTIFS(A:A,"MIDZONE9",B:B,"ATTEMPT")+COUNTIFS(A:A,"MIDZONE6",B:B,"GOAL")+COUNTIFS(A:A,"MIDZONE6",B:B,"ATTEMPT")+105</f>
        <v>120</v>
      </c>
      <c r="J25" s="279">
        <f>H25/I25</f>
        <v>0.125</v>
      </c>
      <c r="K25" s="278">
        <f>COUNTIFS(A:A,"MIDZONE3",B:B,"GOAL")+19</f>
        <v>21</v>
      </c>
      <c r="L25" s="321">
        <f>COUNTIFS(A:A,"MIDZONE3",B:B,"GOAL")+COUNTIFS(A:A,"MIDZONE3",B:B,"ATTEMPT")+115</f>
        <v>134</v>
      </c>
      <c r="M25" s="279">
        <f>K25/L25</f>
        <v>0.15671641791044777</v>
      </c>
      <c r="N25" s="278"/>
      <c r="O25" s="321"/>
      <c r="P25" s="279"/>
      <c r="Q25" s="278"/>
      <c r="R25" s="321"/>
      <c r="S25" s="279"/>
    </row>
    <row r="26" spans="1:19" ht="15.75" thickBot="1">
      <c r="A26" s="115" t="s">
        <v>510</v>
      </c>
      <c r="B26" s="115" t="s">
        <v>477</v>
      </c>
      <c r="C26" s="115" t="s">
        <v>6</v>
      </c>
      <c r="E26" s="280"/>
      <c r="F26" s="281"/>
      <c r="G26" s="282"/>
      <c r="H26" s="280"/>
      <c r="I26" s="281"/>
      <c r="J26" s="282"/>
      <c r="K26" s="280"/>
      <c r="L26" s="281"/>
      <c r="M26" s="282"/>
      <c r="N26" s="280"/>
      <c r="O26" s="281"/>
      <c r="P26" s="282"/>
      <c r="Q26" s="280"/>
      <c r="R26" s="281"/>
      <c r="S26" s="282"/>
    </row>
    <row r="27" spans="1:19">
      <c r="A27" s="115" t="s">
        <v>479</v>
      </c>
      <c r="B27" s="115" t="s">
        <v>477</v>
      </c>
      <c r="C27" s="115" t="s">
        <v>2</v>
      </c>
      <c r="E27" s="321"/>
      <c r="F27" s="321"/>
      <c r="G27" s="321"/>
      <c r="H27" s="321"/>
      <c r="I27" s="321"/>
      <c r="J27" s="321"/>
      <c r="K27" s="275"/>
      <c r="L27" s="276"/>
      <c r="M27" s="277"/>
      <c r="N27" s="321"/>
      <c r="O27" s="321"/>
      <c r="P27" s="321"/>
      <c r="Q27" s="321"/>
      <c r="R27" s="321"/>
      <c r="S27" s="321"/>
    </row>
    <row r="28" spans="1:19">
      <c r="A28" s="115" t="s">
        <v>479</v>
      </c>
      <c r="B28" s="115" t="s">
        <v>477</v>
      </c>
      <c r="C28" s="115" t="s">
        <v>6</v>
      </c>
      <c r="E28" s="321"/>
      <c r="F28" s="321"/>
      <c r="G28" s="321"/>
      <c r="H28" s="321"/>
      <c r="I28" s="321"/>
      <c r="J28" s="321"/>
      <c r="K28" s="278">
        <f>COUNTIFS(A:A,"MIDZONE16",B:B,"GOAL")+2</f>
        <v>3</v>
      </c>
      <c r="L28" s="321">
        <f>COUNTIFS(A:A,"MIDZONE16",B:B,"GOAL")+COUNTIFS(A:A,"MIDZONE16",B:B,"ATTEMPT")+17</f>
        <v>22</v>
      </c>
      <c r="M28" s="279">
        <f>K28/L28</f>
        <v>0.13636363636363635</v>
      </c>
      <c r="N28" s="321"/>
      <c r="O28" s="321"/>
      <c r="P28" s="321"/>
      <c r="Q28" s="321"/>
      <c r="R28" s="321"/>
      <c r="S28" s="321"/>
    </row>
    <row r="29" spans="1:19" ht="15.75" thickBot="1">
      <c r="A29" s="115" t="s">
        <v>505</v>
      </c>
      <c r="B29" s="115" t="s">
        <v>477</v>
      </c>
      <c r="C29" s="115" t="s">
        <v>6</v>
      </c>
      <c r="E29" s="321"/>
      <c r="F29" s="321"/>
      <c r="G29" s="321"/>
      <c r="H29" s="321"/>
      <c r="I29" s="321"/>
      <c r="J29" s="321"/>
      <c r="K29" s="280"/>
      <c r="L29" s="281"/>
      <c r="M29" s="282"/>
      <c r="N29" s="321"/>
      <c r="O29" s="321"/>
      <c r="P29" s="321"/>
      <c r="Q29" s="321"/>
      <c r="R29" s="321"/>
      <c r="S29" s="321"/>
    </row>
    <row r="30" spans="1:19">
      <c r="A30" s="115" t="s">
        <v>479</v>
      </c>
      <c r="B30" s="115" t="s">
        <v>477</v>
      </c>
      <c r="C30" s="115" t="s">
        <v>6</v>
      </c>
      <c r="E30" s="321"/>
      <c r="F30" s="321"/>
      <c r="G30" s="321"/>
      <c r="H30" s="321"/>
      <c r="I30" s="321"/>
      <c r="J30" s="321"/>
      <c r="K30" s="321"/>
      <c r="L30" s="321"/>
      <c r="M30" s="321"/>
      <c r="N30" s="321"/>
      <c r="O30" s="321"/>
      <c r="P30" s="321"/>
      <c r="Q30" s="321"/>
      <c r="R30" s="321"/>
      <c r="S30" s="321"/>
    </row>
    <row r="31" spans="1:19" ht="15.75" thickBot="1">
      <c r="A31" s="115" t="s">
        <v>498</v>
      </c>
      <c r="B31" s="115" t="s">
        <v>477</v>
      </c>
      <c r="C31" s="115" t="s">
        <v>6</v>
      </c>
      <c r="E31" s="322"/>
      <c r="F31" s="322"/>
      <c r="G31" s="322"/>
      <c r="H31" s="322"/>
      <c r="I31" s="322"/>
      <c r="J31" s="322"/>
      <c r="K31" s="429" t="s">
        <v>472</v>
      </c>
      <c r="L31" s="429"/>
      <c r="M31" s="429"/>
      <c r="N31" s="322"/>
      <c r="O31" s="322"/>
      <c r="P31" s="322"/>
      <c r="Q31" s="322"/>
      <c r="R31" s="322"/>
      <c r="S31" s="322"/>
    </row>
    <row r="32" spans="1:19" ht="15.75" thickBot="1">
      <c r="A32" s="115" t="s">
        <v>479</v>
      </c>
      <c r="B32" s="115" t="s">
        <v>477</v>
      </c>
      <c r="C32" s="115" t="s">
        <v>6</v>
      </c>
      <c r="E32" s="322"/>
      <c r="F32" s="322"/>
      <c r="G32" s="322"/>
      <c r="H32" s="322"/>
      <c r="I32" s="322"/>
      <c r="J32" s="322"/>
      <c r="K32" s="429"/>
      <c r="L32" s="429"/>
      <c r="M32" s="429"/>
      <c r="N32" s="271">
        <f>SUM(E34:E42,H34:H42,K34:K48,N34:N42,Q34:Q42)</f>
        <v>54</v>
      </c>
      <c r="O32" s="271">
        <f>SUM(F34:F42,I34:I42,L34:L48,O34:O42,R34:R42)</f>
        <v>1531</v>
      </c>
      <c r="P32" s="272">
        <f>N32/O32</f>
        <v>3.5271064663618547E-2</v>
      </c>
      <c r="Q32" s="322"/>
      <c r="R32" s="322"/>
      <c r="S32" s="322"/>
    </row>
    <row r="33" spans="1:19" ht="16.5" thickBot="1">
      <c r="A33" s="115" t="s">
        <v>478</v>
      </c>
      <c r="B33" s="115" t="s">
        <v>477</v>
      </c>
      <c r="C33" s="115" t="s">
        <v>6</v>
      </c>
      <c r="E33" s="273" t="s">
        <v>311</v>
      </c>
      <c r="F33" s="273" t="s">
        <v>350</v>
      </c>
      <c r="G33" s="273" t="s">
        <v>470</v>
      </c>
      <c r="H33" s="273" t="s">
        <v>311</v>
      </c>
      <c r="I33" s="273" t="s">
        <v>350</v>
      </c>
      <c r="J33" s="273" t="s">
        <v>470</v>
      </c>
      <c r="K33" s="273" t="s">
        <v>311</v>
      </c>
      <c r="L33" s="273" t="s">
        <v>350</v>
      </c>
      <c r="M33" s="273" t="s">
        <v>470</v>
      </c>
      <c r="N33" s="283"/>
      <c r="O33" s="283"/>
      <c r="P33" s="283"/>
      <c r="Q33" s="283"/>
      <c r="R33" s="283"/>
      <c r="S33" s="283"/>
    </row>
    <row r="34" spans="1:19">
      <c r="A34" s="115" t="s">
        <v>479</v>
      </c>
      <c r="B34" s="115" t="s">
        <v>477</v>
      </c>
      <c r="C34" s="115" t="s">
        <v>6</v>
      </c>
      <c r="E34" s="275"/>
      <c r="F34" s="276"/>
      <c r="G34" s="284"/>
      <c r="H34" s="275"/>
      <c r="I34" s="276"/>
      <c r="J34" s="284"/>
      <c r="K34" s="275"/>
      <c r="L34" s="276"/>
      <c r="M34" s="284"/>
      <c r="N34" s="275"/>
      <c r="O34" s="276"/>
      <c r="P34" s="284"/>
      <c r="Q34" s="275"/>
      <c r="R34" s="276"/>
      <c r="S34" s="284"/>
    </row>
    <row r="35" spans="1:19">
      <c r="A35" s="115" t="s">
        <v>500</v>
      </c>
      <c r="B35" s="115" t="s">
        <v>477</v>
      </c>
      <c r="C35" s="115" t="s">
        <v>2</v>
      </c>
      <c r="E35" s="278">
        <f>COUNTIFS(A:A,"SMLZONE10",B:B,"GOAL")+COUNTIFS(A:A,"SMLZONE13",B:B,"GOAL")+2</f>
        <v>2</v>
      </c>
      <c r="F35" s="321">
        <f>COUNTIFS(A:A,"SMLZONE10",B:B,"GOAL")+COUNTIFS(A:A,"SMLZONE10",B:B,"ATTEMPT")+COUNTIFS(A:A,"SMLZONE13",B:B,"GOAL")+COUNTIFS(A:A,"SMLZONE13",B:B,"ATTEMPT")+10</f>
        <v>12</v>
      </c>
      <c r="G35" s="279">
        <f>E35/F35</f>
        <v>0.16666666666666666</v>
      </c>
      <c r="H35" s="278">
        <f>COUNTIFS(A:A,"SMLZONE7",B:B,"GOAL")+COUNTIFS(A:A,"SMLZONE4",B:B,"GOAL")+1</f>
        <v>1</v>
      </c>
      <c r="I35" s="321">
        <f>COUNTIFS(A:A,"SMLZONE7",B:B,"GOAL")+COUNTIFS(A:A,"SMLZONE7",B:B,"ATTEMPT")+COUNTIFS(A:A,"SMLZONE4",B:B,"GOAL")+COUNTIFS(A:A,"SMLZONE4",B:B,"ATTEMPT")+11</f>
        <v>16</v>
      </c>
      <c r="J35" s="279">
        <f>H35/I35</f>
        <v>6.25E-2</v>
      </c>
      <c r="K35" s="278">
        <f>COUNTIFS(A:A,"SMLZONE1",B:B,"GOAL")</f>
        <v>0</v>
      </c>
      <c r="L35" s="321">
        <f>COUNTIFS(A:A,"SMLZONE1",B:B,"GOAL")+COUNTIFS(A:A,"SMLZONE1",B:B,"ATTEMPT")+2</f>
        <v>3</v>
      </c>
      <c r="M35" s="279">
        <f>K35/L35</f>
        <v>0</v>
      </c>
      <c r="N35" s="278"/>
      <c r="O35" s="321"/>
      <c r="P35" s="285"/>
      <c r="Q35" s="278"/>
      <c r="R35" s="321"/>
      <c r="S35" s="285"/>
    </row>
    <row r="36" spans="1:19" ht="15.75" thickBot="1">
      <c r="A36" s="115" t="s">
        <v>479</v>
      </c>
      <c r="B36" s="115" t="s">
        <v>477</v>
      </c>
      <c r="C36" s="115" t="s">
        <v>6</v>
      </c>
      <c r="E36" s="278"/>
      <c r="F36" s="321"/>
      <c r="G36" s="285"/>
      <c r="H36" s="278"/>
      <c r="I36" s="321"/>
      <c r="J36" s="285"/>
      <c r="K36" s="278"/>
      <c r="L36" s="321"/>
      <c r="M36" s="285"/>
      <c r="N36" s="278"/>
      <c r="O36" s="321"/>
      <c r="P36" s="285"/>
      <c r="Q36" s="278"/>
      <c r="R36" s="321"/>
      <c r="S36" s="285"/>
    </row>
    <row r="37" spans="1:19">
      <c r="A37" s="115" t="s">
        <v>479</v>
      </c>
      <c r="B37" s="115" t="s">
        <v>477</v>
      </c>
      <c r="C37" s="115" t="s">
        <v>6</v>
      </c>
      <c r="E37" s="275"/>
      <c r="F37" s="276"/>
      <c r="G37" s="284"/>
      <c r="H37" s="275"/>
      <c r="I37" s="276"/>
      <c r="J37" s="284"/>
      <c r="K37" s="275"/>
      <c r="L37" s="276"/>
      <c r="M37" s="284"/>
      <c r="N37" s="275"/>
      <c r="O37" s="276"/>
      <c r="P37" s="284"/>
      <c r="Q37" s="275"/>
      <c r="R37" s="276"/>
      <c r="S37" s="284"/>
    </row>
    <row r="38" spans="1:19">
      <c r="A38" s="115" t="s">
        <v>479</v>
      </c>
      <c r="B38" s="115" t="s">
        <v>477</v>
      </c>
      <c r="C38" s="115" t="s">
        <v>6</v>
      </c>
      <c r="E38" s="278">
        <f>COUNTIFS(A:A,"SMLZONE11",B:B,"GOAL")+COUNTIFS(A:A,"SMLZONE14",B:B,"GOAL")+1</f>
        <v>2</v>
      </c>
      <c r="F38" s="321">
        <f>COUNTIFS(A:A,"SMLZONE11",B:B,"GOAL")+COUNTIFS(A:A,"SMLZONE11",B:B,"ATTEMPT")+COUNTIFS(A:A,"SMLZONE14",B:B,"GOAL")+COUNTIFS(A:A,"SMLZONE14",B:B,"ATTEMPT")+43</f>
        <v>54</v>
      </c>
      <c r="G38" s="279">
        <f>E38/F38</f>
        <v>3.7037037037037035E-2</v>
      </c>
      <c r="H38" s="278">
        <f>COUNTIFS(A:A,"SMLZONE8",B:B,"GOAL")+COUNTIFS(A:A,"SMLZONE5",B:B,"GOAL")+1</f>
        <v>1</v>
      </c>
      <c r="I38" s="321">
        <f>COUNTIFS(A:A,"SMLZONE8",B:B,"GOAL")+COUNTIFS(A:A,"SMLZONE8",B:B,"ATTEMPT")+COUNTIFS(A:A,"SMLZONE5",B:B,"GOAL")+COUNTIFS(A:A,"SMLZONE5",B:B,"ATTEMPT")+35</f>
        <v>47</v>
      </c>
      <c r="J38" s="279">
        <f>H38/I38</f>
        <v>2.1276595744680851E-2</v>
      </c>
      <c r="K38" s="278">
        <f>COUNTIFS(A:A,"SMLZONE2",B:B,"GOAL")+3</f>
        <v>4</v>
      </c>
      <c r="L38" s="321">
        <f>COUNTIFS(A:A,"SMLZONE2",B:B,"GOAL")+COUNTIFS(A:A,"SMLZONE2",B:B,"ATTEMPT")+37</f>
        <v>60</v>
      </c>
      <c r="M38" s="279">
        <f>K38/L38</f>
        <v>6.6666666666666666E-2</v>
      </c>
      <c r="N38" s="278"/>
      <c r="O38" s="321"/>
      <c r="P38" s="285"/>
      <c r="Q38" s="278"/>
      <c r="R38" s="321"/>
      <c r="S38" s="285"/>
    </row>
    <row r="39" spans="1:19" ht="15.75" thickBot="1">
      <c r="A39" s="115" t="s">
        <v>511</v>
      </c>
      <c r="B39" s="115" t="s">
        <v>477</v>
      </c>
      <c r="C39" s="115" t="s">
        <v>6</v>
      </c>
      <c r="E39" s="278"/>
      <c r="F39" s="321"/>
      <c r="G39" s="285"/>
      <c r="H39" s="278"/>
      <c r="I39" s="321"/>
      <c r="J39" s="285"/>
      <c r="K39" s="278"/>
      <c r="L39" s="321"/>
      <c r="M39" s="285"/>
      <c r="N39" s="278"/>
      <c r="O39" s="321"/>
      <c r="P39" s="285"/>
      <c r="Q39" s="278"/>
      <c r="R39" s="321"/>
      <c r="S39" s="285"/>
    </row>
    <row r="40" spans="1:19">
      <c r="A40" s="115" t="s">
        <v>510</v>
      </c>
      <c r="B40" s="115" t="s">
        <v>477</v>
      </c>
      <c r="C40" s="115" t="s">
        <v>6</v>
      </c>
      <c r="E40" s="275"/>
      <c r="F40" s="276"/>
      <c r="G40" s="284"/>
      <c r="H40" s="275"/>
      <c r="I40" s="276"/>
      <c r="J40" s="284"/>
      <c r="K40" s="275"/>
      <c r="L40" s="276"/>
      <c r="M40" s="284"/>
      <c r="N40" s="275"/>
      <c r="O40" s="276"/>
      <c r="P40" s="284"/>
      <c r="Q40" s="275"/>
      <c r="R40" s="276"/>
      <c r="S40" s="284"/>
    </row>
    <row r="41" spans="1:19">
      <c r="A41" s="115" t="s">
        <v>512</v>
      </c>
      <c r="B41" s="115" t="s">
        <v>477</v>
      </c>
      <c r="C41" s="115" t="s">
        <v>6</v>
      </c>
      <c r="E41" s="278">
        <f>COUNTIFS(A:A,"SMLZONE12",B:B,"GOAL")+COUNTIFS(A:A,"SMLZONE15",B:B,"GOAL")+1</f>
        <v>1</v>
      </c>
      <c r="F41" s="321">
        <f>COUNTIFS(A:A,"SMLZONE12",B:B,"GOAL")+COUNTIFS(A:A,"SMLZONE12",B:B,"ATTEMPT")+COUNTIFS(A:A,"SMLZONE15",B:B,"GOAL")+COUNTIFS(A:A,"SMLZONE15",B:B,"ATTEMPT")+64</f>
        <v>79</v>
      </c>
      <c r="G41" s="279">
        <f>E41/F41</f>
        <v>1.2658227848101266E-2</v>
      </c>
      <c r="H41" s="278">
        <f>COUNTIFS(A:A,"SMLZONE9",B:B,"GOAL")+COUNTIFS(A:A,"SMLZONE6",B:B,"GOAL")+1</f>
        <v>1</v>
      </c>
      <c r="I41" s="321">
        <f>COUNTIFS(A:A,"SMLZONE9",B:B,"GOAL")+COUNTIFS(A:A,"SMLZONE9",B:B,"ATTEMPT")+COUNTIFS(A:A,"SMLZONE6",B:B,"GOAL")+COUNTIFS(A:A,"SMLZONE6",B:B,"ATTEMPT")+27</f>
        <v>33</v>
      </c>
      <c r="J41" s="279">
        <f>H41/I41</f>
        <v>3.0303030303030304E-2</v>
      </c>
      <c r="K41" s="278">
        <f>COUNTIFS(A:A,"SMLZONE3",B:B,"GOAL")+2</f>
        <v>4</v>
      </c>
      <c r="L41" s="321">
        <f>COUNTIFS(A:A,"SMLZONE3",B:B,"GOAL")+COUNTIFS(A:A,"SMLZONE3",B:B,"ATTEMPT")+54</f>
        <v>71</v>
      </c>
      <c r="M41" s="279">
        <f>K41/L41</f>
        <v>5.6338028169014086E-2</v>
      </c>
      <c r="N41" s="278"/>
      <c r="O41" s="321"/>
      <c r="P41" s="285"/>
      <c r="Q41" s="278"/>
      <c r="R41" s="321"/>
      <c r="S41" s="285"/>
    </row>
    <row r="42" spans="1:19" ht="15.75" thickBot="1">
      <c r="A42" s="115" t="s">
        <v>479</v>
      </c>
      <c r="B42" s="115" t="s">
        <v>21</v>
      </c>
      <c r="C42" s="115" t="s">
        <v>6</v>
      </c>
      <c r="E42" s="280"/>
      <c r="F42" s="281"/>
      <c r="G42" s="286"/>
      <c r="H42" s="280"/>
      <c r="I42" s="281"/>
      <c r="J42" s="286"/>
      <c r="K42" s="280"/>
      <c r="L42" s="281"/>
      <c r="M42" s="286"/>
      <c r="N42" s="280"/>
      <c r="O42" s="281"/>
      <c r="P42" s="286"/>
      <c r="Q42" s="280"/>
      <c r="R42" s="281"/>
      <c r="S42" s="286"/>
    </row>
    <row r="43" spans="1:19">
      <c r="A43" s="115" t="s">
        <v>498</v>
      </c>
      <c r="B43" s="115" t="s">
        <v>21</v>
      </c>
      <c r="C43" s="115" t="s">
        <v>2</v>
      </c>
      <c r="K43" s="275"/>
      <c r="L43" s="276"/>
      <c r="M43" s="287"/>
    </row>
    <row r="44" spans="1:19">
      <c r="A44" s="115" t="s">
        <v>513</v>
      </c>
      <c r="B44" s="115" t="s">
        <v>21</v>
      </c>
      <c r="C44" s="115" t="s">
        <v>2</v>
      </c>
      <c r="K44" s="278">
        <f>COUNTIFS(A:A,"SMLZONE16",B:B,"GOAL")+30</f>
        <v>37</v>
      </c>
      <c r="L44" s="321">
        <f>COUNTIFS(A:A,"SMLZONE16",B:B,"GOAL")+COUNTIFS(A:A,"SMLZONE16",B:B,"ATTEMPT")+855</f>
        <v>1030</v>
      </c>
      <c r="M44" s="279">
        <f>K44/L44</f>
        <v>3.5922330097087375E-2</v>
      </c>
    </row>
    <row r="45" spans="1:19" ht="15.75" thickBot="1">
      <c r="A45" s="115" t="s">
        <v>504</v>
      </c>
      <c r="B45" s="115" t="s">
        <v>477</v>
      </c>
      <c r="C45" s="115" t="s">
        <v>2</v>
      </c>
      <c r="K45" s="280"/>
      <c r="L45" s="281"/>
      <c r="M45" s="288"/>
    </row>
    <row r="46" spans="1:19">
      <c r="A46" s="115" t="s">
        <v>508</v>
      </c>
      <c r="B46" s="115" t="s">
        <v>477</v>
      </c>
      <c r="C46" s="115" t="s">
        <v>2</v>
      </c>
      <c r="K46" s="275"/>
      <c r="L46" s="276"/>
      <c r="M46" s="287"/>
    </row>
    <row r="47" spans="1:19">
      <c r="A47" s="115" t="s">
        <v>500</v>
      </c>
      <c r="B47" s="115" t="s">
        <v>477</v>
      </c>
      <c r="C47" s="115" t="s">
        <v>6</v>
      </c>
      <c r="K47" s="278">
        <f>COUNTIFS(A:A,"SMLZONE17",B:B,"GOAL")</f>
        <v>1</v>
      </c>
      <c r="L47" s="321">
        <f>COUNTIFS(A:A,"SMLZONE17",B:B,"GOAL")+COUNTIFS(A:A,"SMLZONE17",B:B,"ATTEMPT")+87</f>
        <v>126</v>
      </c>
      <c r="M47" s="279">
        <f>K47/L47</f>
        <v>7.9365079365079361E-3</v>
      </c>
    </row>
    <row r="48" spans="1:19" ht="15.75" thickBot="1">
      <c r="A48" s="115" t="s">
        <v>479</v>
      </c>
      <c r="B48" s="115" t="s">
        <v>477</v>
      </c>
      <c r="C48" s="115" t="s">
        <v>6</v>
      </c>
      <c r="K48" s="280"/>
      <c r="L48" s="281"/>
      <c r="M48" s="288"/>
    </row>
    <row r="49" spans="1:3">
      <c r="A49" s="115" t="s">
        <v>479</v>
      </c>
      <c r="B49" s="115" t="s">
        <v>477</v>
      </c>
      <c r="C49" s="115" t="s">
        <v>6</v>
      </c>
    </row>
    <row r="50" spans="1:3">
      <c r="A50" s="115" t="s">
        <v>479</v>
      </c>
      <c r="B50" s="115" t="s">
        <v>477</v>
      </c>
      <c r="C50" s="115" t="s">
        <v>2</v>
      </c>
    </row>
    <row r="51" spans="1:3">
      <c r="A51" s="115" t="s">
        <v>498</v>
      </c>
      <c r="B51" s="115" t="s">
        <v>477</v>
      </c>
      <c r="C51" s="115" t="s">
        <v>6</v>
      </c>
    </row>
    <row r="52" spans="1:3">
      <c r="A52" s="115" t="s">
        <v>498</v>
      </c>
      <c r="B52" s="115" t="s">
        <v>477</v>
      </c>
      <c r="C52" s="115" t="s">
        <v>2</v>
      </c>
    </row>
    <row r="53" spans="1:3">
      <c r="A53" s="115" t="s">
        <v>479</v>
      </c>
      <c r="B53" s="115" t="s">
        <v>477</v>
      </c>
      <c r="C53" s="115" t="s">
        <v>6</v>
      </c>
    </row>
    <row r="54" spans="1:3">
      <c r="A54" s="115" t="s">
        <v>498</v>
      </c>
      <c r="B54" s="115" t="s">
        <v>477</v>
      </c>
      <c r="C54" s="115" t="s">
        <v>6</v>
      </c>
    </row>
    <row r="55" spans="1:3">
      <c r="A55" s="115" t="s">
        <v>500</v>
      </c>
      <c r="B55" s="115" t="s">
        <v>477</v>
      </c>
      <c r="C55" s="115" t="s">
        <v>6</v>
      </c>
    </row>
    <row r="56" spans="1:3">
      <c r="A56" s="115" t="s">
        <v>479</v>
      </c>
      <c r="B56" s="115" t="s">
        <v>477</v>
      </c>
      <c r="C56" s="115" t="s">
        <v>6</v>
      </c>
    </row>
    <row r="57" spans="1:3">
      <c r="A57" s="115" t="s">
        <v>479</v>
      </c>
      <c r="B57" s="115" t="s">
        <v>477</v>
      </c>
      <c r="C57" s="115" t="s">
        <v>2</v>
      </c>
    </row>
    <row r="58" spans="1:3">
      <c r="A58" s="115" t="s">
        <v>498</v>
      </c>
      <c r="B58" s="115" t="s">
        <v>477</v>
      </c>
      <c r="C58" s="115" t="s">
        <v>6</v>
      </c>
    </row>
    <row r="59" spans="1:3">
      <c r="A59" s="115" t="s">
        <v>479</v>
      </c>
      <c r="B59" s="115" t="s">
        <v>477</v>
      </c>
      <c r="C59" s="115" t="s">
        <v>6</v>
      </c>
    </row>
    <row r="60" spans="1:3">
      <c r="A60" s="115" t="s">
        <v>479</v>
      </c>
      <c r="B60" s="115" t="s">
        <v>477</v>
      </c>
      <c r="C60" s="115" t="s">
        <v>6</v>
      </c>
    </row>
    <row r="61" spans="1:3">
      <c r="A61" s="115" t="s">
        <v>479</v>
      </c>
      <c r="B61" s="115" t="s">
        <v>477</v>
      </c>
      <c r="C61" s="115" t="s">
        <v>2</v>
      </c>
    </row>
    <row r="62" spans="1:3">
      <c r="A62" s="115" t="s">
        <v>513</v>
      </c>
      <c r="B62" s="115" t="s">
        <v>21</v>
      </c>
      <c r="C62" s="115" t="s">
        <v>6</v>
      </c>
    </row>
    <row r="63" spans="1:3">
      <c r="A63" s="115" t="s">
        <v>478</v>
      </c>
      <c r="B63" s="115" t="s">
        <v>21</v>
      </c>
      <c r="C63" s="115" t="s">
        <v>2</v>
      </c>
    </row>
    <row r="64" spans="1:3">
      <c r="A64" s="115" t="s">
        <v>505</v>
      </c>
      <c r="B64" s="115" t="s">
        <v>21</v>
      </c>
      <c r="C64" s="115" t="s">
        <v>6</v>
      </c>
    </row>
    <row r="65" spans="1:3">
      <c r="A65" s="115" t="s">
        <v>513</v>
      </c>
      <c r="B65" s="115" t="s">
        <v>21</v>
      </c>
      <c r="C65" s="115" t="s">
        <v>2</v>
      </c>
    </row>
    <row r="66" spans="1:3">
      <c r="A66" s="115" t="s">
        <v>479</v>
      </c>
      <c r="B66" s="115" t="s">
        <v>477</v>
      </c>
      <c r="C66" s="115" t="s">
        <v>6</v>
      </c>
    </row>
    <row r="67" spans="1:3">
      <c r="A67" s="115" t="s">
        <v>479</v>
      </c>
      <c r="B67" s="115" t="s">
        <v>477</v>
      </c>
      <c r="C67" s="115" t="s">
        <v>6</v>
      </c>
    </row>
    <row r="68" spans="1:3">
      <c r="A68" s="115" t="s">
        <v>479</v>
      </c>
      <c r="B68" s="115" t="s">
        <v>477</v>
      </c>
      <c r="C68" s="115" t="s">
        <v>2</v>
      </c>
    </row>
    <row r="69" spans="1:3">
      <c r="A69" s="115" t="s">
        <v>479</v>
      </c>
      <c r="B69" s="115" t="s">
        <v>477</v>
      </c>
      <c r="C69" s="115" t="s">
        <v>6</v>
      </c>
    </row>
    <row r="70" spans="1:3">
      <c r="A70" s="115" t="s">
        <v>514</v>
      </c>
      <c r="B70" s="115" t="s">
        <v>477</v>
      </c>
      <c r="C70" s="115" t="s">
        <v>6</v>
      </c>
    </row>
    <row r="71" spans="1:3">
      <c r="A71" s="115" t="s">
        <v>515</v>
      </c>
      <c r="B71" s="115" t="s">
        <v>477</v>
      </c>
      <c r="C71" s="115" t="s">
        <v>6</v>
      </c>
    </row>
    <row r="72" spans="1:3">
      <c r="A72" s="115" t="s">
        <v>516</v>
      </c>
      <c r="B72" s="115" t="s">
        <v>477</v>
      </c>
      <c r="C72" s="115" t="s">
        <v>6</v>
      </c>
    </row>
    <row r="73" spans="1:3">
      <c r="A73" s="115" t="s">
        <v>479</v>
      </c>
      <c r="B73" s="115" t="s">
        <v>477</v>
      </c>
      <c r="C73" s="115" t="s">
        <v>6</v>
      </c>
    </row>
    <row r="74" spans="1:3">
      <c r="A74" s="115" t="s">
        <v>517</v>
      </c>
      <c r="B74" s="115" t="s">
        <v>477</v>
      </c>
      <c r="C74" s="115" t="s">
        <v>6</v>
      </c>
    </row>
    <row r="75" spans="1:3">
      <c r="A75" s="115" t="s">
        <v>479</v>
      </c>
      <c r="B75" s="115" t="s">
        <v>477</v>
      </c>
      <c r="C75" s="115" t="s">
        <v>6</v>
      </c>
    </row>
    <row r="76" spans="1:3">
      <c r="A76" s="115" t="s">
        <v>518</v>
      </c>
      <c r="B76" s="115" t="s">
        <v>477</v>
      </c>
      <c r="C76" s="115" t="s">
        <v>6</v>
      </c>
    </row>
    <row r="77" spans="1:3">
      <c r="A77" s="115" t="s">
        <v>479</v>
      </c>
      <c r="B77" s="115" t="s">
        <v>477</v>
      </c>
      <c r="C77" s="115" t="s">
        <v>6</v>
      </c>
    </row>
    <row r="78" spans="1:3">
      <c r="A78" s="115" t="s">
        <v>479</v>
      </c>
      <c r="B78" s="115" t="s">
        <v>477</v>
      </c>
      <c r="C78" s="115" t="s">
        <v>2</v>
      </c>
    </row>
    <row r="79" spans="1:3">
      <c r="A79" s="115" t="s">
        <v>479</v>
      </c>
      <c r="B79" s="115" t="s">
        <v>477</v>
      </c>
      <c r="C79" s="115" t="s">
        <v>6</v>
      </c>
    </row>
    <row r="80" spans="1:3">
      <c r="A80" s="115" t="s">
        <v>479</v>
      </c>
      <c r="B80" s="115" t="s">
        <v>477</v>
      </c>
      <c r="C80" s="115" t="s">
        <v>2</v>
      </c>
    </row>
    <row r="81" spans="1:3">
      <c r="A81" s="115" t="s">
        <v>504</v>
      </c>
      <c r="B81" s="115" t="s">
        <v>477</v>
      </c>
      <c r="C81" s="115" t="s">
        <v>6</v>
      </c>
    </row>
    <row r="82" spans="1:3">
      <c r="A82" s="115" t="s">
        <v>512</v>
      </c>
      <c r="B82" s="115" t="s">
        <v>477</v>
      </c>
      <c r="C82" s="115" t="s">
        <v>6</v>
      </c>
    </row>
    <row r="83" spans="1:3">
      <c r="A83" s="115" t="s">
        <v>503</v>
      </c>
      <c r="B83" s="115" t="s">
        <v>477</v>
      </c>
      <c r="C83" s="115" t="s">
        <v>6</v>
      </c>
    </row>
    <row r="84" spans="1:3">
      <c r="A84" s="115" t="s">
        <v>512</v>
      </c>
      <c r="B84" s="115" t="s">
        <v>477</v>
      </c>
      <c r="C84" s="115" t="s">
        <v>6</v>
      </c>
    </row>
    <row r="85" spans="1:3">
      <c r="A85" s="115" t="s">
        <v>479</v>
      </c>
      <c r="B85" s="115" t="s">
        <v>477</v>
      </c>
      <c r="C85" s="115" t="s">
        <v>6</v>
      </c>
    </row>
    <row r="86" spans="1:3">
      <c r="A86" s="115" t="s">
        <v>479</v>
      </c>
      <c r="B86" s="115" t="s">
        <v>477</v>
      </c>
      <c r="C86" s="115" t="s">
        <v>2</v>
      </c>
    </row>
    <row r="87" spans="1:3">
      <c r="A87" s="115" t="s">
        <v>504</v>
      </c>
      <c r="B87" s="115" t="s">
        <v>477</v>
      </c>
      <c r="C87" s="115" t="s">
        <v>6</v>
      </c>
    </row>
    <row r="88" spans="1:3">
      <c r="A88" s="115" t="s">
        <v>515</v>
      </c>
      <c r="B88" s="115" t="s">
        <v>477</v>
      </c>
      <c r="C88" s="115" t="s">
        <v>6</v>
      </c>
    </row>
    <row r="89" spans="1:3">
      <c r="A89" s="115" t="s">
        <v>479</v>
      </c>
      <c r="B89" s="115" t="s">
        <v>477</v>
      </c>
      <c r="C89" s="115" t="s">
        <v>6</v>
      </c>
    </row>
    <row r="90" spans="1:3">
      <c r="A90" s="115" t="s">
        <v>505</v>
      </c>
      <c r="B90" s="115" t="s">
        <v>21</v>
      </c>
      <c r="C90" s="115" t="s">
        <v>6</v>
      </c>
    </row>
    <row r="91" spans="1:3">
      <c r="A91" s="115" t="s">
        <v>513</v>
      </c>
      <c r="B91" s="115" t="s">
        <v>21</v>
      </c>
      <c r="C91" s="115" t="s">
        <v>6</v>
      </c>
    </row>
    <row r="92" spans="1:3">
      <c r="A92" s="115" t="s">
        <v>519</v>
      </c>
      <c r="B92" s="115" t="s">
        <v>21</v>
      </c>
      <c r="C92" s="115" t="s">
        <v>6</v>
      </c>
    </row>
    <row r="93" spans="1:3">
      <c r="A93" s="115" t="s">
        <v>520</v>
      </c>
      <c r="B93" s="115" t="s">
        <v>21</v>
      </c>
      <c r="C93" s="115" t="s">
        <v>6</v>
      </c>
    </row>
    <row r="94" spans="1:3">
      <c r="A94" s="115" t="s">
        <v>505</v>
      </c>
      <c r="B94" s="115" t="s">
        <v>21</v>
      </c>
      <c r="C94" s="115" t="s">
        <v>2</v>
      </c>
    </row>
    <row r="95" spans="1:3">
      <c r="A95" s="115" t="s">
        <v>479</v>
      </c>
      <c r="B95" s="115" t="s">
        <v>21</v>
      </c>
      <c r="C95" s="115" t="s">
        <v>6</v>
      </c>
    </row>
    <row r="96" spans="1:3">
      <c r="A96" s="115" t="s">
        <v>521</v>
      </c>
      <c r="B96" s="115" t="s">
        <v>477</v>
      </c>
      <c r="C96" s="115" t="s">
        <v>2</v>
      </c>
    </row>
    <row r="97" spans="1:3">
      <c r="A97" s="115" t="s">
        <v>479</v>
      </c>
      <c r="B97" s="115" t="s">
        <v>477</v>
      </c>
      <c r="C97" s="115" t="s">
        <v>2</v>
      </c>
    </row>
    <row r="98" spans="1:3">
      <c r="A98" s="115" t="s">
        <v>479</v>
      </c>
      <c r="B98" s="115" t="s">
        <v>477</v>
      </c>
      <c r="C98" s="115" t="s">
        <v>2</v>
      </c>
    </row>
    <row r="99" spans="1:3">
      <c r="A99" s="115" t="s">
        <v>479</v>
      </c>
      <c r="B99" s="115" t="s">
        <v>477</v>
      </c>
      <c r="C99" s="115" t="s">
        <v>6</v>
      </c>
    </row>
    <row r="100" spans="1:3">
      <c r="A100" s="115" t="s">
        <v>479</v>
      </c>
      <c r="B100" s="115" t="s">
        <v>477</v>
      </c>
      <c r="C100" s="115" t="s">
        <v>2</v>
      </c>
    </row>
    <row r="101" spans="1:3">
      <c r="A101" s="115" t="s">
        <v>479</v>
      </c>
      <c r="B101" s="115" t="s">
        <v>477</v>
      </c>
      <c r="C101" s="115" t="s">
        <v>2</v>
      </c>
    </row>
    <row r="102" spans="1:3">
      <c r="A102" s="115" t="s">
        <v>503</v>
      </c>
      <c r="B102" s="115" t="s">
        <v>477</v>
      </c>
      <c r="C102" s="115" t="s">
        <v>2</v>
      </c>
    </row>
    <row r="103" spans="1:3">
      <c r="A103" s="115" t="s">
        <v>479</v>
      </c>
      <c r="B103" s="115" t="s">
        <v>477</v>
      </c>
      <c r="C103" s="115" t="s">
        <v>2</v>
      </c>
    </row>
    <row r="104" spans="1:3">
      <c r="A104" s="115" t="s">
        <v>522</v>
      </c>
      <c r="B104" s="115" t="s">
        <v>477</v>
      </c>
      <c r="C104" s="115" t="s">
        <v>2</v>
      </c>
    </row>
    <row r="105" spans="1:3">
      <c r="A105" s="115" t="s">
        <v>479</v>
      </c>
      <c r="B105" s="115" t="s">
        <v>477</v>
      </c>
      <c r="C105" s="115" t="s">
        <v>2</v>
      </c>
    </row>
    <row r="106" spans="1:3">
      <c r="A106" s="115" t="s">
        <v>479</v>
      </c>
      <c r="B106" s="115" t="s">
        <v>477</v>
      </c>
      <c r="C106" s="115" t="s">
        <v>2</v>
      </c>
    </row>
    <row r="107" spans="1:3">
      <c r="A107" s="115" t="s">
        <v>523</v>
      </c>
      <c r="B107" s="115" t="s">
        <v>477</v>
      </c>
      <c r="C107" s="115" t="s">
        <v>2</v>
      </c>
    </row>
    <row r="108" spans="1:3">
      <c r="A108" s="115" t="s">
        <v>505</v>
      </c>
      <c r="B108" s="115" t="s">
        <v>477</v>
      </c>
      <c r="C108" s="115" t="s">
        <v>2</v>
      </c>
    </row>
    <row r="109" spans="1:3">
      <c r="A109" s="115" t="s">
        <v>479</v>
      </c>
      <c r="B109" s="115" t="s">
        <v>477</v>
      </c>
      <c r="C109" s="115" t="s">
        <v>2</v>
      </c>
    </row>
    <row r="110" spans="1:3">
      <c r="A110" s="115" t="s">
        <v>479</v>
      </c>
      <c r="B110" s="115" t="s">
        <v>477</v>
      </c>
      <c r="C110" s="115" t="s">
        <v>6</v>
      </c>
    </row>
    <row r="111" spans="1:3">
      <c r="A111" s="115" t="s">
        <v>479</v>
      </c>
      <c r="B111" s="115" t="s">
        <v>477</v>
      </c>
      <c r="C111" s="115" t="s">
        <v>6</v>
      </c>
    </row>
    <row r="112" spans="1:3">
      <c r="A112" s="115" t="s">
        <v>479</v>
      </c>
      <c r="B112" s="115" t="s">
        <v>477</v>
      </c>
      <c r="C112" s="115" t="s">
        <v>6</v>
      </c>
    </row>
    <row r="113" spans="1:3">
      <c r="A113" s="115" t="s">
        <v>524</v>
      </c>
      <c r="B113" s="115" t="s">
        <v>477</v>
      </c>
      <c r="C113" s="115" t="s">
        <v>2</v>
      </c>
    </row>
    <row r="114" spans="1:3">
      <c r="A114" s="115" t="s">
        <v>479</v>
      </c>
      <c r="B114" s="115" t="s">
        <v>477</v>
      </c>
      <c r="C114" s="115" t="s">
        <v>2</v>
      </c>
    </row>
    <row r="115" spans="1:3">
      <c r="A115" s="115" t="s">
        <v>509</v>
      </c>
      <c r="B115" s="115" t="s">
        <v>477</v>
      </c>
      <c r="C115" s="115" t="s">
        <v>6</v>
      </c>
    </row>
    <row r="116" spans="1:3">
      <c r="A116" s="115" t="s">
        <v>504</v>
      </c>
      <c r="B116" s="115" t="s">
        <v>477</v>
      </c>
      <c r="C116" s="115" t="s">
        <v>2</v>
      </c>
    </row>
    <row r="117" spans="1:3">
      <c r="A117" s="115" t="s">
        <v>479</v>
      </c>
      <c r="B117" s="115" t="s">
        <v>477</v>
      </c>
      <c r="C117" s="115" t="s">
        <v>2</v>
      </c>
    </row>
    <row r="118" spans="1:3">
      <c r="A118" s="115" t="s">
        <v>519</v>
      </c>
      <c r="B118" s="115" t="s">
        <v>477</v>
      </c>
      <c r="C118" s="115" t="s">
        <v>6</v>
      </c>
    </row>
    <row r="119" spans="1:3">
      <c r="A119" s="115" t="s">
        <v>501</v>
      </c>
      <c r="B119" s="115" t="s">
        <v>477</v>
      </c>
      <c r="C119" s="115" t="s">
        <v>2</v>
      </c>
    </row>
    <row r="120" spans="1:3">
      <c r="A120" s="115" t="s">
        <v>525</v>
      </c>
      <c r="B120" s="115" t="s">
        <v>477</v>
      </c>
      <c r="C120" s="115" t="s">
        <v>6</v>
      </c>
    </row>
    <row r="121" spans="1:3">
      <c r="A121" s="115" t="s">
        <v>518</v>
      </c>
      <c r="B121" s="115" t="s">
        <v>477</v>
      </c>
      <c r="C121" s="115" t="s">
        <v>2</v>
      </c>
    </row>
    <row r="122" spans="1:3">
      <c r="A122" s="115" t="s">
        <v>510</v>
      </c>
      <c r="B122" s="115" t="s">
        <v>477</v>
      </c>
      <c r="C122" s="115" t="s">
        <v>2</v>
      </c>
    </row>
    <row r="123" spans="1:3">
      <c r="A123" s="115" t="s">
        <v>500</v>
      </c>
      <c r="B123" s="115" t="s">
        <v>477</v>
      </c>
      <c r="C123" s="115" t="s">
        <v>2</v>
      </c>
    </row>
    <row r="124" spans="1:3">
      <c r="A124" s="115" t="s">
        <v>512</v>
      </c>
      <c r="B124" s="115" t="s">
        <v>477</v>
      </c>
      <c r="C124" s="115" t="s">
        <v>2</v>
      </c>
    </row>
    <row r="125" spans="1:3">
      <c r="A125" s="115" t="s">
        <v>479</v>
      </c>
      <c r="B125" s="115" t="s">
        <v>477</v>
      </c>
      <c r="C125" s="115" t="s">
        <v>2</v>
      </c>
    </row>
    <row r="126" spans="1:3">
      <c r="A126" s="115" t="s">
        <v>526</v>
      </c>
      <c r="B126" s="115" t="s">
        <v>477</v>
      </c>
      <c r="C126" s="115" t="s">
        <v>2</v>
      </c>
    </row>
    <row r="127" spans="1:3">
      <c r="A127" s="115" t="s">
        <v>479</v>
      </c>
      <c r="B127" s="115" t="s">
        <v>477</v>
      </c>
      <c r="C127" s="115" t="s">
        <v>6</v>
      </c>
    </row>
    <row r="128" spans="1:3">
      <c r="A128" s="115" t="s">
        <v>502</v>
      </c>
      <c r="B128" s="115" t="s">
        <v>477</v>
      </c>
      <c r="C128" s="115" t="s">
        <v>6</v>
      </c>
    </row>
    <row r="129" spans="1:3">
      <c r="A129" s="115" t="s">
        <v>505</v>
      </c>
      <c r="B129" s="115" t="s">
        <v>21</v>
      </c>
      <c r="C129" s="115" t="s">
        <v>6</v>
      </c>
    </row>
    <row r="130" spans="1:3">
      <c r="A130" s="115" t="s">
        <v>498</v>
      </c>
      <c r="B130" s="115" t="s">
        <v>21</v>
      </c>
      <c r="C130" s="115" t="s">
        <v>2</v>
      </c>
    </row>
    <row r="131" spans="1:3">
      <c r="A131" s="115" t="s">
        <v>503</v>
      </c>
      <c r="B131" s="115" t="s">
        <v>477</v>
      </c>
      <c r="C131" s="115" t="s">
        <v>6</v>
      </c>
    </row>
    <row r="132" spans="1:3">
      <c r="A132" s="115" t="s">
        <v>479</v>
      </c>
      <c r="B132" s="115" t="s">
        <v>477</v>
      </c>
      <c r="C132" s="115" t="s">
        <v>2</v>
      </c>
    </row>
    <row r="133" spans="1:3">
      <c r="A133" s="115" t="s">
        <v>479</v>
      </c>
      <c r="B133" s="115" t="s">
        <v>477</v>
      </c>
      <c r="C133" s="115" t="s">
        <v>6</v>
      </c>
    </row>
    <row r="134" spans="1:3">
      <c r="A134" s="115" t="s">
        <v>509</v>
      </c>
      <c r="B134" s="115" t="s">
        <v>477</v>
      </c>
      <c r="C134" s="115" t="s">
        <v>2</v>
      </c>
    </row>
    <row r="135" spans="1:3">
      <c r="A135" s="115" t="s">
        <v>512</v>
      </c>
      <c r="B135" s="115" t="s">
        <v>21</v>
      </c>
      <c r="C135" s="115" t="s">
        <v>2</v>
      </c>
    </row>
    <row r="136" spans="1:3">
      <c r="A136" s="115" t="s">
        <v>503</v>
      </c>
      <c r="B136" s="115" t="s">
        <v>21</v>
      </c>
      <c r="C136" s="115" t="s">
        <v>2</v>
      </c>
    </row>
    <row r="137" spans="1:3">
      <c r="A137" s="115" t="s">
        <v>512</v>
      </c>
      <c r="B137" s="115" t="s">
        <v>477</v>
      </c>
      <c r="C137" s="115" t="s">
        <v>6</v>
      </c>
    </row>
    <row r="138" spans="1:3">
      <c r="A138" s="115" t="s">
        <v>513</v>
      </c>
      <c r="B138" s="115" t="s">
        <v>21</v>
      </c>
      <c r="C138" s="115" t="s">
        <v>2</v>
      </c>
    </row>
    <row r="139" spans="1:3">
      <c r="A139" s="115" t="s">
        <v>502</v>
      </c>
      <c r="B139" s="115" t="s">
        <v>477</v>
      </c>
      <c r="C139" s="115" t="s">
        <v>6</v>
      </c>
    </row>
    <row r="140" spans="1:3">
      <c r="A140" s="115" t="s">
        <v>506</v>
      </c>
      <c r="B140" s="115" t="s">
        <v>21</v>
      </c>
      <c r="C140" s="115" t="s">
        <v>6</v>
      </c>
    </row>
    <row r="141" spans="1:3">
      <c r="A141" s="115" t="s">
        <v>505</v>
      </c>
      <c r="B141" s="115" t="s">
        <v>21</v>
      </c>
      <c r="C141" s="115" t="s">
        <v>2</v>
      </c>
    </row>
    <row r="142" spans="1:3">
      <c r="A142" s="115" t="s">
        <v>505</v>
      </c>
      <c r="B142" s="115" t="s">
        <v>477</v>
      </c>
      <c r="C142" s="115" t="s">
        <v>6</v>
      </c>
    </row>
    <row r="143" spans="1:3">
      <c r="A143" s="115" t="s">
        <v>527</v>
      </c>
      <c r="B143" s="115" t="s">
        <v>477</v>
      </c>
      <c r="C143" s="115" t="s">
        <v>6</v>
      </c>
    </row>
    <row r="144" spans="1:3">
      <c r="A144" s="115" t="s">
        <v>479</v>
      </c>
      <c r="B144" s="115" t="s">
        <v>477</v>
      </c>
      <c r="C144" s="115" t="s">
        <v>6</v>
      </c>
    </row>
    <row r="145" spans="1:3">
      <c r="A145" s="115" t="s">
        <v>502</v>
      </c>
      <c r="B145" s="115" t="s">
        <v>477</v>
      </c>
      <c r="C145" s="115" t="s">
        <v>2</v>
      </c>
    </row>
    <row r="146" spans="1:3">
      <c r="A146" s="115" t="s">
        <v>479</v>
      </c>
      <c r="B146" s="115" t="s">
        <v>477</v>
      </c>
      <c r="C146" s="115" t="s">
        <v>2</v>
      </c>
    </row>
    <row r="147" spans="1:3">
      <c r="A147" s="115" t="s">
        <v>479</v>
      </c>
      <c r="B147" s="115" t="s">
        <v>477</v>
      </c>
      <c r="C147" s="115" t="s">
        <v>6</v>
      </c>
    </row>
    <row r="148" spans="1:3">
      <c r="A148" s="115" t="s">
        <v>479</v>
      </c>
      <c r="B148" s="115" t="s">
        <v>477</v>
      </c>
      <c r="C148" s="115" t="s">
        <v>6</v>
      </c>
    </row>
    <row r="149" spans="1:3">
      <c r="A149" s="115" t="s">
        <v>479</v>
      </c>
      <c r="B149" s="115" t="s">
        <v>477</v>
      </c>
      <c r="C149" s="115" t="s">
        <v>6</v>
      </c>
    </row>
    <row r="150" spans="1:3">
      <c r="A150" s="115" t="s">
        <v>479</v>
      </c>
      <c r="B150" s="115" t="s">
        <v>477</v>
      </c>
      <c r="C150" s="115" t="s">
        <v>6</v>
      </c>
    </row>
    <row r="151" spans="1:3">
      <c r="A151" s="115" t="s">
        <v>479</v>
      </c>
      <c r="B151" s="115" t="s">
        <v>477</v>
      </c>
      <c r="C151" s="115" t="s">
        <v>6</v>
      </c>
    </row>
    <row r="152" spans="1:3">
      <c r="A152" s="115" t="s">
        <v>479</v>
      </c>
      <c r="B152" s="115" t="s">
        <v>477</v>
      </c>
      <c r="C152" s="115" t="s">
        <v>2</v>
      </c>
    </row>
    <row r="153" spans="1:3">
      <c r="A153" s="115" t="s">
        <v>512</v>
      </c>
      <c r="B153" s="115" t="s">
        <v>477</v>
      </c>
      <c r="C153" s="115" t="s">
        <v>2</v>
      </c>
    </row>
    <row r="154" spans="1:3">
      <c r="A154" s="115" t="s">
        <v>528</v>
      </c>
      <c r="B154" s="115" t="s">
        <v>477</v>
      </c>
      <c r="C154" s="115" t="s">
        <v>6</v>
      </c>
    </row>
    <row r="155" spans="1:3">
      <c r="A155" s="115" t="s">
        <v>479</v>
      </c>
      <c r="B155" s="115" t="s">
        <v>477</v>
      </c>
      <c r="C155" s="115" t="s">
        <v>6</v>
      </c>
    </row>
    <row r="156" spans="1:3">
      <c r="A156" s="115" t="s">
        <v>505</v>
      </c>
      <c r="B156" s="115" t="s">
        <v>477</v>
      </c>
      <c r="C156" s="115" t="s">
        <v>6</v>
      </c>
    </row>
    <row r="157" spans="1:3">
      <c r="A157" s="115" t="s">
        <v>479</v>
      </c>
      <c r="B157" s="115" t="s">
        <v>477</v>
      </c>
      <c r="C157" s="115" t="s">
        <v>2</v>
      </c>
    </row>
    <row r="158" spans="1:3">
      <c r="A158" s="115" t="s">
        <v>501</v>
      </c>
      <c r="B158" s="115" t="s">
        <v>477</v>
      </c>
      <c r="C158" s="115" t="s">
        <v>2</v>
      </c>
    </row>
    <row r="159" spans="1:3">
      <c r="A159" s="115" t="s">
        <v>498</v>
      </c>
      <c r="B159" s="115" t="s">
        <v>477</v>
      </c>
      <c r="C159" s="115" t="s">
        <v>2</v>
      </c>
    </row>
    <row r="160" spans="1:3">
      <c r="A160" s="115" t="s">
        <v>512</v>
      </c>
      <c r="B160" s="115" t="s">
        <v>477</v>
      </c>
      <c r="C160" s="115" t="s">
        <v>2</v>
      </c>
    </row>
    <row r="161" spans="1:3">
      <c r="A161" s="115" t="s">
        <v>509</v>
      </c>
      <c r="B161" s="115" t="s">
        <v>477</v>
      </c>
      <c r="C161" s="115" t="s">
        <v>6</v>
      </c>
    </row>
    <row r="162" spans="1:3">
      <c r="A162" s="115" t="s">
        <v>508</v>
      </c>
      <c r="B162" s="115" t="s">
        <v>477</v>
      </c>
      <c r="C162" s="115" t="s">
        <v>6</v>
      </c>
    </row>
    <row r="163" spans="1:3">
      <c r="A163" s="115" t="s">
        <v>512</v>
      </c>
      <c r="B163" s="115" t="s">
        <v>21</v>
      </c>
      <c r="C163" s="115" t="s">
        <v>6</v>
      </c>
    </row>
    <row r="164" spans="1:3">
      <c r="A164" s="115" t="s">
        <v>513</v>
      </c>
      <c r="B164" s="115" t="s">
        <v>21</v>
      </c>
      <c r="C164" s="115" t="s">
        <v>2</v>
      </c>
    </row>
    <row r="165" spans="1:3">
      <c r="A165" s="115" t="s">
        <v>178</v>
      </c>
      <c r="B165" s="115" t="s">
        <v>21</v>
      </c>
      <c r="C165" s="115" t="s">
        <v>2</v>
      </c>
    </row>
    <row r="166" spans="1:3">
      <c r="A166" s="115" t="s">
        <v>498</v>
      </c>
      <c r="B166" s="115" t="s">
        <v>21</v>
      </c>
      <c r="C166" s="115" t="s">
        <v>6</v>
      </c>
    </row>
    <row r="167" spans="1:3">
      <c r="A167" s="115" t="s">
        <v>529</v>
      </c>
      <c r="B167" s="115" t="s">
        <v>477</v>
      </c>
      <c r="C167" s="115" t="s">
        <v>6</v>
      </c>
    </row>
    <row r="168" spans="1:3">
      <c r="A168" s="115" t="s">
        <v>479</v>
      </c>
      <c r="B168" s="115" t="s">
        <v>477</v>
      </c>
      <c r="C168" s="115" t="s">
        <v>6</v>
      </c>
    </row>
    <row r="169" spans="1:3">
      <c r="A169" s="115" t="s">
        <v>502</v>
      </c>
      <c r="B169" s="115" t="s">
        <v>477</v>
      </c>
      <c r="C169" s="115" t="s">
        <v>6</v>
      </c>
    </row>
    <row r="170" spans="1:3">
      <c r="A170" s="115" t="s">
        <v>503</v>
      </c>
      <c r="B170" s="115" t="s">
        <v>477</v>
      </c>
      <c r="C170" s="115" t="s">
        <v>6</v>
      </c>
    </row>
    <row r="171" spans="1:3">
      <c r="A171" s="115" t="s">
        <v>479</v>
      </c>
      <c r="B171" s="115" t="s">
        <v>477</v>
      </c>
      <c r="C171" s="115" t="s">
        <v>2</v>
      </c>
    </row>
    <row r="172" spans="1:3">
      <c r="A172" s="115" t="s">
        <v>502</v>
      </c>
      <c r="B172" s="115" t="s">
        <v>477</v>
      </c>
      <c r="C172" s="115" t="s">
        <v>6</v>
      </c>
    </row>
    <row r="173" spans="1:3">
      <c r="A173" s="115" t="s">
        <v>531</v>
      </c>
      <c r="B173" s="115" t="s">
        <v>477</v>
      </c>
      <c r="C173" s="115" t="s">
        <v>2</v>
      </c>
    </row>
    <row r="174" spans="1:3">
      <c r="A174" s="115" t="s">
        <v>503</v>
      </c>
      <c r="B174" s="115" t="s">
        <v>477</v>
      </c>
      <c r="C174" s="115" t="s">
        <v>2</v>
      </c>
    </row>
    <row r="175" spans="1:3">
      <c r="A175" s="115" t="s">
        <v>528</v>
      </c>
      <c r="B175" s="115" t="s">
        <v>477</v>
      </c>
      <c r="C175" s="115" t="s">
        <v>2</v>
      </c>
    </row>
    <row r="176" spans="1:3">
      <c r="A176" s="115" t="s">
        <v>503</v>
      </c>
      <c r="B176" s="115" t="s">
        <v>477</v>
      </c>
      <c r="C176" s="115" t="s">
        <v>6</v>
      </c>
    </row>
    <row r="177" spans="1:3">
      <c r="A177" s="115" t="s">
        <v>478</v>
      </c>
      <c r="B177" s="115" t="s">
        <v>477</v>
      </c>
      <c r="C177" s="115" t="s">
        <v>2</v>
      </c>
    </row>
    <row r="178" spans="1:3">
      <c r="A178" s="115" t="s">
        <v>502</v>
      </c>
      <c r="B178" s="115" t="s">
        <v>477</v>
      </c>
      <c r="C178" s="115" t="s">
        <v>2</v>
      </c>
    </row>
    <row r="179" spans="1:3">
      <c r="A179" s="115" t="s">
        <v>479</v>
      </c>
      <c r="B179" s="115" t="s">
        <v>477</v>
      </c>
      <c r="C179" s="115" t="s">
        <v>2</v>
      </c>
    </row>
    <row r="180" spans="1:3">
      <c r="A180" s="115" t="s">
        <v>519</v>
      </c>
      <c r="B180" s="115" t="s">
        <v>477</v>
      </c>
      <c r="C180" s="115" t="s">
        <v>2</v>
      </c>
    </row>
    <row r="181" spans="1:3">
      <c r="A181" s="115" t="s">
        <v>502</v>
      </c>
      <c r="B181" s="115" t="s">
        <v>477</v>
      </c>
      <c r="C181" s="115" t="s">
        <v>2</v>
      </c>
    </row>
    <row r="182" spans="1:3">
      <c r="A182" s="115" t="s">
        <v>479</v>
      </c>
      <c r="B182" s="115" t="s">
        <v>477</v>
      </c>
      <c r="C182" s="115" t="s">
        <v>2</v>
      </c>
    </row>
    <row r="183" spans="1:3">
      <c r="A183" s="115" t="s">
        <v>509</v>
      </c>
      <c r="B183" s="115" t="s">
        <v>477</v>
      </c>
      <c r="C183" s="115" t="s">
        <v>2</v>
      </c>
    </row>
    <row r="184" spans="1:3">
      <c r="A184" s="115" t="s">
        <v>479</v>
      </c>
      <c r="B184" s="115" t="s">
        <v>477</v>
      </c>
      <c r="C184" s="115" t="s">
        <v>2</v>
      </c>
    </row>
    <row r="185" spans="1:3">
      <c r="A185" s="115" t="s">
        <v>479</v>
      </c>
      <c r="B185" s="115" t="s">
        <v>477</v>
      </c>
      <c r="C185" s="115" t="s">
        <v>2</v>
      </c>
    </row>
    <row r="186" spans="1:3">
      <c r="A186" s="115" t="s">
        <v>498</v>
      </c>
      <c r="B186" s="115" t="s">
        <v>477</v>
      </c>
      <c r="C186" s="115" t="s">
        <v>6</v>
      </c>
    </row>
    <row r="187" spans="1:3">
      <c r="A187" s="115" t="s">
        <v>504</v>
      </c>
      <c r="B187" s="115" t="s">
        <v>477</v>
      </c>
      <c r="C187" s="115" t="s">
        <v>6</v>
      </c>
    </row>
    <row r="188" spans="1:3">
      <c r="A188" s="115" t="s">
        <v>498</v>
      </c>
      <c r="B188" s="115" t="s">
        <v>477</v>
      </c>
      <c r="C188" s="115" t="s">
        <v>6</v>
      </c>
    </row>
    <row r="189" spans="1:3">
      <c r="A189" s="115" t="s">
        <v>498</v>
      </c>
      <c r="B189" s="115" t="s">
        <v>477</v>
      </c>
      <c r="C189" s="115" t="s">
        <v>6</v>
      </c>
    </row>
    <row r="190" spans="1:3">
      <c r="A190" s="115" t="s">
        <v>479</v>
      </c>
      <c r="B190" s="115" t="s">
        <v>477</v>
      </c>
      <c r="C190" s="115" t="s">
        <v>2</v>
      </c>
    </row>
    <row r="191" spans="1:3">
      <c r="A191" s="115" t="s">
        <v>478</v>
      </c>
      <c r="B191" s="115" t="s">
        <v>477</v>
      </c>
      <c r="C191" s="115" t="s">
        <v>6</v>
      </c>
    </row>
    <row r="192" spans="1:3">
      <c r="A192" s="115" t="s">
        <v>178</v>
      </c>
      <c r="B192" s="115" t="s">
        <v>21</v>
      </c>
      <c r="C192" s="115" t="s">
        <v>2</v>
      </c>
    </row>
    <row r="193" spans="1:3">
      <c r="A193" s="115" t="s">
        <v>513</v>
      </c>
      <c r="B193" s="115" t="s">
        <v>21</v>
      </c>
      <c r="C193" s="115" t="s">
        <v>6</v>
      </c>
    </row>
    <row r="194" spans="1:3">
      <c r="A194" s="115" t="s">
        <v>504</v>
      </c>
      <c r="B194" s="115" t="s">
        <v>21</v>
      </c>
      <c r="C194" s="115" t="s">
        <v>6</v>
      </c>
    </row>
    <row r="195" spans="1:3">
      <c r="A195" s="115" t="s">
        <v>505</v>
      </c>
      <c r="B195" s="115" t="s">
        <v>21</v>
      </c>
      <c r="C195" s="115" t="s">
        <v>6</v>
      </c>
    </row>
    <row r="196" spans="1:3">
      <c r="A196" s="115" t="s">
        <v>504</v>
      </c>
      <c r="B196" s="115" t="s">
        <v>21</v>
      </c>
      <c r="C196" s="115" t="s">
        <v>6</v>
      </c>
    </row>
    <row r="197" spans="1:3">
      <c r="A197" s="115" t="s">
        <v>528</v>
      </c>
      <c r="B197" s="115" t="s">
        <v>477</v>
      </c>
      <c r="C197" s="115" t="s">
        <v>6</v>
      </c>
    </row>
    <row r="198" spans="1:3">
      <c r="A198" s="115" t="s">
        <v>479</v>
      </c>
      <c r="B198" s="115" t="s">
        <v>477</v>
      </c>
      <c r="C198" s="115" t="s">
        <v>2</v>
      </c>
    </row>
    <row r="199" spans="1:3">
      <c r="A199" s="115" t="s">
        <v>517</v>
      </c>
      <c r="B199" s="115" t="s">
        <v>477</v>
      </c>
      <c r="C199" s="115" t="s">
        <v>2</v>
      </c>
    </row>
    <row r="200" spans="1:3">
      <c r="A200" s="115" t="s">
        <v>528</v>
      </c>
      <c r="B200" s="115" t="s">
        <v>477</v>
      </c>
      <c r="C200" s="115" t="s">
        <v>6</v>
      </c>
    </row>
    <row r="201" spans="1:3">
      <c r="A201" s="115" t="s">
        <v>528</v>
      </c>
      <c r="B201" s="115" t="s">
        <v>477</v>
      </c>
      <c r="C201" s="115" t="s">
        <v>6</v>
      </c>
    </row>
    <row r="202" spans="1:3">
      <c r="A202" s="115" t="s">
        <v>502</v>
      </c>
      <c r="B202" s="115" t="s">
        <v>477</v>
      </c>
      <c r="C202" s="115" t="s">
        <v>6</v>
      </c>
    </row>
    <row r="203" spans="1:3">
      <c r="A203" s="115" t="s">
        <v>502</v>
      </c>
      <c r="B203" s="115" t="s">
        <v>477</v>
      </c>
      <c r="C203" s="115" t="s">
        <v>2</v>
      </c>
    </row>
    <row r="204" spans="1:3">
      <c r="A204" s="115" t="s">
        <v>523</v>
      </c>
      <c r="B204" s="115" t="s">
        <v>477</v>
      </c>
      <c r="C204" s="115" t="s">
        <v>6</v>
      </c>
    </row>
    <row r="205" spans="1:3">
      <c r="A205" s="115" t="s">
        <v>517</v>
      </c>
      <c r="B205" s="115" t="s">
        <v>477</v>
      </c>
      <c r="C205" s="115" t="s">
        <v>6</v>
      </c>
    </row>
    <row r="206" spans="1:3">
      <c r="A206" s="115" t="s">
        <v>498</v>
      </c>
      <c r="B206" s="115" t="s">
        <v>477</v>
      </c>
      <c r="C206" s="115" t="s">
        <v>6</v>
      </c>
    </row>
    <row r="207" spans="1:3">
      <c r="A207" s="115" t="s">
        <v>502</v>
      </c>
      <c r="B207" s="115" t="s">
        <v>477</v>
      </c>
      <c r="C207" s="115" t="s">
        <v>6</v>
      </c>
    </row>
    <row r="208" spans="1:3">
      <c r="A208" s="115" t="s">
        <v>501</v>
      </c>
      <c r="B208" s="115" t="s">
        <v>477</v>
      </c>
      <c r="C208" s="115" t="s">
        <v>2</v>
      </c>
    </row>
    <row r="209" spans="1:3">
      <c r="A209" s="115" t="s">
        <v>505</v>
      </c>
      <c r="B209" s="115" t="s">
        <v>477</v>
      </c>
      <c r="C209" s="115" t="s">
        <v>2</v>
      </c>
    </row>
    <row r="210" spans="1:3">
      <c r="A210" s="115" t="s">
        <v>516</v>
      </c>
      <c r="B210" s="115" t="s">
        <v>477</v>
      </c>
      <c r="C210" s="115" t="s">
        <v>2</v>
      </c>
    </row>
    <row r="211" spans="1:3">
      <c r="A211" s="115" t="s">
        <v>500</v>
      </c>
      <c r="B211" s="115" t="s">
        <v>477</v>
      </c>
      <c r="C211" s="115" t="s">
        <v>6</v>
      </c>
    </row>
    <row r="212" spans="1:3">
      <c r="A212" s="115" t="s">
        <v>512</v>
      </c>
      <c r="B212" s="115" t="s">
        <v>477</v>
      </c>
      <c r="C212" s="115" t="s">
        <v>6</v>
      </c>
    </row>
    <row r="213" spans="1:3">
      <c r="A213" s="115" t="s">
        <v>479</v>
      </c>
      <c r="B213" s="115" t="s">
        <v>477</v>
      </c>
      <c r="C213" s="115" t="s">
        <v>2</v>
      </c>
    </row>
    <row r="214" spans="1:3">
      <c r="A214" s="115" t="s">
        <v>178</v>
      </c>
      <c r="B214" s="115" t="s">
        <v>477</v>
      </c>
      <c r="C214" s="115" t="s">
        <v>2</v>
      </c>
    </row>
    <row r="215" spans="1:3">
      <c r="A215" s="115" t="s">
        <v>506</v>
      </c>
      <c r="B215" s="115" t="s">
        <v>21</v>
      </c>
      <c r="C215" s="115" t="s">
        <v>2</v>
      </c>
    </row>
    <row r="216" spans="1:3">
      <c r="A216" s="115" t="s">
        <v>498</v>
      </c>
      <c r="B216" s="115" t="s">
        <v>21</v>
      </c>
      <c r="C216" s="115" t="s">
        <v>2</v>
      </c>
    </row>
    <row r="217" spans="1:3">
      <c r="A217" s="115" t="s">
        <v>479</v>
      </c>
      <c r="B217" s="115" t="s">
        <v>477</v>
      </c>
      <c r="C217" s="115" t="s">
        <v>2</v>
      </c>
    </row>
    <row r="218" spans="1:3">
      <c r="A218" s="115" t="s">
        <v>479</v>
      </c>
      <c r="B218" s="115" t="s">
        <v>477</v>
      </c>
      <c r="C218" s="115" t="s">
        <v>2</v>
      </c>
    </row>
    <row r="219" spans="1:3">
      <c r="A219" s="115" t="s">
        <v>500</v>
      </c>
      <c r="B219" s="115" t="s">
        <v>477</v>
      </c>
      <c r="C219" s="115" t="s">
        <v>6</v>
      </c>
    </row>
    <row r="220" spans="1:3">
      <c r="A220" s="115" t="s">
        <v>479</v>
      </c>
      <c r="B220" s="115" t="s">
        <v>477</v>
      </c>
      <c r="C220" s="115" t="s">
        <v>6</v>
      </c>
    </row>
    <row r="221" spans="1:3">
      <c r="A221" s="115" t="s">
        <v>479</v>
      </c>
      <c r="B221" s="115" t="s">
        <v>477</v>
      </c>
      <c r="C221" s="115" t="s">
        <v>6</v>
      </c>
    </row>
    <row r="222" spans="1:3">
      <c r="A222" s="115" t="s">
        <v>500</v>
      </c>
      <c r="B222" s="115" t="s">
        <v>477</v>
      </c>
      <c r="C222" s="115" t="s">
        <v>6</v>
      </c>
    </row>
    <row r="223" spans="1:3">
      <c r="A223" s="115" t="s">
        <v>500</v>
      </c>
      <c r="B223" s="115" t="s">
        <v>477</v>
      </c>
      <c r="C223" s="115" t="s">
        <v>6</v>
      </c>
    </row>
    <row r="224" spans="1:3">
      <c r="A224" s="115" t="s">
        <v>502</v>
      </c>
      <c r="B224" s="115" t="s">
        <v>477</v>
      </c>
      <c r="C224" s="115" t="s">
        <v>2</v>
      </c>
    </row>
    <row r="225" spans="1:3">
      <c r="A225" s="115" t="s">
        <v>498</v>
      </c>
      <c r="B225" s="115" t="s">
        <v>477</v>
      </c>
      <c r="C225" s="115" t="s">
        <v>6</v>
      </c>
    </row>
    <row r="226" spans="1:3">
      <c r="A226" s="115" t="s">
        <v>479</v>
      </c>
      <c r="B226" s="115" t="s">
        <v>477</v>
      </c>
      <c r="C226" s="115" t="s">
        <v>6</v>
      </c>
    </row>
    <row r="227" spans="1:3">
      <c r="A227" s="115" t="s">
        <v>500</v>
      </c>
      <c r="B227" s="115" t="s">
        <v>477</v>
      </c>
      <c r="C227" s="115" t="s">
        <v>6</v>
      </c>
    </row>
    <row r="228" spans="1:3">
      <c r="A228" s="115" t="s">
        <v>500</v>
      </c>
      <c r="B228" s="115" t="s">
        <v>477</v>
      </c>
      <c r="C228" s="115" t="s">
        <v>6</v>
      </c>
    </row>
    <row r="229" spans="1:3">
      <c r="A229" s="115" t="s">
        <v>506</v>
      </c>
      <c r="B229" s="115" t="s">
        <v>477</v>
      </c>
      <c r="C229" s="115" t="s">
        <v>2</v>
      </c>
    </row>
    <row r="230" spans="1:3">
      <c r="A230" s="115" t="s">
        <v>479</v>
      </c>
      <c r="B230" s="115" t="s">
        <v>477</v>
      </c>
      <c r="C230" s="115" t="s">
        <v>2</v>
      </c>
    </row>
    <row r="231" spans="1:3">
      <c r="A231" s="115" t="s">
        <v>527</v>
      </c>
      <c r="B231" s="115" t="s">
        <v>477</v>
      </c>
      <c r="C231" s="115" t="s">
        <v>6</v>
      </c>
    </row>
    <row r="232" spans="1:3">
      <c r="A232" s="115" t="s">
        <v>505</v>
      </c>
      <c r="B232" s="115" t="s">
        <v>477</v>
      </c>
      <c r="C232" s="115" t="s">
        <v>6</v>
      </c>
    </row>
    <row r="233" spans="1:3">
      <c r="A233" s="115" t="s">
        <v>479</v>
      </c>
      <c r="B233" s="115" t="s">
        <v>477</v>
      </c>
      <c r="C233" s="115" t="s">
        <v>6</v>
      </c>
    </row>
    <row r="234" spans="1:3">
      <c r="A234" s="115" t="s">
        <v>498</v>
      </c>
      <c r="B234" s="115" t="s">
        <v>477</v>
      </c>
      <c r="C234" s="115" t="s">
        <v>6</v>
      </c>
    </row>
    <row r="235" spans="1:3">
      <c r="A235" s="115" t="s">
        <v>479</v>
      </c>
      <c r="B235" s="115" t="s">
        <v>477</v>
      </c>
      <c r="C235" s="115" t="s">
        <v>6</v>
      </c>
    </row>
    <row r="236" spans="1:3">
      <c r="A236" s="115" t="s">
        <v>520</v>
      </c>
      <c r="B236" s="115" t="s">
        <v>477</v>
      </c>
      <c r="C236" s="115" t="s">
        <v>2</v>
      </c>
    </row>
    <row r="237" spans="1:3">
      <c r="A237" s="115" t="s">
        <v>498</v>
      </c>
      <c r="B237" s="115" t="s">
        <v>477</v>
      </c>
      <c r="C237" s="115" t="s">
        <v>6</v>
      </c>
    </row>
    <row r="238" spans="1:3">
      <c r="A238" s="115" t="s">
        <v>479</v>
      </c>
      <c r="B238" s="115" t="s">
        <v>477</v>
      </c>
      <c r="C238" s="115" t="s">
        <v>2</v>
      </c>
    </row>
    <row r="239" spans="1:3">
      <c r="A239" s="115" t="s">
        <v>502</v>
      </c>
      <c r="B239" s="115" t="s">
        <v>477</v>
      </c>
      <c r="C239" s="115" t="s">
        <v>6</v>
      </c>
    </row>
    <row r="240" spans="1:3">
      <c r="A240" s="115" t="s">
        <v>520</v>
      </c>
      <c r="B240" s="115" t="s">
        <v>477</v>
      </c>
      <c r="C240" s="115" t="s">
        <v>6</v>
      </c>
    </row>
    <row r="241" spans="1:3">
      <c r="A241" s="115" t="s">
        <v>479</v>
      </c>
      <c r="B241" s="115" t="s">
        <v>477</v>
      </c>
      <c r="C241" s="115" t="s">
        <v>6</v>
      </c>
    </row>
    <row r="242" spans="1:3">
      <c r="A242" s="115" t="s">
        <v>502</v>
      </c>
      <c r="B242" s="115" t="s">
        <v>477</v>
      </c>
      <c r="C242" s="115" t="s">
        <v>2</v>
      </c>
    </row>
    <row r="243" spans="1:3">
      <c r="A243" s="115" t="s">
        <v>479</v>
      </c>
      <c r="B243" s="115" t="s">
        <v>477</v>
      </c>
      <c r="C243" s="115" t="s">
        <v>6</v>
      </c>
    </row>
    <row r="244" spans="1:3">
      <c r="A244" s="115" t="s">
        <v>529</v>
      </c>
      <c r="B244" s="115" t="s">
        <v>477</v>
      </c>
      <c r="C244" s="115" t="s">
        <v>2</v>
      </c>
    </row>
    <row r="245" spans="1:3">
      <c r="A245" s="115" t="s">
        <v>479</v>
      </c>
      <c r="B245" s="115" t="s">
        <v>477</v>
      </c>
      <c r="C245" s="115" t="s">
        <v>6</v>
      </c>
    </row>
    <row r="246" spans="1:3">
      <c r="A246" s="115" t="s">
        <v>515</v>
      </c>
      <c r="B246" s="115" t="s">
        <v>477</v>
      </c>
      <c r="C246" s="115" t="s">
        <v>6</v>
      </c>
    </row>
    <row r="247" spans="1:3">
      <c r="A247" s="115" t="s">
        <v>503</v>
      </c>
      <c r="B247" s="115" t="s">
        <v>477</v>
      </c>
      <c r="C247" s="115" t="s">
        <v>2</v>
      </c>
    </row>
    <row r="248" spans="1:3">
      <c r="A248" s="115" t="s">
        <v>500</v>
      </c>
      <c r="B248" s="115" t="s">
        <v>477</v>
      </c>
      <c r="C248" s="115" t="s">
        <v>6</v>
      </c>
    </row>
    <row r="249" spans="1:3">
      <c r="A249" s="115" t="s">
        <v>498</v>
      </c>
      <c r="B249" s="115" t="s">
        <v>477</v>
      </c>
      <c r="C249" s="115" t="s">
        <v>6</v>
      </c>
    </row>
    <row r="250" spans="1:3">
      <c r="A250" s="115" t="s">
        <v>525</v>
      </c>
      <c r="B250" s="115" t="s">
        <v>477</v>
      </c>
      <c r="C250" s="115" t="s">
        <v>2</v>
      </c>
    </row>
    <row r="251" spans="1:3">
      <c r="A251" s="115" t="s">
        <v>479</v>
      </c>
      <c r="B251" s="115" t="s">
        <v>477</v>
      </c>
      <c r="C251" s="115" t="s">
        <v>6</v>
      </c>
    </row>
    <row r="252" spans="1:3">
      <c r="A252" s="115" t="s">
        <v>479</v>
      </c>
      <c r="B252" s="115" t="s">
        <v>477</v>
      </c>
      <c r="C252" s="115" t="s">
        <v>2</v>
      </c>
    </row>
    <row r="253" spans="1:3">
      <c r="A253" s="115" t="s">
        <v>505</v>
      </c>
      <c r="B253" s="115" t="s">
        <v>477</v>
      </c>
      <c r="C253" s="115" t="s">
        <v>6</v>
      </c>
    </row>
    <row r="254" spans="1:3">
      <c r="A254" s="115" t="s">
        <v>502</v>
      </c>
      <c r="B254" s="115" t="s">
        <v>477</v>
      </c>
      <c r="C254" s="115" t="s">
        <v>6</v>
      </c>
    </row>
    <row r="255" spans="1:3">
      <c r="A255" s="115" t="s">
        <v>479</v>
      </c>
      <c r="B255" s="115" t="s">
        <v>477</v>
      </c>
      <c r="C255" s="115" t="s">
        <v>6</v>
      </c>
    </row>
    <row r="256" spans="1:3">
      <c r="A256" s="115" t="s">
        <v>528</v>
      </c>
      <c r="B256" s="115" t="s">
        <v>21</v>
      </c>
      <c r="C256" s="115" t="s">
        <v>2</v>
      </c>
    </row>
    <row r="257" spans="1:3">
      <c r="A257" s="115" t="s">
        <v>532</v>
      </c>
      <c r="B257" s="115" t="s">
        <v>21</v>
      </c>
      <c r="C257" s="115" t="s">
        <v>6</v>
      </c>
    </row>
    <row r="258" spans="1:3">
      <c r="A258" s="115" t="s">
        <v>513</v>
      </c>
      <c r="B258" s="115" t="s">
        <v>21</v>
      </c>
      <c r="C258" s="115" t="s">
        <v>6</v>
      </c>
    </row>
    <row r="259" spans="1:3">
      <c r="A259" s="115" t="s">
        <v>505</v>
      </c>
      <c r="B259" s="115" t="s">
        <v>21</v>
      </c>
      <c r="C259" s="115" t="s">
        <v>2</v>
      </c>
    </row>
    <row r="260" spans="1:3">
      <c r="A260" s="115" t="s">
        <v>528</v>
      </c>
      <c r="B260" s="115" t="s">
        <v>477</v>
      </c>
      <c r="C260" s="115" t="s">
        <v>6</v>
      </c>
    </row>
    <row r="261" spans="1:3">
      <c r="A261" s="115" t="s">
        <v>506</v>
      </c>
      <c r="B261" s="115" t="s">
        <v>21</v>
      </c>
      <c r="C261" s="115" t="s">
        <v>6</v>
      </c>
    </row>
    <row r="262" spans="1:3">
      <c r="A262" s="115" t="s">
        <v>524</v>
      </c>
      <c r="B262" s="115" t="s">
        <v>21</v>
      </c>
      <c r="C262" s="115" t="s">
        <v>2</v>
      </c>
    </row>
    <row r="263" spans="1:3">
      <c r="A263" s="115" t="s">
        <v>504</v>
      </c>
      <c r="B263" s="115" t="s">
        <v>21</v>
      </c>
      <c r="C263" s="115" t="s">
        <v>6</v>
      </c>
    </row>
    <row r="264" spans="1:3">
      <c r="A264" s="115" t="s">
        <v>178</v>
      </c>
      <c r="B264" s="115" t="s">
        <v>21</v>
      </c>
      <c r="C264" s="115" t="s">
        <v>6</v>
      </c>
    </row>
    <row r="265" spans="1:3">
      <c r="A265" s="115" t="s">
        <v>178</v>
      </c>
      <c r="B265" s="115" t="s">
        <v>477</v>
      </c>
      <c r="C265" s="115" t="s">
        <v>2</v>
      </c>
    </row>
    <row r="266" spans="1:3">
      <c r="A266" s="115" t="s">
        <v>506</v>
      </c>
      <c r="B266" s="115" t="s">
        <v>477</v>
      </c>
      <c r="C266" s="115" t="s">
        <v>6</v>
      </c>
    </row>
    <row r="267" spans="1:3">
      <c r="A267" s="115" t="s">
        <v>528</v>
      </c>
      <c r="B267" s="115" t="s">
        <v>477</v>
      </c>
      <c r="C267" s="115" t="s">
        <v>2</v>
      </c>
    </row>
    <row r="268" spans="1:3">
      <c r="A268" s="115" t="s">
        <v>479</v>
      </c>
      <c r="B268" s="115" t="s">
        <v>477</v>
      </c>
      <c r="C268" s="115" t="s">
        <v>6</v>
      </c>
    </row>
    <row r="269" spans="1:3">
      <c r="A269" s="115" t="s">
        <v>498</v>
      </c>
      <c r="B269" s="115" t="s">
        <v>477</v>
      </c>
      <c r="C269" s="115" t="s">
        <v>2</v>
      </c>
    </row>
    <row r="270" spans="1:3">
      <c r="A270" s="115" t="s">
        <v>519</v>
      </c>
      <c r="B270" s="115" t="s">
        <v>477</v>
      </c>
      <c r="C270" s="115" t="s">
        <v>6</v>
      </c>
    </row>
    <row r="271" spans="1:3">
      <c r="A271" s="115" t="s">
        <v>502</v>
      </c>
      <c r="B271" s="115" t="s">
        <v>477</v>
      </c>
      <c r="C271" s="115" t="s">
        <v>6</v>
      </c>
    </row>
    <row r="272" spans="1:3">
      <c r="A272" s="115" t="s">
        <v>498</v>
      </c>
      <c r="B272" s="115" t="s">
        <v>477</v>
      </c>
      <c r="C272" s="115" t="s">
        <v>2</v>
      </c>
    </row>
    <row r="273" spans="1:3">
      <c r="A273" s="115" t="s">
        <v>505</v>
      </c>
      <c r="B273" s="115" t="s">
        <v>477</v>
      </c>
      <c r="C273" s="115" t="s">
        <v>6</v>
      </c>
    </row>
    <row r="274" spans="1:3">
      <c r="A274" s="115" t="s">
        <v>479</v>
      </c>
      <c r="B274" s="115" t="s">
        <v>477</v>
      </c>
      <c r="C274" s="115" t="s">
        <v>6</v>
      </c>
    </row>
    <row r="275" spans="1:3">
      <c r="A275" s="115" t="s">
        <v>533</v>
      </c>
      <c r="B275" s="115" t="s">
        <v>477</v>
      </c>
      <c r="C275" s="115" t="s">
        <v>2</v>
      </c>
    </row>
    <row r="276" spans="1:3">
      <c r="A276" s="115" t="s">
        <v>479</v>
      </c>
      <c r="B276" s="115" t="s">
        <v>477</v>
      </c>
      <c r="C276" s="115" t="s">
        <v>6</v>
      </c>
    </row>
    <row r="277" spans="1:3">
      <c r="A277" s="115" t="s">
        <v>502</v>
      </c>
      <c r="B277" s="115" t="s">
        <v>477</v>
      </c>
      <c r="C277" s="115" t="s">
        <v>6</v>
      </c>
    </row>
    <row r="278" spans="1:3">
      <c r="A278" s="115" t="s">
        <v>479</v>
      </c>
      <c r="B278" s="115" t="s">
        <v>477</v>
      </c>
      <c r="C278" s="115" t="s">
        <v>2</v>
      </c>
    </row>
    <row r="279" spans="1:3">
      <c r="A279" s="115" t="s">
        <v>519</v>
      </c>
      <c r="B279" s="115" t="s">
        <v>477</v>
      </c>
      <c r="C279" s="115" t="s">
        <v>6</v>
      </c>
    </row>
    <row r="280" spans="1:3">
      <c r="A280" s="115" t="s">
        <v>533</v>
      </c>
      <c r="B280" s="115" t="s">
        <v>477</v>
      </c>
      <c r="C280" s="115" t="s">
        <v>6</v>
      </c>
    </row>
    <row r="281" spans="1:3">
      <c r="A281" s="115" t="s">
        <v>507</v>
      </c>
      <c r="B281" s="115" t="s">
        <v>477</v>
      </c>
      <c r="C281" s="115" t="s">
        <v>6</v>
      </c>
    </row>
    <row r="282" spans="1:3">
      <c r="A282" s="115" t="s">
        <v>529</v>
      </c>
      <c r="B282" s="115" t="s">
        <v>477</v>
      </c>
      <c r="C282" s="115" t="s">
        <v>2</v>
      </c>
    </row>
    <row r="283" spans="1:3">
      <c r="A283" s="115" t="s">
        <v>503</v>
      </c>
      <c r="B283" s="115" t="s">
        <v>477</v>
      </c>
      <c r="C283" s="115" t="s">
        <v>6</v>
      </c>
    </row>
    <row r="284" spans="1:3">
      <c r="A284" s="115" t="s">
        <v>519</v>
      </c>
      <c r="B284" s="115" t="s">
        <v>477</v>
      </c>
      <c r="C284" s="115" t="s">
        <v>6</v>
      </c>
    </row>
    <row r="285" spans="1:3">
      <c r="A285" s="115" t="s">
        <v>479</v>
      </c>
      <c r="B285" s="115" t="s">
        <v>477</v>
      </c>
      <c r="C285" s="115" t="s">
        <v>6</v>
      </c>
    </row>
    <row r="286" spans="1:3">
      <c r="A286" s="115" t="s">
        <v>501</v>
      </c>
      <c r="B286" s="115" t="s">
        <v>477</v>
      </c>
      <c r="C286" s="115" t="s">
        <v>6</v>
      </c>
    </row>
    <row r="287" spans="1:3">
      <c r="A287" s="115" t="s">
        <v>479</v>
      </c>
      <c r="B287" s="115" t="s">
        <v>477</v>
      </c>
      <c r="C287" s="115" t="s">
        <v>6</v>
      </c>
    </row>
    <row r="288" spans="1:3">
      <c r="A288" s="115" t="s">
        <v>501</v>
      </c>
      <c r="B288" s="115" t="s">
        <v>477</v>
      </c>
      <c r="C288" s="115" t="s">
        <v>2</v>
      </c>
    </row>
    <row r="289" spans="1:3">
      <c r="A289" s="115" t="s">
        <v>511</v>
      </c>
      <c r="B289" s="115" t="s">
        <v>477</v>
      </c>
      <c r="C289" s="115" t="s">
        <v>6</v>
      </c>
    </row>
    <row r="290" spans="1:3">
      <c r="A290" s="115" t="s">
        <v>535</v>
      </c>
      <c r="B290" s="115" t="s">
        <v>477</v>
      </c>
      <c r="C290" s="115" t="s">
        <v>6</v>
      </c>
    </row>
    <row r="291" spans="1:3">
      <c r="A291" s="115" t="s">
        <v>479</v>
      </c>
      <c r="B291" s="115" t="s">
        <v>477</v>
      </c>
      <c r="C291" s="115" t="s">
        <v>2</v>
      </c>
    </row>
    <row r="292" spans="1:3">
      <c r="A292" s="115" t="s">
        <v>479</v>
      </c>
      <c r="B292" s="115" t="s">
        <v>477</v>
      </c>
      <c r="C292" s="115" t="s">
        <v>6</v>
      </c>
    </row>
    <row r="293" spans="1:3">
      <c r="A293" s="115" t="s">
        <v>529</v>
      </c>
      <c r="B293" s="115" t="s">
        <v>477</v>
      </c>
      <c r="C293" s="115" t="s">
        <v>6</v>
      </c>
    </row>
    <row r="294" spans="1:3">
      <c r="A294" s="115" t="s">
        <v>504</v>
      </c>
      <c r="B294" s="115" t="s">
        <v>477</v>
      </c>
      <c r="C294" s="115" t="s">
        <v>6</v>
      </c>
    </row>
    <row r="295" spans="1:3">
      <c r="A295" s="115" t="s">
        <v>521</v>
      </c>
      <c r="B295" s="115" t="s">
        <v>477</v>
      </c>
      <c r="C295" s="115" t="s">
        <v>6</v>
      </c>
    </row>
    <row r="296" spans="1:3">
      <c r="A296" s="115" t="s">
        <v>521</v>
      </c>
      <c r="B296" s="115" t="s">
        <v>477</v>
      </c>
      <c r="C296" s="115" t="s">
        <v>2</v>
      </c>
    </row>
    <row r="297" spans="1:3">
      <c r="A297" s="115" t="s">
        <v>479</v>
      </c>
      <c r="B297" s="115" t="s">
        <v>477</v>
      </c>
      <c r="C297" s="115" t="s">
        <v>2</v>
      </c>
    </row>
    <row r="298" spans="1:3">
      <c r="A298" s="115" t="s">
        <v>500</v>
      </c>
      <c r="B298" s="115" t="s">
        <v>477</v>
      </c>
      <c r="C298" s="115" t="s">
        <v>2</v>
      </c>
    </row>
    <row r="299" spans="1:3">
      <c r="A299" s="115" t="s">
        <v>503</v>
      </c>
      <c r="B299" s="115" t="s">
        <v>477</v>
      </c>
      <c r="C299" s="115" t="s">
        <v>2</v>
      </c>
    </row>
    <row r="300" spans="1:3">
      <c r="A300" s="115" t="s">
        <v>479</v>
      </c>
      <c r="B300" s="115" t="s">
        <v>477</v>
      </c>
      <c r="C300" s="115" t="s">
        <v>2</v>
      </c>
    </row>
    <row r="301" spans="1:3">
      <c r="A301" s="115" t="s">
        <v>529</v>
      </c>
      <c r="B301" s="115" t="s">
        <v>477</v>
      </c>
      <c r="C301" s="115" t="s">
        <v>2</v>
      </c>
    </row>
    <row r="302" spans="1:3">
      <c r="A302" s="115" t="s">
        <v>479</v>
      </c>
      <c r="B302" s="115" t="s">
        <v>477</v>
      </c>
      <c r="C302" s="115" t="s">
        <v>2</v>
      </c>
    </row>
    <row r="303" spans="1:3">
      <c r="A303" s="115" t="s">
        <v>521</v>
      </c>
      <c r="B303" s="115" t="s">
        <v>21</v>
      </c>
      <c r="C303" s="115" t="s">
        <v>2</v>
      </c>
    </row>
    <row r="304" spans="1:3">
      <c r="A304" s="115" t="s">
        <v>178</v>
      </c>
      <c r="B304" s="115" t="s">
        <v>21</v>
      </c>
      <c r="C304" s="115" t="s">
        <v>6</v>
      </c>
    </row>
    <row r="305" spans="1:3">
      <c r="A305" s="115" t="s">
        <v>178</v>
      </c>
      <c r="B305" s="115" t="s">
        <v>21</v>
      </c>
      <c r="C305" s="115" t="s">
        <v>6</v>
      </c>
    </row>
    <row r="306" spans="1:3">
      <c r="A306" s="115" t="s">
        <v>505</v>
      </c>
      <c r="B306" s="115" t="s">
        <v>21</v>
      </c>
      <c r="C306" s="115" t="s">
        <v>6</v>
      </c>
    </row>
    <row r="307" spans="1:3">
      <c r="A307" s="115" t="s">
        <v>479</v>
      </c>
      <c r="B307" s="115" t="s">
        <v>477</v>
      </c>
      <c r="C307" s="115" t="s">
        <v>6</v>
      </c>
    </row>
    <row r="308" spans="1:3">
      <c r="A308" s="115" t="s">
        <v>528</v>
      </c>
      <c r="B308" s="115" t="s">
        <v>477</v>
      </c>
      <c r="C308" s="115" t="s">
        <v>6</v>
      </c>
    </row>
    <row r="309" spans="1:3">
      <c r="A309" s="115" t="s">
        <v>479</v>
      </c>
      <c r="B309" s="115" t="s">
        <v>477</v>
      </c>
      <c r="C309" s="115" t="s">
        <v>6</v>
      </c>
    </row>
    <row r="310" spans="1:3">
      <c r="A310" s="115" t="s">
        <v>479</v>
      </c>
      <c r="B310" s="115" t="s">
        <v>477</v>
      </c>
      <c r="C310" s="115" t="s">
        <v>2</v>
      </c>
    </row>
    <row r="311" spans="1:3">
      <c r="A311" s="115" t="s">
        <v>512</v>
      </c>
      <c r="B311" s="115" t="s">
        <v>477</v>
      </c>
      <c r="C311" s="115" t="s">
        <v>6</v>
      </c>
    </row>
    <row r="312" spans="1:3">
      <c r="A312" s="115" t="s">
        <v>502</v>
      </c>
      <c r="B312" s="115" t="s">
        <v>477</v>
      </c>
      <c r="C312" s="115" t="s">
        <v>2</v>
      </c>
    </row>
    <row r="313" spans="1:3">
      <c r="A313" s="115" t="s">
        <v>479</v>
      </c>
      <c r="B313" s="115" t="s">
        <v>477</v>
      </c>
      <c r="C313" s="115" t="s">
        <v>2</v>
      </c>
    </row>
    <row r="314" spans="1:3">
      <c r="A314" s="115" t="s">
        <v>506</v>
      </c>
      <c r="B314" s="115" t="s">
        <v>477</v>
      </c>
      <c r="C314" s="115" t="s">
        <v>2</v>
      </c>
    </row>
    <row r="315" spans="1:3">
      <c r="A315" s="115" t="s">
        <v>479</v>
      </c>
      <c r="B315" s="115" t="s">
        <v>477</v>
      </c>
      <c r="C315" s="115" t="s">
        <v>6</v>
      </c>
    </row>
    <row r="316" spans="1:3">
      <c r="A316" s="115" t="s">
        <v>509</v>
      </c>
      <c r="B316" s="115" t="s">
        <v>477</v>
      </c>
      <c r="C316" s="115" t="s">
        <v>2</v>
      </c>
    </row>
    <row r="317" spans="1:3">
      <c r="A317" s="115" t="s">
        <v>503</v>
      </c>
      <c r="B317" s="115" t="s">
        <v>477</v>
      </c>
      <c r="C317" s="115" t="s">
        <v>6</v>
      </c>
    </row>
    <row r="318" spans="1:3">
      <c r="A318" s="115" t="s">
        <v>509</v>
      </c>
      <c r="B318" s="115" t="s">
        <v>477</v>
      </c>
      <c r="C318" s="115" t="s">
        <v>2</v>
      </c>
    </row>
    <row r="319" spans="1:3">
      <c r="A319" s="115" t="s">
        <v>479</v>
      </c>
      <c r="B319" s="115" t="s">
        <v>477</v>
      </c>
      <c r="C319" s="115" t="s">
        <v>6</v>
      </c>
    </row>
    <row r="320" spans="1:3">
      <c r="A320" s="115" t="s">
        <v>504</v>
      </c>
      <c r="B320" s="115" t="s">
        <v>477</v>
      </c>
      <c r="C320" s="115" t="s">
        <v>2</v>
      </c>
    </row>
    <row r="321" spans="1:3">
      <c r="A321" s="115" t="s">
        <v>529</v>
      </c>
      <c r="B321" s="115" t="s">
        <v>477</v>
      </c>
      <c r="C321" s="115" t="s">
        <v>2</v>
      </c>
    </row>
    <row r="322" spans="1:3">
      <c r="A322" s="115" t="s">
        <v>479</v>
      </c>
      <c r="B322" s="115" t="s">
        <v>477</v>
      </c>
      <c r="C322" s="115" t="s">
        <v>2</v>
      </c>
    </row>
    <row r="323" spans="1:3">
      <c r="A323" s="115" t="s">
        <v>510</v>
      </c>
      <c r="B323" s="115" t="s">
        <v>477</v>
      </c>
      <c r="C323" s="115" t="s">
        <v>6</v>
      </c>
    </row>
    <row r="324" spans="1:3">
      <c r="A324" s="115" t="s">
        <v>479</v>
      </c>
      <c r="B324" s="115" t="s">
        <v>477</v>
      </c>
      <c r="C324" s="115" t="s">
        <v>6</v>
      </c>
    </row>
    <row r="325" spans="1:3">
      <c r="A325" s="115" t="s">
        <v>504</v>
      </c>
      <c r="B325" s="115" t="s">
        <v>21</v>
      </c>
      <c r="C325" s="115" t="s">
        <v>6</v>
      </c>
    </row>
    <row r="326" spans="1:3">
      <c r="A326" s="115" t="s">
        <v>479</v>
      </c>
      <c r="B326" s="115" t="s">
        <v>21</v>
      </c>
      <c r="C326" s="115" t="s">
        <v>2</v>
      </c>
    </row>
    <row r="327" spans="1:3">
      <c r="A327" s="115" t="s">
        <v>505</v>
      </c>
      <c r="B327" s="115" t="s">
        <v>21</v>
      </c>
      <c r="C327" s="115" t="s">
        <v>2</v>
      </c>
    </row>
    <row r="328" spans="1:3">
      <c r="A328" s="115" t="s">
        <v>528</v>
      </c>
      <c r="B328" s="115" t="s">
        <v>21</v>
      </c>
      <c r="C328" s="115" t="s">
        <v>2</v>
      </c>
    </row>
    <row r="329" spans="1:3">
      <c r="A329" s="115" t="s">
        <v>513</v>
      </c>
      <c r="B329" s="115" t="s">
        <v>21</v>
      </c>
      <c r="C329" s="115" t="s">
        <v>2</v>
      </c>
    </row>
    <row r="330" spans="1:3">
      <c r="A330" s="115" t="s">
        <v>529</v>
      </c>
      <c r="B330" s="115" t="s">
        <v>477</v>
      </c>
      <c r="C330" s="115" t="s">
        <v>2</v>
      </c>
    </row>
    <row r="331" spans="1:3">
      <c r="A331" s="115" t="s">
        <v>503</v>
      </c>
      <c r="B331" s="115" t="s">
        <v>477</v>
      </c>
      <c r="C331" s="115" t="s">
        <v>6</v>
      </c>
    </row>
    <row r="332" spans="1:3">
      <c r="A332" s="115" t="s">
        <v>519</v>
      </c>
      <c r="B332" s="115" t="s">
        <v>477</v>
      </c>
      <c r="C332" s="115" t="s">
        <v>6</v>
      </c>
    </row>
    <row r="333" spans="1:3">
      <c r="A333" s="115" t="s">
        <v>478</v>
      </c>
      <c r="B333" s="115" t="s">
        <v>477</v>
      </c>
      <c r="C333" s="115" t="s">
        <v>2</v>
      </c>
    </row>
    <row r="334" spans="1:3">
      <c r="A334" s="115" t="s">
        <v>479</v>
      </c>
      <c r="B334" s="115" t="s">
        <v>477</v>
      </c>
      <c r="C334" s="115" t="s">
        <v>2</v>
      </c>
    </row>
    <row r="335" spans="1:3">
      <c r="A335" s="115" t="s">
        <v>512</v>
      </c>
      <c r="B335" s="115" t="s">
        <v>477</v>
      </c>
      <c r="C335" s="115" t="s">
        <v>6</v>
      </c>
    </row>
    <row r="336" spans="1:3">
      <c r="A336" s="115" t="s">
        <v>512</v>
      </c>
      <c r="B336" s="115" t="s">
        <v>477</v>
      </c>
      <c r="C336" s="115" t="s">
        <v>2</v>
      </c>
    </row>
    <row r="337" spans="1:3">
      <c r="A337" s="115" t="s">
        <v>479</v>
      </c>
      <c r="B337" s="115" t="s">
        <v>477</v>
      </c>
      <c r="C337" s="115" t="s">
        <v>2</v>
      </c>
    </row>
    <row r="338" spans="1:3">
      <c r="A338" s="115" t="s">
        <v>505</v>
      </c>
      <c r="B338" s="115" t="s">
        <v>477</v>
      </c>
      <c r="C338" s="115" t="s">
        <v>6</v>
      </c>
    </row>
    <row r="339" spans="1:3">
      <c r="A339" s="115" t="s">
        <v>502</v>
      </c>
      <c r="B339" s="115" t="s">
        <v>21</v>
      </c>
      <c r="C339" s="115" t="s">
        <v>2</v>
      </c>
    </row>
    <row r="340" spans="1:3">
      <c r="A340" s="115" t="s">
        <v>529</v>
      </c>
      <c r="B340" s="115" t="s">
        <v>477</v>
      </c>
      <c r="C340" s="115" t="s">
        <v>2</v>
      </c>
    </row>
    <row r="341" spans="1:3">
      <c r="A341" s="115" t="s">
        <v>479</v>
      </c>
      <c r="B341" s="115" t="s">
        <v>477</v>
      </c>
      <c r="C341" s="115" t="s">
        <v>2</v>
      </c>
    </row>
    <row r="342" spans="1:3">
      <c r="A342" s="115" t="s">
        <v>479</v>
      </c>
      <c r="B342" s="115" t="s">
        <v>477</v>
      </c>
      <c r="C342" s="115" t="s">
        <v>2</v>
      </c>
    </row>
    <row r="343" spans="1:3">
      <c r="A343" s="115" t="s">
        <v>525</v>
      </c>
      <c r="B343" s="115" t="s">
        <v>477</v>
      </c>
      <c r="C343" s="115" t="s">
        <v>2</v>
      </c>
    </row>
    <row r="344" spans="1:3">
      <c r="A344" s="115" t="s">
        <v>479</v>
      </c>
      <c r="B344" s="115" t="s">
        <v>477</v>
      </c>
      <c r="C344" s="115" t="s">
        <v>2</v>
      </c>
    </row>
    <row r="345" spans="1:3">
      <c r="A345" s="115" t="s">
        <v>502</v>
      </c>
      <c r="B345" s="115" t="s">
        <v>477</v>
      </c>
      <c r="C345" s="115" t="s">
        <v>2</v>
      </c>
    </row>
    <row r="346" spans="1:3">
      <c r="A346" s="115" t="s">
        <v>500</v>
      </c>
      <c r="B346" s="115" t="s">
        <v>477</v>
      </c>
      <c r="C346" s="115" t="s">
        <v>2</v>
      </c>
    </row>
    <row r="347" spans="1:3">
      <c r="A347" s="115" t="s">
        <v>502</v>
      </c>
      <c r="B347" s="115" t="s">
        <v>477</v>
      </c>
      <c r="C347" s="115" t="s">
        <v>6</v>
      </c>
    </row>
    <row r="348" spans="1:3">
      <c r="A348" s="115" t="s">
        <v>502</v>
      </c>
      <c r="B348" s="115" t="s">
        <v>477</v>
      </c>
      <c r="C348" s="115" t="s">
        <v>2</v>
      </c>
    </row>
    <row r="349" spans="1:3">
      <c r="A349" s="115" t="s">
        <v>500</v>
      </c>
      <c r="B349" s="115" t="s">
        <v>477</v>
      </c>
      <c r="C349" s="115" t="s">
        <v>2</v>
      </c>
    </row>
    <row r="350" spans="1:3">
      <c r="A350" s="115" t="s">
        <v>479</v>
      </c>
      <c r="B350" s="115" t="s">
        <v>477</v>
      </c>
      <c r="C350" s="115" t="s">
        <v>6</v>
      </c>
    </row>
    <row r="351" spans="1:3">
      <c r="A351" s="115" t="s">
        <v>479</v>
      </c>
      <c r="B351" s="115" t="s">
        <v>477</v>
      </c>
      <c r="C351" s="115" t="s">
        <v>2</v>
      </c>
    </row>
    <row r="352" spans="1:3">
      <c r="A352" s="115" t="s">
        <v>529</v>
      </c>
      <c r="B352" s="115" t="s">
        <v>477</v>
      </c>
      <c r="C352" s="115" t="s">
        <v>6</v>
      </c>
    </row>
    <row r="353" spans="1:3">
      <c r="A353" s="115" t="s">
        <v>479</v>
      </c>
      <c r="B353" s="115" t="s">
        <v>477</v>
      </c>
      <c r="C353" s="115" t="s">
        <v>6</v>
      </c>
    </row>
    <row r="354" spans="1:3">
      <c r="A354" s="115" t="s">
        <v>517</v>
      </c>
      <c r="B354" s="115" t="s">
        <v>477</v>
      </c>
      <c r="C354" s="115" t="s">
        <v>2</v>
      </c>
    </row>
    <row r="355" spans="1:3">
      <c r="A355" s="341" t="s">
        <v>479</v>
      </c>
      <c r="B355" s="341" t="s">
        <v>477</v>
      </c>
      <c r="C355" s="341" t="s">
        <v>6</v>
      </c>
    </row>
    <row r="356" spans="1:3">
      <c r="A356" s="341" t="s">
        <v>503</v>
      </c>
      <c r="B356" s="341" t="s">
        <v>477</v>
      </c>
      <c r="C356" s="341" t="s">
        <v>2</v>
      </c>
    </row>
    <row r="357" spans="1:3">
      <c r="A357" s="341" t="s">
        <v>502</v>
      </c>
      <c r="B357" s="341" t="s">
        <v>477</v>
      </c>
      <c r="C357" s="341" t="s">
        <v>6</v>
      </c>
    </row>
    <row r="358" spans="1:3">
      <c r="A358" s="341" t="s">
        <v>479</v>
      </c>
      <c r="B358" s="341" t="s">
        <v>477</v>
      </c>
      <c r="C358" s="341" t="s">
        <v>6</v>
      </c>
    </row>
    <row r="359" spans="1:3">
      <c r="A359" s="341" t="s">
        <v>518</v>
      </c>
      <c r="B359" s="341" t="s">
        <v>477</v>
      </c>
      <c r="C359" s="341" t="s">
        <v>6</v>
      </c>
    </row>
    <row r="360" spans="1:3">
      <c r="A360" s="341" t="s">
        <v>479</v>
      </c>
      <c r="B360" s="341" t="s">
        <v>477</v>
      </c>
      <c r="C360" s="341" t="s">
        <v>6</v>
      </c>
    </row>
    <row r="361" spans="1:3">
      <c r="A361" s="341" t="s">
        <v>479</v>
      </c>
      <c r="B361" s="341" t="s">
        <v>477</v>
      </c>
      <c r="C361" s="341" t="s">
        <v>2</v>
      </c>
    </row>
    <row r="362" spans="1:3">
      <c r="A362" s="341" t="s">
        <v>502</v>
      </c>
      <c r="B362" s="341" t="s">
        <v>477</v>
      </c>
      <c r="C362" s="341" t="s">
        <v>2</v>
      </c>
    </row>
    <row r="363" spans="1:3">
      <c r="A363" s="341" t="s">
        <v>511</v>
      </c>
      <c r="B363" s="341" t="s">
        <v>477</v>
      </c>
      <c r="C363" s="341" t="s">
        <v>6</v>
      </c>
    </row>
    <row r="364" spans="1:3">
      <c r="A364" s="341" t="s">
        <v>479</v>
      </c>
      <c r="B364" s="341" t="s">
        <v>477</v>
      </c>
      <c r="C364" s="341" t="s">
        <v>6</v>
      </c>
    </row>
    <row r="365" spans="1:3">
      <c r="A365" s="341" t="s">
        <v>505</v>
      </c>
      <c r="B365" s="341" t="s">
        <v>477</v>
      </c>
      <c r="C365" s="341" t="s">
        <v>6</v>
      </c>
    </row>
    <row r="366" spans="1:3">
      <c r="A366" s="341" t="s">
        <v>506</v>
      </c>
      <c r="B366" s="341" t="s">
        <v>477</v>
      </c>
      <c r="C366" s="341" t="s">
        <v>2</v>
      </c>
    </row>
    <row r="367" spans="1:3">
      <c r="A367" s="341" t="s">
        <v>506</v>
      </c>
      <c r="B367" s="341" t="s">
        <v>477</v>
      </c>
      <c r="C367" s="341" t="s">
        <v>6</v>
      </c>
    </row>
    <row r="368" spans="1:3">
      <c r="A368" s="341" t="s">
        <v>505</v>
      </c>
      <c r="B368" s="341" t="s">
        <v>477</v>
      </c>
      <c r="C368" s="341" t="s">
        <v>6</v>
      </c>
    </row>
    <row r="369" spans="1:3">
      <c r="A369" s="39" t="s">
        <v>529</v>
      </c>
      <c r="B369" s="39" t="s">
        <v>21</v>
      </c>
      <c r="C369" s="39" t="s">
        <v>6</v>
      </c>
    </row>
    <row r="370" spans="1:3">
      <c r="A370" s="39" t="s">
        <v>519</v>
      </c>
      <c r="B370" s="39" t="s">
        <v>477</v>
      </c>
      <c r="C370" s="39" t="s">
        <v>6</v>
      </c>
    </row>
    <row r="371" spans="1:3">
      <c r="A371" s="39" t="s">
        <v>479</v>
      </c>
      <c r="B371" s="39" t="s">
        <v>477</v>
      </c>
      <c r="C371" s="39" t="s">
        <v>2</v>
      </c>
    </row>
    <row r="372" spans="1:3">
      <c r="A372" s="39" t="s">
        <v>505</v>
      </c>
      <c r="B372" s="39" t="s">
        <v>477</v>
      </c>
      <c r="C372" s="39" t="s">
        <v>6</v>
      </c>
    </row>
    <row r="373" spans="1:3">
      <c r="A373" s="39" t="s">
        <v>479</v>
      </c>
      <c r="B373" s="39" t="s">
        <v>477</v>
      </c>
      <c r="C373" s="39" t="s">
        <v>6</v>
      </c>
    </row>
    <row r="374" spans="1:3">
      <c r="A374" s="39" t="s">
        <v>478</v>
      </c>
      <c r="B374" s="39" t="s">
        <v>477</v>
      </c>
      <c r="C374" s="39" t="s">
        <v>2</v>
      </c>
    </row>
    <row r="375" spans="1:3">
      <c r="A375" s="39" t="s">
        <v>513</v>
      </c>
      <c r="B375" s="39" t="s">
        <v>477</v>
      </c>
      <c r="C375" s="39" t="s">
        <v>6</v>
      </c>
    </row>
    <row r="376" spans="1:3">
      <c r="A376" s="39" t="s">
        <v>505</v>
      </c>
      <c r="B376" s="39" t="s">
        <v>477</v>
      </c>
      <c r="C376" s="39" t="s">
        <v>2</v>
      </c>
    </row>
    <row r="377" spans="1:3">
      <c r="A377" s="39" t="s">
        <v>479</v>
      </c>
      <c r="B377" s="39" t="s">
        <v>477</v>
      </c>
      <c r="C377" s="39" t="s">
        <v>6</v>
      </c>
    </row>
    <row r="378" spans="1:3">
      <c r="A378" s="39" t="s">
        <v>529</v>
      </c>
      <c r="B378" s="39" t="s">
        <v>477</v>
      </c>
      <c r="C378" s="39" t="s">
        <v>2</v>
      </c>
    </row>
    <row r="379" spans="1:3">
      <c r="A379" s="39" t="s">
        <v>529</v>
      </c>
      <c r="B379" s="39" t="s">
        <v>477</v>
      </c>
      <c r="C379" s="39" t="s">
        <v>6</v>
      </c>
    </row>
    <row r="380" spans="1:3">
      <c r="A380" s="39" t="s">
        <v>502</v>
      </c>
      <c r="B380" s="39" t="s">
        <v>477</v>
      </c>
      <c r="C380" s="39" t="s">
        <v>6</v>
      </c>
    </row>
    <row r="381" spans="1:3">
      <c r="A381" s="39" t="s">
        <v>529</v>
      </c>
      <c r="B381" s="39" t="s">
        <v>477</v>
      </c>
      <c r="C381" s="39" t="s">
        <v>2</v>
      </c>
    </row>
    <row r="382" spans="1:3">
      <c r="A382" s="39" t="s">
        <v>479</v>
      </c>
      <c r="B382" s="39" t="s">
        <v>477</v>
      </c>
      <c r="C382" s="39" t="s">
        <v>6</v>
      </c>
    </row>
    <row r="383" spans="1:3">
      <c r="A383" s="39" t="s">
        <v>479</v>
      </c>
      <c r="B383" s="39" t="s">
        <v>477</v>
      </c>
      <c r="C383" s="39" t="s">
        <v>6</v>
      </c>
    </row>
    <row r="384" spans="1:3">
      <c r="A384" s="39" t="s">
        <v>519</v>
      </c>
      <c r="B384" s="39" t="s">
        <v>477</v>
      </c>
      <c r="C384" s="39" t="s">
        <v>6</v>
      </c>
    </row>
    <row r="385" spans="1:4">
      <c r="A385" s="39" t="s">
        <v>502</v>
      </c>
      <c r="B385" s="39" t="s">
        <v>477</v>
      </c>
      <c r="C385" s="39" t="s">
        <v>6</v>
      </c>
    </row>
    <row r="386" spans="1:4">
      <c r="A386" s="39" t="s">
        <v>509</v>
      </c>
      <c r="B386" s="39" t="s">
        <v>477</v>
      </c>
      <c r="C386" s="39" t="s">
        <v>6</v>
      </c>
    </row>
    <row r="387" spans="1:4">
      <c r="A387" s="39" t="s">
        <v>512</v>
      </c>
      <c r="B387" s="39" t="s">
        <v>477</v>
      </c>
      <c r="C387" s="39" t="s">
        <v>6</v>
      </c>
    </row>
    <row r="388" spans="1:4">
      <c r="A388" s="39" t="s">
        <v>479</v>
      </c>
      <c r="B388" s="39" t="s">
        <v>477</v>
      </c>
      <c r="C388" s="39" t="s">
        <v>6</v>
      </c>
    </row>
    <row r="389" spans="1:4">
      <c r="A389" s="115" t="s">
        <v>505</v>
      </c>
      <c r="B389" s="115" t="s">
        <v>21</v>
      </c>
      <c r="C389" s="115" t="s">
        <v>2</v>
      </c>
    </row>
    <row r="390" spans="1:4">
      <c r="A390" s="115" t="s">
        <v>503</v>
      </c>
      <c r="B390" s="115" t="s">
        <v>21</v>
      </c>
      <c r="C390" s="115" t="s">
        <v>6</v>
      </c>
    </row>
    <row r="391" spans="1:4">
      <c r="A391" s="115" t="s">
        <v>505</v>
      </c>
      <c r="B391" s="115" t="s">
        <v>21</v>
      </c>
      <c r="C391" s="115" t="s">
        <v>2</v>
      </c>
    </row>
    <row r="392" spans="1:4">
      <c r="A392" s="115" t="s">
        <v>178</v>
      </c>
      <c r="B392" s="115" t="s">
        <v>21</v>
      </c>
      <c r="C392" s="115" t="s">
        <v>6</v>
      </c>
    </row>
    <row r="393" spans="1:4">
      <c r="A393" s="115" t="s">
        <v>479</v>
      </c>
      <c r="B393" s="115" t="s">
        <v>21</v>
      </c>
      <c r="C393" s="115" t="s">
        <v>6</v>
      </c>
    </row>
    <row r="394" spans="1:4">
      <c r="A394" s="115" t="s">
        <v>479</v>
      </c>
      <c r="B394" s="115" t="s">
        <v>477</v>
      </c>
      <c r="C394" s="115" t="s">
        <v>6</v>
      </c>
    </row>
    <row r="395" spans="1:4">
      <c r="A395" s="115" t="s">
        <v>479</v>
      </c>
      <c r="B395" s="115" t="s">
        <v>477</v>
      </c>
      <c r="C395" s="115" t="s">
        <v>6</v>
      </c>
    </row>
    <row r="396" spans="1:4">
      <c r="A396" s="115" t="s">
        <v>479</v>
      </c>
      <c r="B396" s="115" t="s">
        <v>477</v>
      </c>
      <c r="C396" s="115" t="s">
        <v>6</v>
      </c>
      <c r="D396" s="115" t="s">
        <v>536</v>
      </c>
    </row>
    <row r="397" spans="1:4">
      <c r="A397" s="115" t="s">
        <v>500</v>
      </c>
      <c r="B397" s="115" t="s">
        <v>477</v>
      </c>
      <c r="C397" s="115" t="s">
        <v>6</v>
      </c>
    </row>
    <row r="398" spans="1:4">
      <c r="A398" s="115" t="s">
        <v>529</v>
      </c>
      <c r="B398" s="115" t="s">
        <v>477</v>
      </c>
      <c r="C398" s="115" t="s">
        <v>6</v>
      </c>
    </row>
    <row r="399" spans="1:4">
      <c r="A399" s="115" t="s">
        <v>479</v>
      </c>
      <c r="B399" s="115" t="s">
        <v>477</v>
      </c>
      <c r="C399" s="115" t="s">
        <v>6</v>
      </c>
    </row>
    <row r="400" spans="1:4">
      <c r="A400" s="115" t="s">
        <v>513</v>
      </c>
      <c r="B400" s="115" t="s">
        <v>477</v>
      </c>
      <c r="C400" s="115" t="s">
        <v>6</v>
      </c>
    </row>
    <row r="401" spans="1:3">
      <c r="A401" s="115" t="s">
        <v>502</v>
      </c>
      <c r="B401" s="115" t="s">
        <v>477</v>
      </c>
      <c r="C401" s="115" t="s">
        <v>2</v>
      </c>
    </row>
    <row r="402" spans="1:3">
      <c r="A402" s="115" t="s">
        <v>498</v>
      </c>
      <c r="B402" s="115" t="s">
        <v>477</v>
      </c>
      <c r="C402" s="115" t="s">
        <v>6</v>
      </c>
    </row>
    <row r="403" spans="1:3">
      <c r="A403" s="115" t="s">
        <v>520</v>
      </c>
      <c r="B403" s="115" t="s">
        <v>477</v>
      </c>
      <c r="C403" s="115" t="s">
        <v>6</v>
      </c>
    </row>
    <row r="404" spans="1:3">
      <c r="A404" s="115" t="s">
        <v>523</v>
      </c>
      <c r="B404" s="115" t="s">
        <v>477</v>
      </c>
      <c r="C404" s="115" t="s">
        <v>6</v>
      </c>
    </row>
    <row r="405" spans="1:3">
      <c r="A405" s="115" t="s">
        <v>479</v>
      </c>
      <c r="B405" s="115" t="s">
        <v>477</v>
      </c>
      <c r="C405" s="115" t="s">
        <v>6</v>
      </c>
    </row>
    <row r="406" spans="1:3">
      <c r="A406" s="115" t="s">
        <v>478</v>
      </c>
      <c r="B406" s="115" t="s">
        <v>477</v>
      </c>
      <c r="C406" s="115" t="s">
        <v>6</v>
      </c>
    </row>
    <row r="407" spans="1:3">
      <c r="A407" s="115" t="s">
        <v>508</v>
      </c>
      <c r="B407" s="115" t="s">
        <v>477</v>
      </c>
      <c r="C407" s="115" t="s">
        <v>6</v>
      </c>
    </row>
    <row r="408" spans="1:3">
      <c r="A408" s="115" t="s">
        <v>478</v>
      </c>
      <c r="B408" s="115" t="s">
        <v>477</v>
      </c>
      <c r="C408" s="115" t="s">
        <v>6</v>
      </c>
    </row>
    <row r="409" spans="1:3">
      <c r="A409" s="39" t="s">
        <v>479</v>
      </c>
      <c r="B409" s="39" t="s">
        <v>477</v>
      </c>
      <c r="C409" s="39" t="s">
        <v>6</v>
      </c>
    </row>
    <row r="410" spans="1:3">
      <c r="A410" s="39" t="s">
        <v>529</v>
      </c>
      <c r="B410" s="39" t="s">
        <v>477</v>
      </c>
      <c r="C410" s="39" t="s">
        <v>2</v>
      </c>
    </row>
    <row r="411" spans="1:3">
      <c r="A411" s="39" t="s">
        <v>479</v>
      </c>
      <c r="B411" s="39" t="s">
        <v>477</v>
      </c>
      <c r="C411" s="39" t="s">
        <v>2</v>
      </c>
    </row>
    <row r="412" spans="1:3">
      <c r="A412" s="39" t="s">
        <v>479</v>
      </c>
      <c r="B412" s="39" t="s">
        <v>477</v>
      </c>
      <c r="C412" s="39" t="s">
        <v>6</v>
      </c>
    </row>
    <row r="413" spans="1:3">
      <c r="A413" s="39" t="s">
        <v>511</v>
      </c>
      <c r="B413" s="39" t="s">
        <v>477</v>
      </c>
      <c r="C413" s="39" t="s">
        <v>2</v>
      </c>
    </row>
    <row r="414" spans="1:3">
      <c r="A414" s="39" t="s">
        <v>533</v>
      </c>
      <c r="B414" s="39" t="s">
        <v>477</v>
      </c>
      <c r="C414" s="39" t="s">
        <v>2</v>
      </c>
    </row>
    <row r="415" spans="1:3">
      <c r="A415" s="39" t="s">
        <v>519</v>
      </c>
      <c r="B415" s="39" t="s">
        <v>477</v>
      </c>
      <c r="C415" s="39" t="s">
        <v>2</v>
      </c>
    </row>
    <row r="416" spans="1:3">
      <c r="A416" s="39" t="s">
        <v>529</v>
      </c>
      <c r="B416" s="39" t="s">
        <v>477</v>
      </c>
      <c r="C416" s="39" t="s">
        <v>6</v>
      </c>
    </row>
    <row r="417" spans="1:4">
      <c r="A417" s="39" t="s">
        <v>505</v>
      </c>
      <c r="B417" s="39" t="s">
        <v>477</v>
      </c>
      <c r="C417" s="39" t="s">
        <v>6</v>
      </c>
    </row>
    <row r="418" spans="1:4">
      <c r="A418" s="39" t="s">
        <v>501</v>
      </c>
      <c r="B418" s="39" t="s">
        <v>477</v>
      </c>
      <c r="C418" s="39" t="s">
        <v>2</v>
      </c>
    </row>
    <row r="419" spans="1:4">
      <c r="A419" s="39" t="s">
        <v>531</v>
      </c>
      <c r="B419" s="39" t="s">
        <v>477</v>
      </c>
      <c r="C419" s="39" t="s">
        <v>6</v>
      </c>
      <c r="D419" s="39" t="s">
        <v>538</v>
      </c>
    </row>
    <row r="420" spans="1:4">
      <c r="A420" s="39" t="s">
        <v>479</v>
      </c>
      <c r="B420" s="39" t="s">
        <v>477</v>
      </c>
      <c r="C420" s="39" t="s">
        <v>2</v>
      </c>
    </row>
    <row r="421" spans="1:4">
      <c r="A421" s="39" t="s">
        <v>537</v>
      </c>
      <c r="B421" s="39" t="s">
        <v>477</v>
      </c>
      <c r="C421" s="39" t="s">
        <v>6</v>
      </c>
    </row>
    <row r="422" spans="1:4">
      <c r="A422" s="39" t="s">
        <v>502</v>
      </c>
      <c r="B422" s="39" t="s">
        <v>477</v>
      </c>
      <c r="C422" s="39" t="s">
        <v>2</v>
      </c>
    </row>
    <row r="423" spans="1:4">
      <c r="A423" s="39" t="s">
        <v>501</v>
      </c>
      <c r="B423" s="39" t="s">
        <v>477</v>
      </c>
      <c r="C423" s="39" t="s">
        <v>2</v>
      </c>
    </row>
    <row r="424" spans="1:4">
      <c r="A424" s="39" t="s">
        <v>535</v>
      </c>
      <c r="B424" s="39" t="s">
        <v>477</v>
      </c>
      <c r="C424" s="39" t="s">
        <v>6</v>
      </c>
    </row>
    <row r="425" spans="1:4">
      <c r="A425" s="39" t="s">
        <v>519</v>
      </c>
      <c r="B425" s="39" t="s">
        <v>477</v>
      </c>
      <c r="C425" s="39" t="s">
        <v>6</v>
      </c>
    </row>
    <row r="426" spans="1:4">
      <c r="A426" s="39" t="s">
        <v>529</v>
      </c>
      <c r="B426" s="39" t="s">
        <v>477</v>
      </c>
      <c r="C426" s="39" t="s">
        <v>6</v>
      </c>
    </row>
    <row r="427" spans="1:4">
      <c r="A427" s="39" t="s">
        <v>479</v>
      </c>
      <c r="B427" s="39" t="s">
        <v>477</v>
      </c>
      <c r="C427" s="39" t="s">
        <v>6</v>
      </c>
    </row>
    <row r="428" spans="1:4">
      <c r="A428" s="39" t="s">
        <v>479</v>
      </c>
      <c r="B428" s="39" t="s">
        <v>477</v>
      </c>
      <c r="C428" s="39" t="s">
        <v>2</v>
      </c>
    </row>
    <row r="429" spans="1:4">
      <c r="A429" s="39" t="s">
        <v>479</v>
      </c>
      <c r="B429" s="39" t="s">
        <v>477</v>
      </c>
      <c r="C429" s="39" t="s">
        <v>2</v>
      </c>
    </row>
    <row r="430" spans="1:4">
      <c r="A430" s="39" t="s">
        <v>479</v>
      </c>
      <c r="B430" s="39" t="s">
        <v>21</v>
      </c>
      <c r="C430" s="39" t="s">
        <v>6</v>
      </c>
    </row>
    <row r="431" spans="1:4">
      <c r="A431" s="115" t="s">
        <v>507</v>
      </c>
      <c r="B431" s="115" t="s">
        <v>21</v>
      </c>
      <c r="C431" s="115" t="s">
        <v>2</v>
      </c>
    </row>
    <row r="432" spans="1:4">
      <c r="A432" s="115" t="s">
        <v>478</v>
      </c>
      <c r="B432" s="115" t="s">
        <v>21</v>
      </c>
      <c r="C432" s="115" t="s">
        <v>6</v>
      </c>
      <c r="D432" s="115" t="s">
        <v>539</v>
      </c>
    </row>
    <row r="433" spans="1:4">
      <c r="A433" s="115" t="s">
        <v>479</v>
      </c>
      <c r="B433" s="115" t="s">
        <v>477</v>
      </c>
      <c r="C433" s="115" t="s">
        <v>6</v>
      </c>
    </row>
    <row r="434" spans="1:4">
      <c r="A434" s="115" t="s">
        <v>529</v>
      </c>
      <c r="B434" s="115" t="s">
        <v>477</v>
      </c>
      <c r="C434" s="115" t="s">
        <v>6</v>
      </c>
    </row>
    <row r="435" spans="1:4">
      <c r="A435" s="115" t="s">
        <v>529</v>
      </c>
      <c r="B435" s="115" t="s">
        <v>477</v>
      </c>
      <c r="C435" s="115" t="s">
        <v>6</v>
      </c>
    </row>
    <row r="436" spans="1:4">
      <c r="A436" s="115" t="s">
        <v>502</v>
      </c>
      <c r="B436" s="115" t="s">
        <v>477</v>
      </c>
      <c r="C436" s="115" t="s">
        <v>2</v>
      </c>
    </row>
    <row r="437" spans="1:4">
      <c r="A437" s="115" t="s">
        <v>479</v>
      </c>
      <c r="B437" s="115" t="s">
        <v>477</v>
      </c>
      <c r="C437" s="115" t="s">
        <v>6</v>
      </c>
    </row>
    <row r="438" spans="1:4">
      <c r="A438" s="115" t="s">
        <v>479</v>
      </c>
      <c r="B438" s="115" t="s">
        <v>477</v>
      </c>
      <c r="C438" s="115" t="s">
        <v>2</v>
      </c>
    </row>
    <row r="439" spans="1:4">
      <c r="A439" s="115" t="s">
        <v>500</v>
      </c>
      <c r="B439" s="115" t="s">
        <v>477</v>
      </c>
      <c r="C439" s="115" t="s">
        <v>6</v>
      </c>
    </row>
    <row r="440" spans="1:4">
      <c r="A440" s="115" t="s">
        <v>498</v>
      </c>
      <c r="B440" s="115" t="s">
        <v>477</v>
      </c>
      <c r="C440" s="115" t="s">
        <v>6</v>
      </c>
    </row>
    <row r="441" spans="1:4">
      <c r="A441" s="115" t="s">
        <v>509</v>
      </c>
      <c r="B441" s="115" t="s">
        <v>477</v>
      </c>
      <c r="C441" s="115" t="s">
        <v>6</v>
      </c>
    </row>
    <row r="442" spans="1:4">
      <c r="A442" s="115" t="s">
        <v>479</v>
      </c>
      <c r="B442" s="115" t="s">
        <v>477</v>
      </c>
      <c r="C442" s="115" t="s">
        <v>2</v>
      </c>
    </row>
    <row r="443" spans="1:4">
      <c r="A443" s="115" t="s">
        <v>529</v>
      </c>
      <c r="B443" s="115" t="s">
        <v>477</v>
      </c>
      <c r="C443" s="115" t="s">
        <v>2</v>
      </c>
    </row>
    <row r="444" spans="1:4">
      <c r="A444" s="115" t="s">
        <v>517</v>
      </c>
      <c r="B444" s="115" t="s">
        <v>477</v>
      </c>
      <c r="C444" s="115" t="s">
        <v>6</v>
      </c>
    </row>
    <row r="445" spans="1:4">
      <c r="A445" s="115" t="s">
        <v>500</v>
      </c>
      <c r="B445" s="115" t="s">
        <v>477</v>
      </c>
      <c r="C445" s="115" t="s">
        <v>2</v>
      </c>
    </row>
    <row r="446" spans="1:4">
      <c r="A446" s="39" t="s">
        <v>498</v>
      </c>
      <c r="B446" s="39" t="s">
        <v>477</v>
      </c>
      <c r="C446" s="39" t="s">
        <v>6</v>
      </c>
    </row>
    <row r="447" spans="1:4">
      <c r="A447" s="39" t="s">
        <v>479</v>
      </c>
      <c r="B447" s="39" t="s">
        <v>477</v>
      </c>
      <c r="C447" s="39" t="s">
        <v>6</v>
      </c>
      <c r="D447" s="39" t="s">
        <v>540</v>
      </c>
    </row>
    <row r="448" spans="1:4">
      <c r="A448" s="39" t="s">
        <v>479</v>
      </c>
      <c r="B448" s="39" t="s">
        <v>477</v>
      </c>
      <c r="C448" s="39" t="s">
        <v>6</v>
      </c>
    </row>
    <row r="449" spans="1:3">
      <c r="A449" s="39" t="s">
        <v>479</v>
      </c>
      <c r="B449" s="39" t="s">
        <v>477</v>
      </c>
      <c r="C449" s="39" t="s">
        <v>2</v>
      </c>
    </row>
    <row r="450" spans="1:3">
      <c r="A450" s="39" t="s">
        <v>517</v>
      </c>
      <c r="B450" s="39" t="s">
        <v>477</v>
      </c>
      <c r="C450" s="39" t="s">
        <v>6</v>
      </c>
    </row>
    <row r="451" spans="1:3">
      <c r="A451" s="39" t="s">
        <v>508</v>
      </c>
      <c r="B451" s="39" t="s">
        <v>477</v>
      </c>
      <c r="C451" s="39" t="s">
        <v>6</v>
      </c>
    </row>
    <row r="452" spans="1:3">
      <c r="A452" s="39" t="s">
        <v>514</v>
      </c>
      <c r="B452" s="39" t="s">
        <v>477</v>
      </c>
      <c r="C452" s="39" t="s">
        <v>6</v>
      </c>
    </row>
    <row r="453" spans="1:3">
      <c r="A453" s="39" t="s">
        <v>509</v>
      </c>
      <c r="B453" s="39" t="s">
        <v>477</v>
      </c>
      <c r="C453" s="39" t="s">
        <v>6</v>
      </c>
    </row>
    <row r="454" spans="1:3">
      <c r="A454" s="39" t="s">
        <v>509</v>
      </c>
      <c r="B454" s="39" t="s">
        <v>477</v>
      </c>
      <c r="C454" s="39" t="s">
        <v>6</v>
      </c>
    </row>
    <row r="455" spans="1:3">
      <c r="A455" s="39" t="s">
        <v>502</v>
      </c>
      <c r="B455" s="39" t="s">
        <v>477</v>
      </c>
      <c r="C455" s="39" t="s">
        <v>6</v>
      </c>
    </row>
    <row r="456" spans="1:3">
      <c r="A456" s="39" t="s">
        <v>521</v>
      </c>
      <c r="B456" s="39" t="s">
        <v>477</v>
      </c>
      <c r="C456" s="39" t="s">
        <v>6</v>
      </c>
    </row>
    <row r="457" spans="1:3">
      <c r="A457" s="39" t="s">
        <v>508</v>
      </c>
      <c r="B457" s="39" t="s">
        <v>477</v>
      </c>
      <c r="C457" s="39" t="s">
        <v>6</v>
      </c>
    </row>
    <row r="458" spans="1:3">
      <c r="A458" s="39" t="s">
        <v>502</v>
      </c>
      <c r="B458" s="39" t="s">
        <v>477</v>
      </c>
      <c r="C458" s="39" t="s">
        <v>2</v>
      </c>
    </row>
    <row r="459" spans="1:3">
      <c r="A459" s="39" t="s">
        <v>479</v>
      </c>
      <c r="B459" s="39" t="s">
        <v>477</v>
      </c>
      <c r="C459" s="39" t="s">
        <v>2</v>
      </c>
    </row>
    <row r="460" spans="1:3">
      <c r="A460" s="39" t="s">
        <v>506</v>
      </c>
      <c r="B460" s="39" t="s">
        <v>477</v>
      </c>
      <c r="C460" s="39" t="s">
        <v>6</v>
      </c>
    </row>
    <row r="461" spans="1:3">
      <c r="A461" s="39" t="s">
        <v>529</v>
      </c>
      <c r="B461" s="39" t="s">
        <v>477</v>
      </c>
      <c r="C461" s="39" t="s">
        <v>2</v>
      </c>
    </row>
    <row r="462" spans="1:3">
      <c r="A462" s="39" t="s">
        <v>478</v>
      </c>
      <c r="B462" s="39" t="s">
        <v>477</v>
      </c>
      <c r="C462" s="39" t="s">
        <v>6</v>
      </c>
    </row>
    <row r="463" spans="1:3">
      <c r="A463" s="39" t="s">
        <v>479</v>
      </c>
      <c r="B463" s="39" t="s">
        <v>21</v>
      </c>
      <c r="C463" s="39" t="s">
        <v>6</v>
      </c>
    </row>
    <row r="464" spans="1:3">
      <c r="A464" s="115" t="s">
        <v>519</v>
      </c>
      <c r="B464" s="115" t="s">
        <v>477</v>
      </c>
      <c r="C464" s="115" t="s">
        <v>6</v>
      </c>
    </row>
    <row r="465" spans="1:4">
      <c r="A465" s="115" t="s">
        <v>479</v>
      </c>
      <c r="B465" s="115" t="s">
        <v>477</v>
      </c>
      <c r="C465" s="115" t="s">
        <v>6</v>
      </c>
    </row>
    <row r="466" spans="1:4">
      <c r="A466" s="115" t="s">
        <v>514</v>
      </c>
      <c r="B466" s="115" t="s">
        <v>477</v>
      </c>
      <c r="C466" s="115" t="s">
        <v>2</v>
      </c>
    </row>
    <row r="467" spans="1:4">
      <c r="A467" s="115" t="s">
        <v>508</v>
      </c>
      <c r="B467" s="115" t="s">
        <v>477</v>
      </c>
      <c r="C467" s="115" t="s">
        <v>2</v>
      </c>
    </row>
    <row r="468" spans="1:4">
      <c r="A468" s="115" t="s">
        <v>519</v>
      </c>
      <c r="B468" s="115" t="s">
        <v>477</v>
      </c>
      <c r="C468" s="115" t="s">
        <v>6</v>
      </c>
      <c r="D468" s="115" t="s">
        <v>541</v>
      </c>
    </row>
    <row r="469" spans="1:4">
      <c r="A469" s="115" t="s">
        <v>515</v>
      </c>
      <c r="B469" s="115" t="s">
        <v>477</v>
      </c>
      <c r="C469" s="115" t="s">
        <v>2</v>
      </c>
    </row>
    <row r="470" spans="1:4">
      <c r="A470" s="115" t="s">
        <v>498</v>
      </c>
      <c r="B470" s="115" t="s">
        <v>477</v>
      </c>
      <c r="C470" s="115" t="s">
        <v>6</v>
      </c>
    </row>
    <row r="471" spans="1:4">
      <c r="A471" s="115" t="s">
        <v>502</v>
      </c>
      <c r="B471" s="115" t="s">
        <v>477</v>
      </c>
      <c r="C471" s="115" t="s">
        <v>6</v>
      </c>
    </row>
    <row r="472" spans="1:4">
      <c r="A472" s="115" t="s">
        <v>503</v>
      </c>
      <c r="B472" s="115" t="s">
        <v>477</v>
      </c>
      <c r="C472" s="115" t="s">
        <v>6</v>
      </c>
    </row>
    <row r="473" spans="1:4">
      <c r="A473" s="115" t="s">
        <v>510</v>
      </c>
      <c r="B473" s="115" t="s">
        <v>477</v>
      </c>
      <c r="C473" s="115" t="s">
        <v>6</v>
      </c>
    </row>
    <row r="474" spans="1:4">
      <c r="A474" s="115" t="s">
        <v>519</v>
      </c>
      <c r="B474" s="115" t="s">
        <v>477</v>
      </c>
      <c r="C474" s="115" t="s">
        <v>6</v>
      </c>
    </row>
    <row r="475" spans="1:4">
      <c r="A475" s="115" t="s">
        <v>517</v>
      </c>
      <c r="B475" s="115" t="s">
        <v>477</v>
      </c>
      <c r="C475" s="115" t="s">
        <v>6</v>
      </c>
    </row>
    <row r="476" spans="1:4">
      <c r="A476" s="115" t="s">
        <v>502</v>
      </c>
      <c r="B476" s="115" t="s">
        <v>477</v>
      </c>
      <c r="C476" s="115" t="s">
        <v>2</v>
      </c>
    </row>
    <row r="477" spans="1:4">
      <c r="A477" s="115" t="s">
        <v>503</v>
      </c>
      <c r="B477" s="115" t="s">
        <v>477</v>
      </c>
      <c r="C477" s="115" t="s">
        <v>6</v>
      </c>
    </row>
    <row r="478" spans="1:4">
      <c r="A478" s="115" t="s">
        <v>502</v>
      </c>
      <c r="B478" s="115" t="s">
        <v>477</v>
      </c>
      <c r="C478" s="115" t="s">
        <v>6</v>
      </c>
    </row>
    <row r="479" spans="1:4">
      <c r="A479" s="115" t="s">
        <v>498</v>
      </c>
      <c r="B479" s="115" t="s">
        <v>477</v>
      </c>
      <c r="C479" s="115" t="s">
        <v>6</v>
      </c>
    </row>
    <row r="480" spans="1:4">
      <c r="A480" s="115" t="s">
        <v>505</v>
      </c>
      <c r="B480" s="115" t="s">
        <v>477</v>
      </c>
      <c r="C480" s="115" t="s">
        <v>6</v>
      </c>
    </row>
    <row r="481" spans="1:3">
      <c r="A481" s="115" t="s">
        <v>498</v>
      </c>
      <c r="B481" s="115" t="s">
        <v>21</v>
      </c>
      <c r="C481" s="115" t="s">
        <v>2</v>
      </c>
    </row>
    <row r="482" spans="1:3">
      <c r="A482" s="115" t="s">
        <v>519</v>
      </c>
      <c r="B482" s="115" t="s">
        <v>21</v>
      </c>
      <c r="C482" s="115" t="s">
        <v>6</v>
      </c>
    </row>
    <row r="483" spans="1:3">
      <c r="A483" s="115" t="s">
        <v>505</v>
      </c>
      <c r="B483" s="115" t="s">
        <v>21</v>
      </c>
      <c r="C483" s="115" t="s">
        <v>6</v>
      </c>
    </row>
    <row r="484" spans="1:3">
      <c r="A484" s="115" t="s">
        <v>478</v>
      </c>
      <c r="B484" s="115" t="s">
        <v>21</v>
      </c>
      <c r="C484" s="115" t="s">
        <v>6</v>
      </c>
    </row>
    <row r="485" spans="1:3">
      <c r="A485" s="115" t="s">
        <v>500</v>
      </c>
      <c r="B485" s="115" t="s">
        <v>21</v>
      </c>
      <c r="C485" s="115" t="s">
        <v>2</v>
      </c>
    </row>
    <row r="486" spans="1:3">
      <c r="A486" s="115" t="s">
        <v>178</v>
      </c>
      <c r="B486" s="115" t="s">
        <v>21</v>
      </c>
      <c r="C486" s="115" t="s">
        <v>6</v>
      </c>
    </row>
    <row r="487" spans="1:3">
      <c r="A487" s="39" t="s">
        <v>479</v>
      </c>
      <c r="B487" s="39" t="s">
        <v>477</v>
      </c>
      <c r="C487" s="39" t="s">
        <v>6</v>
      </c>
    </row>
    <row r="488" spans="1:3">
      <c r="A488" s="39" t="s">
        <v>529</v>
      </c>
      <c r="B488" s="39" t="s">
        <v>477</v>
      </c>
      <c r="C488" s="39" t="s">
        <v>2</v>
      </c>
    </row>
    <row r="489" spans="1:3">
      <c r="A489" s="39" t="s">
        <v>513</v>
      </c>
      <c r="B489" s="39" t="s">
        <v>477</v>
      </c>
      <c r="C489" s="39" t="s">
        <v>6</v>
      </c>
    </row>
    <row r="490" spans="1:3">
      <c r="A490" s="39" t="s">
        <v>506</v>
      </c>
      <c r="B490" s="39" t="s">
        <v>477</v>
      </c>
      <c r="C490" s="39" t="s">
        <v>6</v>
      </c>
    </row>
    <row r="491" spans="1:3">
      <c r="A491" s="39" t="s">
        <v>502</v>
      </c>
      <c r="B491" s="39" t="s">
        <v>477</v>
      </c>
      <c r="C491" s="39" t="s">
        <v>2</v>
      </c>
    </row>
    <row r="492" spans="1:3">
      <c r="A492" s="39" t="s">
        <v>503</v>
      </c>
      <c r="B492" s="39" t="s">
        <v>477</v>
      </c>
      <c r="C492" s="39" t="s">
        <v>6</v>
      </c>
    </row>
    <row r="493" spans="1:3">
      <c r="A493" s="39" t="s">
        <v>479</v>
      </c>
      <c r="B493" s="39" t="s">
        <v>477</v>
      </c>
      <c r="C493" s="39" t="s">
        <v>6</v>
      </c>
    </row>
    <row r="494" spans="1:3">
      <c r="A494" s="39" t="s">
        <v>479</v>
      </c>
      <c r="B494" s="39" t="s">
        <v>477</v>
      </c>
      <c r="C494" s="39" t="s">
        <v>6</v>
      </c>
    </row>
    <row r="495" spans="1:3">
      <c r="A495" s="39" t="s">
        <v>479</v>
      </c>
      <c r="B495" s="39" t="s">
        <v>477</v>
      </c>
      <c r="C495" s="39" t="s">
        <v>6</v>
      </c>
    </row>
    <row r="496" spans="1:3">
      <c r="A496" s="39" t="s">
        <v>479</v>
      </c>
      <c r="B496" s="39" t="s">
        <v>477</v>
      </c>
      <c r="C496" s="39" t="s">
        <v>2</v>
      </c>
    </row>
    <row r="497" spans="1:4">
      <c r="A497" s="39" t="s">
        <v>502</v>
      </c>
      <c r="B497" s="39" t="s">
        <v>477</v>
      </c>
      <c r="C497" s="39" t="s">
        <v>2</v>
      </c>
    </row>
    <row r="498" spans="1:4">
      <c r="A498" s="39" t="s">
        <v>509</v>
      </c>
      <c r="B498" s="39" t="s">
        <v>477</v>
      </c>
      <c r="C498" s="39" t="s">
        <v>6</v>
      </c>
      <c r="D498" s="39" t="s">
        <v>542</v>
      </c>
    </row>
    <row r="499" spans="1:4">
      <c r="A499" s="39" t="s">
        <v>512</v>
      </c>
      <c r="B499" s="39" t="s">
        <v>477</v>
      </c>
      <c r="C499" s="39" t="s">
        <v>6</v>
      </c>
    </row>
    <row r="500" spans="1:4">
      <c r="A500" s="39" t="s">
        <v>513</v>
      </c>
      <c r="B500" s="39" t="s">
        <v>477</v>
      </c>
      <c r="C500" s="39" t="s">
        <v>6</v>
      </c>
    </row>
    <row r="501" spans="1:4">
      <c r="A501" s="39" t="s">
        <v>529</v>
      </c>
      <c r="B501" s="39" t="s">
        <v>477</v>
      </c>
      <c r="C501" s="39" t="s">
        <v>2</v>
      </c>
    </row>
    <row r="502" spans="1:4">
      <c r="A502" s="39" t="s">
        <v>479</v>
      </c>
      <c r="B502" s="39" t="s">
        <v>477</v>
      </c>
      <c r="C502" s="39" t="s">
        <v>6</v>
      </c>
    </row>
    <row r="503" spans="1:4">
      <c r="A503" s="39" t="s">
        <v>479</v>
      </c>
      <c r="B503" s="39" t="s">
        <v>477</v>
      </c>
      <c r="C503" s="39" t="s">
        <v>6</v>
      </c>
    </row>
    <row r="504" spans="1:4">
      <c r="A504" s="39" t="s">
        <v>509</v>
      </c>
      <c r="B504" s="39" t="s">
        <v>21</v>
      </c>
      <c r="C504" s="39" t="s">
        <v>6</v>
      </c>
    </row>
    <row r="505" spans="1:4">
      <c r="A505" s="39" t="s">
        <v>498</v>
      </c>
      <c r="B505" s="39" t="s">
        <v>21</v>
      </c>
      <c r="C505" s="39" t="s">
        <v>6</v>
      </c>
    </row>
    <row r="506" spans="1:4">
      <c r="A506" s="39" t="s">
        <v>498</v>
      </c>
      <c r="B506" s="39" t="s">
        <v>21</v>
      </c>
      <c r="C506" s="39" t="s">
        <v>6</v>
      </c>
    </row>
    <row r="507" spans="1:4">
      <c r="A507" s="39" t="s">
        <v>513</v>
      </c>
      <c r="B507" s="39" t="s">
        <v>21</v>
      </c>
      <c r="C507" s="39" t="s">
        <v>2</v>
      </c>
    </row>
    <row r="508" spans="1:4">
      <c r="A508" s="39" t="s">
        <v>528</v>
      </c>
      <c r="B508" s="39" t="s">
        <v>21</v>
      </c>
      <c r="C508" s="39" t="s">
        <v>2</v>
      </c>
    </row>
    <row r="509" spans="1:4">
      <c r="A509" s="39" t="s">
        <v>505</v>
      </c>
      <c r="B509" s="39" t="s">
        <v>21</v>
      </c>
      <c r="C509" s="39" t="s">
        <v>6</v>
      </c>
    </row>
    <row r="510" spans="1:4">
      <c r="A510" s="115" t="s">
        <v>509</v>
      </c>
      <c r="B510" s="115" t="s">
        <v>477</v>
      </c>
      <c r="C510" s="115" t="s">
        <v>2</v>
      </c>
    </row>
    <row r="511" spans="1:4">
      <c r="A511" s="115" t="s">
        <v>479</v>
      </c>
      <c r="B511" s="115" t="s">
        <v>477</v>
      </c>
      <c r="C511" s="115" t="s">
        <v>6</v>
      </c>
    </row>
    <row r="512" spans="1:4">
      <c r="A512" s="115" t="s">
        <v>512</v>
      </c>
      <c r="B512" s="115" t="s">
        <v>477</v>
      </c>
      <c r="C512" s="115" t="s">
        <v>6</v>
      </c>
    </row>
    <row r="513" spans="1:4">
      <c r="A513" s="115" t="s">
        <v>479</v>
      </c>
      <c r="B513" s="115" t="s">
        <v>477</v>
      </c>
      <c r="C513" s="115" t="s">
        <v>2</v>
      </c>
    </row>
    <row r="514" spans="1:4">
      <c r="A514" s="115" t="s">
        <v>479</v>
      </c>
      <c r="B514" s="115" t="s">
        <v>477</v>
      </c>
      <c r="C514" s="115" t="s">
        <v>2</v>
      </c>
    </row>
    <row r="515" spans="1:4">
      <c r="A515" s="115" t="s">
        <v>498</v>
      </c>
      <c r="B515" s="115" t="s">
        <v>477</v>
      </c>
      <c r="C515" s="115" t="s">
        <v>6</v>
      </c>
    </row>
    <row r="516" spans="1:4">
      <c r="A516" s="115" t="s">
        <v>479</v>
      </c>
      <c r="B516" s="115" t="s">
        <v>477</v>
      </c>
      <c r="C516" s="115" t="s">
        <v>2</v>
      </c>
    </row>
    <row r="517" spans="1:4">
      <c r="A517" s="115" t="s">
        <v>502</v>
      </c>
      <c r="B517" s="115" t="s">
        <v>477</v>
      </c>
      <c r="C517" s="115" t="s">
        <v>6</v>
      </c>
    </row>
    <row r="518" spans="1:4">
      <c r="A518" s="115" t="s">
        <v>498</v>
      </c>
      <c r="B518" s="115" t="s">
        <v>477</v>
      </c>
      <c r="C518" s="115" t="s">
        <v>6</v>
      </c>
    </row>
    <row r="519" spans="1:4">
      <c r="A519" s="115" t="s">
        <v>518</v>
      </c>
      <c r="B519" s="115" t="s">
        <v>477</v>
      </c>
      <c r="C519" s="115" t="s">
        <v>6</v>
      </c>
    </row>
    <row r="520" spans="1:4">
      <c r="A520" s="115" t="s">
        <v>512</v>
      </c>
      <c r="B520" s="115" t="s">
        <v>477</v>
      </c>
      <c r="C520" s="115" t="s">
        <v>6</v>
      </c>
    </row>
    <row r="521" spans="1:4">
      <c r="A521" s="115" t="s">
        <v>479</v>
      </c>
      <c r="B521" s="115" t="s">
        <v>477</v>
      </c>
      <c r="C521" s="115" t="s">
        <v>6</v>
      </c>
    </row>
    <row r="522" spans="1:4">
      <c r="A522" s="115" t="s">
        <v>479</v>
      </c>
      <c r="B522" s="115" t="s">
        <v>477</v>
      </c>
      <c r="C522" s="115" t="s">
        <v>6</v>
      </c>
      <c r="D522" s="115" t="s">
        <v>543</v>
      </c>
    </row>
    <row r="523" spans="1:4">
      <c r="A523" s="115" t="s">
        <v>525</v>
      </c>
      <c r="B523" s="115" t="s">
        <v>477</v>
      </c>
      <c r="C523" s="115" t="s">
        <v>6</v>
      </c>
    </row>
    <row r="524" spans="1:4">
      <c r="A524" s="115" t="s">
        <v>525</v>
      </c>
      <c r="B524" s="115" t="s">
        <v>477</v>
      </c>
      <c r="C524" s="115" t="s">
        <v>6</v>
      </c>
    </row>
    <row r="525" spans="1:4">
      <c r="A525" s="115" t="s">
        <v>479</v>
      </c>
      <c r="B525" s="115" t="s">
        <v>477</v>
      </c>
      <c r="C525" s="115" t="s">
        <v>6</v>
      </c>
    </row>
    <row r="526" spans="1:4">
      <c r="A526" s="115" t="s">
        <v>479</v>
      </c>
      <c r="B526" s="115" t="s">
        <v>477</v>
      </c>
      <c r="C526" s="115" t="s">
        <v>2</v>
      </c>
    </row>
    <row r="527" spans="1:4">
      <c r="A527" s="115" t="s">
        <v>478</v>
      </c>
      <c r="B527" s="115" t="s">
        <v>477</v>
      </c>
      <c r="C527" s="115" t="s">
        <v>6</v>
      </c>
    </row>
    <row r="528" spans="1:4">
      <c r="A528" s="115" t="s">
        <v>525</v>
      </c>
      <c r="B528" s="115" t="s">
        <v>477</v>
      </c>
      <c r="C528" s="115" t="s">
        <v>2</v>
      </c>
    </row>
    <row r="529" spans="1:3">
      <c r="A529" s="115" t="s">
        <v>478</v>
      </c>
      <c r="B529" s="115" t="s">
        <v>477</v>
      </c>
      <c r="C529" s="115" t="s">
        <v>6</v>
      </c>
    </row>
    <row r="530" spans="1:3">
      <c r="A530" s="115" t="s">
        <v>479</v>
      </c>
      <c r="B530" s="115" t="s">
        <v>477</v>
      </c>
      <c r="C530" s="115" t="s">
        <v>6</v>
      </c>
    </row>
    <row r="531" spans="1:3">
      <c r="A531" s="115" t="s">
        <v>507</v>
      </c>
      <c r="B531" s="115" t="s">
        <v>477</v>
      </c>
      <c r="C531" s="115" t="s">
        <v>6</v>
      </c>
    </row>
    <row r="532" spans="1:3">
      <c r="A532" s="39" t="s">
        <v>506</v>
      </c>
      <c r="B532" s="39" t="s">
        <v>21</v>
      </c>
      <c r="C532" s="39" t="s">
        <v>6</v>
      </c>
    </row>
    <row r="533" spans="1:3">
      <c r="A533" s="39" t="s">
        <v>178</v>
      </c>
      <c r="B533" s="39" t="s">
        <v>21</v>
      </c>
      <c r="C533" s="39" t="s">
        <v>6</v>
      </c>
    </row>
    <row r="534" spans="1:3">
      <c r="A534" s="39" t="s">
        <v>479</v>
      </c>
      <c r="B534" s="39" t="s">
        <v>477</v>
      </c>
      <c r="C534" s="39" t="s">
        <v>6</v>
      </c>
    </row>
    <row r="535" spans="1:3">
      <c r="A535" s="39" t="s">
        <v>479</v>
      </c>
      <c r="B535" s="39" t="s">
        <v>477</v>
      </c>
      <c r="C535" s="39" t="s">
        <v>6</v>
      </c>
    </row>
    <row r="536" spans="1:3">
      <c r="A536" s="39" t="s">
        <v>502</v>
      </c>
      <c r="B536" s="39" t="s">
        <v>477</v>
      </c>
      <c r="C536" s="39" t="s">
        <v>6</v>
      </c>
    </row>
    <row r="537" spans="1:3">
      <c r="A537" s="39" t="s">
        <v>505</v>
      </c>
      <c r="B537" s="39" t="s">
        <v>477</v>
      </c>
      <c r="C537" s="39" t="s">
        <v>6</v>
      </c>
    </row>
    <row r="538" spans="1:3">
      <c r="A538" s="39" t="s">
        <v>544</v>
      </c>
      <c r="B538" s="39" t="s">
        <v>477</v>
      </c>
      <c r="C538" s="39" t="s">
        <v>2</v>
      </c>
    </row>
    <row r="539" spans="1:3">
      <c r="A539" s="39" t="s">
        <v>502</v>
      </c>
      <c r="B539" s="39" t="s">
        <v>477</v>
      </c>
      <c r="C539" s="39" t="s">
        <v>6</v>
      </c>
    </row>
    <row r="540" spans="1:3">
      <c r="A540" s="39" t="s">
        <v>479</v>
      </c>
      <c r="B540" s="39" t="s">
        <v>477</v>
      </c>
      <c r="C540" s="39" t="s">
        <v>6</v>
      </c>
    </row>
    <row r="541" spans="1:3">
      <c r="A541" s="39" t="s">
        <v>512</v>
      </c>
      <c r="B541" s="39" t="s">
        <v>477</v>
      </c>
      <c r="C541" s="39" t="s">
        <v>6</v>
      </c>
    </row>
    <row r="542" spans="1:3">
      <c r="A542" s="39" t="s">
        <v>479</v>
      </c>
      <c r="B542" s="39" t="s">
        <v>477</v>
      </c>
      <c r="C542" s="39" t="s">
        <v>2</v>
      </c>
    </row>
    <row r="543" spans="1:3">
      <c r="A543" s="39" t="s">
        <v>529</v>
      </c>
      <c r="B543" s="39" t="s">
        <v>477</v>
      </c>
      <c r="C543" s="39" t="s">
        <v>6</v>
      </c>
    </row>
    <row r="544" spans="1:3">
      <c r="A544" s="39" t="s">
        <v>512</v>
      </c>
      <c r="B544" s="39" t="s">
        <v>477</v>
      </c>
      <c r="C544" s="39" t="s">
        <v>2</v>
      </c>
    </row>
    <row r="545" spans="1:4">
      <c r="A545" s="39" t="s">
        <v>519</v>
      </c>
      <c r="B545" s="39" t="s">
        <v>477</v>
      </c>
      <c r="C545" s="39" t="s">
        <v>6</v>
      </c>
      <c r="D545" s="39" t="s">
        <v>545</v>
      </c>
    </row>
    <row r="546" spans="1:4">
      <c r="A546" s="39" t="s">
        <v>519</v>
      </c>
      <c r="B546" s="39" t="s">
        <v>477</v>
      </c>
      <c r="C546" s="39" t="s">
        <v>6</v>
      </c>
    </row>
    <row r="547" spans="1:4">
      <c r="A547" s="39" t="s">
        <v>529</v>
      </c>
      <c r="B547" s="39" t="s">
        <v>477</v>
      </c>
      <c r="C547" s="39" t="s">
        <v>2</v>
      </c>
    </row>
    <row r="548" spans="1:4">
      <c r="A548" s="39" t="s">
        <v>479</v>
      </c>
      <c r="B548" s="39" t="s">
        <v>477</v>
      </c>
      <c r="C548" s="39" t="s">
        <v>2</v>
      </c>
    </row>
    <row r="549" spans="1:4">
      <c r="A549" s="39" t="s">
        <v>529</v>
      </c>
      <c r="B549" s="39" t="s">
        <v>477</v>
      </c>
      <c r="C549" s="39" t="s">
        <v>6</v>
      </c>
    </row>
    <row r="550" spans="1:4">
      <c r="A550" s="39" t="s">
        <v>529</v>
      </c>
      <c r="B550" s="39" t="s">
        <v>477</v>
      </c>
      <c r="C550" s="39" t="s">
        <v>6</v>
      </c>
    </row>
    <row r="551" spans="1:4">
      <c r="A551" s="39" t="s">
        <v>500</v>
      </c>
      <c r="B551" s="39" t="s">
        <v>477</v>
      </c>
      <c r="C551" s="39" t="s">
        <v>6</v>
      </c>
    </row>
    <row r="552" spans="1:4">
      <c r="A552" s="39" t="s">
        <v>535</v>
      </c>
      <c r="B552" s="39" t="s">
        <v>477</v>
      </c>
      <c r="C552" s="39" t="s">
        <v>2</v>
      </c>
    </row>
    <row r="553" spans="1:4">
      <c r="A553" s="39" t="s">
        <v>509</v>
      </c>
      <c r="B553" s="39" t="s">
        <v>477</v>
      </c>
      <c r="C553" s="39" t="s">
        <v>6</v>
      </c>
    </row>
    <row r="554" spans="1:4">
      <c r="A554" s="39" t="s">
        <v>498</v>
      </c>
      <c r="B554" s="39" t="s">
        <v>477</v>
      </c>
      <c r="C554" s="39" t="s">
        <v>6</v>
      </c>
    </row>
    <row r="555" spans="1:4">
      <c r="A555" s="39" t="s">
        <v>525</v>
      </c>
      <c r="B555" s="39" t="s">
        <v>477</v>
      </c>
      <c r="C555" s="39" t="s">
        <v>2</v>
      </c>
    </row>
    <row r="556" spans="1:4">
      <c r="A556" s="39" t="s">
        <v>478</v>
      </c>
      <c r="B556" s="39" t="s">
        <v>477</v>
      </c>
      <c r="C556" s="39" t="s">
        <v>6</v>
      </c>
    </row>
    <row r="557" spans="1:4">
      <c r="A557" s="39" t="s">
        <v>517</v>
      </c>
      <c r="B557" s="39" t="s">
        <v>477</v>
      </c>
      <c r="C557" s="39" t="s">
        <v>6</v>
      </c>
    </row>
    <row r="558" spans="1:4">
      <c r="A558" s="39" t="s">
        <v>529</v>
      </c>
      <c r="B558" s="39" t="s">
        <v>477</v>
      </c>
      <c r="C558" s="39" t="s">
        <v>2</v>
      </c>
    </row>
  </sheetData>
  <mergeCells count="3">
    <mergeCell ref="K1:M2"/>
    <mergeCell ref="K15:M16"/>
    <mergeCell ref="K31:M32"/>
  </mergeCells>
  <pageMargins left="0.7" right="0.7" top="0.75" bottom="0.75" header="0.3" footer="0.3"/>
  <pageSetup paperSize="9"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N69"/>
  <sheetViews>
    <sheetView view="pageLayout" zoomScale="55" zoomScaleNormal="100" zoomScalePageLayoutView="55" workbookViewId="0">
      <selection activeCell="N8" sqref="N8"/>
    </sheetView>
  </sheetViews>
  <sheetFormatPr defaultRowHeight="15"/>
  <sheetData>
    <row r="1" spans="1:14">
      <c r="A1" s="346"/>
      <c r="B1" s="346"/>
      <c r="C1" s="346"/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</row>
    <row r="2" spans="1:14">
      <c r="A2" s="346"/>
      <c r="B2" s="346"/>
      <c r="C2" s="346"/>
      <c r="D2" s="346"/>
      <c r="E2" s="346"/>
      <c r="F2" s="346"/>
      <c r="G2" s="346"/>
      <c r="H2" s="346"/>
      <c r="I2" s="346"/>
      <c r="J2" s="346"/>
      <c r="K2" s="346"/>
      <c r="L2" s="346"/>
      <c r="M2" s="346"/>
      <c r="N2" s="346"/>
    </row>
    <row r="3" spans="1:14">
      <c r="A3" s="346"/>
      <c r="B3" s="346"/>
      <c r="C3" s="346"/>
      <c r="D3" s="346"/>
      <c r="E3" s="346"/>
      <c r="F3" s="346"/>
      <c r="G3" s="346"/>
      <c r="H3" s="346"/>
      <c r="I3" s="346"/>
      <c r="J3" s="346"/>
      <c r="K3" s="346"/>
      <c r="L3" s="346"/>
      <c r="M3" s="346"/>
      <c r="N3" s="346"/>
    </row>
    <row r="4" spans="1:14">
      <c r="A4" s="346"/>
      <c r="B4" s="346"/>
      <c r="C4" s="346"/>
      <c r="D4" s="346"/>
      <c r="E4" s="346"/>
      <c r="F4" s="346"/>
      <c r="G4" s="346"/>
      <c r="H4" s="346"/>
      <c r="I4" s="346"/>
      <c r="J4" s="346"/>
      <c r="K4" s="346"/>
      <c r="L4" s="346"/>
      <c r="M4" s="346"/>
      <c r="N4" s="346"/>
    </row>
    <row r="5" spans="1:14">
      <c r="A5" s="346"/>
      <c r="B5" s="346"/>
      <c r="C5" s="346"/>
      <c r="D5" s="346"/>
      <c r="E5" s="346"/>
      <c r="F5" s="346"/>
      <c r="G5" s="346"/>
      <c r="H5" s="346"/>
      <c r="I5" s="346"/>
      <c r="J5" s="346"/>
      <c r="K5" s="346"/>
      <c r="L5" s="346"/>
      <c r="M5" s="346"/>
      <c r="N5" s="346"/>
    </row>
    <row r="6" spans="1:14">
      <c r="A6" s="346"/>
      <c r="B6" s="346"/>
      <c r="C6" s="346"/>
      <c r="D6" s="346"/>
      <c r="E6" s="346"/>
      <c r="F6" s="346"/>
      <c r="G6" s="346"/>
      <c r="H6" s="346"/>
      <c r="I6" s="346"/>
      <c r="J6" s="346"/>
      <c r="K6" s="346"/>
      <c r="L6" s="346"/>
      <c r="M6" s="346"/>
      <c r="N6" s="346"/>
    </row>
    <row r="7" spans="1:14">
      <c r="A7" s="346"/>
      <c r="B7" s="346"/>
      <c r="C7" s="346"/>
      <c r="D7" s="346"/>
      <c r="E7" s="346"/>
      <c r="F7" s="346"/>
      <c r="G7" s="346"/>
      <c r="H7" s="346"/>
      <c r="I7" s="346"/>
      <c r="J7" s="346"/>
      <c r="K7" s="346"/>
      <c r="L7" s="346"/>
      <c r="M7" s="346"/>
      <c r="N7" s="346"/>
    </row>
    <row r="8" spans="1:14">
      <c r="A8" s="346"/>
      <c r="B8" s="346"/>
      <c r="C8" s="346"/>
      <c r="D8" s="346"/>
      <c r="E8" s="346"/>
      <c r="F8" s="346"/>
      <c r="G8" s="346"/>
      <c r="H8" s="346"/>
      <c r="I8" s="346"/>
      <c r="J8" s="346"/>
      <c r="K8" s="346"/>
      <c r="L8" s="346"/>
      <c r="M8" s="346"/>
      <c r="N8" s="346"/>
    </row>
    <row r="9" spans="1:14">
      <c r="A9" s="346"/>
      <c r="B9" s="346"/>
      <c r="C9" s="346"/>
      <c r="D9" s="346"/>
      <c r="E9" s="346"/>
      <c r="F9" s="346"/>
      <c r="G9" s="346"/>
      <c r="H9" s="346"/>
      <c r="I9" s="346"/>
      <c r="J9" s="346"/>
      <c r="K9" s="346"/>
      <c r="L9" s="346"/>
      <c r="M9" s="346"/>
      <c r="N9" s="346"/>
    </row>
    <row r="10" spans="1:14">
      <c r="A10" s="346"/>
      <c r="B10" s="346"/>
      <c r="C10" s="346"/>
      <c r="D10" s="346"/>
      <c r="E10" s="346"/>
      <c r="F10" s="346"/>
      <c r="G10" s="346"/>
      <c r="H10" s="346"/>
      <c r="I10" s="346"/>
      <c r="J10" s="346"/>
      <c r="K10" s="346"/>
      <c r="L10" s="346"/>
      <c r="M10" s="346"/>
      <c r="N10" s="346"/>
    </row>
    <row r="11" spans="1:14">
      <c r="A11" s="346"/>
      <c r="B11" s="346"/>
      <c r="C11" s="346"/>
      <c r="D11" s="346"/>
      <c r="E11" s="346"/>
      <c r="F11" s="346"/>
      <c r="G11" s="346"/>
      <c r="H11" s="346"/>
      <c r="I11" s="346"/>
      <c r="J11" s="346"/>
      <c r="K11" s="346"/>
      <c r="L11" s="346"/>
      <c r="M11" s="346"/>
      <c r="N11" s="346"/>
    </row>
    <row r="12" spans="1:14">
      <c r="A12" s="346"/>
      <c r="B12" s="346"/>
      <c r="C12" s="346"/>
      <c r="D12" s="346"/>
      <c r="E12" s="346"/>
      <c r="F12" s="346"/>
      <c r="G12" s="346"/>
      <c r="H12" s="346"/>
      <c r="I12" s="346"/>
      <c r="J12" s="346"/>
      <c r="K12" s="346"/>
      <c r="L12" s="346"/>
      <c r="M12" s="346"/>
      <c r="N12" s="346"/>
    </row>
    <row r="13" spans="1:14">
      <c r="A13" s="346"/>
      <c r="B13" s="346"/>
      <c r="C13" s="346"/>
      <c r="D13" s="346"/>
      <c r="E13" s="346"/>
      <c r="F13" s="346"/>
      <c r="G13" s="346"/>
      <c r="H13" s="346"/>
      <c r="I13" s="346"/>
      <c r="J13" s="346"/>
      <c r="K13" s="346"/>
      <c r="L13" s="346"/>
      <c r="M13" s="346"/>
      <c r="N13" s="346"/>
    </row>
    <row r="14" spans="1:14">
      <c r="A14" s="346"/>
      <c r="B14" s="346"/>
      <c r="C14" s="346"/>
      <c r="D14" s="346"/>
      <c r="E14" s="346"/>
      <c r="F14" s="346"/>
      <c r="G14" s="346"/>
      <c r="H14" s="346"/>
      <c r="I14" s="346"/>
      <c r="J14" s="346"/>
      <c r="K14" s="346"/>
      <c r="L14" s="346"/>
      <c r="M14" s="346"/>
      <c r="N14" s="346"/>
    </row>
    <row r="15" spans="1:14">
      <c r="A15" s="346"/>
      <c r="B15" s="346"/>
      <c r="C15" s="346"/>
      <c r="D15" s="346"/>
      <c r="E15" s="346"/>
      <c r="F15" s="346"/>
      <c r="G15" s="346"/>
      <c r="H15" s="346"/>
      <c r="I15" s="346"/>
      <c r="J15" s="346"/>
      <c r="K15" s="346"/>
      <c r="L15" s="346"/>
      <c r="M15" s="346"/>
      <c r="N15" s="346"/>
    </row>
    <row r="16" spans="1:14">
      <c r="A16" s="346"/>
      <c r="B16" s="346"/>
      <c r="C16" s="346"/>
      <c r="D16" s="346"/>
      <c r="E16" s="346"/>
      <c r="F16" s="346"/>
      <c r="G16" s="346"/>
      <c r="H16" s="346"/>
      <c r="I16" s="346"/>
      <c r="J16" s="346"/>
      <c r="K16" s="346"/>
      <c r="L16" s="346"/>
      <c r="M16" s="346"/>
      <c r="N16" s="346"/>
    </row>
    <row r="17" spans="1:14">
      <c r="A17" s="346"/>
      <c r="B17" s="346"/>
      <c r="C17" s="346"/>
      <c r="D17" s="346"/>
      <c r="E17" s="346"/>
      <c r="F17" s="346"/>
      <c r="G17" s="346"/>
      <c r="H17" s="346"/>
      <c r="I17" s="346"/>
      <c r="J17" s="346"/>
      <c r="K17" s="346"/>
      <c r="L17" s="346"/>
      <c r="M17" s="346"/>
      <c r="N17" s="346"/>
    </row>
    <row r="18" spans="1:14">
      <c r="A18" s="346"/>
      <c r="B18" s="346"/>
      <c r="C18" s="346"/>
      <c r="D18" s="346"/>
      <c r="E18" s="346"/>
      <c r="F18" s="346"/>
      <c r="G18" s="346"/>
      <c r="H18" s="346"/>
      <c r="I18" s="346"/>
      <c r="J18" s="346"/>
      <c r="K18" s="346"/>
      <c r="L18" s="346"/>
      <c r="M18" s="346"/>
      <c r="N18" s="346"/>
    </row>
    <row r="19" spans="1:14">
      <c r="A19" s="346"/>
      <c r="B19" s="346"/>
      <c r="C19" s="346"/>
      <c r="D19" s="346"/>
      <c r="E19" s="346"/>
      <c r="F19" s="346"/>
      <c r="G19" s="346"/>
      <c r="H19" s="346"/>
      <c r="I19" s="346"/>
      <c r="J19" s="346"/>
      <c r="K19" s="346"/>
      <c r="L19" s="346"/>
      <c r="M19" s="346"/>
      <c r="N19" s="346"/>
    </row>
    <row r="20" spans="1:14">
      <c r="A20" s="346"/>
      <c r="B20" s="346"/>
      <c r="C20" s="346"/>
      <c r="D20" s="346"/>
      <c r="E20" s="346"/>
      <c r="F20" s="346"/>
      <c r="G20" s="346"/>
      <c r="H20" s="346"/>
      <c r="I20" s="346"/>
      <c r="J20" s="346"/>
      <c r="K20" s="346"/>
      <c r="L20" s="346"/>
      <c r="M20" s="346"/>
      <c r="N20" s="346"/>
    </row>
    <row r="21" spans="1:14">
      <c r="A21" s="346"/>
      <c r="B21" s="346"/>
      <c r="C21" s="346"/>
      <c r="D21" s="346"/>
      <c r="E21" s="346"/>
      <c r="F21" s="346"/>
      <c r="G21" s="346"/>
      <c r="H21" s="346"/>
      <c r="I21" s="346"/>
      <c r="J21" s="346"/>
      <c r="K21" s="346"/>
      <c r="L21" s="346"/>
      <c r="M21" s="346"/>
      <c r="N21" s="346"/>
    </row>
    <row r="22" spans="1:14">
      <c r="A22" s="346"/>
      <c r="B22" s="346"/>
      <c r="C22" s="346"/>
      <c r="D22" s="346"/>
      <c r="E22" s="346"/>
      <c r="F22" s="346"/>
      <c r="G22" s="346"/>
      <c r="H22" s="346"/>
      <c r="I22" s="346"/>
      <c r="J22" s="346"/>
      <c r="K22" s="346"/>
      <c r="L22" s="346"/>
      <c r="M22" s="346"/>
      <c r="N22" s="346"/>
    </row>
    <row r="23" spans="1:14">
      <c r="A23" s="346"/>
      <c r="B23" s="346"/>
      <c r="C23" s="346"/>
      <c r="D23" s="346"/>
      <c r="E23" s="346"/>
      <c r="F23" s="346"/>
      <c r="G23" s="346"/>
      <c r="H23" s="370"/>
      <c r="I23" s="370"/>
      <c r="J23" s="370"/>
      <c r="K23" s="346"/>
      <c r="L23" s="370"/>
      <c r="M23" s="346"/>
      <c r="N23" s="370"/>
    </row>
    <row r="24" spans="1:14">
      <c r="A24" s="346"/>
      <c r="B24" s="346"/>
      <c r="C24" s="346"/>
      <c r="D24" s="346"/>
      <c r="E24" s="346"/>
      <c r="F24" s="346"/>
      <c r="G24" s="346"/>
      <c r="H24" s="370"/>
      <c r="I24" s="370"/>
      <c r="J24" s="370"/>
      <c r="K24" s="346"/>
      <c r="L24" s="269"/>
      <c r="M24" s="246"/>
      <c r="N24" s="269"/>
    </row>
    <row r="25" spans="1:14">
      <c r="A25" s="346"/>
      <c r="B25" s="346"/>
      <c r="C25" s="346"/>
      <c r="D25" s="346"/>
      <c r="E25" s="346"/>
      <c r="F25" s="346"/>
      <c r="G25" s="346"/>
      <c r="H25" s="346"/>
      <c r="I25" s="346"/>
      <c r="J25" s="346"/>
      <c r="K25" s="346"/>
      <c r="L25" s="346"/>
      <c r="M25" s="346"/>
      <c r="N25" s="346"/>
    </row>
    <row r="26" spans="1:14">
      <c r="A26" s="346"/>
      <c r="B26" s="346"/>
      <c r="C26" s="346"/>
      <c r="D26" s="346"/>
      <c r="E26" s="346"/>
      <c r="F26" s="346"/>
      <c r="G26" s="346"/>
      <c r="H26" s="346"/>
      <c r="I26" s="346"/>
      <c r="J26" s="346"/>
      <c r="K26" s="346"/>
      <c r="L26" s="346"/>
      <c r="M26" s="346"/>
      <c r="N26" s="346"/>
    </row>
    <row r="27" spans="1:14">
      <c r="A27" s="346"/>
      <c r="B27" s="346"/>
      <c r="C27" s="346"/>
      <c r="D27" s="346"/>
      <c r="E27" s="346"/>
      <c r="F27" s="346"/>
      <c r="G27" s="346"/>
      <c r="H27" s="346"/>
      <c r="I27" s="346"/>
      <c r="J27" s="346"/>
      <c r="K27" s="346"/>
      <c r="L27" s="346"/>
      <c r="M27" s="346"/>
      <c r="N27" s="346"/>
    </row>
    <row r="28" spans="1:14">
      <c r="A28" s="346"/>
      <c r="B28" s="346"/>
      <c r="C28" s="346"/>
      <c r="D28" s="346"/>
      <c r="E28" s="346"/>
      <c r="F28" s="346"/>
      <c r="G28" s="346"/>
      <c r="H28" s="346"/>
      <c r="I28" s="346"/>
      <c r="J28" s="346"/>
      <c r="K28" s="346"/>
      <c r="L28" s="346"/>
      <c r="M28" s="346"/>
      <c r="N28" s="346"/>
    </row>
    <row r="29" spans="1:14">
      <c r="A29" s="346"/>
      <c r="B29" s="346"/>
      <c r="C29" s="346"/>
      <c r="D29" s="346"/>
      <c r="E29" s="346"/>
      <c r="F29" s="346"/>
      <c r="G29" s="346"/>
      <c r="H29" s="346"/>
      <c r="I29" s="346"/>
      <c r="J29" s="346"/>
      <c r="K29" s="346"/>
      <c r="L29" s="346"/>
      <c r="M29" s="346"/>
      <c r="N29" s="346"/>
    </row>
    <row r="30" spans="1:14">
      <c r="A30" s="346"/>
      <c r="B30" s="346"/>
      <c r="C30" s="346"/>
      <c r="D30" s="346"/>
      <c r="E30" s="346"/>
      <c r="F30" s="346"/>
      <c r="G30" s="346"/>
      <c r="H30" s="346"/>
      <c r="I30" s="346"/>
      <c r="J30" s="346"/>
      <c r="K30" s="346"/>
      <c r="L30" s="346"/>
      <c r="M30" s="346"/>
      <c r="N30" s="346"/>
    </row>
    <row r="31" spans="1:14">
      <c r="A31" s="346"/>
      <c r="B31" s="346"/>
      <c r="C31" s="346"/>
      <c r="D31" s="346"/>
      <c r="E31" s="346"/>
      <c r="F31" s="346"/>
      <c r="G31" s="346"/>
      <c r="H31" s="346"/>
      <c r="I31" s="346"/>
      <c r="J31" s="346"/>
      <c r="K31" s="346"/>
      <c r="L31" s="346"/>
      <c r="M31" s="346"/>
      <c r="N31" s="346"/>
    </row>
    <row r="32" spans="1:14">
      <c r="A32" s="346"/>
      <c r="B32" s="346"/>
      <c r="C32" s="346"/>
      <c r="D32" s="346"/>
      <c r="E32" s="346"/>
      <c r="F32" s="346"/>
      <c r="G32" s="346"/>
      <c r="H32" s="346"/>
      <c r="I32" s="346"/>
      <c r="J32" s="346"/>
      <c r="K32" s="346"/>
      <c r="L32" s="346"/>
      <c r="M32" s="346"/>
      <c r="N32" s="346"/>
    </row>
    <row r="33" spans="1:14">
      <c r="A33" s="346"/>
      <c r="B33" s="346"/>
      <c r="C33" s="346"/>
      <c r="D33" s="346"/>
      <c r="E33" s="346"/>
      <c r="F33" s="346"/>
      <c r="G33" s="346"/>
      <c r="H33" s="346"/>
      <c r="I33" s="346"/>
      <c r="J33" s="346"/>
      <c r="K33" s="346"/>
      <c r="L33" s="346"/>
      <c r="M33" s="346"/>
      <c r="N33" s="346"/>
    </row>
    <row r="34" spans="1:14">
      <c r="A34" s="346"/>
      <c r="B34" s="346"/>
      <c r="C34" s="346"/>
      <c r="D34" s="346"/>
      <c r="E34" s="346"/>
      <c r="F34" s="346"/>
      <c r="G34" s="346"/>
      <c r="H34" s="346"/>
      <c r="I34" s="346"/>
      <c r="J34" s="346"/>
      <c r="K34" s="346"/>
      <c r="L34" s="346"/>
      <c r="M34" s="346"/>
      <c r="N34" s="346"/>
    </row>
    <row r="35" spans="1:14">
      <c r="A35" s="346"/>
      <c r="B35" s="346"/>
      <c r="C35" s="346"/>
      <c r="D35" s="346"/>
      <c r="E35" s="346"/>
      <c r="F35" s="346"/>
      <c r="G35" s="346"/>
      <c r="H35" s="346"/>
      <c r="I35" s="346"/>
      <c r="J35" s="346"/>
      <c r="K35" s="346"/>
      <c r="L35" s="346"/>
      <c r="M35" s="346"/>
      <c r="N35" s="346"/>
    </row>
    <row r="36" spans="1:14">
      <c r="A36" s="346"/>
      <c r="B36" s="346"/>
      <c r="C36" s="346"/>
      <c r="D36" s="346"/>
      <c r="E36" s="346"/>
      <c r="F36" s="346"/>
      <c r="G36" s="346"/>
      <c r="H36" s="346"/>
      <c r="I36" s="346"/>
      <c r="J36" s="346"/>
      <c r="K36" s="346"/>
      <c r="L36" s="346"/>
      <c r="M36" s="346"/>
      <c r="N36" s="346"/>
    </row>
    <row r="37" spans="1:14">
      <c r="A37" s="346"/>
      <c r="B37" s="346"/>
      <c r="C37" s="346"/>
      <c r="D37" s="346"/>
      <c r="E37" s="346"/>
      <c r="F37" s="346"/>
      <c r="G37" s="346"/>
      <c r="H37" s="346"/>
      <c r="I37" s="346"/>
      <c r="J37" s="346"/>
      <c r="K37" s="346"/>
      <c r="L37" s="346"/>
      <c r="M37" s="346"/>
      <c r="N37" s="346"/>
    </row>
    <row r="38" spans="1:14">
      <c r="A38" s="346"/>
      <c r="B38" s="346"/>
      <c r="C38" s="346"/>
      <c r="D38" s="346"/>
      <c r="E38" s="346"/>
      <c r="F38" s="346"/>
      <c r="G38" s="346"/>
      <c r="H38" s="346"/>
      <c r="I38" s="346"/>
      <c r="J38" s="346"/>
      <c r="K38" s="346"/>
      <c r="L38" s="346"/>
      <c r="M38" s="346"/>
      <c r="N38" s="346"/>
    </row>
    <row r="39" spans="1:14">
      <c r="A39" s="346"/>
      <c r="B39" s="346"/>
      <c r="C39" s="346"/>
      <c r="D39" s="346"/>
      <c r="E39" s="346"/>
      <c r="F39" s="346"/>
      <c r="G39" s="346"/>
      <c r="H39" s="346"/>
      <c r="I39" s="346"/>
      <c r="J39" s="346"/>
      <c r="K39" s="346"/>
      <c r="L39" s="346"/>
      <c r="M39" s="346"/>
      <c r="N39" s="346"/>
    </row>
    <row r="40" spans="1:14">
      <c r="A40" s="346"/>
      <c r="B40" s="346"/>
      <c r="C40" s="346"/>
      <c r="D40" s="346"/>
      <c r="E40" s="346"/>
      <c r="F40" s="346"/>
      <c r="G40" s="346"/>
      <c r="H40" s="346"/>
      <c r="I40" s="346"/>
      <c r="J40" s="346"/>
      <c r="K40" s="346"/>
      <c r="L40" s="346"/>
      <c r="M40" s="346"/>
      <c r="N40" s="346"/>
    </row>
    <row r="41" spans="1:14">
      <c r="A41" s="346"/>
      <c r="B41" s="346"/>
      <c r="C41" s="346"/>
      <c r="D41" s="346"/>
      <c r="E41" s="346"/>
      <c r="F41" s="346"/>
      <c r="G41" s="346"/>
      <c r="H41" s="346"/>
      <c r="I41" s="346"/>
      <c r="J41" s="346"/>
      <c r="K41" s="346"/>
      <c r="L41" s="346"/>
      <c r="M41" s="346"/>
      <c r="N41" s="346"/>
    </row>
    <row r="42" spans="1:14">
      <c r="A42" s="346"/>
      <c r="B42" s="346"/>
      <c r="C42" s="346"/>
      <c r="D42" s="346"/>
      <c r="E42" s="346"/>
      <c r="F42" s="346"/>
      <c r="G42" s="346"/>
      <c r="H42" s="346"/>
      <c r="I42" s="346"/>
      <c r="J42" s="346"/>
      <c r="K42" s="346"/>
      <c r="L42" s="346"/>
      <c r="M42" s="346"/>
      <c r="N42" s="346"/>
    </row>
    <row r="43" spans="1:14">
      <c r="A43" s="346"/>
      <c r="B43" s="346"/>
      <c r="C43" s="346"/>
      <c r="D43" s="346"/>
      <c r="E43" s="346"/>
      <c r="F43" s="346"/>
      <c r="G43" s="346"/>
      <c r="H43" s="346"/>
      <c r="I43" s="346"/>
      <c r="J43" s="346"/>
      <c r="K43" s="346"/>
      <c r="L43" s="346"/>
      <c r="M43" s="346"/>
      <c r="N43" s="346"/>
    </row>
    <row r="44" spans="1:14">
      <c r="A44" s="346"/>
      <c r="B44" s="346"/>
      <c r="C44" s="346"/>
      <c r="D44" s="346"/>
      <c r="E44" s="346"/>
      <c r="F44" s="346"/>
      <c r="G44" s="346"/>
      <c r="H44" s="346"/>
      <c r="I44" s="346"/>
      <c r="J44" s="346"/>
      <c r="K44" s="346"/>
      <c r="L44" s="346"/>
      <c r="M44" s="346"/>
      <c r="N44" s="346"/>
    </row>
    <row r="45" spans="1:14">
      <c r="A45" s="346"/>
      <c r="B45" s="346"/>
      <c r="C45" s="346"/>
      <c r="D45" s="346"/>
      <c r="E45" s="346"/>
      <c r="F45" s="346"/>
      <c r="G45" s="346"/>
      <c r="H45" s="346"/>
      <c r="I45" s="346"/>
      <c r="J45" s="346"/>
      <c r="K45" s="346"/>
      <c r="L45" s="346"/>
      <c r="M45" s="346"/>
      <c r="N45" s="346"/>
    </row>
    <row r="46" spans="1:14">
      <c r="A46" s="346"/>
      <c r="B46" s="346"/>
      <c r="C46" s="346"/>
      <c r="D46" s="346"/>
      <c r="E46" s="346"/>
      <c r="F46" s="346"/>
      <c r="G46" s="346"/>
      <c r="H46" s="346"/>
      <c r="I46" s="346"/>
      <c r="J46" s="346"/>
      <c r="K46" s="346"/>
      <c r="L46" s="346"/>
      <c r="M46" s="346"/>
      <c r="N46" s="346"/>
    </row>
    <row r="47" spans="1:14">
      <c r="A47" s="346"/>
      <c r="B47" s="346"/>
      <c r="C47" s="346"/>
      <c r="D47" s="346"/>
      <c r="E47" s="346"/>
      <c r="F47" s="346"/>
      <c r="G47" s="346"/>
      <c r="H47" s="346"/>
      <c r="I47" s="346"/>
      <c r="J47" s="346"/>
      <c r="K47" s="346"/>
      <c r="L47" s="346"/>
      <c r="M47" s="346"/>
      <c r="N47" s="346"/>
    </row>
    <row r="48" spans="1:14">
      <c r="A48" s="346"/>
      <c r="B48" s="346"/>
      <c r="C48" s="346"/>
      <c r="D48" s="346"/>
      <c r="E48" s="346"/>
      <c r="F48" s="346"/>
      <c r="G48" s="346"/>
      <c r="H48" s="346"/>
      <c r="I48" s="346"/>
      <c r="J48" s="346"/>
      <c r="K48" s="346"/>
      <c r="L48" s="346"/>
      <c r="M48" s="346"/>
      <c r="N48" s="346"/>
    </row>
    <row r="49" spans="1:14">
      <c r="A49" s="346"/>
      <c r="B49" s="346"/>
      <c r="C49" s="346"/>
      <c r="D49" s="346"/>
      <c r="E49" s="346"/>
      <c r="F49" s="346"/>
      <c r="G49" s="346"/>
      <c r="H49" s="346"/>
      <c r="I49" s="346"/>
      <c r="J49" s="346"/>
      <c r="K49" s="346"/>
      <c r="L49" s="346"/>
      <c r="M49" s="346"/>
      <c r="N49" s="346"/>
    </row>
    <row r="50" spans="1:14">
      <c r="A50" s="346"/>
      <c r="B50" s="346"/>
      <c r="C50" s="346"/>
      <c r="D50" s="346"/>
      <c r="E50" s="346"/>
      <c r="F50" s="346"/>
      <c r="G50" s="346"/>
      <c r="H50" s="346"/>
      <c r="I50" s="346"/>
      <c r="J50" s="346"/>
      <c r="K50" s="346"/>
      <c r="L50" s="346"/>
      <c r="M50" s="346"/>
      <c r="N50" s="346"/>
    </row>
    <row r="51" spans="1:14">
      <c r="A51" s="346"/>
      <c r="B51" s="346"/>
      <c r="C51" s="346"/>
      <c r="D51" s="346"/>
      <c r="E51" s="346"/>
      <c r="F51" s="346"/>
      <c r="G51" s="346"/>
      <c r="H51" s="346"/>
      <c r="I51" s="346"/>
      <c r="J51" s="346"/>
      <c r="K51" s="346"/>
      <c r="L51" s="346"/>
      <c r="M51" s="346"/>
      <c r="N51" s="346"/>
    </row>
    <row r="52" spans="1:14">
      <c r="A52" s="346"/>
      <c r="B52" s="346"/>
      <c r="C52" s="346"/>
      <c r="D52" s="346"/>
      <c r="E52" s="346"/>
      <c r="F52" s="346"/>
      <c r="G52" s="346"/>
      <c r="H52" s="346"/>
      <c r="I52" s="346"/>
      <c r="J52" s="346"/>
      <c r="K52" s="346"/>
      <c r="L52" s="346"/>
      <c r="M52" s="346"/>
      <c r="N52" s="346"/>
    </row>
    <row r="53" spans="1:14">
      <c r="A53" s="346"/>
      <c r="B53" s="346"/>
      <c r="C53" s="346"/>
      <c r="D53" s="346"/>
      <c r="E53" s="346"/>
      <c r="F53" s="346"/>
      <c r="G53" s="346"/>
      <c r="H53" s="346"/>
      <c r="I53" s="346"/>
      <c r="J53" s="346"/>
      <c r="K53" s="346"/>
      <c r="L53" s="346"/>
      <c r="M53" s="346"/>
      <c r="N53" s="346"/>
    </row>
    <row r="54" spans="1:14">
      <c r="A54" s="346"/>
      <c r="B54" s="346"/>
      <c r="C54" s="346"/>
      <c r="D54" s="346"/>
      <c r="E54" s="346"/>
      <c r="F54" s="346"/>
      <c r="G54" s="346"/>
      <c r="H54" s="346"/>
      <c r="I54" s="346"/>
      <c r="J54" s="346"/>
      <c r="K54" s="346"/>
      <c r="L54" s="346"/>
      <c r="M54" s="346"/>
      <c r="N54" s="346"/>
    </row>
    <row r="55" spans="1:14">
      <c r="A55" s="346"/>
      <c r="B55" s="346"/>
      <c r="C55" s="346"/>
      <c r="D55" s="346"/>
      <c r="E55" s="346"/>
      <c r="F55" s="346"/>
      <c r="G55" s="346"/>
      <c r="H55" s="346"/>
      <c r="I55" s="346"/>
      <c r="J55" s="346"/>
      <c r="K55" s="346"/>
      <c r="L55" s="346"/>
      <c r="M55" s="346"/>
      <c r="N55" s="346"/>
    </row>
    <row r="56" spans="1:14">
      <c r="A56" s="346"/>
      <c r="B56" s="346"/>
      <c r="C56" s="346"/>
      <c r="D56" s="346"/>
      <c r="E56" s="346"/>
      <c r="F56" s="346"/>
      <c r="G56" s="346"/>
      <c r="H56" s="346"/>
      <c r="I56" s="346"/>
      <c r="J56" s="346"/>
      <c r="K56" s="346"/>
      <c r="L56" s="346"/>
      <c r="M56" s="346"/>
      <c r="N56" s="346"/>
    </row>
    <row r="57" spans="1:14">
      <c r="A57" s="346"/>
      <c r="B57" s="346"/>
      <c r="C57" s="346"/>
      <c r="D57" s="346"/>
      <c r="E57" s="346"/>
      <c r="F57" s="346"/>
      <c r="G57" s="346"/>
      <c r="H57" s="346"/>
      <c r="I57" s="346"/>
      <c r="J57" s="346"/>
      <c r="K57" s="346"/>
      <c r="L57" s="346"/>
      <c r="M57" s="346"/>
      <c r="N57" s="346"/>
    </row>
    <row r="58" spans="1:14">
      <c r="A58" s="346"/>
      <c r="B58" s="346"/>
      <c r="C58" s="346"/>
      <c r="D58" s="346"/>
      <c r="E58" s="346"/>
      <c r="F58" s="346"/>
      <c r="G58" s="346"/>
      <c r="H58" s="346"/>
      <c r="I58" s="346"/>
      <c r="J58" s="346"/>
      <c r="K58" s="346"/>
      <c r="L58" s="346"/>
      <c r="M58" s="346"/>
      <c r="N58" s="346"/>
    </row>
    <row r="59" spans="1:14">
      <c r="A59" s="346"/>
      <c r="B59" s="346"/>
      <c r="C59" s="346"/>
      <c r="D59" s="346"/>
      <c r="E59" s="346"/>
      <c r="F59" s="346"/>
      <c r="G59" s="346"/>
      <c r="H59" s="346"/>
      <c r="I59" s="346"/>
      <c r="J59" s="346"/>
      <c r="K59" s="346"/>
      <c r="L59" s="346"/>
      <c r="M59" s="346"/>
      <c r="N59" s="346"/>
    </row>
    <row r="60" spans="1:14">
      <c r="A60" s="346"/>
      <c r="B60" s="346"/>
      <c r="C60" s="346"/>
      <c r="D60" s="346"/>
      <c r="E60" s="346"/>
      <c r="F60" s="346"/>
      <c r="G60" s="346"/>
      <c r="H60" s="346"/>
      <c r="I60" s="346"/>
      <c r="J60" s="346"/>
      <c r="K60" s="346"/>
      <c r="L60" s="346"/>
      <c r="M60" s="346"/>
      <c r="N60" s="346"/>
    </row>
    <row r="61" spans="1:14">
      <c r="A61" s="346"/>
      <c r="B61" s="346"/>
      <c r="C61" s="346"/>
      <c r="D61" s="346"/>
      <c r="E61" s="346"/>
      <c r="F61" s="346"/>
      <c r="G61" s="346"/>
      <c r="H61" s="346"/>
      <c r="I61" s="346"/>
      <c r="J61" s="346"/>
      <c r="K61" s="346"/>
      <c r="L61" s="346"/>
      <c r="M61" s="346"/>
      <c r="N61" s="346"/>
    </row>
    <row r="62" spans="1:14">
      <c r="A62" s="346"/>
      <c r="B62" s="346"/>
      <c r="C62" s="346"/>
      <c r="D62" s="346"/>
      <c r="E62" s="346"/>
      <c r="F62" s="346"/>
      <c r="G62" s="346"/>
      <c r="H62" s="346"/>
      <c r="I62" s="346"/>
      <c r="J62" s="346"/>
      <c r="K62" s="346"/>
      <c r="L62" s="346"/>
      <c r="M62" s="346"/>
      <c r="N62" s="346"/>
    </row>
    <row r="63" spans="1:14">
      <c r="A63" s="346"/>
      <c r="B63" s="346"/>
      <c r="C63" s="346"/>
      <c r="D63" s="346"/>
      <c r="E63" s="346"/>
      <c r="F63" s="346"/>
      <c r="G63" s="346"/>
      <c r="H63" s="346"/>
      <c r="I63" s="346"/>
      <c r="J63" s="346"/>
      <c r="K63" s="346"/>
      <c r="L63" s="346"/>
      <c r="M63" s="346"/>
      <c r="N63" s="346"/>
    </row>
    <row r="64" spans="1:14">
      <c r="A64" s="346"/>
      <c r="B64" s="346"/>
      <c r="C64" s="346"/>
      <c r="D64" s="346"/>
      <c r="E64" s="346"/>
      <c r="F64" s="346"/>
      <c r="G64" s="346"/>
      <c r="H64" s="346"/>
      <c r="I64" s="346"/>
      <c r="J64" s="346"/>
      <c r="K64" s="346"/>
      <c r="L64" s="346"/>
      <c r="M64" s="346"/>
      <c r="N64" s="346"/>
    </row>
    <row r="65" spans="1:14">
      <c r="A65" s="346"/>
      <c r="B65" s="346"/>
      <c r="C65" s="346"/>
      <c r="D65" s="346"/>
      <c r="E65" s="346"/>
      <c r="F65" s="346"/>
      <c r="G65" s="346"/>
      <c r="H65" s="346"/>
      <c r="I65" s="346"/>
      <c r="J65" s="346"/>
      <c r="K65" s="346"/>
      <c r="L65" s="346"/>
      <c r="M65" s="346"/>
      <c r="N65" s="346"/>
    </row>
    <row r="66" spans="1:14">
      <c r="A66" s="346"/>
      <c r="B66" s="346"/>
      <c r="C66" s="346"/>
      <c r="D66" s="346"/>
      <c r="E66" s="346"/>
      <c r="F66" s="346"/>
      <c r="G66" s="346"/>
      <c r="H66" s="346"/>
      <c r="I66" s="346"/>
      <c r="J66" s="346"/>
      <c r="K66" s="346"/>
      <c r="L66" s="346"/>
      <c r="M66" s="346"/>
      <c r="N66" s="346"/>
    </row>
    <row r="67" spans="1:14">
      <c r="A67" s="346"/>
      <c r="B67" s="346"/>
      <c r="C67" s="346"/>
      <c r="D67" s="346"/>
      <c r="E67" s="346"/>
      <c r="F67" s="346"/>
      <c r="G67" s="346"/>
      <c r="H67" s="346"/>
      <c r="I67" s="346"/>
      <c r="J67" s="346"/>
      <c r="K67" s="346"/>
      <c r="L67" s="346"/>
      <c r="M67" s="346"/>
      <c r="N67" s="346"/>
    </row>
    <row r="68" spans="1:14">
      <c r="A68" s="346"/>
      <c r="B68" s="346"/>
      <c r="C68" s="346"/>
      <c r="D68" s="346"/>
      <c r="E68" s="346"/>
      <c r="F68" s="346"/>
      <c r="G68" s="346"/>
      <c r="H68" s="346"/>
      <c r="I68" s="346"/>
      <c r="J68" s="346"/>
      <c r="K68" s="346"/>
      <c r="L68" s="346"/>
      <c r="M68" s="346"/>
      <c r="N68" s="346"/>
    </row>
    <row r="69" spans="1:14">
      <c r="A69" s="346"/>
      <c r="B69" s="346"/>
      <c r="C69" s="346"/>
      <c r="D69" s="346"/>
      <c r="E69" s="346"/>
      <c r="F69" s="346"/>
      <c r="G69" s="346"/>
      <c r="H69" s="346"/>
      <c r="I69" s="346"/>
      <c r="J69" s="346"/>
      <c r="K69" s="346"/>
      <c r="L69" s="346"/>
      <c r="M69" s="346"/>
      <c r="N69" s="346"/>
    </row>
  </sheetData>
  <pageMargins left="0.70866141732283461" right="0.31496062992125984" top="0.39370078740157483" bottom="0.39370078740157483" header="0.31496062992125984" footer="0.31496062992125984"/>
  <pageSetup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:N69"/>
  <sheetViews>
    <sheetView view="pageLayout" zoomScale="70" zoomScaleNormal="100" zoomScalePageLayoutView="70" workbookViewId="0">
      <selection activeCell="N8" sqref="N8"/>
    </sheetView>
  </sheetViews>
  <sheetFormatPr defaultRowHeight="15"/>
  <sheetData>
    <row r="1" spans="1:14">
      <c r="A1" s="346"/>
      <c r="B1" s="346"/>
      <c r="C1" s="346"/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</row>
    <row r="2" spans="1:14">
      <c r="A2" s="346"/>
      <c r="B2" s="346"/>
      <c r="C2" s="346"/>
      <c r="D2" s="346"/>
      <c r="E2" s="346"/>
      <c r="F2" s="346"/>
      <c r="G2" s="346"/>
      <c r="H2" s="346"/>
      <c r="I2" s="346"/>
      <c r="J2" s="346"/>
      <c r="K2" s="346"/>
      <c r="L2" s="346"/>
      <c r="M2" s="346"/>
      <c r="N2" s="346"/>
    </row>
    <row r="3" spans="1:14">
      <c r="A3" s="346"/>
      <c r="B3" s="346"/>
      <c r="C3" s="346"/>
      <c r="D3" s="346"/>
      <c r="E3" s="346"/>
      <c r="F3" s="346"/>
      <c r="G3" s="346"/>
      <c r="H3" s="346"/>
      <c r="I3" s="346"/>
      <c r="J3" s="346"/>
      <c r="K3" s="346"/>
      <c r="L3" s="346"/>
      <c r="M3" s="346"/>
      <c r="N3" s="346"/>
    </row>
    <row r="4" spans="1:14">
      <c r="A4" s="346"/>
      <c r="B4" s="346"/>
      <c r="C4" s="346"/>
      <c r="D4" s="346"/>
      <c r="E4" s="346"/>
      <c r="F4" s="346"/>
      <c r="G4" s="346"/>
      <c r="H4" s="346"/>
      <c r="I4" s="346"/>
      <c r="J4" s="346"/>
      <c r="K4" s="346"/>
      <c r="L4" s="346"/>
      <c r="M4" s="346"/>
      <c r="N4" s="346"/>
    </row>
    <row r="5" spans="1:14">
      <c r="A5" s="346"/>
      <c r="B5" s="346"/>
      <c r="C5" s="346"/>
      <c r="D5" s="346"/>
      <c r="E5" s="346"/>
      <c r="F5" s="346"/>
      <c r="G5" s="346"/>
      <c r="H5" s="346"/>
      <c r="I5" s="346"/>
      <c r="J5" s="346"/>
      <c r="K5" s="346"/>
      <c r="L5" s="346"/>
      <c r="M5" s="346"/>
      <c r="N5" s="346"/>
    </row>
    <row r="6" spans="1:14">
      <c r="A6" s="346"/>
      <c r="B6" s="346"/>
      <c r="C6" s="346"/>
      <c r="D6" s="346"/>
      <c r="E6" s="346"/>
      <c r="F6" s="346"/>
      <c r="G6" s="346"/>
      <c r="H6" s="346"/>
      <c r="I6" s="346"/>
      <c r="J6" s="346"/>
      <c r="K6" s="346"/>
      <c r="L6" s="346"/>
      <c r="M6" s="346"/>
      <c r="N6" s="346"/>
    </row>
    <row r="7" spans="1:14">
      <c r="A7" s="346"/>
      <c r="B7" s="346"/>
      <c r="C7" s="346"/>
      <c r="D7" s="346"/>
      <c r="E7" s="346"/>
      <c r="F7" s="346"/>
      <c r="G7" s="346"/>
      <c r="H7" s="346"/>
      <c r="I7" s="346"/>
      <c r="J7" s="346"/>
      <c r="K7" s="346"/>
      <c r="L7" s="346"/>
      <c r="M7" s="346"/>
      <c r="N7" s="346"/>
    </row>
    <row r="8" spans="1:14">
      <c r="A8" s="346"/>
      <c r="B8" s="346"/>
      <c r="C8" s="346"/>
      <c r="D8" s="346"/>
      <c r="E8" s="346"/>
      <c r="F8" s="346"/>
      <c r="G8" s="346"/>
      <c r="H8" s="346"/>
      <c r="I8" s="346"/>
      <c r="J8" s="346"/>
      <c r="K8" s="346"/>
      <c r="L8" s="346"/>
      <c r="M8" s="346"/>
      <c r="N8" s="346"/>
    </row>
    <row r="9" spans="1:14">
      <c r="A9" s="346"/>
      <c r="B9" s="346"/>
      <c r="C9" s="346"/>
      <c r="D9" s="346"/>
      <c r="E9" s="346"/>
      <c r="F9" s="346"/>
      <c r="G9" s="346"/>
      <c r="H9" s="346"/>
      <c r="I9" s="346"/>
      <c r="J9" s="346"/>
      <c r="K9" s="346"/>
      <c r="L9" s="346"/>
      <c r="M9" s="346"/>
      <c r="N9" s="346"/>
    </row>
    <row r="10" spans="1:14">
      <c r="A10" s="346"/>
      <c r="B10" s="346"/>
      <c r="C10" s="346"/>
      <c r="D10" s="346"/>
      <c r="E10" s="346"/>
      <c r="F10" s="346"/>
      <c r="G10" s="346"/>
      <c r="H10" s="346"/>
      <c r="I10" s="346"/>
      <c r="J10" s="346"/>
      <c r="K10" s="346"/>
      <c r="L10" s="346"/>
      <c r="M10" s="346"/>
      <c r="N10" s="346"/>
    </row>
    <row r="11" spans="1:14">
      <c r="A11" s="346"/>
      <c r="B11" s="346"/>
      <c r="C11" s="346"/>
      <c r="D11" s="346"/>
      <c r="E11" s="346"/>
      <c r="F11" s="346"/>
      <c r="G11" s="346"/>
      <c r="H11" s="346"/>
      <c r="I11" s="346"/>
      <c r="J11" s="346"/>
      <c r="K11" s="346"/>
      <c r="L11" s="346"/>
      <c r="M11" s="346"/>
      <c r="N11" s="346"/>
    </row>
    <row r="12" spans="1:14">
      <c r="A12" s="346"/>
      <c r="B12" s="346"/>
      <c r="C12" s="346"/>
      <c r="D12" s="346"/>
      <c r="E12" s="346"/>
      <c r="F12" s="346"/>
      <c r="G12" s="346"/>
      <c r="H12" s="346"/>
      <c r="I12" s="346"/>
      <c r="J12" s="346"/>
      <c r="K12" s="346"/>
      <c r="L12" s="346"/>
      <c r="M12" s="346"/>
      <c r="N12" s="346"/>
    </row>
    <row r="13" spans="1:14">
      <c r="A13" s="346"/>
      <c r="B13" s="346"/>
      <c r="C13" s="346"/>
      <c r="D13" s="346"/>
      <c r="E13" s="346"/>
      <c r="F13" s="346"/>
      <c r="G13" s="346"/>
      <c r="H13" s="346"/>
      <c r="I13" s="346"/>
      <c r="J13" s="346"/>
      <c r="K13" s="346"/>
      <c r="L13" s="346"/>
      <c r="M13" s="346"/>
      <c r="N13" s="346"/>
    </row>
    <row r="14" spans="1:14">
      <c r="A14" s="346"/>
      <c r="B14" s="346"/>
      <c r="C14" s="346"/>
      <c r="D14" s="346"/>
      <c r="E14" s="346"/>
      <c r="F14" s="346"/>
      <c r="G14" s="346"/>
      <c r="H14" s="346"/>
      <c r="I14" s="346"/>
      <c r="J14" s="346"/>
      <c r="K14" s="346"/>
      <c r="L14" s="346"/>
      <c r="M14" s="346"/>
      <c r="N14" s="346"/>
    </row>
    <row r="15" spans="1:14">
      <c r="A15" s="346"/>
      <c r="B15" s="346"/>
      <c r="C15" s="346"/>
      <c r="D15" s="346"/>
      <c r="E15" s="346"/>
      <c r="F15" s="346"/>
      <c r="G15" s="346"/>
      <c r="H15" s="346"/>
      <c r="I15" s="346"/>
      <c r="J15" s="346"/>
      <c r="K15" s="346"/>
      <c r="L15" s="346"/>
      <c r="M15" s="346"/>
      <c r="N15" s="346"/>
    </row>
    <row r="16" spans="1:14">
      <c r="A16" s="346"/>
      <c r="B16" s="346"/>
      <c r="C16" s="346"/>
      <c r="D16" s="346"/>
      <c r="E16" s="346"/>
      <c r="F16" s="346"/>
      <c r="G16" s="346"/>
      <c r="H16" s="346"/>
      <c r="I16" s="346"/>
      <c r="J16" s="346"/>
      <c r="K16" s="346"/>
      <c r="L16" s="346"/>
      <c r="M16" s="346"/>
      <c r="N16" s="346"/>
    </row>
    <row r="17" spans="1:14">
      <c r="A17" s="346"/>
      <c r="B17" s="346"/>
      <c r="C17" s="346"/>
      <c r="D17" s="346"/>
      <c r="E17" s="346"/>
      <c r="F17" s="346"/>
      <c r="G17" s="346"/>
      <c r="H17" s="346"/>
      <c r="I17" s="346"/>
      <c r="J17" s="346"/>
      <c r="K17" s="346"/>
      <c r="L17" s="346"/>
      <c r="M17" s="346"/>
      <c r="N17" s="346"/>
    </row>
    <row r="18" spans="1:14">
      <c r="A18" s="346"/>
      <c r="B18" s="346"/>
      <c r="C18" s="346"/>
      <c r="D18" s="346"/>
      <c r="E18" s="346"/>
      <c r="F18" s="346"/>
      <c r="G18" s="346"/>
      <c r="H18" s="346"/>
      <c r="I18" s="346"/>
      <c r="J18" s="346"/>
      <c r="K18" s="346"/>
      <c r="L18" s="346"/>
      <c r="M18" s="346"/>
      <c r="N18" s="346"/>
    </row>
    <row r="19" spans="1:14">
      <c r="A19" s="346"/>
      <c r="B19" s="346"/>
      <c r="C19" s="346"/>
      <c r="D19" s="346"/>
      <c r="E19" s="346"/>
      <c r="F19" s="346"/>
      <c r="G19" s="346"/>
      <c r="H19" s="346"/>
      <c r="I19" s="346"/>
      <c r="J19" s="346"/>
      <c r="K19" s="346"/>
      <c r="L19" s="346"/>
      <c r="M19" s="346"/>
      <c r="N19" s="346"/>
    </row>
    <row r="20" spans="1:14">
      <c r="A20" s="346"/>
      <c r="B20" s="346"/>
      <c r="C20" s="346"/>
      <c r="D20" s="346"/>
      <c r="E20" s="346"/>
      <c r="F20" s="346"/>
      <c r="G20" s="346"/>
      <c r="H20" s="346"/>
      <c r="I20" s="346"/>
      <c r="J20" s="346"/>
      <c r="K20" s="346"/>
      <c r="L20" s="346"/>
      <c r="M20" s="346"/>
      <c r="N20" s="346"/>
    </row>
    <row r="21" spans="1:14">
      <c r="A21" s="346"/>
      <c r="B21" s="346"/>
      <c r="C21" s="346"/>
      <c r="D21" s="346"/>
      <c r="E21" s="346"/>
      <c r="F21" s="346"/>
      <c r="G21" s="346"/>
      <c r="H21" s="346"/>
      <c r="I21" s="346"/>
      <c r="J21" s="346"/>
      <c r="K21" s="346"/>
      <c r="L21" s="346"/>
      <c r="M21" s="346"/>
      <c r="N21" s="346"/>
    </row>
    <row r="22" spans="1:14">
      <c r="A22" s="346"/>
      <c r="B22" s="346"/>
      <c r="C22" s="346"/>
      <c r="D22" s="346"/>
      <c r="E22" s="346"/>
      <c r="F22" s="346"/>
      <c r="G22" s="346"/>
      <c r="H22" s="346"/>
      <c r="I22" s="346"/>
      <c r="J22" s="346"/>
      <c r="K22" s="346"/>
      <c r="L22" s="346"/>
      <c r="M22" s="346"/>
      <c r="N22" s="346"/>
    </row>
    <row r="23" spans="1:14">
      <c r="A23" s="346"/>
      <c r="B23" s="346"/>
      <c r="C23" s="346"/>
      <c r="D23" s="346"/>
      <c r="E23" s="346"/>
      <c r="F23" s="346"/>
      <c r="G23" s="346"/>
      <c r="H23" s="346"/>
      <c r="I23" s="346"/>
      <c r="J23" s="346"/>
      <c r="K23" s="346"/>
      <c r="L23" s="346"/>
      <c r="M23" s="346"/>
      <c r="N23" s="346"/>
    </row>
    <row r="24" spans="1:14">
      <c r="A24" s="346"/>
      <c r="B24" s="346"/>
      <c r="C24" s="346"/>
      <c r="D24" s="346"/>
      <c r="E24" s="346"/>
      <c r="F24" s="346"/>
      <c r="G24" s="346"/>
      <c r="H24" s="346"/>
      <c r="I24" s="346"/>
      <c r="J24" s="346"/>
      <c r="K24" s="346"/>
      <c r="L24" s="346"/>
      <c r="M24" s="346"/>
      <c r="N24" s="346"/>
    </row>
    <row r="25" spans="1:14">
      <c r="A25" s="346"/>
      <c r="B25" s="346"/>
      <c r="C25" s="346"/>
      <c r="D25" s="346"/>
      <c r="E25" s="346"/>
      <c r="F25" s="346"/>
      <c r="G25" s="346"/>
      <c r="H25" s="346"/>
      <c r="I25" s="346"/>
      <c r="J25" s="346"/>
      <c r="K25" s="346"/>
      <c r="L25" s="346"/>
      <c r="M25" s="346"/>
      <c r="N25" s="346"/>
    </row>
    <row r="26" spans="1:14">
      <c r="A26" s="346"/>
      <c r="B26" s="346"/>
      <c r="C26" s="346"/>
      <c r="D26" s="346"/>
      <c r="E26" s="346"/>
      <c r="F26" s="346"/>
      <c r="G26" s="346"/>
      <c r="H26" s="346"/>
      <c r="I26" s="346"/>
      <c r="J26" s="346"/>
      <c r="K26" s="346"/>
      <c r="L26" s="346"/>
      <c r="M26" s="346"/>
      <c r="N26" s="346"/>
    </row>
    <row r="27" spans="1:14">
      <c r="A27" s="346"/>
      <c r="B27" s="346"/>
      <c r="C27" s="346"/>
      <c r="D27" s="346"/>
      <c r="E27" s="346"/>
      <c r="F27" s="346"/>
      <c r="G27" s="346"/>
      <c r="H27" s="346"/>
      <c r="I27" s="346"/>
      <c r="J27" s="346"/>
      <c r="K27" s="346"/>
      <c r="L27" s="346"/>
      <c r="M27" s="346"/>
      <c r="N27" s="346"/>
    </row>
    <row r="28" spans="1:14">
      <c r="A28" s="346"/>
      <c r="B28" s="346"/>
      <c r="C28" s="346"/>
      <c r="D28" s="346"/>
      <c r="E28" s="346"/>
      <c r="F28" s="346"/>
      <c r="G28" s="346"/>
      <c r="H28" s="346"/>
      <c r="I28" s="346"/>
      <c r="J28" s="346"/>
      <c r="K28" s="346"/>
      <c r="L28" s="346"/>
      <c r="M28" s="346"/>
      <c r="N28" s="346"/>
    </row>
    <row r="29" spans="1:14">
      <c r="A29" s="346"/>
      <c r="B29" s="346"/>
      <c r="C29" s="346"/>
      <c r="D29" s="346"/>
      <c r="E29" s="346"/>
      <c r="F29" s="346"/>
      <c r="G29" s="346"/>
      <c r="H29" s="346"/>
      <c r="I29" s="346"/>
      <c r="J29" s="346"/>
      <c r="K29" s="346"/>
      <c r="L29" s="346"/>
      <c r="M29" s="346"/>
      <c r="N29" s="346"/>
    </row>
    <row r="30" spans="1:14">
      <c r="A30" s="346"/>
      <c r="B30" s="346"/>
      <c r="C30" s="346"/>
      <c r="D30" s="346"/>
      <c r="E30" s="346"/>
      <c r="F30" s="346"/>
      <c r="G30" s="346"/>
      <c r="H30" s="346"/>
      <c r="I30" s="346"/>
      <c r="J30" s="346"/>
      <c r="K30" s="346"/>
      <c r="L30" s="346"/>
      <c r="M30" s="346"/>
      <c r="N30" s="346"/>
    </row>
    <row r="31" spans="1:14">
      <c r="A31" s="346"/>
      <c r="B31" s="346"/>
      <c r="C31" s="346"/>
      <c r="D31" s="346"/>
      <c r="E31" s="346"/>
      <c r="F31" s="346"/>
      <c r="G31" s="346"/>
      <c r="H31" s="346"/>
      <c r="I31" s="346"/>
      <c r="J31" s="346"/>
      <c r="K31" s="346"/>
      <c r="L31" s="346"/>
      <c r="M31" s="346"/>
      <c r="N31" s="346"/>
    </row>
    <row r="32" spans="1:14">
      <c r="A32" s="346"/>
      <c r="B32" s="346"/>
      <c r="C32" s="346"/>
      <c r="D32" s="346"/>
      <c r="E32" s="346"/>
      <c r="F32" s="346"/>
      <c r="G32" s="346"/>
      <c r="H32" s="346"/>
      <c r="I32" s="346"/>
      <c r="J32" s="346"/>
      <c r="K32" s="346"/>
      <c r="L32" s="346"/>
      <c r="M32" s="346"/>
      <c r="N32" s="346"/>
    </row>
    <row r="33" spans="1:14">
      <c r="A33" s="346"/>
      <c r="B33" s="346"/>
      <c r="C33" s="346"/>
      <c r="D33" s="346"/>
      <c r="E33" s="346"/>
      <c r="F33" s="346"/>
      <c r="G33" s="346"/>
      <c r="H33" s="346"/>
      <c r="I33" s="346"/>
      <c r="J33" s="346"/>
      <c r="K33" s="346"/>
      <c r="L33" s="346"/>
      <c r="M33" s="346"/>
      <c r="N33" s="346"/>
    </row>
    <row r="34" spans="1:14">
      <c r="A34" s="346"/>
      <c r="B34" s="346"/>
      <c r="C34" s="346"/>
      <c r="D34" s="346"/>
      <c r="E34" s="346"/>
      <c r="F34" s="346"/>
      <c r="G34" s="346"/>
      <c r="H34" s="346"/>
      <c r="I34" s="346"/>
      <c r="J34" s="346"/>
      <c r="K34" s="346"/>
      <c r="L34" s="346"/>
      <c r="M34" s="346"/>
      <c r="N34" s="346"/>
    </row>
    <row r="35" spans="1:14">
      <c r="A35" s="346"/>
      <c r="B35" s="346"/>
      <c r="C35" s="346"/>
      <c r="D35" s="346"/>
      <c r="E35" s="346"/>
      <c r="F35" s="346"/>
      <c r="G35" s="346"/>
      <c r="H35" s="346"/>
      <c r="I35" s="346"/>
      <c r="J35" s="346"/>
      <c r="K35" s="346"/>
      <c r="L35" s="346"/>
      <c r="M35" s="346"/>
      <c r="N35" s="346"/>
    </row>
    <row r="36" spans="1:14">
      <c r="A36" s="346"/>
      <c r="B36" s="346"/>
      <c r="C36" s="346"/>
      <c r="D36" s="346"/>
      <c r="E36" s="346"/>
      <c r="F36" s="346"/>
      <c r="G36" s="346"/>
      <c r="H36" s="346"/>
      <c r="I36" s="346"/>
      <c r="J36" s="346"/>
      <c r="K36" s="346"/>
      <c r="L36" s="346"/>
      <c r="M36" s="346"/>
      <c r="N36" s="346"/>
    </row>
    <row r="37" spans="1:14">
      <c r="A37" s="346"/>
      <c r="B37" s="346"/>
      <c r="C37" s="346"/>
      <c r="D37" s="346"/>
      <c r="E37" s="346"/>
      <c r="F37" s="346"/>
      <c r="G37" s="346"/>
      <c r="H37" s="346"/>
      <c r="I37" s="346"/>
      <c r="J37" s="346"/>
      <c r="K37" s="346"/>
      <c r="L37" s="346"/>
      <c r="M37" s="346"/>
      <c r="N37" s="346"/>
    </row>
    <row r="38" spans="1:14">
      <c r="A38" s="346"/>
      <c r="B38" s="346"/>
      <c r="C38" s="346"/>
      <c r="D38" s="346"/>
      <c r="E38" s="346"/>
      <c r="F38" s="346"/>
      <c r="G38" s="346"/>
      <c r="H38" s="346"/>
      <c r="I38" s="346"/>
      <c r="J38" s="346"/>
      <c r="K38" s="346"/>
      <c r="L38" s="346"/>
      <c r="M38" s="346"/>
      <c r="N38" s="346"/>
    </row>
    <row r="39" spans="1:14">
      <c r="A39" s="346"/>
      <c r="B39" s="346"/>
      <c r="C39" s="346"/>
      <c r="D39" s="346"/>
      <c r="E39" s="346"/>
      <c r="F39" s="346"/>
      <c r="G39" s="346"/>
      <c r="H39" s="346"/>
      <c r="I39" s="346"/>
      <c r="J39" s="346"/>
      <c r="K39" s="346"/>
      <c r="L39" s="346"/>
      <c r="M39" s="346"/>
      <c r="N39" s="346"/>
    </row>
    <row r="40" spans="1:14">
      <c r="A40" s="346"/>
      <c r="B40" s="346"/>
      <c r="C40" s="346"/>
      <c r="D40" s="346"/>
      <c r="E40" s="346"/>
      <c r="F40" s="346"/>
      <c r="G40" s="346"/>
      <c r="H40" s="346"/>
      <c r="I40" s="346"/>
      <c r="J40" s="346"/>
      <c r="K40" s="346"/>
      <c r="L40" s="346"/>
      <c r="M40" s="346"/>
      <c r="N40" s="346"/>
    </row>
    <row r="41" spans="1:14">
      <c r="A41" s="346"/>
      <c r="B41" s="346"/>
      <c r="C41" s="346"/>
      <c r="D41" s="346"/>
      <c r="E41" s="346"/>
      <c r="F41" s="346"/>
      <c r="G41" s="346"/>
      <c r="H41" s="346"/>
      <c r="I41" s="346"/>
      <c r="J41" s="346"/>
      <c r="K41" s="346"/>
      <c r="L41" s="346"/>
      <c r="M41" s="346"/>
      <c r="N41" s="346"/>
    </row>
    <row r="42" spans="1:14">
      <c r="A42" s="346"/>
      <c r="B42" s="346"/>
      <c r="C42" s="346"/>
      <c r="D42" s="346"/>
      <c r="E42" s="346"/>
      <c r="F42" s="346"/>
      <c r="G42" s="346"/>
      <c r="H42" s="346"/>
      <c r="I42" s="346"/>
      <c r="J42" s="346"/>
      <c r="K42" s="346"/>
      <c r="L42" s="346"/>
      <c r="M42" s="346"/>
      <c r="N42" s="346"/>
    </row>
    <row r="43" spans="1:14">
      <c r="A43" s="346"/>
      <c r="B43" s="346"/>
      <c r="C43" s="346"/>
      <c r="D43" s="346"/>
      <c r="E43" s="346"/>
      <c r="F43" s="346"/>
      <c r="G43" s="346"/>
      <c r="H43" s="346"/>
      <c r="I43" s="346"/>
      <c r="J43" s="346"/>
      <c r="K43" s="346"/>
      <c r="L43" s="346"/>
      <c r="M43" s="346"/>
      <c r="N43" s="346"/>
    </row>
    <row r="44" spans="1:14">
      <c r="A44" s="346"/>
      <c r="B44" s="346"/>
      <c r="C44" s="346"/>
      <c r="D44" s="346"/>
      <c r="E44" s="346"/>
      <c r="F44" s="346"/>
      <c r="G44" s="346"/>
      <c r="H44" s="346"/>
      <c r="I44" s="346"/>
      <c r="J44" s="346"/>
      <c r="K44" s="346"/>
      <c r="L44" s="346"/>
      <c r="M44" s="346"/>
      <c r="N44" s="346"/>
    </row>
    <row r="45" spans="1:14">
      <c r="A45" s="346"/>
      <c r="B45" s="346"/>
      <c r="C45" s="346"/>
      <c r="D45" s="346"/>
      <c r="E45" s="346"/>
      <c r="F45" s="346"/>
      <c r="G45" s="346"/>
      <c r="H45" s="346"/>
      <c r="I45" s="346"/>
      <c r="J45" s="346"/>
      <c r="K45" s="346"/>
      <c r="L45" s="346"/>
      <c r="M45" s="346"/>
      <c r="N45" s="346"/>
    </row>
    <row r="46" spans="1:14">
      <c r="A46" s="346"/>
      <c r="B46" s="346"/>
      <c r="C46" s="346"/>
      <c r="D46" s="346"/>
      <c r="E46" s="346"/>
      <c r="F46" s="346"/>
      <c r="G46" s="346"/>
      <c r="H46" s="346"/>
      <c r="I46" s="346"/>
      <c r="J46" s="346"/>
      <c r="K46" s="346"/>
      <c r="L46" s="346"/>
      <c r="M46" s="346"/>
      <c r="N46" s="346"/>
    </row>
    <row r="47" spans="1:14">
      <c r="A47" s="346"/>
      <c r="B47" s="346"/>
      <c r="C47" s="346"/>
      <c r="D47" s="346"/>
      <c r="E47" s="346"/>
      <c r="F47" s="346"/>
      <c r="G47" s="346"/>
      <c r="H47" s="346"/>
      <c r="I47" s="346"/>
      <c r="J47" s="346"/>
      <c r="K47" s="346"/>
      <c r="L47" s="346"/>
      <c r="M47" s="346"/>
      <c r="N47" s="346"/>
    </row>
    <row r="48" spans="1:14">
      <c r="A48" s="346"/>
      <c r="B48" s="346"/>
      <c r="C48" s="346"/>
      <c r="D48" s="346"/>
      <c r="E48" s="346"/>
      <c r="F48" s="346"/>
      <c r="G48" s="346"/>
      <c r="H48" s="346"/>
      <c r="I48" s="346"/>
      <c r="J48" s="346"/>
      <c r="K48" s="346"/>
      <c r="L48" s="346"/>
      <c r="M48" s="346"/>
      <c r="N48" s="346"/>
    </row>
    <row r="49" spans="1:14">
      <c r="A49" s="346"/>
      <c r="B49" s="346"/>
      <c r="C49" s="346"/>
      <c r="D49" s="346"/>
      <c r="E49" s="346"/>
      <c r="F49" s="346"/>
      <c r="G49" s="346"/>
      <c r="H49" s="346"/>
      <c r="I49" s="346"/>
      <c r="J49" s="346"/>
      <c r="K49" s="346"/>
      <c r="L49" s="346"/>
      <c r="M49" s="346"/>
      <c r="N49" s="346"/>
    </row>
    <row r="50" spans="1:14">
      <c r="A50" s="346"/>
      <c r="B50" s="346"/>
      <c r="C50" s="346"/>
      <c r="D50" s="346"/>
      <c r="E50" s="346"/>
      <c r="F50" s="346"/>
      <c r="G50" s="346"/>
      <c r="H50" s="346"/>
      <c r="I50" s="346"/>
      <c r="J50" s="346"/>
      <c r="K50" s="346"/>
      <c r="L50" s="346"/>
      <c r="M50" s="346"/>
      <c r="N50" s="346"/>
    </row>
    <row r="51" spans="1:14">
      <c r="A51" s="346"/>
      <c r="B51" s="346"/>
      <c r="C51" s="346"/>
      <c r="D51" s="346"/>
      <c r="E51" s="346"/>
      <c r="F51" s="346"/>
      <c r="G51" s="346"/>
      <c r="H51" s="346"/>
      <c r="I51" s="346"/>
      <c r="J51" s="346"/>
      <c r="K51" s="346"/>
      <c r="L51" s="346"/>
      <c r="M51" s="346"/>
      <c r="N51" s="346"/>
    </row>
    <row r="52" spans="1:14">
      <c r="A52" s="346"/>
      <c r="B52" s="346"/>
      <c r="C52" s="346"/>
      <c r="D52" s="346"/>
      <c r="E52" s="346"/>
      <c r="F52" s="346"/>
      <c r="G52" s="346"/>
      <c r="H52" s="346"/>
      <c r="I52" s="346"/>
      <c r="J52" s="346"/>
      <c r="K52" s="346"/>
      <c r="L52" s="346"/>
      <c r="M52" s="346"/>
      <c r="N52" s="346"/>
    </row>
    <row r="53" spans="1:14">
      <c r="A53" s="346"/>
      <c r="B53" s="346"/>
      <c r="C53" s="346"/>
      <c r="D53" s="346"/>
      <c r="E53" s="346"/>
      <c r="F53" s="346"/>
      <c r="G53" s="346"/>
      <c r="H53" s="346"/>
      <c r="I53" s="346"/>
      <c r="J53" s="346"/>
      <c r="K53" s="346"/>
      <c r="L53" s="346"/>
      <c r="M53" s="346"/>
      <c r="N53" s="346"/>
    </row>
    <row r="54" spans="1:14">
      <c r="A54" s="346"/>
      <c r="B54" s="346"/>
      <c r="C54" s="346"/>
      <c r="D54" s="346"/>
      <c r="E54" s="346"/>
      <c r="F54" s="346"/>
      <c r="G54" s="346"/>
      <c r="H54" s="346"/>
      <c r="I54" s="346"/>
      <c r="J54" s="346"/>
      <c r="K54" s="346"/>
      <c r="L54" s="346"/>
      <c r="M54" s="346"/>
      <c r="N54" s="346"/>
    </row>
    <row r="55" spans="1:14">
      <c r="A55" s="346"/>
      <c r="B55" s="346"/>
      <c r="C55" s="346"/>
      <c r="D55" s="346"/>
      <c r="E55" s="346"/>
      <c r="F55" s="346"/>
      <c r="G55" s="346"/>
      <c r="H55" s="346"/>
      <c r="I55" s="346"/>
      <c r="J55" s="346"/>
      <c r="K55" s="346"/>
      <c r="L55" s="346"/>
      <c r="M55" s="346"/>
      <c r="N55" s="346"/>
    </row>
    <row r="56" spans="1:14">
      <c r="A56" s="346"/>
      <c r="B56" s="346"/>
      <c r="C56" s="346"/>
      <c r="D56" s="346"/>
      <c r="E56" s="346"/>
      <c r="F56" s="346"/>
      <c r="G56" s="346"/>
      <c r="H56" s="346"/>
      <c r="I56" s="346"/>
      <c r="J56" s="346"/>
      <c r="K56" s="346"/>
      <c r="L56" s="346"/>
      <c r="M56" s="346"/>
      <c r="N56" s="346"/>
    </row>
    <row r="57" spans="1:14">
      <c r="A57" s="346"/>
      <c r="B57" s="346"/>
      <c r="C57" s="346"/>
      <c r="D57" s="346"/>
      <c r="E57" s="346"/>
      <c r="F57" s="346"/>
      <c r="G57" s="346"/>
      <c r="H57" s="346"/>
      <c r="I57" s="346"/>
      <c r="J57" s="346"/>
      <c r="K57" s="346"/>
      <c r="L57" s="346"/>
      <c r="M57" s="346"/>
      <c r="N57" s="346"/>
    </row>
    <row r="58" spans="1:14">
      <c r="A58" s="346"/>
      <c r="B58" s="346"/>
      <c r="C58" s="346"/>
      <c r="D58" s="346"/>
      <c r="E58" s="346"/>
      <c r="F58" s="346"/>
      <c r="G58" s="346"/>
      <c r="H58" s="346"/>
      <c r="I58" s="346"/>
      <c r="J58" s="346"/>
      <c r="K58" s="346"/>
      <c r="L58" s="346"/>
      <c r="M58" s="346"/>
      <c r="N58" s="346"/>
    </row>
    <row r="59" spans="1:14">
      <c r="A59" s="346"/>
      <c r="B59" s="346"/>
      <c r="C59" s="346"/>
      <c r="D59" s="346"/>
      <c r="E59" s="346"/>
      <c r="F59" s="346"/>
      <c r="G59" s="346"/>
      <c r="H59" s="346"/>
      <c r="I59" s="346"/>
      <c r="J59" s="346"/>
      <c r="K59" s="346"/>
      <c r="L59" s="346"/>
      <c r="M59" s="346"/>
      <c r="N59" s="346"/>
    </row>
    <row r="60" spans="1:14">
      <c r="A60" s="346"/>
      <c r="B60" s="346"/>
      <c r="C60" s="346"/>
      <c r="D60" s="346"/>
      <c r="E60" s="346"/>
      <c r="F60" s="346"/>
      <c r="G60" s="346"/>
      <c r="H60" s="346"/>
      <c r="I60" s="346"/>
      <c r="J60" s="346"/>
      <c r="K60" s="346"/>
      <c r="L60" s="346"/>
      <c r="M60" s="346"/>
      <c r="N60" s="346"/>
    </row>
    <row r="61" spans="1:14">
      <c r="A61" s="346"/>
      <c r="B61" s="346"/>
      <c r="C61" s="346"/>
      <c r="D61" s="346"/>
      <c r="E61" s="346"/>
      <c r="F61" s="346"/>
      <c r="G61" s="346"/>
      <c r="H61" s="346"/>
      <c r="I61" s="346"/>
      <c r="J61" s="346"/>
      <c r="K61" s="346"/>
      <c r="L61" s="346"/>
      <c r="M61" s="346"/>
      <c r="N61" s="346"/>
    </row>
    <row r="62" spans="1:14">
      <c r="A62" s="346"/>
      <c r="B62" s="346"/>
      <c r="C62" s="346"/>
      <c r="D62" s="346"/>
      <c r="E62" s="346"/>
      <c r="F62" s="346"/>
      <c r="G62" s="346"/>
      <c r="H62" s="346"/>
      <c r="I62" s="346"/>
      <c r="J62" s="346"/>
      <c r="K62" s="346"/>
      <c r="L62" s="346"/>
      <c r="M62" s="346"/>
      <c r="N62" s="346"/>
    </row>
    <row r="63" spans="1:14">
      <c r="A63" s="346"/>
      <c r="B63" s="346"/>
      <c r="C63" s="346"/>
      <c r="D63" s="346"/>
      <c r="E63" s="346"/>
      <c r="F63" s="346"/>
      <c r="G63" s="346"/>
      <c r="H63" s="346"/>
      <c r="I63" s="346"/>
      <c r="J63" s="346"/>
      <c r="K63" s="346"/>
      <c r="L63" s="346"/>
      <c r="M63" s="346"/>
      <c r="N63" s="346"/>
    </row>
    <row r="64" spans="1:14">
      <c r="A64" s="346"/>
      <c r="B64" s="346"/>
      <c r="C64" s="346"/>
      <c r="D64" s="346"/>
      <c r="E64" s="346"/>
      <c r="F64" s="346"/>
      <c r="G64" s="346"/>
      <c r="H64" s="346"/>
      <c r="I64" s="346"/>
      <c r="J64" s="346"/>
      <c r="K64" s="346"/>
      <c r="L64" s="346"/>
      <c r="M64" s="346"/>
      <c r="N64" s="346"/>
    </row>
    <row r="65" spans="1:14">
      <c r="A65" s="346"/>
      <c r="B65" s="346"/>
      <c r="C65" s="346"/>
      <c r="D65" s="346"/>
      <c r="E65" s="346"/>
      <c r="F65" s="346"/>
      <c r="G65" s="346"/>
      <c r="H65" s="346"/>
      <c r="I65" s="346"/>
      <c r="J65" s="346"/>
      <c r="K65" s="346"/>
      <c r="L65" s="346"/>
      <c r="M65" s="346"/>
      <c r="N65" s="346"/>
    </row>
    <row r="66" spans="1:14">
      <c r="A66" s="346"/>
      <c r="B66" s="346"/>
      <c r="C66" s="346"/>
      <c r="D66" s="346"/>
      <c r="E66" s="346"/>
      <c r="F66" s="346"/>
      <c r="G66" s="346"/>
      <c r="H66" s="346"/>
      <c r="I66" s="346"/>
      <c r="J66" s="346"/>
      <c r="K66" s="346"/>
      <c r="L66" s="346"/>
      <c r="M66" s="346"/>
      <c r="N66" s="346"/>
    </row>
    <row r="67" spans="1:14">
      <c r="A67" s="346"/>
      <c r="B67" s="346"/>
      <c r="C67" s="346"/>
      <c r="D67" s="346"/>
      <c r="E67" s="346"/>
      <c r="F67" s="346"/>
      <c r="G67" s="346"/>
      <c r="H67" s="346"/>
      <c r="I67" s="346"/>
      <c r="J67" s="346"/>
      <c r="K67" s="346"/>
      <c r="L67" s="346"/>
      <c r="M67" s="346"/>
      <c r="N67" s="346"/>
    </row>
    <row r="68" spans="1:14">
      <c r="A68" s="346"/>
      <c r="B68" s="346"/>
      <c r="C68" s="346"/>
      <c r="D68" s="346"/>
      <c r="E68" s="346"/>
      <c r="F68" s="346"/>
      <c r="G68" s="346"/>
      <c r="H68" s="346"/>
      <c r="I68" s="346"/>
      <c r="J68" s="346"/>
      <c r="K68" s="346"/>
      <c r="L68" s="346"/>
      <c r="M68" s="346"/>
      <c r="N68" s="346"/>
    </row>
    <row r="69" spans="1:14">
      <c r="A69" s="346"/>
      <c r="B69" s="346"/>
      <c r="C69" s="346"/>
      <c r="D69" s="346"/>
      <c r="E69" s="346"/>
      <c r="F69" s="346"/>
      <c r="G69" s="346"/>
      <c r="H69" s="346"/>
      <c r="I69" s="346"/>
      <c r="J69" s="346"/>
      <c r="K69" s="346"/>
      <c r="L69" s="346"/>
      <c r="M69" s="346"/>
      <c r="N69" s="346"/>
    </row>
  </sheetData>
  <pageMargins left="0.70866141732283472" right="0.31496062992125984" top="0.39370078740157483" bottom="0.39370078740157483" header="0.31496062992125984" footer="0.31496062992125984"/>
  <pageSetup scale="7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N64"/>
  <sheetViews>
    <sheetView view="pageLayout" zoomScale="70" zoomScaleNormal="100" zoomScalePageLayoutView="70" workbookViewId="0">
      <selection activeCell="N8" sqref="N8"/>
    </sheetView>
  </sheetViews>
  <sheetFormatPr defaultRowHeight="15"/>
  <sheetData>
    <row r="1" spans="1:14">
      <c r="A1" s="346"/>
      <c r="B1" s="346"/>
      <c r="C1" s="346"/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</row>
    <row r="2" spans="1:14">
      <c r="A2" s="346"/>
      <c r="B2" s="346"/>
      <c r="C2" s="346"/>
      <c r="D2" s="346"/>
      <c r="E2" s="346"/>
      <c r="F2" s="346"/>
      <c r="G2" s="346"/>
      <c r="H2" s="346"/>
      <c r="I2" s="346"/>
      <c r="J2" s="346"/>
      <c r="K2" s="346"/>
      <c r="L2" s="346"/>
      <c r="M2" s="346"/>
      <c r="N2" s="346"/>
    </row>
    <row r="3" spans="1:14">
      <c r="A3" s="346"/>
      <c r="B3" s="346"/>
      <c r="C3" s="346"/>
      <c r="D3" s="346"/>
      <c r="E3" s="346"/>
      <c r="F3" s="346"/>
      <c r="G3" s="346"/>
      <c r="H3" s="346"/>
      <c r="I3" s="346"/>
      <c r="J3" s="346"/>
      <c r="K3" s="346"/>
      <c r="L3" s="346"/>
      <c r="M3" s="346"/>
      <c r="N3" s="346"/>
    </row>
    <row r="4" spans="1:14">
      <c r="A4" s="346"/>
      <c r="B4" s="346"/>
      <c r="C4" s="346"/>
      <c r="D4" s="346"/>
      <c r="E4" s="346"/>
      <c r="F4" s="346"/>
      <c r="G4" s="346"/>
      <c r="H4" s="346"/>
      <c r="I4" s="346"/>
      <c r="J4" s="346"/>
      <c r="K4" s="346"/>
      <c r="L4" s="346"/>
      <c r="M4" s="346"/>
      <c r="N4" s="346"/>
    </row>
    <row r="5" spans="1:14">
      <c r="A5" s="346"/>
      <c r="B5" s="346"/>
      <c r="C5" s="346"/>
      <c r="D5" s="346"/>
      <c r="E5" s="346"/>
      <c r="F5" s="346"/>
      <c r="G5" s="346"/>
      <c r="H5" s="346"/>
      <c r="I5" s="346"/>
      <c r="J5" s="346"/>
      <c r="K5" s="346"/>
      <c r="L5" s="346"/>
      <c r="M5" s="346"/>
      <c r="N5" s="346"/>
    </row>
    <row r="6" spans="1:14">
      <c r="A6" s="346"/>
      <c r="B6" s="346"/>
      <c r="C6" s="346"/>
      <c r="D6" s="346"/>
      <c r="E6" s="346"/>
      <c r="F6" s="346"/>
      <c r="G6" s="346"/>
      <c r="H6" s="346"/>
      <c r="I6" s="346"/>
      <c r="J6" s="346"/>
      <c r="K6" s="346"/>
      <c r="L6" s="346"/>
      <c r="M6" s="346"/>
      <c r="N6" s="346"/>
    </row>
    <row r="7" spans="1:14">
      <c r="A7" s="346"/>
      <c r="B7" s="346"/>
      <c r="C7" s="346"/>
      <c r="D7" s="346"/>
      <c r="E7" s="346"/>
      <c r="F7" s="346"/>
      <c r="G7" s="346"/>
      <c r="H7" s="346"/>
      <c r="I7" s="346"/>
      <c r="J7" s="346"/>
      <c r="K7" s="346"/>
      <c r="L7" s="346"/>
      <c r="M7" s="346"/>
      <c r="N7" s="346"/>
    </row>
    <row r="8" spans="1:14">
      <c r="A8" s="346"/>
      <c r="B8" s="346"/>
      <c r="C8" s="346"/>
      <c r="D8" s="346"/>
      <c r="E8" s="346"/>
      <c r="F8" s="346"/>
      <c r="G8" s="346"/>
      <c r="H8" s="346"/>
      <c r="I8" s="346"/>
      <c r="J8" s="346"/>
      <c r="K8" s="346"/>
      <c r="L8" s="346"/>
      <c r="M8" s="346"/>
      <c r="N8" s="346"/>
    </row>
    <row r="9" spans="1:14">
      <c r="A9" s="346"/>
      <c r="B9" s="346"/>
      <c r="C9" s="346"/>
      <c r="D9" s="346"/>
      <c r="E9" s="346"/>
      <c r="F9" s="346"/>
      <c r="G9" s="346"/>
      <c r="H9" s="346"/>
      <c r="I9" s="346"/>
      <c r="J9" s="346"/>
      <c r="K9" s="346"/>
      <c r="L9" s="346"/>
      <c r="M9" s="346"/>
      <c r="N9" s="346"/>
    </row>
    <row r="10" spans="1:14">
      <c r="A10" s="346"/>
      <c r="B10" s="346"/>
      <c r="C10" s="346"/>
      <c r="D10" s="346"/>
      <c r="E10" s="346"/>
      <c r="F10" s="346"/>
      <c r="G10" s="346"/>
      <c r="H10" s="346"/>
      <c r="I10" s="346"/>
      <c r="J10" s="346"/>
      <c r="K10" s="346"/>
      <c r="L10" s="346"/>
      <c r="M10" s="346"/>
      <c r="N10" s="346"/>
    </row>
    <row r="11" spans="1:14">
      <c r="A11" s="346"/>
      <c r="B11" s="346"/>
      <c r="C11" s="346"/>
      <c r="D11" s="346"/>
      <c r="E11" s="346"/>
      <c r="F11" s="346"/>
      <c r="G11" s="346"/>
      <c r="H11" s="346"/>
      <c r="I11" s="346"/>
      <c r="J11" s="346"/>
      <c r="K11" s="346"/>
      <c r="L11" s="346"/>
      <c r="M11" s="346"/>
      <c r="N11" s="346"/>
    </row>
    <row r="12" spans="1:14">
      <c r="A12" s="346"/>
      <c r="B12" s="346"/>
      <c r="C12" s="346"/>
      <c r="D12" s="346"/>
      <c r="E12" s="346"/>
      <c r="F12" s="346"/>
      <c r="G12" s="346"/>
      <c r="H12" s="346"/>
      <c r="I12" s="346"/>
      <c r="J12" s="346"/>
      <c r="K12" s="346"/>
      <c r="L12" s="346"/>
      <c r="M12" s="346"/>
      <c r="N12" s="346"/>
    </row>
    <row r="13" spans="1:14">
      <c r="A13" s="346"/>
      <c r="B13" s="346"/>
      <c r="C13" s="346"/>
      <c r="D13" s="346"/>
      <c r="E13" s="346"/>
      <c r="F13" s="346"/>
      <c r="G13" s="346"/>
      <c r="H13" s="346"/>
      <c r="I13" s="346"/>
      <c r="J13" s="346"/>
      <c r="K13" s="346"/>
      <c r="L13" s="346"/>
      <c r="M13" s="346"/>
      <c r="N13" s="346"/>
    </row>
    <row r="14" spans="1:14">
      <c r="A14" s="346"/>
      <c r="B14" s="346"/>
      <c r="C14" s="346"/>
      <c r="D14" s="346"/>
      <c r="E14" s="346"/>
      <c r="F14" s="346"/>
      <c r="G14" s="346"/>
      <c r="H14" s="346"/>
      <c r="I14" s="346"/>
      <c r="J14" s="346"/>
      <c r="K14" s="346"/>
      <c r="L14" s="346"/>
      <c r="M14" s="346"/>
      <c r="N14" s="346"/>
    </row>
    <row r="15" spans="1:14">
      <c r="A15" s="346"/>
      <c r="B15" s="346"/>
      <c r="C15" s="346"/>
      <c r="D15" s="346"/>
      <c r="E15" s="346"/>
      <c r="F15" s="346"/>
      <c r="G15" s="346"/>
      <c r="H15" s="346"/>
      <c r="I15" s="346"/>
      <c r="J15" s="346"/>
      <c r="K15" s="346"/>
      <c r="L15" s="346"/>
      <c r="M15" s="346"/>
      <c r="N15" s="346"/>
    </row>
    <row r="16" spans="1:14">
      <c r="A16" s="346"/>
      <c r="B16" s="346"/>
      <c r="C16" s="346"/>
      <c r="D16" s="346"/>
      <c r="E16" s="346"/>
      <c r="F16" s="346"/>
      <c r="G16" s="346"/>
      <c r="H16" s="346"/>
      <c r="I16" s="346"/>
      <c r="J16" s="346"/>
      <c r="K16" s="346"/>
      <c r="L16" s="346"/>
      <c r="M16" s="346"/>
      <c r="N16" s="346"/>
    </row>
    <row r="17" spans="1:14">
      <c r="A17" s="346"/>
      <c r="B17" s="346"/>
      <c r="C17" s="346"/>
      <c r="D17" s="346"/>
      <c r="E17" s="346"/>
      <c r="F17" s="346"/>
      <c r="G17" s="346"/>
      <c r="H17" s="346"/>
      <c r="I17" s="346"/>
      <c r="J17" s="346"/>
      <c r="K17" s="346"/>
      <c r="L17" s="346"/>
      <c r="M17" s="346"/>
      <c r="N17" s="346"/>
    </row>
    <row r="18" spans="1:14">
      <c r="A18" s="346"/>
      <c r="B18" s="346"/>
      <c r="C18" s="346"/>
      <c r="D18" s="346"/>
      <c r="E18" s="346"/>
      <c r="F18" s="346"/>
      <c r="G18" s="346"/>
      <c r="H18" s="346"/>
      <c r="I18" s="346"/>
      <c r="J18" s="346"/>
      <c r="K18" s="346"/>
      <c r="L18" s="346"/>
      <c r="M18" s="346"/>
      <c r="N18" s="346"/>
    </row>
    <row r="19" spans="1:14">
      <c r="A19" s="178"/>
      <c r="B19" s="346"/>
      <c r="C19" s="346"/>
      <c r="D19" s="346"/>
      <c r="E19" s="346"/>
      <c r="F19" s="346"/>
      <c r="G19" s="346"/>
      <c r="H19" s="346"/>
      <c r="I19" s="346"/>
      <c r="J19" s="346"/>
      <c r="K19" s="346"/>
      <c r="L19" s="346"/>
      <c r="M19" s="346"/>
      <c r="N19" s="346"/>
    </row>
    <row r="20" spans="1:14">
      <c r="A20" s="178"/>
      <c r="B20" s="346"/>
      <c r="C20" s="346"/>
      <c r="D20" s="346"/>
      <c r="E20" s="346"/>
      <c r="F20" s="346"/>
      <c r="G20" s="346"/>
      <c r="H20" s="346"/>
      <c r="I20" s="346"/>
      <c r="J20" s="346"/>
      <c r="K20" s="346"/>
      <c r="L20" s="346"/>
      <c r="M20" s="346"/>
      <c r="N20" s="346"/>
    </row>
    <row r="21" spans="1:14">
      <c r="A21" s="346"/>
      <c r="B21" s="346"/>
      <c r="C21" s="346"/>
      <c r="D21" s="346"/>
      <c r="E21" s="346"/>
      <c r="F21" s="346"/>
      <c r="G21" s="346"/>
      <c r="H21" s="346"/>
      <c r="I21" s="346"/>
      <c r="J21" s="346"/>
      <c r="K21" s="346"/>
      <c r="L21" s="346"/>
      <c r="M21" s="346"/>
      <c r="N21" s="346"/>
    </row>
    <row r="22" spans="1:14">
      <c r="A22" s="346"/>
      <c r="B22" s="346"/>
      <c r="C22" s="346"/>
      <c r="D22" s="346"/>
      <c r="E22" s="346"/>
      <c r="F22" s="346"/>
      <c r="G22" s="346"/>
      <c r="H22" s="346"/>
      <c r="I22" s="346"/>
      <c r="J22" s="346"/>
      <c r="K22" s="346"/>
      <c r="L22" s="346"/>
      <c r="M22" s="346"/>
      <c r="N22" s="346"/>
    </row>
    <row r="23" spans="1:14">
      <c r="A23" s="346"/>
      <c r="B23" s="346"/>
      <c r="C23" s="346"/>
      <c r="D23" s="346"/>
      <c r="E23" s="346"/>
      <c r="F23" s="346"/>
      <c r="G23" s="346"/>
      <c r="H23" s="346"/>
      <c r="I23" s="346"/>
      <c r="J23" s="346"/>
      <c r="K23" s="346"/>
      <c r="L23" s="346"/>
      <c r="M23" s="346"/>
      <c r="N23" s="346"/>
    </row>
    <row r="24" spans="1:14">
      <c r="A24" s="346"/>
      <c r="B24" s="346"/>
      <c r="C24" s="346"/>
      <c r="D24" s="346"/>
      <c r="E24" s="346"/>
      <c r="F24" s="346"/>
      <c r="G24" s="346"/>
      <c r="H24" s="346"/>
      <c r="I24" s="346"/>
      <c r="J24" s="346"/>
      <c r="K24" s="346"/>
      <c r="L24" s="346"/>
      <c r="M24" s="346"/>
      <c r="N24" s="346"/>
    </row>
    <row r="25" spans="1:14">
      <c r="A25" s="346"/>
      <c r="B25" s="346"/>
      <c r="C25" s="346"/>
      <c r="D25" s="346"/>
      <c r="E25" s="346"/>
      <c r="F25" s="346"/>
      <c r="G25" s="346"/>
      <c r="H25" s="346"/>
      <c r="I25" s="346"/>
      <c r="J25" s="346"/>
      <c r="K25" s="346"/>
      <c r="L25" s="346"/>
      <c r="M25" s="346"/>
      <c r="N25" s="346"/>
    </row>
    <row r="26" spans="1:14">
      <c r="A26" s="346"/>
      <c r="B26" s="346"/>
      <c r="C26" s="346"/>
      <c r="D26" s="346"/>
      <c r="E26" s="346"/>
      <c r="F26" s="346"/>
      <c r="G26" s="346"/>
      <c r="H26" s="346"/>
      <c r="I26" s="346"/>
      <c r="J26" s="346"/>
      <c r="K26" s="346"/>
      <c r="L26" s="346"/>
      <c r="M26" s="346"/>
      <c r="N26" s="346"/>
    </row>
    <row r="27" spans="1:14">
      <c r="A27" s="346"/>
      <c r="B27" s="346"/>
      <c r="C27" s="346"/>
      <c r="D27" s="346"/>
      <c r="E27" s="346"/>
      <c r="F27" s="346"/>
      <c r="G27" s="346"/>
      <c r="H27" s="346"/>
      <c r="I27" s="346"/>
      <c r="J27" s="346"/>
      <c r="K27" s="346"/>
      <c r="L27" s="346"/>
      <c r="M27" s="346"/>
      <c r="N27" s="346"/>
    </row>
    <row r="28" spans="1:14">
      <c r="A28" s="346"/>
      <c r="B28" s="346"/>
      <c r="C28" s="346"/>
      <c r="D28" s="346"/>
      <c r="E28" s="346"/>
      <c r="F28" s="346"/>
      <c r="G28" s="346"/>
      <c r="H28" s="346"/>
      <c r="I28" s="346"/>
      <c r="J28" s="346"/>
      <c r="K28" s="346"/>
      <c r="L28" s="346"/>
      <c r="M28" s="346"/>
      <c r="N28" s="346"/>
    </row>
    <row r="29" spans="1:14">
      <c r="A29" s="346"/>
      <c r="B29" s="346"/>
      <c r="C29" s="346"/>
      <c r="D29" s="346"/>
      <c r="E29" s="346"/>
      <c r="F29" s="346"/>
      <c r="G29" s="346"/>
      <c r="H29" s="346"/>
      <c r="I29" s="346"/>
      <c r="J29" s="346"/>
      <c r="K29" s="346"/>
      <c r="L29" s="346"/>
      <c r="M29" s="346"/>
      <c r="N29" s="346"/>
    </row>
    <row r="30" spans="1:14">
      <c r="A30" s="346"/>
      <c r="B30" s="346"/>
      <c r="C30" s="346"/>
      <c r="D30" s="346"/>
      <c r="E30" s="346"/>
      <c r="F30" s="346"/>
      <c r="G30" s="346"/>
      <c r="H30" s="346"/>
      <c r="I30" s="346"/>
      <c r="J30" s="346"/>
      <c r="K30" s="346"/>
      <c r="L30" s="346"/>
      <c r="M30" s="346"/>
      <c r="N30" s="346"/>
    </row>
    <row r="31" spans="1:14">
      <c r="A31" s="346"/>
      <c r="B31" s="346"/>
      <c r="C31" s="346"/>
      <c r="D31" s="346"/>
      <c r="E31" s="346"/>
      <c r="F31" s="346"/>
      <c r="G31" s="346"/>
      <c r="H31" s="346"/>
      <c r="I31" s="346"/>
      <c r="J31" s="346"/>
      <c r="K31" s="346"/>
      <c r="L31" s="346"/>
      <c r="M31" s="346"/>
      <c r="N31" s="346"/>
    </row>
    <row r="32" spans="1:14">
      <c r="A32" s="346"/>
      <c r="B32" s="346"/>
      <c r="C32" s="346"/>
      <c r="D32" s="346"/>
      <c r="E32" s="346"/>
      <c r="F32" s="346"/>
      <c r="G32" s="346"/>
      <c r="H32" s="346"/>
      <c r="I32" s="346"/>
      <c r="J32" s="346"/>
      <c r="K32" s="346"/>
      <c r="L32" s="346"/>
      <c r="M32" s="346"/>
      <c r="N32" s="346"/>
    </row>
    <row r="33" spans="1:14">
      <c r="A33" s="346"/>
      <c r="B33" s="346"/>
      <c r="C33" s="346"/>
      <c r="D33" s="346"/>
      <c r="E33" s="346"/>
      <c r="F33" s="346"/>
      <c r="G33" s="346"/>
      <c r="H33" s="346"/>
      <c r="I33" s="346"/>
      <c r="J33" s="346"/>
      <c r="K33" s="346"/>
      <c r="L33" s="346"/>
      <c r="M33" s="346"/>
      <c r="N33" s="346"/>
    </row>
    <row r="34" spans="1:14">
      <c r="A34" s="346"/>
      <c r="B34" s="346"/>
      <c r="C34" s="346"/>
      <c r="D34" s="346"/>
      <c r="E34" s="346"/>
      <c r="F34" s="346"/>
      <c r="G34" s="346"/>
      <c r="H34" s="346"/>
      <c r="I34" s="346"/>
      <c r="J34" s="346"/>
      <c r="K34" s="346"/>
      <c r="L34" s="346"/>
      <c r="M34" s="346"/>
      <c r="N34" s="346"/>
    </row>
    <row r="35" spans="1:14">
      <c r="A35" s="346"/>
      <c r="B35" s="346"/>
      <c r="C35" s="346"/>
      <c r="D35" s="346"/>
      <c r="E35" s="346"/>
      <c r="F35" s="346"/>
      <c r="G35" s="346"/>
      <c r="H35" s="346"/>
      <c r="I35" s="346"/>
      <c r="J35" s="346"/>
      <c r="K35" s="346"/>
      <c r="L35" s="346"/>
      <c r="M35" s="346"/>
      <c r="N35" s="346"/>
    </row>
    <row r="36" spans="1:14">
      <c r="A36" s="346"/>
      <c r="B36" s="346"/>
      <c r="C36" s="346"/>
      <c r="D36" s="346"/>
      <c r="E36" s="346"/>
      <c r="F36" s="346"/>
      <c r="G36" s="346"/>
      <c r="H36" s="346"/>
      <c r="I36" s="346"/>
      <c r="J36" s="346"/>
      <c r="K36" s="346"/>
      <c r="L36" s="346"/>
      <c r="M36" s="346"/>
      <c r="N36" s="346"/>
    </row>
    <row r="37" spans="1:14">
      <c r="A37" s="346"/>
      <c r="B37" s="346"/>
      <c r="C37" s="346"/>
      <c r="D37" s="346"/>
      <c r="E37" s="346"/>
      <c r="F37" s="346"/>
      <c r="G37" s="346"/>
      <c r="H37" s="346"/>
      <c r="I37" s="346"/>
      <c r="J37" s="346"/>
      <c r="K37" s="346"/>
      <c r="L37" s="346"/>
      <c r="M37" s="346"/>
      <c r="N37" s="346"/>
    </row>
    <row r="38" spans="1:14">
      <c r="A38" s="346"/>
      <c r="B38" s="346"/>
      <c r="C38" s="346"/>
      <c r="D38" s="346"/>
      <c r="E38" s="346"/>
      <c r="F38" s="346"/>
      <c r="G38" s="346"/>
      <c r="H38" s="346"/>
      <c r="I38" s="346"/>
      <c r="J38" s="346"/>
      <c r="K38" s="346"/>
      <c r="L38" s="346"/>
      <c r="M38" s="346"/>
      <c r="N38" s="346"/>
    </row>
    <row r="39" spans="1:14">
      <c r="A39" s="346"/>
      <c r="B39" s="346"/>
      <c r="C39" s="346"/>
      <c r="D39" s="346"/>
      <c r="E39" s="346"/>
      <c r="F39" s="346"/>
      <c r="G39" s="346"/>
      <c r="H39" s="346"/>
      <c r="I39" s="346"/>
      <c r="J39" s="346"/>
      <c r="K39" s="346"/>
      <c r="L39" s="346"/>
      <c r="M39" s="346"/>
      <c r="N39" s="346"/>
    </row>
    <row r="40" spans="1:14">
      <c r="A40" s="346"/>
      <c r="B40" s="346"/>
      <c r="C40" s="346"/>
      <c r="D40" s="346"/>
      <c r="E40" s="346"/>
      <c r="F40" s="346"/>
      <c r="G40" s="346"/>
      <c r="H40" s="346"/>
      <c r="I40" s="346"/>
      <c r="J40" s="346"/>
      <c r="K40" s="346"/>
      <c r="L40" s="346"/>
      <c r="M40" s="346"/>
      <c r="N40" s="346"/>
    </row>
    <row r="41" spans="1:14">
      <c r="A41" s="346"/>
      <c r="B41" s="346"/>
      <c r="C41" s="346"/>
      <c r="D41" s="346"/>
      <c r="E41" s="346"/>
      <c r="F41" s="346"/>
      <c r="G41" s="346"/>
      <c r="H41" s="346"/>
      <c r="I41" s="346"/>
      <c r="J41" s="346"/>
      <c r="K41" s="346"/>
      <c r="L41" s="346"/>
      <c r="M41" s="346"/>
      <c r="N41" s="346"/>
    </row>
    <row r="42" spans="1:14">
      <c r="A42" s="346"/>
      <c r="B42" s="346"/>
      <c r="C42" s="346"/>
      <c r="D42" s="346"/>
      <c r="E42" s="346"/>
      <c r="F42" s="346"/>
      <c r="G42" s="346"/>
      <c r="H42" s="346"/>
      <c r="I42" s="346"/>
      <c r="J42" s="346"/>
      <c r="K42" s="346"/>
      <c r="L42" s="346"/>
      <c r="M42" s="346"/>
      <c r="N42" s="346"/>
    </row>
    <row r="43" spans="1:14">
      <c r="A43" s="346"/>
      <c r="B43" s="346"/>
      <c r="C43" s="346"/>
      <c r="D43" s="346"/>
      <c r="E43" s="346"/>
      <c r="F43" s="346"/>
      <c r="G43" s="346"/>
      <c r="H43" s="346"/>
      <c r="I43" s="346"/>
      <c r="J43" s="346"/>
      <c r="K43" s="346"/>
      <c r="L43" s="346"/>
      <c r="M43" s="346"/>
      <c r="N43" s="346"/>
    </row>
    <row r="44" spans="1:14">
      <c r="A44" s="346"/>
      <c r="B44" s="346"/>
      <c r="C44" s="346"/>
      <c r="D44" s="346"/>
      <c r="E44" s="346"/>
      <c r="F44" s="346"/>
      <c r="G44" s="346"/>
      <c r="H44" s="346"/>
      <c r="I44" s="346"/>
      <c r="J44" s="346"/>
      <c r="K44" s="346"/>
      <c r="L44" s="346"/>
      <c r="M44" s="346"/>
      <c r="N44" s="346"/>
    </row>
    <row r="45" spans="1:14">
      <c r="A45" s="346"/>
      <c r="B45" s="346"/>
      <c r="C45" s="346"/>
      <c r="D45" s="346"/>
      <c r="E45" s="346"/>
      <c r="F45" s="346"/>
      <c r="G45" s="346"/>
      <c r="H45" s="346"/>
      <c r="I45" s="346"/>
      <c r="J45" s="346"/>
      <c r="K45" s="346"/>
      <c r="L45" s="346"/>
      <c r="M45" s="346"/>
      <c r="N45" s="346"/>
    </row>
    <row r="46" spans="1:14">
      <c r="A46" s="346"/>
      <c r="B46" s="346"/>
      <c r="C46" s="346"/>
      <c r="D46" s="346"/>
      <c r="E46" s="346"/>
      <c r="F46" s="346"/>
      <c r="G46" s="346"/>
      <c r="H46" s="346"/>
      <c r="I46" s="346"/>
      <c r="J46" s="346"/>
      <c r="K46" s="346"/>
      <c r="L46" s="346"/>
      <c r="M46" s="346"/>
      <c r="N46" s="346"/>
    </row>
    <row r="47" spans="1:14">
      <c r="A47" s="346"/>
      <c r="B47" s="346"/>
      <c r="C47" s="346"/>
      <c r="D47" s="346"/>
      <c r="E47" s="346"/>
      <c r="F47" s="346"/>
      <c r="G47" s="346"/>
      <c r="H47" s="346"/>
      <c r="I47" s="346"/>
      <c r="J47" s="346"/>
      <c r="K47" s="346"/>
      <c r="L47" s="346"/>
      <c r="M47" s="346"/>
      <c r="N47" s="346"/>
    </row>
    <row r="48" spans="1:14">
      <c r="A48" s="346"/>
      <c r="B48" s="346"/>
      <c r="C48" s="346"/>
      <c r="D48" s="346"/>
      <c r="E48" s="346"/>
      <c r="F48" s="346"/>
      <c r="G48" s="346"/>
      <c r="H48" s="346"/>
      <c r="I48" s="346"/>
      <c r="J48" s="346"/>
      <c r="K48" s="346"/>
      <c r="L48" s="346"/>
      <c r="M48" s="346"/>
      <c r="N48" s="346"/>
    </row>
    <row r="49" spans="1:14">
      <c r="A49" s="346"/>
      <c r="B49" s="346"/>
      <c r="C49" s="346"/>
      <c r="D49" s="346"/>
      <c r="E49" s="346"/>
      <c r="F49" s="346"/>
      <c r="G49" s="346"/>
      <c r="H49" s="346"/>
      <c r="I49" s="346"/>
      <c r="J49" s="346"/>
      <c r="K49" s="346"/>
      <c r="L49" s="346"/>
      <c r="M49" s="346"/>
      <c r="N49" s="346"/>
    </row>
    <row r="50" spans="1:14">
      <c r="A50" s="346"/>
      <c r="B50" s="346"/>
      <c r="C50" s="346"/>
      <c r="D50" s="346"/>
      <c r="E50" s="346"/>
      <c r="F50" s="346"/>
      <c r="G50" s="346"/>
      <c r="H50" s="346"/>
      <c r="I50" s="346"/>
      <c r="J50" s="346"/>
      <c r="K50" s="346"/>
      <c r="L50" s="346"/>
      <c r="M50" s="346"/>
      <c r="N50" s="346"/>
    </row>
    <row r="51" spans="1:14">
      <c r="A51" s="346"/>
      <c r="B51" s="346"/>
      <c r="C51" s="346"/>
      <c r="D51" s="346"/>
      <c r="E51" s="346"/>
      <c r="F51" s="346"/>
      <c r="G51" s="346"/>
      <c r="H51" s="346"/>
      <c r="I51" s="346"/>
      <c r="J51" s="346"/>
      <c r="K51" s="346"/>
      <c r="L51" s="346"/>
      <c r="M51" s="346"/>
      <c r="N51" s="346"/>
    </row>
    <row r="52" spans="1:14">
      <c r="A52" s="346"/>
      <c r="B52" s="346"/>
      <c r="C52" s="346"/>
      <c r="D52" s="346"/>
      <c r="E52" s="346"/>
      <c r="F52" s="346"/>
      <c r="G52" s="346"/>
      <c r="H52" s="346"/>
      <c r="I52" s="346"/>
      <c r="J52" s="346"/>
      <c r="K52" s="346"/>
      <c r="L52" s="346"/>
      <c r="M52" s="346"/>
      <c r="N52" s="346"/>
    </row>
    <row r="53" spans="1:14">
      <c r="A53" s="346"/>
      <c r="B53" s="346"/>
      <c r="C53" s="346"/>
      <c r="D53" s="346"/>
      <c r="E53" s="346"/>
      <c r="F53" s="346"/>
      <c r="G53" s="346"/>
      <c r="H53" s="346"/>
      <c r="I53" s="346"/>
      <c r="J53" s="346"/>
      <c r="K53" s="346"/>
      <c r="L53" s="346"/>
      <c r="M53" s="346"/>
      <c r="N53" s="346"/>
    </row>
    <row r="54" spans="1:14">
      <c r="A54" s="346"/>
      <c r="B54" s="346"/>
      <c r="C54" s="346"/>
      <c r="D54" s="346"/>
      <c r="E54" s="346"/>
      <c r="F54" s="346"/>
      <c r="G54" s="346"/>
      <c r="H54" s="346"/>
      <c r="I54" s="346"/>
      <c r="J54" s="346"/>
      <c r="K54" s="346"/>
      <c r="L54" s="346"/>
      <c r="M54" s="346"/>
      <c r="N54" s="346"/>
    </row>
    <row r="55" spans="1:14">
      <c r="A55" s="346"/>
      <c r="B55" s="346"/>
      <c r="C55" s="346"/>
      <c r="D55" s="346"/>
      <c r="E55" s="346"/>
      <c r="F55" s="346"/>
      <c r="G55" s="346"/>
      <c r="H55" s="346"/>
      <c r="I55" s="346"/>
      <c r="J55" s="346"/>
      <c r="K55" s="346"/>
      <c r="L55" s="346"/>
      <c r="M55" s="346"/>
      <c r="N55" s="346"/>
    </row>
    <row r="56" spans="1:14">
      <c r="A56" s="346"/>
      <c r="B56" s="346"/>
      <c r="C56" s="346"/>
      <c r="D56" s="346"/>
      <c r="E56" s="346"/>
      <c r="F56" s="346"/>
      <c r="G56" s="346"/>
      <c r="H56" s="346"/>
      <c r="I56" s="346"/>
      <c r="J56" s="346"/>
      <c r="K56" s="346"/>
      <c r="L56" s="346"/>
      <c r="M56" s="346"/>
      <c r="N56" s="346"/>
    </row>
    <row r="57" spans="1:14">
      <c r="A57" s="346"/>
      <c r="B57" s="346"/>
      <c r="C57" s="346"/>
      <c r="D57" s="346"/>
      <c r="E57" s="346"/>
      <c r="F57" s="346"/>
      <c r="G57" s="346"/>
      <c r="H57" s="346"/>
      <c r="I57" s="346"/>
      <c r="J57" s="346"/>
      <c r="K57" s="346"/>
      <c r="L57" s="346"/>
      <c r="M57" s="346"/>
      <c r="N57" s="346"/>
    </row>
    <row r="58" spans="1:14">
      <c r="A58" s="346"/>
      <c r="B58" s="346"/>
      <c r="C58" s="346"/>
      <c r="D58" s="346"/>
      <c r="E58" s="346"/>
      <c r="F58" s="346"/>
      <c r="G58" s="346"/>
      <c r="H58" s="346"/>
      <c r="I58" s="346"/>
      <c r="J58" s="346"/>
      <c r="K58" s="346"/>
      <c r="L58" s="346"/>
      <c r="M58" s="346"/>
      <c r="N58" s="346"/>
    </row>
    <row r="59" spans="1:14">
      <c r="A59" s="346"/>
      <c r="B59" s="346"/>
      <c r="C59" s="346"/>
      <c r="D59" s="346"/>
      <c r="E59" s="346"/>
      <c r="F59" s="346"/>
      <c r="G59" s="346"/>
      <c r="H59" s="346"/>
      <c r="I59" s="346"/>
      <c r="J59" s="346"/>
      <c r="K59" s="346"/>
      <c r="L59" s="346"/>
      <c r="M59" s="346"/>
      <c r="N59" s="346"/>
    </row>
    <row r="60" spans="1:14" ht="23.25">
      <c r="A60" s="346"/>
      <c r="B60" s="346"/>
      <c r="C60" s="371"/>
      <c r="D60" s="370"/>
      <c r="E60" s="371"/>
      <c r="F60" s="346"/>
      <c r="G60" s="346"/>
      <c r="H60" s="346"/>
      <c r="I60" s="346"/>
      <c r="J60" s="346"/>
      <c r="K60" s="346"/>
      <c r="L60" s="346"/>
      <c r="M60" s="346"/>
      <c r="N60" s="346"/>
    </row>
    <row r="61" spans="1:14" ht="23.25">
      <c r="A61" s="346"/>
      <c r="B61" s="346"/>
      <c r="C61" s="371"/>
      <c r="D61" s="370"/>
      <c r="E61" s="371"/>
      <c r="F61" s="346"/>
      <c r="G61" s="346"/>
      <c r="H61" s="346"/>
      <c r="I61" s="346"/>
      <c r="J61" s="346"/>
      <c r="K61" s="346"/>
      <c r="L61" s="346"/>
      <c r="M61" s="346"/>
      <c r="N61" s="346"/>
    </row>
    <row r="62" spans="1:14" ht="23.25">
      <c r="A62" s="346"/>
      <c r="B62" s="346"/>
      <c r="C62" s="371"/>
      <c r="D62" s="370"/>
      <c r="E62" s="371"/>
      <c r="F62" s="346"/>
      <c r="G62" s="346"/>
      <c r="H62" s="346"/>
      <c r="I62" s="346"/>
      <c r="J62" s="346"/>
      <c r="K62" s="346"/>
      <c r="L62" s="346"/>
      <c r="M62" s="346"/>
      <c r="N62" s="346"/>
    </row>
    <row r="63" spans="1:14" ht="23.25">
      <c r="A63" s="346"/>
      <c r="B63" s="346"/>
      <c r="C63" s="371"/>
      <c r="D63" s="370"/>
      <c r="E63" s="371"/>
      <c r="F63" s="346"/>
      <c r="G63" s="346"/>
      <c r="H63" s="346"/>
      <c r="I63" s="346"/>
      <c r="J63" s="346"/>
      <c r="K63" s="346"/>
      <c r="L63" s="346"/>
      <c r="M63" s="346"/>
      <c r="N63" s="346"/>
    </row>
    <row r="64" spans="1:14" ht="23.25">
      <c r="A64" s="346"/>
      <c r="B64" s="346"/>
      <c r="C64" s="371"/>
      <c r="D64" s="370"/>
      <c r="E64" s="371"/>
      <c r="F64" s="346"/>
      <c r="G64" s="346"/>
      <c r="H64" s="346"/>
      <c r="I64" s="346"/>
      <c r="J64" s="346"/>
      <c r="K64" s="346"/>
      <c r="L64" s="346"/>
      <c r="M64" s="346"/>
      <c r="N64" s="346"/>
    </row>
  </sheetData>
  <conditionalFormatting sqref="A37:A38">
    <cfRule type="expression" dxfId="2" priority="1">
      <formula>#REF!=#REF!</formula>
    </cfRule>
    <cfRule type="expression" dxfId="1" priority="2">
      <formula>#REF!&gt;#REF!</formula>
    </cfRule>
    <cfRule type="expression" dxfId="0" priority="3">
      <formula>#REF!&gt;#REF!</formula>
    </cfRule>
  </conditionalFormatting>
  <pageMargins left="0.70866141732283461" right="0.31496062992125984" top="0.39370078740157483" bottom="0.39370078740157483" header="0.31496062992125984" footer="0.31496062992125984"/>
  <pageSetup scale="7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2"/>
  <dimension ref="A1:N69"/>
  <sheetViews>
    <sheetView view="pageLayout" topLeftCell="A10" zoomScale="70" zoomScaleNormal="100" zoomScalePageLayoutView="70" workbookViewId="0">
      <selection activeCell="N8" sqref="N8"/>
    </sheetView>
  </sheetViews>
  <sheetFormatPr defaultRowHeight="15"/>
  <sheetData>
    <row r="1" spans="1:14">
      <c r="A1" s="346"/>
      <c r="B1" s="346"/>
      <c r="C1" s="346"/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</row>
    <row r="2" spans="1:14">
      <c r="A2" s="346"/>
      <c r="B2" s="346"/>
      <c r="C2" s="346"/>
      <c r="D2" s="346"/>
      <c r="E2" s="346"/>
      <c r="F2" s="346"/>
      <c r="G2" s="346"/>
      <c r="H2" s="346"/>
      <c r="I2" s="346"/>
      <c r="J2" s="346"/>
      <c r="K2" s="346"/>
      <c r="L2" s="346"/>
      <c r="M2" s="346"/>
      <c r="N2" s="346"/>
    </row>
    <row r="3" spans="1:14">
      <c r="A3" s="346"/>
      <c r="B3" s="346"/>
      <c r="C3" s="346"/>
      <c r="D3" s="346"/>
      <c r="E3" s="346"/>
      <c r="F3" s="346"/>
      <c r="G3" s="346"/>
      <c r="H3" s="346"/>
      <c r="I3" s="346"/>
      <c r="J3" s="346"/>
      <c r="K3" s="346"/>
      <c r="L3" s="346"/>
      <c r="M3" s="346"/>
      <c r="N3" s="346"/>
    </row>
    <row r="4" spans="1:14">
      <c r="A4" s="346"/>
      <c r="B4" s="346"/>
      <c r="C4" s="346"/>
      <c r="D4" s="346"/>
      <c r="E4" s="346"/>
      <c r="F4" s="346"/>
      <c r="G4" s="346"/>
      <c r="H4" s="346"/>
      <c r="I4" s="346"/>
      <c r="J4" s="346"/>
      <c r="K4" s="346"/>
      <c r="L4" s="346"/>
      <c r="M4" s="346"/>
      <c r="N4" s="346"/>
    </row>
    <row r="5" spans="1:14">
      <c r="A5" s="346"/>
      <c r="B5" s="346"/>
      <c r="C5" s="346"/>
      <c r="D5" s="346"/>
      <c r="E5" s="346"/>
      <c r="F5" s="346"/>
      <c r="G5" s="346"/>
      <c r="H5" s="346"/>
      <c r="I5" s="346"/>
      <c r="J5" s="346"/>
      <c r="K5" s="346"/>
      <c r="L5" s="346"/>
      <c r="M5" s="346"/>
      <c r="N5" s="346"/>
    </row>
    <row r="6" spans="1:14">
      <c r="A6" s="346"/>
      <c r="B6" s="346"/>
      <c r="C6" s="346"/>
      <c r="D6" s="346"/>
      <c r="E6" s="346"/>
      <c r="F6" s="346"/>
      <c r="G6" s="346"/>
      <c r="H6" s="346"/>
      <c r="I6" s="346"/>
      <c r="J6" s="346"/>
      <c r="K6" s="346"/>
      <c r="L6" s="346"/>
      <c r="M6" s="346"/>
      <c r="N6" s="346"/>
    </row>
    <row r="7" spans="1:14">
      <c r="A7" s="346"/>
      <c r="B7" s="346"/>
      <c r="C7" s="346"/>
      <c r="D7" s="346"/>
      <c r="E7" s="346"/>
      <c r="F7" s="346"/>
      <c r="G7" s="346"/>
      <c r="H7" s="346"/>
      <c r="I7" s="346"/>
      <c r="J7" s="346"/>
      <c r="K7" s="346"/>
      <c r="L7" s="346"/>
      <c r="M7" s="346"/>
      <c r="N7" s="346"/>
    </row>
    <row r="8" spans="1:14">
      <c r="A8" s="346"/>
      <c r="B8" s="346"/>
      <c r="C8" s="346"/>
      <c r="D8" s="346"/>
      <c r="E8" s="346"/>
      <c r="F8" s="346"/>
      <c r="G8" s="346"/>
      <c r="H8" s="346"/>
      <c r="I8" s="346"/>
      <c r="J8" s="346"/>
      <c r="K8" s="346"/>
      <c r="L8" s="346"/>
      <c r="M8" s="346"/>
      <c r="N8" s="346"/>
    </row>
    <row r="9" spans="1:14">
      <c r="A9" s="346"/>
      <c r="B9" s="346"/>
      <c r="C9" s="346"/>
      <c r="D9" s="346"/>
      <c r="E9" s="346"/>
      <c r="F9" s="346"/>
      <c r="G9" s="346"/>
      <c r="H9" s="346"/>
      <c r="I9" s="346"/>
      <c r="J9" s="346"/>
      <c r="K9" s="346"/>
      <c r="L9" s="346"/>
      <c r="M9" s="346"/>
      <c r="N9" s="346"/>
    </row>
    <row r="10" spans="1:14">
      <c r="A10" s="346"/>
      <c r="B10" s="346"/>
      <c r="C10" s="346"/>
      <c r="D10" s="346"/>
      <c r="E10" s="346"/>
      <c r="F10" s="346"/>
      <c r="G10" s="346"/>
      <c r="H10" s="346"/>
      <c r="I10" s="346"/>
      <c r="J10" s="346"/>
      <c r="K10" s="346"/>
      <c r="L10" s="346"/>
      <c r="M10" s="346"/>
      <c r="N10" s="346"/>
    </row>
    <row r="11" spans="1:14">
      <c r="A11" s="346"/>
      <c r="B11" s="346"/>
      <c r="C11" s="346"/>
      <c r="D11" s="346"/>
      <c r="E11" s="346"/>
      <c r="F11" s="346"/>
      <c r="G11" s="346"/>
      <c r="H11" s="346"/>
      <c r="I11" s="346"/>
      <c r="J11" s="346"/>
      <c r="K11" s="346"/>
      <c r="L11" s="346"/>
      <c r="M11" s="346"/>
      <c r="N11" s="346"/>
    </row>
    <row r="12" spans="1:14">
      <c r="A12" s="346"/>
      <c r="B12" s="346"/>
      <c r="C12" s="346"/>
      <c r="D12" s="346"/>
      <c r="E12" s="346"/>
      <c r="F12" s="346"/>
      <c r="G12" s="346"/>
      <c r="H12" s="346"/>
      <c r="I12" s="346"/>
      <c r="J12" s="346"/>
      <c r="K12" s="346"/>
      <c r="L12" s="346"/>
      <c r="M12" s="346"/>
      <c r="N12" s="346"/>
    </row>
    <row r="13" spans="1:14">
      <c r="A13" s="346"/>
      <c r="B13" s="346"/>
      <c r="C13" s="346"/>
      <c r="D13" s="346"/>
      <c r="E13" s="346"/>
      <c r="F13" s="346"/>
      <c r="G13" s="346"/>
      <c r="H13" s="346"/>
      <c r="I13" s="346"/>
      <c r="J13" s="346"/>
      <c r="K13" s="346"/>
      <c r="L13" s="346"/>
      <c r="M13" s="346"/>
      <c r="N13" s="346"/>
    </row>
    <row r="14" spans="1:14">
      <c r="A14" s="346"/>
      <c r="B14" s="346"/>
      <c r="C14" s="346"/>
      <c r="D14" s="346"/>
      <c r="E14" s="346"/>
      <c r="F14" s="346"/>
      <c r="G14" s="346"/>
      <c r="H14" s="346"/>
      <c r="I14" s="346"/>
      <c r="J14" s="346"/>
      <c r="K14" s="346"/>
      <c r="L14" s="346"/>
      <c r="M14" s="346"/>
      <c r="N14" s="346"/>
    </row>
    <row r="15" spans="1:14">
      <c r="A15" s="346"/>
      <c r="B15" s="346"/>
      <c r="C15" s="346"/>
      <c r="D15" s="346"/>
      <c r="E15" s="346"/>
      <c r="F15" s="346"/>
      <c r="G15" s="346"/>
      <c r="H15" s="346"/>
      <c r="I15" s="346"/>
      <c r="J15" s="346"/>
      <c r="K15" s="346"/>
      <c r="L15" s="346"/>
      <c r="M15" s="346"/>
      <c r="N15" s="346"/>
    </row>
    <row r="16" spans="1:14">
      <c r="A16" s="346"/>
      <c r="B16" s="346"/>
      <c r="C16" s="346"/>
      <c r="D16" s="346"/>
      <c r="E16" s="346"/>
      <c r="F16" s="346"/>
      <c r="G16" s="346"/>
      <c r="H16" s="346"/>
      <c r="I16" s="346"/>
      <c r="J16" s="346"/>
      <c r="K16" s="346"/>
      <c r="L16" s="346"/>
      <c r="M16" s="346"/>
      <c r="N16" s="346"/>
    </row>
    <row r="17" spans="1:14">
      <c r="A17" s="346"/>
      <c r="B17" s="346"/>
      <c r="C17" s="346"/>
      <c r="D17" s="346"/>
      <c r="E17" s="346"/>
      <c r="F17" s="346"/>
      <c r="G17" s="346"/>
      <c r="H17" s="346"/>
      <c r="I17" s="346"/>
      <c r="J17" s="346"/>
      <c r="K17" s="346"/>
      <c r="L17" s="346"/>
      <c r="M17" s="346"/>
      <c r="N17" s="346"/>
    </row>
    <row r="18" spans="1:14">
      <c r="A18" s="346"/>
      <c r="B18" s="346"/>
      <c r="C18" s="346"/>
      <c r="D18" s="346"/>
      <c r="E18" s="346"/>
      <c r="F18" s="346"/>
      <c r="G18" s="346"/>
      <c r="H18" s="346"/>
      <c r="I18" s="346"/>
      <c r="J18" s="346"/>
      <c r="K18" s="346"/>
      <c r="L18" s="346"/>
      <c r="M18" s="346"/>
      <c r="N18" s="346"/>
    </row>
    <row r="19" spans="1:14">
      <c r="A19" s="346"/>
      <c r="B19" s="346"/>
      <c r="C19" s="346"/>
      <c r="D19" s="346"/>
      <c r="E19" s="346"/>
      <c r="F19" s="346"/>
      <c r="G19" s="346"/>
      <c r="H19" s="346"/>
      <c r="I19" s="346"/>
      <c r="J19" s="346"/>
      <c r="K19" s="346"/>
      <c r="L19" s="346"/>
      <c r="M19" s="346"/>
      <c r="N19" s="346"/>
    </row>
    <row r="20" spans="1:14">
      <c r="A20" s="346"/>
      <c r="B20" s="346"/>
      <c r="C20" s="346"/>
      <c r="D20" s="346"/>
      <c r="E20" s="346"/>
      <c r="F20" s="346"/>
      <c r="G20" s="346"/>
      <c r="H20" s="346"/>
      <c r="I20" s="346"/>
      <c r="J20" s="346"/>
      <c r="K20" s="346"/>
      <c r="L20" s="346"/>
      <c r="M20" s="346"/>
      <c r="N20" s="346"/>
    </row>
    <row r="21" spans="1:14">
      <c r="A21" s="346"/>
      <c r="B21" s="346"/>
      <c r="C21" s="346"/>
      <c r="D21" s="346"/>
      <c r="E21" s="346"/>
      <c r="F21" s="346"/>
      <c r="G21" s="346"/>
      <c r="H21" s="346"/>
      <c r="I21" s="346"/>
      <c r="J21" s="346"/>
      <c r="K21" s="346"/>
      <c r="L21" s="346"/>
      <c r="M21" s="346"/>
      <c r="N21" s="346"/>
    </row>
    <row r="22" spans="1:14">
      <c r="A22" s="346"/>
      <c r="B22" s="346"/>
      <c r="C22" s="346"/>
      <c r="D22" s="346"/>
      <c r="E22" s="346"/>
      <c r="F22" s="346"/>
      <c r="G22" s="346"/>
      <c r="H22" s="346"/>
      <c r="I22" s="346"/>
      <c r="J22" s="346"/>
      <c r="K22" s="346"/>
      <c r="L22" s="346"/>
      <c r="M22" s="346"/>
      <c r="N22" s="346"/>
    </row>
    <row r="23" spans="1:14">
      <c r="A23" s="346"/>
      <c r="B23" s="346"/>
      <c r="C23" s="346"/>
      <c r="D23" s="346"/>
      <c r="E23" s="346"/>
      <c r="F23" s="346"/>
      <c r="G23" s="346"/>
      <c r="H23" s="346"/>
      <c r="I23" s="346"/>
      <c r="J23" s="346"/>
      <c r="K23" s="346"/>
      <c r="L23" s="346"/>
      <c r="M23" s="346"/>
      <c r="N23" s="346"/>
    </row>
    <row r="24" spans="1:14">
      <c r="A24" s="346"/>
      <c r="B24" s="346"/>
      <c r="C24" s="346"/>
      <c r="D24" s="346"/>
      <c r="E24" s="346"/>
      <c r="F24" s="346"/>
      <c r="G24" s="346"/>
      <c r="H24" s="346"/>
      <c r="I24" s="346"/>
      <c r="J24" s="346"/>
      <c r="K24" s="346"/>
      <c r="L24" s="346"/>
      <c r="M24" s="346"/>
      <c r="N24" s="346"/>
    </row>
    <row r="25" spans="1:14">
      <c r="A25" s="346"/>
      <c r="B25" s="346"/>
      <c r="C25" s="346"/>
      <c r="D25" s="346"/>
      <c r="E25" s="346"/>
      <c r="F25" s="346"/>
      <c r="G25" s="346"/>
      <c r="H25" s="346"/>
      <c r="I25" s="346"/>
      <c r="J25" s="346"/>
      <c r="K25" s="346"/>
      <c r="L25" s="346"/>
      <c r="M25" s="346"/>
      <c r="N25" s="346"/>
    </row>
    <row r="26" spans="1:14">
      <c r="A26" s="346"/>
      <c r="B26" s="346"/>
      <c r="C26" s="346"/>
      <c r="D26" s="346"/>
      <c r="E26" s="346"/>
      <c r="F26" s="346"/>
      <c r="G26" s="346"/>
      <c r="H26" s="346"/>
      <c r="I26" s="346"/>
      <c r="J26" s="346"/>
      <c r="K26" s="346"/>
      <c r="L26" s="346"/>
      <c r="M26" s="346"/>
      <c r="N26" s="346"/>
    </row>
    <row r="27" spans="1:14">
      <c r="A27" s="346"/>
      <c r="B27" s="346"/>
      <c r="C27" s="346"/>
      <c r="D27" s="346"/>
      <c r="E27" s="346"/>
      <c r="F27" s="346"/>
      <c r="G27" s="346"/>
      <c r="H27" s="346"/>
      <c r="I27" s="346"/>
      <c r="J27" s="346"/>
      <c r="K27" s="346"/>
      <c r="L27" s="346"/>
      <c r="M27" s="346"/>
      <c r="N27" s="346"/>
    </row>
    <row r="28" spans="1:14">
      <c r="A28" s="346"/>
      <c r="B28" s="346"/>
      <c r="C28" s="346"/>
      <c r="D28" s="346"/>
      <c r="E28" s="346"/>
      <c r="F28" s="346"/>
      <c r="G28" s="346"/>
      <c r="H28" s="346"/>
      <c r="I28" s="346"/>
      <c r="J28" s="346"/>
      <c r="K28" s="346"/>
      <c r="L28" s="346"/>
      <c r="M28" s="346"/>
      <c r="N28" s="346"/>
    </row>
    <row r="29" spans="1:14">
      <c r="A29" s="346"/>
      <c r="B29" s="346"/>
      <c r="C29" s="346"/>
      <c r="D29" s="346"/>
      <c r="E29" s="346"/>
      <c r="F29" s="346"/>
      <c r="G29" s="346"/>
      <c r="H29" s="346"/>
      <c r="I29" s="346"/>
      <c r="J29" s="346"/>
      <c r="K29" s="346"/>
      <c r="L29" s="346"/>
      <c r="M29" s="346"/>
      <c r="N29" s="346"/>
    </row>
    <row r="30" spans="1:14">
      <c r="A30" s="346"/>
      <c r="B30" s="346"/>
      <c r="C30" s="346"/>
      <c r="D30" s="346"/>
      <c r="E30" s="346"/>
      <c r="F30" s="346"/>
      <c r="G30" s="346"/>
      <c r="H30" s="346"/>
      <c r="I30" s="346"/>
      <c r="J30" s="346"/>
      <c r="K30" s="346"/>
      <c r="L30" s="346"/>
      <c r="M30" s="346"/>
      <c r="N30" s="346"/>
    </row>
    <row r="31" spans="1:14">
      <c r="A31" s="346"/>
      <c r="B31" s="346"/>
      <c r="C31" s="346"/>
      <c r="D31" s="346"/>
      <c r="E31" s="346"/>
      <c r="F31" s="346"/>
      <c r="G31" s="346"/>
      <c r="H31" s="346"/>
      <c r="I31" s="346"/>
      <c r="J31" s="346"/>
      <c r="K31" s="346"/>
      <c r="L31" s="346"/>
      <c r="M31" s="346"/>
      <c r="N31" s="346"/>
    </row>
    <row r="32" spans="1:14">
      <c r="A32" s="346"/>
      <c r="B32" s="346"/>
      <c r="C32" s="346"/>
      <c r="D32" s="346"/>
      <c r="E32" s="346"/>
      <c r="F32" s="346"/>
      <c r="G32" s="346"/>
      <c r="H32" s="346"/>
      <c r="I32" s="346"/>
      <c r="J32" s="346"/>
      <c r="K32" s="346"/>
      <c r="L32" s="346"/>
      <c r="M32" s="346"/>
      <c r="N32" s="346"/>
    </row>
    <row r="33" spans="1:14">
      <c r="A33" s="346"/>
      <c r="B33" s="346"/>
      <c r="C33" s="346"/>
      <c r="D33" s="346"/>
      <c r="E33" s="346"/>
      <c r="F33" s="346"/>
      <c r="G33" s="346"/>
      <c r="H33" s="346"/>
      <c r="I33" s="346"/>
      <c r="J33" s="346"/>
      <c r="K33" s="346"/>
      <c r="L33" s="346"/>
      <c r="M33" s="346"/>
      <c r="N33" s="346"/>
    </row>
    <row r="34" spans="1:14">
      <c r="A34" s="346"/>
      <c r="B34" s="346"/>
      <c r="C34" s="346"/>
      <c r="D34" s="346"/>
      <c r="E34" s="346"/>
      <c r="F34" s="346"/>
      <c r="G34" s="346"/>
      <c r="H34" s="346"/>
      <c r="I34" s="346"/>
      <c r="J34" s="346"/>
      <c r="K34" s="346"/>
      <c r="L34" s="346"/>
      <c r="M34" s="346"/>
      <c r="N34" s="346"/>
    </row>
    <row r="35" spans="1:14">
      <c r="A35" s="346"/>
      <c r="B35" s="346"/>
      <c r="C35" s="346"/>
      <c r="D35" s="346"/>
      <c r="E35" s="346"/>
      <c r="F35" s="346"/>
      <c r="G35" s="346"/>
      <c r="H35" s="346"/>
      <c r="I35" s="346"/>
      <c r="J35" s="346"/>
      <c r="K35" s="346"/>
      <c r="L35" s="346"/>
      <c r="M35" s="346"/>
      <c r="N35" s="346"/>
    </row>
    <row r="36" spans="1:14">
      <c r="A36" s="346"/>
      <c r="B36" s="346"/>
      <c r="C36" s="346"/>
      <c r="D36" s="346"/>
      <c r="E36" s="346"/>
      <c r="F36" s="346"/>
      <c r="G36" s="346"/>
      <c r="H36" s="346"/>
      <c r="I36" s="346"/>
      <c r="J36" s="346"/>
      <c r="K36" s="346"/>
      <c r="L36" s="346"/>
      <c r="M36" s="346"/>
      <c r="N36" s="346"/>
    </row>
    <row r="37" spans="1:14">
      <c r="A37" s="346"/>
      <c r="B37" s="346"/>
      <c r="C37" s="346"/>
      <c r="D37" s="346"/>
      <c r="E37" s="346"/>
      <c r="F37" s="346"/>
      <c r="G37" s="346"/>
      <c r="H37" s="346"/>
      <c r="I37" s="346"/>
      <c r="J37" s="346"/>
      <c r="K37" s="346"/>
      <c r="L37" s="346"/>
      <c r="M37" s="346"/>
      <c r="N37" s="346"/>
    </row>
    <row r="38" spans="1:14">
      <c r="A38" s="346"/>
      <c r="B38" s="346"/>
      <c r="C38" s="346"/>
      <c r="D38" s="346"/>
      <c r="E38" s="346"/>
      <c r="F38" s="346"/>
      <c r="G38" s="346"/>
      <c r="H38" s="346"/>
      <c r="I38" s="346"/>
      <c r="J38" s="346"/>
      <c r="K38" s="346"/>
      <c r="L38" s="346"/>
      <c r="M38" s="346"/>
      <c r="N38" s="346"/>
    </row>
    <row r="39" spans="1:14">
      <c r="A39" s="346"/>
      <c r="B39" s="346"/>
      <c r="C39" s="346"/>
      <c r="D39" s="346"/>
      <c r="E39" s="346"/>
      <c r="F39" s="346"/>
      <c r="G39" s="346"/>
      <c r="H39" s="346"/>
      <c r="I39" s="346"/>
      <c r="J39" s="346"/>
      <c r="K39" s="346"/>
      <c r="L39" s="346"/>
      <c r="M39" s="346"/>
      <c r="N39" s="346"/>
    </row>
    <row r="40" spans="1:14">
      <c r="A40" s="346"/>
      <c r="B40" s="346"/>
      <c r="C40" s="346"/>
      <c r="D40" s="346"/>
      <c r="E40" s="346"/>
      <c r="F40" s="346"/>
      <c r="G40" s="346"/>
      <c r="H40" s="346"/>
      <c r="I40" s="346"/>
      <c r="J40" s="346"/>
      <c r="K40" s="346"/>
      <c r="L40" s="346"/>
      <c r="M40" s="346"/>
      <c r="N40" s="346"/>
    </row>
    <row r="41" spans="1:14">
      <c r="A41" s="346"/>
      <c r="B41" s="346"/>
      <c r="C41" s="346"/>
      <c r="D41" s="346"/>
      <c r="E41" s="346"/>
      <c r="F41" s="346"/>
      <c r="G41" s="346"/>
      <c r="H41" s="346"/>
      <c r="I41" s="346"/>
      <c r="J41" s="346"/>
      <c r="K41" s="346"/>
      <c r="L41" s="346"/>
      <c r="M41" s="346"/>
      <c r="N41" s="346"/>
    </row>
    <row r="42" spans="1:14">
      <c r="A42" s="346"/>
      <c r="B42" s="346"/>
      <c r="C42" s="346"/>
      <c r="D42" s="346"/>
      <c r="E42" s="346"/>
      <c r="F42" s="346"/>
      <c r="G42" s="346"/>
      <c r="H42" s="346"/>
      <c r="I42" s="346"/>
      <c r="J42" s="346"/>
      <c r="K42" s="346"/>
      <c r="L42" s="346"/>
      <c r="M42" s="346"/>
      <c r="N42" s="346"/>
    </row>
    <row r="43" spans="1:14">
      <c r="A43" s="346"/>
      <c r="B43" s="346"/>
      <c r="C43" s="346"/>
      <c r="D43" s="346"/>
      <c r="E43" s="346"/>
      <c r="F43" s="346"/>
      <c r="G43" s="346"/>
      <c r="H43" s="346"/>
      <c r="I43" s="346"/>
      <c r="J43" s="346"/>
      <c r="K43" s="346"/>
      <c r="L43" s="346"/>
      <c r="M43" s="346"/>
      <c r="N43" s="346"/>
    </row>
    <row r="44" spans="1:14">
      <c r="A44" s="346"/>
      <c r="B44" s="346"/>
      <c r="C44" s="346"/>
      <c r="D44" s="346"/>
      <c r="E44" s="346"/>
      <c r="F44" s="346"/>
      <c r="G44" s="346"/>
      <c r="H44" s="346"/>
      <c r="I44" s="346"/>
      <c r="J44" s="346"/>
      <c r="K44" s="346"/>
      <c r="L44" s="346"/>
      <c r="M44" s="346"/>
      <c r="N44" s="346"/>
    </row>
    <row r="45" spans="1:14">
      <c r="A45" s="346"/>
      <c r="B45" s="346"/>
      <c r="C45" s="346"/>
      <c r="D45" s="346"/>
      <c r="E45" s="346"/>
      <c r="F45" s="346"/>
      <c r="G45" s="346"/>
      <c r="H45" s="346"/>
      <c r="I45" s="346"/>
      <c r="J45" s="346"/>
      <c r="K45" s="346"/>
      <c r="L45" s="346"/>
      <c r="M45" s="346"/>
      <c r="N45" s="346"/>
    </row>
    <row r="46" spans="1:14">
      <c r="A46" s="346"/>
      <c r="B46" s="346"/>
      <c r="C46" s="346"/>
      <c r="D46" s="346"/>
      <c r="E46" s="346"/>
      <c r="F46" s="346"/>
      <c r="G46" s="346"/>
      <c r="H46" s="346"/>
      <c r="I46" s="346"/>
      <c r="J46" s="346"/>
      <c r="K46" s="346"/>
      <c r="L46" s="346"/>
      <c r="M46" s="346"/>
      <c r="N46" s="346"/>
    </row>
    <row r="47" spans="1:14">
      <c r="A47" s="346"/>
      <c r="B47" s="346"/>
      <c r="C47" s="346"/>
      <c r="D47" s="346"/>
      <c r="E47" s="346"/>
      <c r="F47" s="346"/>
      <c r="G47" s="346"/>
      <c r="H47" s="346"/>
      <c r="I47" s="346"/>
      <c r="J47" s="346"/>
      <c r="K47" s="346"/>
      <c r="L47" s="346"/>
      <c r="M47" s="346"/>
      <c r="N47" s="346"/>
    </row>
    <row r="48" spans="1:14">
      <c r="A48" s="346"/>
      <c r="B48" s="346"/>
      <c r="C48" s="346"/>
      <c r="D48" s="346"/>
      <c r="E48" s="346"/>
      <c r="F48" s="346"/>
      <c r="G48" s="346"/>
      <c r="H48" s="346"/>
      <c r="I48" s="346"/>
      <c r="J48" s="346"/>
      <c r="K48" s="346"/>
      <c r="L48" s="346"/>
      <c r="M48" s="346"/>
      <c r="N48" s="346"/>
    </row>
    <row r="49" spans="1:14">
      <c r="A49" s="346"/>
      <c r="B49" s="346"/>
      <c r="C49" s="346"/>
      <c r="D49" s="346"/>
      <c r="E49" s="346"/>
      <c r="F49" s="346"/>
      <c r="G49" s="346"/>
      <c r="H49" s="346"/>
      <c r="I49" s="346"/>
      <c r="J49" s="346"/>
      <c r="K49" s="346"/>
      <c r="L49" s="346"/>
      <c r="M49" s="346"/>
      <c r="N49" s="346"/>
    </row>
    <row r="50" spans="1:14">
      <c r="A50" s="346"/>
      <c r="B50" s="346"/>
      <c r="C50" s="346"/>
      <c r="D50" s="346"/>
      <c r="E50" s="346"/>
      <c r="F50" s="346"/>
      <c r="G50" s="346"/>
      <c r="H50" s="346"/>
      <c r="I50" s="346"/>
      <c r="J50" s="346"/>
      <c r="K50" s="346"/>
      <c r="L50" s="346"/>
      <c r="M50" s="346"/>
      <c r="N50" s="346"/>
    </row>
    <row r="51" spans="1:14">
      <c r="A51" s="346"/>
      <c r="B51" s="346"/>
      <c r="C51" s="346"/>
      <c r="D51" s="346"/>
      <c r="E51" s="346"/>
      <c r="F51" s="346"/>
      <c r="G51" s="346"/>
      <c r="H51" s="346"/>
      <c r="I51" s="346"/>
      <c r="J51" s="346"/>
      <c r="K51" s="346"/>
      <c r="L51" s="346"/>
      <c r="M51" s="346"/>
      <c r="N51" s="346"/>
    </row>
    <row r="52" spans="1:14">
      <c r="A52" s="346"/>
      <c r="B52" s="346"/>
      <c r="C52" s="346"/>
      <c r="D52" s="346"/>
      <c r="E52" s="346"/>
      <c r="F52" s="346"/>
      <c r="G52" s="346"/>
      <c r="H52" s="346"/>
      <c r="I52" s="346"/>
      <c r="J52" s="346"/>
      <c r="K52" s="346"/>
      <c r="L52" s="346"/>
      <c r="M52" s="346"/>
      <c r="N52" s="346"/>
    </row>
    <row r="53" spans="1:14">
      <c r="A53" s="346"/>
      <c r="B53" s="346"/>
      <c r="C53" s="346"/>
      <c r="D53" s="346"/>
      <c r="E53" s="346"/>
      <c r="F53" s="346"/>
      <c r="G53" s="346"/>
      <c r="H53" s="346"/>
      <c r="I53" s="346"/>
      <c r="J53" s="346"/>
      <c r="K53" s="346"/>
      <c r="L53" s="346"/>
      <c r="M53" s="346"/>
      <c r="N53" s="346"/>
    </row>
    <row r="54" spans="1:14">
      <c r="A54" s="346"/>
      <c r="B54" s="346"/>
      <c r="C54" s="346"/>
      <c r="D54" s="346"/>
      <c r="E54" s="346"/>
      <c r="F54" s="346"/>
      <c r="G54" s="346"/>
      <c r="H54" s="346"/>
      <c r="I54" s="346"/>
      <c r="J54" s="346"/>
      <c r="K54" s="346"/>
      <c r="L54" s="346"/>
      <c r="M54" s="346"/>
      <c r="N54" s="346"/>
    </row>
    <row r="55" spans="1:14">
      <c r="A55" s="346"/>
      <c r="B55" s="346"/>
      <c r="C55" s="346"/>
      <c r="D55" s="346"/>
      <c r="E55" s="346"/>
      <c r="F55" s="346"/>
      <c r="G55" s="346"/>
      <c r="H55" s="346"/>
      <c r="I55" s="346"/>
      <c r="J55" s="346"/>
      <c r="K55" s="346"/>
      <c r="L55" s="346"/>
      <c r="M55" s="346"/>
      <c r="N55" s="346"/>
    </row>
    <row r="56" spans="1:14">
      <c r="A56" s="346"/>
      <c r="B56" s="346"/>
      <c r="C56" s="346"/>
      <c r="D56" s="346"/>
      <c r="E56" s="346"/>
      <c r="F56" s="346"/>
      <c r="G56" s="346"/>
      <c r="H56" s="346"/>
      <c r="I56" s="346"/>
      <c r="J56" s="346"/>
      <c r="K56" s="346"/>
      <c r="L56" s="346"/>
      <c r="M56" s="346"/>
      <c r="N56" s="346"/>
    </row>
    <row r="57" spans="1:14">
      <c r="A57" s="346"/>
      <c r="B57" s="346"/>
      <c r="C57" s="346"/>
      <c r="D57" s="346"/>
      <c r="E57" s="346"/>
      <c r="F57" s="346"/>
      <c r="G57" s="346"/>
      <c r="H57" s="346"/>
      <c r="I57" s="346"/>
      <c r="J57" s="346"/>
      <c r="K57" s="346"/>
      <c r="L57" s="346"/>
      <c r="M57" s="346"/>
      <c r="N57" s="346"/>
    </row>
    <row r="58" spans="1:14">
      <c r="A58" s="346"/>
      <c r="B58" s="346"/>
      <c r="C58" s="346"/>
      <c r="D58" s="346"/>
      <c r="E58" s="346"/>
      <c r="F58" s="346"/>
      <c r="G58" s="346"/>
      <c r="H58" s="346"/>
      <c r="I58" s="346"/>
      <c r="J58" s="346"/>
      <c r="K58" s="346"/>
      <c r="L58" s="346"/>
      <c r="M58" s="346"/>
      <c r="N58" s="346"/>
    </row>
    <row r="59" spans="1:14">
      <c r="A59" s="346"/>
      <c r="B59" s="346"/>
      <c r="C59" s="346"/>
      <c r="D59" s="346"/>
      <c r="E59" s="346"/>
      <c r="F59" s="346"/>
      <c r="G59" s="346"/>
      <c r="H59" s="346"/>
      <c r="I59" s="346"/>
      <c r="J59" s="346"/>
      <c r="K59" s="346"/>
      <c r="L59" s="346"/>
      <c r="M59" s="346"/>
      <c r="N59" s="346"/>
    </row>
    <row r="60" spans="1:14">
      <c r="A60" s="346"/>
      <c r="B60" s="346"/>
      <c r="C60" s="346"/>
      <c r="D60" s="346"/>
      <c r="E60" s="346"/>
      <c r="F60" s="346"/>
      <c r="G60" s="346"/>
      <c r="H60" s="346"/>
      <c r="I60" s="346"/>
      <c r="J60" s="346"/>
      <c r="K60" s="346"/>
      <c r="L60" s="346"/>
      <c r="M60" s="346"/>
      <c r="N60" s="346"/>
    </row>
    <row r="61" spans="1:14">
      <c r="A61" s="346"/>
      <c r="B61" s="346"/>
      <c r="C61" s="346"/>
      <c r="D61" s="346"/>
      <c r="E61" s="346"/>
      <c r="F61" s="346"/>
      <c r="G61" s="346"/>
      <c r="H61" s="346"/>
      <c r="I61" s="346"/>
      <c r="J61" s="346"/>
      <c r="K61" s="346"/>
      <c r="L61" s="346"/>
      <c r="M61" s="346"/>
      <c r="N61" s="346"/>
    </row>
    <row r="62" spans="1:14">
      <c r="A62" s="346"/>
      <c r="B62" s="346"/>
      <c r="C62" s="346"/>
      <c r="D62" s="346"/>
      <c r="E62" s="346"/>
      <c r="F62" s="346"/>
      <c r="G62" s="346"/>
      <c r="H62" s="346"/>
      <c r="I62" s="346"/>
      <c r="J62" s="346"/>
      <c r="K62" s="346"/>
      <c r="L62" s="346"/>
      <c r="M62" s="346"/>
      <c r="N62" s="346"/>
    </row>
    <row r="63" spans="1:14">
      <c r="A63" s="346"/>
      <c r="B63" s="346"/>
      <c r="C63" s="346"/>
      <c r="D63" s="346"/>
      <c r="E63" s="346"/>
      <c r="F63" s="346"/>
      <c r="G63" s="346"/>
      <c r="H63" s="346"/>
      <c r="I63" s="346"/>
      <c r="J63" s="346"/>
      <c r="K63" s="346"/>
      <c r="L63" s="346"/>
      <c r="M63" s="346"/>
      <c r="N63" s="346"/>
    </row>
    <row r="64" spans="1:14">
      <c r="A64" s="346"/>
      <c r="B64" s="346"/>
      <c r="C64" s="346"/>
      <c r="D64" s="346"/>
      <c r="E64" s="346"/>
      <c r="F64" s="346"/>
      <c r="G64" s="346"/>
      <c r="H64" s="346"/>
      <c r="I64" s="346"/>
      <c r="J64" s="346"/>
      <c r="K64" s="346"/>
      <c r="L64" s="346"/>
      <c r="M64" s="346"/>
      <c r="N64" s="346"/>
    </row>
    <row r="65" spans="1:14">
      <c r="A65" s="346"/>
      <c r="B65" s="346"/>
      <c r="C65" s="346"/>
      <c r="D65" s="346"/>
      <c r="E65" s="346"/>
      <c r="F65" s="346"/>
      <c r="G65" s="346"/>
      <c r="H65" s="346"/>
      <c r="I65" s="346"/>
      <c r="J65" s="346"/>
      <c r="K65" s="346"/>
      <c r="L65" s="346"/>
      <c r="M65" s="346"/>
      <c r="N65" s="346"/>
    </row>
    <row r="66" spans="1:14">
      <c r="A66" s="346"/>
      <c r="B66" s="346"/>
      <c r="C66" s="346"/>
      <c r="D66" s="346"/>
      <c r="E66" s="346"/>
      <c r="F66" s="346"/>
      <c r="G66" s="346"/>
      <c r="H66" s="346"/>
      <c r="I66" s="346"/>
      <c r="J66" s="346"/>
      <c r="K66" s="346"/>
      <c r="L66" s="346"/>
      <c r="M66" s="346"/>
      <c r="N66" s="346"/>
    </row>
    <row r="67" spans="1:14">
      <c r="A67" s="346"/>
      <c r="B67" s="346"/>
      <c r="C67" s="346"/>
      <c r="D67" s="346"/>
      <c r="E67" s="346"/>
      <c r="F67" s="346"/>
      <c r="G67" s="346"/>
      <c r="H67" s="346"/>
      <c r="I67" s="346"/>
      <c r="J67" s="346"/>
      <c r="K67" s="346"/>
      <c r="L67" s="346"/>
      <c r="M67" s="346"/>
      <c r="N67" s="346"/>
    </row>
    <row r="68" spans="1:14">
      <c r="A68" s="346"/>
      <c r="B68" s="346"/>
      <c r="C68" s="346"/>
      <c r="D68" s="346"/>
      <c r="E68" s="346"/>
      <c r="F68" s="346"/>
      <c r="G68" s="346"/>
      <c r="H68" s="346"/>
      <c r="I68" s="346"/>
      <c r="J68" s="346"/>
      <c r="K68" s="346"/>
      <c r="L68" s="346"/>
      <c r="M68" s="346"/>
      <c r="N68" s="346"/>
    </row>
    <row r="69" spans="1:14">
      <c r="A69" s="346"/>
      <c r="B69" s="346"/>
      <c r="C69" s="346"/>
      <c r="D69" s="346"/>
      <c r="E69" s="346"/>
      <c r="F69" s="346"/>
      <c r="G69" s="346"/>
      <c r="H69" s="346"/>
      <c r="I69" s="346"/>
      <c r="J69" s="346"/>
      <c r="K69" s="346"/>
      <c r="L69" s="346"/>
      <c r="M69" s="346"/>
      <c r="N69" s="346"/>
    </row>
  </sheetData>
  <pageMargins left="0.70866141732283461" right="0.31496062992125984" top="0.39370078740157483" bottom="0.39370078740157483" header="0.31496062992125984" footer="0.31496062992125984"/>
  <pageSetup scale="7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/>
  <dimension ref="A1:N70"/>
  <sheetViews>
    <sheetView view="pageLayout" zoomScale="70" zoomScaleNormal="100" zoomScalePageLayoutView="70" workbookViewId="0">
      <selection activeCell="N8" sqref="N8"/>
    </sheetView>
  </sheetViews>
  <sheetFormatPr defaultRowHeight="15"/>
  <sheetData>
    <row r="1" spans="1:14">
      <c r="A1" s="346"/>
      <c r="B1" s="346"/>
      <c r="C1" s="346"/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</row>
    <row r="2" spans="1:14">
      <c r="A2" s="346"/>
      <c r="B2" s="346"/>
      <c r="C2" s="346"/>
      <c r="D2" s="346"/>
      <c r="E2" s="346"/>
      <c r="F2" s="346"/>
      <c r="G2" s="346"/>
      <c r="H2" s="346"/>
      <c r="I2" s="346"/>
      <c r="J2" s="346"/>
      <c r="K2" s="346"/>
      <c r="L2" s="346"/>
      <c r="M2" s="346"/>
      <c r="N2" s="346"/>
    </row>
    <row r="3" spans="1:14">
      <c r="A3" s="346"/>
      <c r="B3" s="346"/>
      <c r="C3" s="346"/>
      <c r="D3" s="346"/>
      <c r="E3" s="346"/>
      <c r="F3" s="346"/>
      <c r="G3" s="346"/>
      <c r="H3" s="346"/>
      <c r="I3" s="346"/>
      <c r="J3" s="346"/>
      <c r="K3" s="346"/>
      <c r="L3" s="346"/>
      <c r="M3" s="346"/>
      <c r="N3" s="346"/>
    </row>
    <row r="4" spans="1:14">
      <c r="A4" s="346"/>
      <c r="B4" s="346"/>
      <c r="C4" s="346"/>
      <c r="D4" s="346"/>
      <c r="E4" s="346"/>
      <c r="F4" s="346"/>
      <c r="G4" s="346"/>
      <c r="H4" s="346"/>
      <c r="I4" s="346"/>
      <c r="J4" s="346"/>
      <c r="K4" s="346"/>
      <c r="L4" s="346"/>
      <c r="M4" s="346"/>
      <c r="N4" s="346"/>
    </row>
    <row r="5" spans="1:14">
      <c r="A5" s="346"/>
      <c r="B5" s="346"/>
      <c r="C5" s="346"/>
      <c r="D5" s="346"/>
      <c r="E5" s="346"/>
      <c r="F5" s="346"/>
      <c r="G5" s="346"/>
      <c r="H5" s="346"/>
      <c r="I5" s="346"/>
      <c r="J5" s="346"/>
      <c r="K5" s="346"/>
      <c r="L5" s="346"/>
      <c r="M5" s="346"/>
      <c r="N5" s="346"/>
    </row>
    <row r="6" spans="1:14">
      <c r="A6" s="346"/>
      <c r="B6" s="346"/>
      <c r="C6" s="346"/>
      <c r="D6" s="346"/>
      <c r="E6" s="346"/>
      <c r="F6" s="346"/>
      <c r="G6" s="346"/>
      <c r="H6" s="346"/>
      <c r="I6" s="346"/>
      <c r="J6" s="346"/>
      <c r="K6" s="346"/>
      <c r="L6" s="346"/>
      <c r="M6" s="346"/>
      <c r="N6" s="346"/>
    </row>
    <row r="7" spans="1:14">
      <c r="A7" s="346"/>
      <c r="B7" s="346"/>
      <c r="C7" s="346"/>
      <c r="D7" s="346"/>
      <c r="E7" s="346"/>
      <c r="F7" s="346"/>
      <c r="G7" s="346"/>
      <c r="H7" s="346"/>
      <c r="I7" s="346"/>
      <c r="J7" s="346"/>
      <c r="K7" s="346"/>
      <c r="L7" s="346"/>
      <c r="M7" s="346"/>
      <c r="N7" s="346"/>
    </row>
    <row r="8" spans="1:14">
      <c r="A8" s="346"/>
      <c r="B8" s="346"/>
      <c r="C8" s="346"/>
      <c r="D8" s="346"/>
      <c r="E8" s="346"/>
      <c r="F8" s="346"/>
      <c r="G8" s="346"/>
      <c r="H8" s="346"/>
      <c r="I8" s="346"/>
      <c r="J8" s="346"/>
      <c r="K8" s="346"/>
      <c r="L8" s="346"/>
      <c r="M8" s="346"/>
      <c r="N8" s="346"/>
    </row>
    <row r="9" spans="1:14">
      <c r="A9" s="346"/>
      <c r="B9" s="346"/>
      <c r="C9" s="346"/>
      <c r="D9" s="346"/>
      <c r="E9" s="346"/>
      <c r="F9" s="346"/>
      <c r="G9" s="346"/>
      <c r="H9" s="346"/>
      <c r="I9" s="346"/>
      <c r="J9" s="346"/>
      <c r="K9" s="346"/>
      <c r="L9" s="346"/>
      <c r="M9" s="346"/>
      <c r="N9" s="346"/>
    </row>
    <row r="10" spans="1:14">
      <c r="A10" s="346"/>
      <c r="B10" s="346"/>
      <c r="C10" s="346"/>
      <c r="D10" s="346"/>
      <c r="E10" s="346"/>
      <c r="F10" s="346"/>
      <c r="G10" s="346"/>
      <c r="H10" s="346"/>
      <c r="I10" s="346"/>
      <c r="J10" s="346"/>
      <c r="K10" s="346"/>
      <c r="L10" s="346"/>
      <c r="M10" s="346"/>
      <c r="N10" s="346"/>
    </row>
    <row r="11" spans="1:14">
      <c r="A11" s="346"/>
      <c r="B11" s="346"/>
      <c r="C11" s="346"/>
      <c r="D11" s="346"/>
      <c r="E11" s="346"/>
      <c r="F11" s="346"/>
      <c r="G11" s="346"/>
      <c r="H11" s="346"/>
      <c r="I11" s="346"/>
      <c r="J11" s="346"/>
      <c r="K11" s="346"/>
      <c r="L11" s="346"/>
      <c r="M11" s="346"/>
      <c r="N11" s="346"/>
    </row>
    <row r="12" spans="1:14">
      <c r="A12" s="346"/>
      <c r="B12" s="346"/>
      <c r="C12" s="346"/>
      <c r="D12" s="346"/>
      <c r="E12" s="346"/>
      <c r="F12" s="346"/>
      <c r="G12" s="346"/>
      <c r="H12" s="346"/>
      <c r="I12" s="346"/>
      <c r="J12" s="346"/>
      <c r="K12" s="346"/>
      <c r="L12" s="346"/>
      <c r="M12" s="346"/>
      <c r="N12" s="346"/>
    </row>
    <row r="13" spans="1:14">
      <c r="A13" s="346"/>
      <c r="B13" s="346"/>
      <c r="C13" s="346"/>
      <c r="D13" s="346"/>
      <c r="E13" s="346"/>
      <c r="F13" s="346"/>
      <c r="G13" s="346"/>
      <c r="H13" s="346"/>
      <c r="I13" s="346"/>
      <c r="J13" s="346"/>
      <c r="K13" s="346"/>
      <c r="L13" s="346"/>
      <c r="M13" s="346"/>
      <c r="N13" s="346"/>
    </row>
    <row r="14" spans="1:14">
      <c r="A14" s="346"/>
      <c r="B14" s="346"/>
      <c r="C14" s="346"/>
      <c r="D14" s="346"/>
      <c r="E14" s="346"/>
      <c r="F14" s="346"/>
      <c r="G14" s="346"/>
      <c r="H14" s="346"/>
      <c r="I14" s="346"/>
      <c r="J14" s="346"/>
      <c r="K14" s="346"/>
      <c r="L14" s="346"/>
      <c r="M14" s="346"/>
      <c r="N14" s="346"/>
    </row>
    <row r="15" spans="1:14">
      <c r="A15" s="346"/>
      <c r="B15" s="346"/>
      <c r="C15" s="346"/>
      <c r="D15" s="346"/>
      <c r="E15" s="346"/>
      <c r="F15" s="346"/>
      <c r="G15" s="346"/>
      <c r="H15" s="346"/>
      <c r="I15" s="346"/>
      <c r="J15" s="346"/>
      <c r="K15" s="346"/>
      <c r="L15" s="346"/>
      <c r="M15" s="346"/>
      <c r="N15" s="346"/>
    </row>
    <row r="16" spans="1:14">
      <c r="A16" s="346"/>
      <c r="B16" s="346"/>
      <c r="C16" s="346"/>
      <c r="D16" s="346"/>
      <c r="E16" s="346"/>
      <c r="F16" s="346"/>
      <c r="G16" s="346"/>
      <c r="H16" s="346"/>
      <c r="I16" s="346"/>
      <c r="J16" s="346"/>
      <c r="K16" s="346"/>
      <c r="L16" s="346"/>
      <c r="M16" s="346"/>
      <c r="N16" s="346"/>
    </row>
    <row r="17" spans="1:14">
      <c r="A17" s="346"/>
      <c r="B17" s="346"/>
      <c r="C17" s="346"/>
      <c r="D17" s="346"/>
      <c r="E17" s="346"/>
      <c r="F17" s="346"/>
      <c r="G17" s="346"/>
      <c r="H17" s="346"/>
      <c r="I17" s="346"/>
      <c r="J17" s="346"/>
      <c r="K17" s="346"/>
      <c r="L17" s="346"/>
      <c r="M17" s="346"/>
      <c r="N17" s="346"/>
    </row>
    <row r="18" spans="1:14">
      <c r="A18" s="346"/>
      <c r="B18" s="346"/>
      <c r="C18" s="346"/>
      <c r="D18" s="346"/>
      <c r="E18" s="346"/>
      <c r="F18" s="346"/>
      <c r="G18" s="346"/>
      <c r="H18" s="346"/>
      <c r="I18" s="346"/>
      <c r="J18" s="346"/>
      <c r="K18" s="346"/>
      <c r="L18" s="346"/>
      <c r="M18" s="346"/>
      <c r="N18" s="346"/>
    </row>
    <row r="19" spans="1:14">
      <c r="A19" s="346"/>
      <c r="B19" s="346"/>
      <c r="C19" s="346"/>
      <c r="D19" s="346"/>
      <c r="E19" s="346"/>
      <c r="F19" s="346"/>
      <c r="G19" s="346"/>
      <c r="H19" s="346"/>
      <c r="I19" s="346"/>
      <c r="J19" s="346"/>
      <c r="K19" s="346"/>
      <c r="L19" s="346"/>
      <c r="M19" s="346"/>
      <c r="N19" s="346"/>
    </row>
    <row r="20" spans="1:14">
      <c r="A20" s="346"/>
      <c r="B20" s="346"/>
      <c r="C20" s="346"/>
      <c r="D20" s="346"/>
      <c r="E20" s="346"/>
      <c r="F20" s="346"/>
      <c r="G20" s="346"/>
      <c r="H20" s="346"/>
      <c r="I20" s="346"/>
      <c r="J20" s="346"/>
      <c r="K20" s="346"/>
      <c r="L20" s="346"/>
      <c r="M20" s="346"/>
      <c r="N20" s="346"/>
    </row>
    <row r="21" spans="1:14">
      <c r="A21" s="346"/>
      <c r="B21" s="346"/>
      <c r="C21" s="346"/>
      <c r="D21" s="346"/>
      <c r="E21" s="346"/>
      <c r="F21" s="346"/>
      <c r="G21" s="346"/>
      <c r="H21" s="346"/>
      <c r="I21" s="346"/>
      <c r="J21" s="346"/>
      <c r="K21" s="346"/>
      <c r="L21" s="346"/>
      <c r="M21" s="346"/>
      <c r="N21" s="346"/>
    </row>
    <row r="22" spans="1:14">
      <c r="A22" s="346"/>
      <c r="B22" s="346"/>
      <c r="C22" s="346"/>
      <c r="D22" s="346"/>
      <c r="E22" s="346"/>
      <c r="F22" s="346"/>
      <c r="G22" s="346"/>
      <c r="H22" s="346"/>
      <c r="I22" s="346"/>
      <c r="J22" s="346"/>
      <c r="K22" s="346"/>
      <c r="L22" s="346"/>
      <c r="M22" s="346"/>
      <c r="N22" s="346"/>
    </row>
    <row r="23" spans="1:14">
      <c r="A23" s="346"/>
      <c r="B23" s="346"/>
      <c r="C23" s="346"/>
      <c r="D23" s="346"/>
      <c r="E23" s="346"/>
      <c r="F23" s="346"/>
      <c r="G23" s="346"/>
      <c r="H23" s="346"/>
      <c r="I23" s="346"/>
      <c r="J23" s="346"/>
      <c r="K23" s="346"/>
      <c r="L23" s="346"/>
      <c r="M23" s="346"/>
      <c r="N23" s="346"/>
    </row>
    <row r="24" spans="1:14">
      <c r="A24" s="346"/>
      <c r="B24" s="346"/>
      <c r="C24" s="346"/>
      <c r="D24" s="346"/>
      <c r="E24" s="346"/>
      <c r="F24" s="346"/>
      <c r="G24" s="346"/>
      <c r="H24" s="346"/>
      <c r="I24" s="346"/>
      <c r="J24" s="346"/>
      <c r="K24" s="346"/>
      <c r="L24" s="346"/>
      <c r="M24" s="346"/>
      <c r="N24" s="346"/>
    </row>
    <row r="25" spans="1:14">
      <c r="A25" s="346"/>
      <c r="B25" s="346"/>
      <c r="C25" s="346"/>
      <c r="D25" s="346"/>
      <c r="E25" s="346"/>
      <c r="F25" s="346"/>
      <c r="G25" s="346"/>
      <c r="H25" s="346"/>
      <c r="I25" s="346"/>
      <c r="J25" s="346"/>
      <c r="K25" s="346"/>
      <c r="L25" s="346"/>
      <c r="M25" s="346"/>
      <c r="N25" s="346"/>
    </row>
    <row r="26" spans="1:14">
      <c r="A26" s="346"/>
      <c r="B26" s="346"/>
      <c r="C26" s="346"/>
      <c r="D26" s="346"/>
      <c r="E26" s="346"/>
      <c r="F26" s="346"/>
      <c r="G26" s="346"/>
      <c r="H26" s="346"/>
      <c r="I26" s="346"/>
      <c r="J26" s="346"/>
      <c r="K26" s="346"/>
      <c r="L26" s="346"/>
      <c r="M26" s="346"/>
      <c r="N26" s="346"/>
    </row>
    <row r="27" spans="1:14">
      <c r="A27" s="346"/>
      <c r="B27" s="346"/>
      <c r="C27" s="346"/>
      <c r="D27" s="346"/>
      <c r="E27" s="346"/>
      <c r="F27" s="346"/>
      <c r="G27" s="346"/>
      <c r="H27" s="346"/>
      <c r="I27" s="346"/>
      <c r="J27" s="346"/>
      <c r="K27" s="346"/>
      <c r="L27" s="346"/>
      <c r="M27" s="346"/>
      <c r="N27" s="346"/>
    </row>
    <row r="28" spans="1:14">
      <c r="A28" s="346"/>
      <c r="B28" s="346"/>
      <c r="C28" s="346"/>
      <c r="D28" s="346"/>
      <c r="E28" s="346"/>
      <c r="F28" s="346"/>
      <c r="G28" s="346"/>
      <c r="H28" s="346"/>
      <c r="I28" s="346"/>
      <c r="J28" s="346"/>
      <c r="K28" s="346"/>
      <c r="L28" s="346"/>
      <c r="M28" s="346"/>
      <c r="N28" s="346"/>
    </row>
    <row r="29" spans="1:14">
      <c r="A29" s="346"/>
      <c r="B29" s="346"/>
      <c r="C29" s="346"/>
      <c r="D29" s="346"/>
      <c r="E29" s="346"/>
      <c r="F29" s="346"/>
      <c r="G29" s="346"/>
      <c r="H29" s="346"/>
      <c r="I29" s="346"/>
      <c r="J29" s="346"/>
      <c r="K29" s="346"/>
      <c r="L29" s="346"/>
      <c r="M29" s="346"/>
      <c r="N29" s="346"/>
    </row>
    <row r="30" spans="1:14">
      <c r="A30" s="346"/>
      <c r="B30" s="346"/>
      <c r="C30" s="346"/>
      <c r="D30" s="346"/>
      <c r="E30" s="346"/>
      <c r="F30" s="346"/>
      <c r="G30" s="346"/>
      <c r="H30" s="346"/>
      <c r="I30" s="346"/>
      <c r="J30" s="346"/>
      <c r="K30" s="346"/>
      <c r="L30" s="346"/>
      <c r="M30" s="346"/>
      <c r="N30" s="346"/>
    </row>
    <row r="31" spans="1:14">
      <c r="A31" s="346"/>
      <c r="B31" s="346"/>
      <c r="C31" s="346"/>
      <c r="D31" s="346"/>
      <c r="E31" s="346"/>
      <c r="F31" s="346"/>
      <c r="G31" s="346"/>
      <c r="H31" s="346"/>
      <c r="I31" s="346"/>
      <c r="J31" s="346"/>
      <c r="K31" s="346"/>
      <c r="L31" s="346"/>
      <c r="M31" s="346"/>
      <c r="N31" s="346"/>
    </row>
    <row r="32" spans="1:14">
      <c r="A32" s="346"/>
      <c r="B32" s="346"/>
      <c r="C32" s="346"/>
      <c r="D32" s="346"/>
      <c r="E32" s="346"/>
      <c r="F32" s="346"/>
      <c r="G32" s="346"/>
      <c r="H32" s="346"/>
      <c r="I32" s="346"/>
      <c r="J32" s="346"/>
      <c r="K32" s="346"/>
      <c r="L32" s="346"/>
      <c r="M32" s="346"/>
      <c r="N32" s="346"/>
    </row>
    <row r="33" spans="1:14">
      <c r="A33" s="346"/>
      <c r="B33" s="346"/>
      <c r="C33" s="346"/>
      <c r="D33" s="346"/>
      <c r="E33" s="346"/>
      <c r="F33" s="346"/>
      <c r="G33" s="346"/>
      <c r="H33" s="346"/>
      <c r="I33" s="346"/>
      <c r="J33" s="346"/>
      <c r="K33" s="346"/>
      <c r="L33" s="346"/>
      <c r="M33" s="346"/>
      <c r="N33" s="346"/>
    </row>
    <row r="34" spans="1:14">
      <c r="A34" s="346"/>
      <c r="B34" s="346"/>
      <c r="C34" s="346"/>
      <c r="D34" s="346"/>
      <c r="E34" s="346"/>
      <c r="F34" s="346"/>
      <c r="G34" s="346"/>
      <c r="H34" s="346"/>
      <c r="I34" s="346"/>
      <c r="J34" s="346"/>
      <c r="K34" s="346"/>
      <c r="L34" s="346"/>
      <c r="M34" s="346"/>
      <c r="N34" s="346"/>
    </row>
    <row r="35" spans="1:14">
      <c r="A35" s="346"/>
      <c r="B35" s="346"/>
      <c r="C35" s="346"/>
      <c r="D35" s="346"/>
      <c r="E35" s="346"/>
      <c r="F35" s="346"/>
      <c r="G35" s="346"/>
      <c r="H35" s="346"/>
      <c r="I35" s="346"/>
      <c r="J35" s="346"/>
      <c r="K35" s="346"/>
      <c r="L35" s="346"/>
      <c r="M35" s="346"/>
      <c r="N35" s="346"/>
    </row>
    <row r="36" spans="1:14">
      <c r="A36" s="346"/>
      <c r="B36" s="346"/>
      <c r="C36" s="346"/>
      <c r="D36" s="346"/>
      <c r="E36" s="346"/>
      <c r="F36" s="346"/>
      <c r="G36" s="346"/>
      <c r="H36" s="346"/>
      <c r="I36" s="346"/>
      <c r="J36" s="346"/>
      <c r="K36" s="346"/>
      <c r="L36" s="346"/>
      <c r="M36" s="346"/>
      <c r="N36" s="346"/>
    </row>
    <row r="37" spans="1:14">
      <c r="A37" s="346"/>
      <c r="B37" s="346"/>
      <c r="C37" s="346"/>
      <c r="D37" s="346"/>
      <c r="E37" s="346"/>
      <c r="F37" s="346"/>
      <c r="G37" s="346"/>
      <c r="H37" s="346"/>
      <c r="I37" s="346"/>
      <c r="J37" s="346"/>
      <c r="K37" s="346"/>
      <c r="L37" s="346"/>
      <c r="M37" s="346"/>
      <c r="N37" s="346"/>
    </row>
    <row r="38" spans="1:14">
      <c r="A38" s="346"/>
      <c r="B38" s="346"/>
      <c r="C38" s="346"/>
      <c r="D38" s="346"/>
      <c r="E38" s="346"/>
      <c r="F38" s="346"/>
      <c r="G38" s="346"/>
      <c r="H38" s="346"/>
      <c r="I38" s="346"/>
      <c r="J38" s="346"/>
      <c r="K38" s="346"/>
      <c r="L38" s="346"/>
      <c r="M38" s="346"/>
      <c r="N38" s="346"/>
    </row>
    <row r="39" spans="1:14">
      <c r="A39" s="346"/>
      <c r="B39" s="346"/>
      <c r="C39" s="346"/>
      <c r="D39" s="346"/>
      <c r="E39" s="346"/>
      <c r="F39" s="346"/>
      <c r="G39" s="346"/>
      <c r="H39" s="346"/>
      <c r="I39" s="346"/>
      <c r="J39" s="346"/>
      <c r="K39" s="346"/>
      <c r="L39" s="346"/>
      <c r="M39" s="346"/>
      <c r="N39" s="346"/>
    </row>
    <row r="40" spans="1:14">
      <c r="A40" s="346"/>
      <c r="B40" s="346"/>
      <c r="C40" s="346"/>
      <c r="D40" s="346"/>
      <c r="E40" s="346"/>
      <c r="F40" s="346"/>
      <c r="G40" s="346"/>
      <c r="H40" s="346"/>
      <c r="I40" s="346"/>
      <c r="J40" s="346"/>
      <c r="K40" s="346"/>
      <c r="L40" s="346"/>
      <c r="M40" s="346"/>
      <c r="N40" s="346"/>
    </row>
    <row r="41" spans="1:14">
      <c r="A41" s="346"/>
      <c r="B41" s="346"/>
      <c r="C41" s="346"/>
      <c r="D41" s="346"/>
      <c r="E41" s="346"/>
      <c r="F41" s="346"/>
      <c r="G41" s="346"/>
      <c r="H41" s="346"/>
      <c r="I41" s="346"/>
      <c r="J41" s="346"/>
      <c r="K41" s="346"/>
      <c r="L41" s="346"/>
      <c r="M41" s="346"/>
      <c r="N41" s="346"/>
    </row>
    <row r="42" spans="1:14">
      <c r="A42" s="346"/>
      <c r="B42" s="346"/>
      <c r="C42" s="346"/>
      <c r="D42" s="346"/>
      <c r="E42" s="346"/>
      <c r="F42" s="346"/>
      <c r="G42" s="346"/>
      <c r="H42" s="346"/>
      <c r="I42" s="346"/>
      <c r="J42" s="346"/>
      <c r="K42" s="346"/>
      <c r="L42" s="346"/>
      <c r="M42" s="346"/>
      <c r="N42" s="346"/>
    </row>
    <row r="43" spans="1:14">
      <c r="A43" s="346"/>
      <c r="B43" s="346"/>
      <c r="C43" s="346"/>
      <c r="D43" s="346"/>
      <c r="E43" s="346"/>
      <c r="F43" s="346"/>
      <c r="G43" s="346"/>
      <c r="H43" s="346"/>
      <c r="I43" s="346"/>
      <c r="J43" s="346"/>
      <c r="K43" s="346"/>
      <c r="L43" s="346"/>
      <c r="M43" s="346"/>
      <c r="N43" s="346"/>
    </row>
    <row r="44" spans="1:14">
      <c r="A44" s="346"/>
      <c r="B44" s="346"/>
      <c r="C44" s="346"/>
      <c r="D44" s="346"/>
      <c r="E44" s="346"/>
      <c r="F44" s="346"/>
      <c r="G44" s="346"/>
      <c r="H44" s="346"/>
      <c r="I44" s="346"/>
      <c r="J44" s="346"/>
      <c r="K44" s="346"/>
      <c r="L44" s="346"/>
      <c r="M44" s="346"/>
      <c r="N44" s="346"/>
    </row>
    <row r="45" spans="1:14">
      <c r="A45" s="346"/>
      <c r="B45" s="346"/>
      <c r="C45" s="346"/>
      <c r="D45" s="346"/>
      <c r="E45" s="346"/>
      <c r="F45" s="346"/>
      <c r="G45" s="346"/>
      <c r="H45" s="346"/>
      <c r="I45" s="346"/>
      <c r="J45" s="346"/>
      <c r="K45" s="346"/>
      <c r="L45" s="346"/>
      <c r="M45" s="346"/>
      <c r="N45" s="346"/>
    </row>
    <row r="46" spans="1:14">
      <c r="A46" s="346"/>
      <c r="B46" s="346"/>
      <c r="C46" s="346"/>
      <c r="D46" s="346"/>
      <c r="E46" s="346"/>
      <c r="F46" s="346"/>
      <c r="G46" s="346"/>
      <c r="H46" s="346"/>
      <c r="I46" s="346"/>
      <c r="J46" s="346"/>
      <c r="K46" s="346"/>
      <c r="L46" s="346"/>
      <c r="M46" s="346"/>
      <c r="N46" s="346"/>
    </row>
    <row r="47" spans="1:14">
      <c r="A47" s="346"/>
      <c r="B47" s="346"/>
      <c r="C47" s="346"/>
      <c r="D47" s="346"/>
      <c r="E47" s="346"/>
      <c r="F47" s="346"/>
      <c r="G47" s="346"/>
      <c r="H47" s="346"/>
      <c r="I47" s="346"/>
      <c r="J47" s="346"/>
      <c r="K47" s="346"/>
      <c r="L47" s="346"/>
      <c r="M47" s="346"/>
      <c r="N47" s="346"/>
    </row>
    <row r="48" spans="1:14">
      <c r="A48" s="346"/>
      <c r="B48" s="346"/>
      <c r="C48" s="346"/>
      <c r="D48" s="346"/>
      <c r="E48" s="346"/>
      <c r="F48" s="346"/>
      <c r="G48" s="346"/>
      <c r="H48" s="346"/>
      <c r="I48" s="346"/>
      <c r="J48" s="346"/>
      <c r="K48" s="346"/>
      <c r="L48" s="346"/>
      <c r="M48" s="346"/>
      <c r="N48" s="346"/>
    </row>
    <row r="49" spans="1:14">
      <c r="A49" s="346"/>
      <c r="B49" s="346"/>
      <c r="C49" s="346"/>
      <c r="D49" s="346"/>
      <c r="E49" s="346"/>
      <c r="F49" s="346"/>
      <c r="G49" s="346"/>
      <c r="H49" s="346"/>
      <c r="I49" s="346"/>
      <c r="J49" s="346"/>
      <c r="K49" s="346"/>
      <c r="L49" s="346"/>
      <c r="M49" s="346"/>
      <c r="N49" s="346"/>
    </row>
    <row r="50" spans="1:14">
      <c r="A50" s="346"/>
      <c r="B50" s="346"/>
      <c r="C50" s="346"/>
      <c r="D50" s="346"/>
      <c r="E50" s="346"/>
      <c r="F50" s="346"/>
      <c r="G50" s="346"/>
      <c r="H50" s="346"/>
      <c r="I50" s="346"/>
      <c r="J50" s="346"/>
      <c r="K50" s="346"/>
      <c r="L50" s="346"/>
      <c r="M50" s="346"/>
      <c r="N50" s="346"/>
    </row>
    <row r="51" spans="1:14">
      <c r="A51" s="346"/>
      <c r="B51" s="346"/>
      <c r="C51" s="346"/>
      <c r="D51" s="346"/>
      <c r="E51" s="346"/>
      <c r="F51" s="346"/>
      <c r="G51" s="346"/>
      <c r="H51" s="346"/>
      <c r="I51" s="346"/>
      <c r="J51" s="346"/>
      <c r="K51" s="346"/>
      <c r="L51" s="346"/>
      <c r="M51" s="346"/>
      <c r="N51" s="346"/>
    </row>
    <row r="52" spans="1:14">
      <c r="A52" s="346"/>
      <c r="B52" s="346"/>
      <c r="C52" s="346"/>
      <c r="D52" s="346"/>
      <c r="E52" s="346"/>
      <c r="F52" s="346"/>
      <c r="G52" s="346"/>
      <c r="H52" s="346"/>
      <c r="I52" s="346"/>
      <c r="J52" s="346"/>
      <c r="K52" s="346"/>
      <c r="L52" s="346"/>
      <c r="M52" s="346"/>
      <c r="N52" s="346"/>
    </row>
    <row r="53" spans="1:14">
      <c r="A53" s="346"/>
      <c r="B53" s="346"/>
      <c r="C53" s="346"/>
      <c r="D53" s="346"/>
      <c r="E53" s="346"/>
      <c r="F53" s="346"/>
      <c r="G53" s="346"/>
      <c r="H53" s="346"/>
      <c r="I53" s="346"/>
      <c r="J53" s="346"/>
      <c r="K53" s="346"/>
      <c r="L53" s="346"/>
      <c r="M53" s="346"/>
      <c r="N53" s="346"/>
    </row>
    <row r="54" spans="1:14">
      <c r="A54" s="346"/>
      <c r="B54" s="346"/>
      <c r="C54" s="346"/>
      <c r="D54" s="346"/>
      <c r="E54" s="346"/>
      <c r="F54" s="346"/>
      <c r="G54" s="346"/>
      <c r="H54" s="346"/>
      <c r="I54" s="346"/>
      <c r="J54" s="346"/>
      <c r="K54" s="346"/>
      <c r="L54" s="346"/>
      <c r="M54" s="346"/>
      <c r="N54" s="346"/>
    </row>
    <row r="55" spans="1:14">
      <c r="A55" s="346"/>
      <c r="B55" s="346"/>
      <c r="C55" s="346"/>
      <c r="D55" s="346"/>
      <c r="E55" s="346"/>
      <c r="F55" s="346"/>
      <c r="G55" s="346"/>
      <c r="H55" s="346"/>
      <c r="I55" s="346"/>
      <c r="J55" s="346"/>
      <c r="K55" s="346"/>
      <c r="L55" s="346"/>
      <c r="M55" s="346"/>
      <c r="N55" s="346"/>
    </row>
    <row r="56" spans="1:14">
      <c r="A56" s="346"/>
      <c r="B56" s="346"/>
      <c r="C56" s="346"/>
      <c r="D56" s="346"/>
      <c r="E56" s="346"/>
      <c r="F56" s="346"/>
      <c r="G56" s="346"/>
      <c r="H56" s="346"/>
      <c r="I56" s="346"/>
      <c r="J56" s="346"/>
      <c r="K56" s="346"/>
      <c r="L56" s="346"/>
      <c r="M56" s="346"/>
      <c r="N56" s="346"/>
    </row>
    <row r="57" spans="1:14">
      <c r="A57" s="346"/>
      <c r="B57" s="346"/>
      <c r="C57" s="346"/>
      <c r="D57" s="346"/>
      <c r="E57" s="346"/>
      <c r="F57" s="346"/>
      <c r="G57" s="346"/>
      <c r="H57" s="346"/>
      <c r="I57" s="346"/>
      <c r="J57" s="346"/>
      <c r="K57" s="346"/>
      <c r="L57" s="346"/>
      <c r="M57" s="346"/>
      <c r="N57" s="346"/>
    </row>
    <row r="58" spans="1:14">
      <c r="A58" s="346"/>
      <c r="B58" s="346"/>
      <c r="C58" s="346"/>
      <c r="D58" s="346"/>
      <c r="E58" s="346"/>
      <c r="F58" s="346"/>
      <c r="G58" s="346"/>
      <c r="H58" s="346"/>
      <c r="I58" s="346"/>
      <c r="J58" s="346"/>
      <c r="K58" s="346"/>
      <c r="L58" s="346"/>
      <c r="M58" s="346"/>
      <c r="N58" s="346"/>
    </row>
    <row r="59" spans="1:14">
      <c r="A59" s="346"/>
      <c r="B59" s="346"/>
      <c r="C59" s="346"/>
      <c r="D59" s="346"/>
      <c r="E59" s="346"/>
      <c r="F59" s="346"/>
      <c r="G59" s="346"/>
      <c r="H59" s="346"/>
      <c r="I59" s="346"/>
      <c r="J59" s="346"/>
      <c r="K59" s="346"/>
      <c r="L59" s="346"/>
      <c r="M59" s="346"/>
      <c r="N59" s="346"/>
    </row>
    <row r="60" spans="1:14">
      <c r="A60" s="346"/>
      <c r="B60" s="346"/>
      <c r="C60" s="346"/>
      <c r="D60" s="346"/>
      <c r="E60" s="346"/>
      <c r="F60" s="346"/>
      <c r="G60" s="346"/>
      <c r="H60" s="346"/>
      <c r="I60" s="346"/>
      <c r="J60" s="346"/>
      <c r="K60" s="346"/>
      <c r="L60" s="346"/>
      <c r="M60" s="346"/>
      <c r="N60" s="346"/>
    </row>
    <row r="61" spans="1:14">
      <c r="A61" s="346"/>
      <c r="B61" s="346"/>
      <c r="C61" s="346"/>
      <c r="D61" s="346"/>
      <c r="E61" s="346"/>
      <c r="F61" s="346"/>
      <c r="G61" s="346"/>
      <c r="H61" s="346"/>
      <c r="I61" s="346"/>
      <c r="J61" s="346"/>
      <c r="K61" s="346"/>
      <c r="L61" s="346"/>
      <c r="M61" s="346"/>
      <c r="N61" s="346"/>
    </row>
    <row r="62" spans="1:14">
      <c r="A62" s="346"/>
      <c r="B62" s="346"/>
      <c r="C62" s="346"/>
      <c r="D62" s="346"/>
      <c r="E62" s="346"/>
      <c r="F62" s="346"/>
      <c r="G62" s="346"/>
      <c r="H62" s="346"/>
      <c r="I62" s="346"/>
      <c r="J62" s="346"/>
      <c r="K62" s="346"/>
      <c r="L62" s="346"/>
      <c r="M62" s="346"/>
      <c r="N62" s="346"/>
    </row>
    <row r="63" spans="1:14">
      <c r="A63" s="346"/>
      <c r="B63" s="346"/>
      <c r="C63" s="346"/>
      <c r="D63" s="346"/>
      <c r="E63" s="346"/>
      <c r="F63" s="346"/>
      <c r="G63" s="346"/>
      <c r="H63" s="346"/>
      <c r="I63" s="346"/>
      <c r="J63" s="346"/>
      <c r="K63" s="346"/>
      <c r="L63" s="346"/>
      <c r="M63" s="346"/>
      <c r="N63" s="346"/>
    </row>
    <row r="64" spans="1:14">
      <c r="A64" s="346"/>
      <c r="B64" s="346"/>
      <c r="C64" s="346"/>
      <c r="D64" s="346"/>
      <c r="E64" s="346"/>
      <c r="F64" s="346"/>
      <c r="G64" s="346"/>
      <c r="H64" s="346"/>
      <c r="I64" s="346"/>
      <c r="J64" s="346"/>
      <c r="K64" s="346"/>
      <c r="L64" s="346"/>
      <c r="M64" s="346"/>
      <c r="N64" s="346"/>
    </row>
    <row r="65" spans="1:14">
      <c r="A65" s="346"/>
      <c r="B65" s="346"/>
      <c r="C65" s="346"/>
      <c r="D65" s="346"/>
      <c r="E65" s="346"/>
      <c r="F65" s="346"/>
      <c r="G65" s="346"/>
      <c r="H65" s="346"/>
      <c r="I65" s="346"/>
      <c r="J65" s="346"/>
      <c r="K65" s="346"/>
      <c r="L65" s="346"/>
      <c r="M65" s="346"/>
      <c r="N65" s="346"/>
    </row>
    <row r="66" spans="1:14">
      <c r="A66" s="346"/>
      <c r="B66" s="346"/>
      <c r="C66" s="346"/>
      <c r="D66" s="346"/>
      <c r="E66" s="346"/>
      <c r="F66" s="346"/>
      <c r="G66" s="346"/>
      <c r="H66" s="346"/>
      <c r="I66" s="346"/>
      <c r="J66" s="346"/>
      <c r="K66" s="346"/>
      <c r="L66" s="346"/>
      <c r="M66" s="346"/>
      <c r="N66" s="346"/>
    </row>
    <row r="67" spans="1:14">
      <c r="A67" s="346"/>
      <c r="B67" s="346"/>
      <c r="C67" s="346"/>
      <c r="D67" s="346"/>
      <c r="E67" s="346"/>
      <c r="F67" s="346"/>
      <c r="G67" s="346"/>
      <c r="H67" s="346"/>
      <c r="I67" s="346"/>
      <c r="J67" s="346"/>
      <c r="K67" s="346"/>
      <c r="L67" s="346"/>
      <c r="M67" s="346"/>
      <c r="N67" s="346"/>
    </row>
    <row r="68" spans="1:14">
      <c r="A68" s="346"/>
      <c r="B68" s="346"/>
      <c r="C68" s="346"/>
      <c r="D68" s="346"/>
      <c r="E68" s="346"/>
      <c r="F68" s="346"/>
      <c r="G68" s="346"/>
      <c r="H68" s="346"/>
      <c r="I68" s="346"/>
      <c r="J68" s="346"/>
      <c r="K68" s="346"/>
      <c r="L68" s="346"/>
      <c r="M68" s="346"/>
      <c r="N68" s="346"/>
    </row>
    <row r="69" spans="1:14">
      <c r="A69" s="346"/>
      <c r="B69" s="346"/>
      <c r="C69" s="346"/>
      <c r="D69" s="346"/>
      <c r="E69" s="346"/>
      <c r="F69" s="346"/>
      <c r="G69" s="346"/>
      <c r="H69" s="346"/>
      <c r="I69" s="346"/>
      <c r="J69" s="346"/>
      <c r="K69" s="346"/>
      <c r="L69" s="346"/>
      <c r="M69" s="346"/>
      <c r="N69" s="346"/>
    </row>
    <row r="70" spans="1:14">
      <c r="A70" s="346"/>
      <c r="B70" s="346"/>
      <c r="C70" s="346"/>
      <c r="D70" s="346"/>
      <c r="E70" s="346"/>
      <c r="F70" s="346"/>
      <c r="G70" s="346"/>
      <c r="H70" s="346"/>
      <c r="I70" s="346"/>
      <c r="J70" s="346"/>
      <c r="K70" s="346"/>
      <c r="L70" s="346"/>
      <c r="M70" s="346"/>
      <c r="N70" s="346"/>
    </row>
  </sheetData>
  <pageMargins left="0.7" right="0.7" top="0.75" bottom="0.75" header="0.3" footer="0.3"/>
  <pageSetup scale="65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4"/>
  <dimension ref="A1:N69"/>
  <sheetViews>
    <sheetView view="pageLayout" zoomScale="70" zoomScaleNormal="100" zoomScalePageLayoutView="70" workbookViewId="0">
      <selection activeCell="N8" sqref="N8"/>
    </sheetView>
  </sheetViews>
  <sheetFormatPr defaultRowHeight="15"/>
  <sheetData>
    <row r="1" spans="1:14">
      <c r="A1" s="346"/>
      <c r="B1" s="346"/>
      <c r="C1" s="346"/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</row>
    <row r="2" spans="1:14">
      <c r="A2" s="346"/>
      <c r="B2" s="346"/>
      <c r="C2" s="346"/>
      <c r="D2" s="346"/>
      <c r="E2" s="346"/>
      <c r="F2" s="346"/>
      <c r="G2" s="346"/>
      <c r="H2" s="346"/>
      <c r="I2" s="346"/>
      <c r="J2" s="346"/>
      <c r="K2" s="346"/>
      <c r="L2" s="346"/>
      <c r="M2" s="346"/>
      <c r="N2" s="346"/>
    </row>
    <row r="3" spans="1:14">
      <c r="A3" s="346"/>
      <c r="B3" s="346"/>
      <c r="C3" s="346"/>
      <c r="D3" s="346"/>
      <c r="E3" s="346"/>
      <c r="F3" s="346"/>
      <c r="G3" s="346"/>
      <c r="H3" s="346"/>
      <c r="I3" s="346"/>
      <c r="J3" s="346"/>
      <c r="K3" s="346"/>
      <c r="L3" s="346"/>
      <c r="M3" s="346"/>
      <c r="N3" s="346"/>
    </row>
    <row r="4" spans="1:14">
      <c r="A4" s="346"/>
      <c r="B4" s="346"/>
      <c r="C4" s="346"/>
      <c r="D4" s="346"/>
      <c r="E4" s="346"/>
      <c r="F4" s="346"/>
      <c r="G4" s="346"/>
      <c r="H4" s="346"/>
      <c r="I4" s="346"/>
      <c r="J4" s="346"/>
      <c r="K4" s="346"/>
      <c r="L4" s="346"/>
      <c r="M4" s="346"/>
      <c r="N4" s="346"/>
    </row>
    <row r="5" spans="1:14">
      <c r="A5" s="346"/>
      <c r="B5" s="346"/>
      <c r="C5" s="346"/>
      <c r="D5" s="346"/>
      <c r="E5" s="346"/>
      <c r="F5" s="346"/>
      <c r="G5" s="346"/>
      <c r="H5" s="346"/>
      <c r="I5" s="346"/>
      <c r="J5" s="346"/>
      <c r="K5" s="346"/>
      <c r="L5" s="346"/>
      <c r="M5" s="346"/>
      <c r="N5" s="346"/>
    </row>
    <row r="6" spans="1:14">
      <c r="A6" s="346"/>
      <c r="B6" s="346"/>
      <c r="C6" s="346"/>
      <c r="D6" s="346"/>
      <c r="E6" s="346"/>
      <c r="F6" s="346"/>
      <c r="G6" s="346"/>
      <c r="H6" s="346"/>
      <c r="I6" s="346"/>
      <c r="J6" s="346"/>
      <c r="K6" s="346"/>
      <c r="L6" s="346"/>
      <c r="M6" s="346"/>
      <c r="N6" s="346"/>
    </row>
    <row r="7" spans="1:14">
      <c r="A7" s="346"/>
      <c r="B7" s="346"/>
      <c r="C7" s="346"/>
      <c r="D7" s="346"/>
      <c r="E7" s="346"/>
      <c r="F7" s="346"/>
      <c r="G7" s="346"/>
      <c r="H7" s="346"/>
      <c r="I7" s="346"/>
      <c r="J7" s="346"/>
      <c r="K7" s="346"/>
      <c r="L7" s="346"/>
      <c r="M7" s="346"/>
      <c r="N7" s="346"/>
    </row>
    <row r="8" spans="1:14">
      <c r="A8" s="346"/>
      <c r="B8" s="346"/>
      <c r="C8" s="346"/>
      <c r="D8" s="346"/>
      <c r="E8" s="346"/>
      <c r="F8" s="346"/>
      <c r="G8" s="346"/>
      <c r="H8" s="346"/>
      <c r="I8" s="346"/>
      <c r="J8" s="346"/>
      <c r="K8" s="346"/>
      <c r="L8" s="346"/>
      <c r="M8" s="346"/>
      <c r="N8" s="346"/>
    </row>
    <row r="9" spans="1:14">
      <c r="A9" s="346"/>
      <c r="B9" s="346"/>
      <c r="C9" s="346"/>
      <c r="D9" s="346"/>
      <c r="E9" s="346"/>
      <c r="F9" s="346"/>
      <c r="G9" s="346"/>
      <c r="H9" s="346"/>
      <c r="I9" s="346"/>
      <c r="J9" s="346"/>
      <c r="K9" s="346"/>
      <c r="L9" s="346"/>
      <c r="M9" s="346"/>
      <c r="N9" s="346"/>
    </row>
    <row r="10" spans="1:14">
      <c r="A10" s="346"/>
      <c r="B10" s="346"/>
      <c r="C10" s="346"/>
      <c r="D10" s="346"/>
      <c r="E10" s="346"/>
      <c r="F10" s="346"/>
      <c r="G10" s="346"/>
      <c r="H10" s="346"/>
      <c r="I10" s="346"/>
      <c r="J10" s="346"/>
      <c r="K10" s="346"/>
      <c r="L10" s="346"/>
      <c r="M10" s="346"/>
      <c r="N10" s="346"/>
    </row>
    <row r="11" spans="1:14">
      <c r="A11" s="346"/>
      <c r="B11" s="346"/>
      <c r="C11" s="346"/>
      <c r="D11" s="346"/>
      <c r="E11" s="346"/>
      <c r="F11" s="346"/>
      <c r="G11" s="346"/>
      <c r="H11" s="346"/>
      <c r="I11" s="346"/>
      <c r="J11" s="346"/>
      <c r="K11" s="346"/>
      <c r="L11" s="346"/>
      <c r="M11" s="346"/>
      <c r="N11" s="346"/>
    </row>
    <row r="12" spans="1:14">
      <c r="A12" s="346"/>
      <c r="B12" s="346"/>
      <c r="C12" s="346"/>
      <c r="D12" s="346"/>
      <c r="E12" s="346"/>
      <c r="F12" s="346"/>
      <c r="G12" s="346"/>
      <c r="H12" s="346"/>
      <c r="I12" s="346"/>
      <c r="J12" s="346"/>
      <c r="K12" s="346"/>
      <c r="L12" s="346"/>
      <c r="M12" s="346"/>
      <c r="N12" s="346"/>
    </row>
    <row r="13" spans="1:14">
      <c r="A13" s="346"/>
      <c r="B13" s="346"/>
      <c r="C13" s="346"/>
      <c r="D13" s="346"/>
      <c r="E13" s="346"/>
      <c r="F13" s="346"/>
      <c r="G13" s="346"/>
      <c r="H13" s="346"/>
      <c r="I13" s="346"/>
      <c r="J13" s="346"/>
      <c r="K13" s="346"/>
      <c r="L13" s="346"/>
      <c r="M13" s="346"/>
      <c r="N13" s="346"/>
    </row>
    <row r="14" spans="1:14">
      <c r="A14" s="346"/>
      <c r="B14" s="346"/>
      <c r="C14" s="346"/>
      <c r="D14" s="346"/>
      <c r="E14" s="346"/>
      <c r="F14" s="346"/>
      <c r="G14" s="346"/>
      <c r="H14" s="346"/>
      <c r="I14" s="346"/>
      <c r="J14" s="346"/>
      <c r="K14" s="346"/>
      <c r="L14" s="346"/>
      <c r="M14" s="346"/>
      <c r="N14" s="346"/>
    </row>
    <row r="15" spans="1:14">
      <c r="A15" s="346"/>
      <c r="B15" s="346"/>
      <c r="C15" s="346"/>
      <c r="D15" s="346"/>
      <c r="E15" s="346"/>
      <c r="F15" s="346"/>
      <c r="G15" s="346"/>
      <c r="H15" s="346"/>
      <c r="I15" s="346"/>
      <c r="J15" s="346"/>
      <c r="K15" s="346"/>
      <c r="L15" s="346"/>
      <c r="M15" s="346"/>
      <c r="N15" s="346"/>
    </row>
    <row r="16" spans="1:14">
      <c r="A16" s="346"/>
      <c r="B16" s="346"/>
      <c r="C16" s="346"/>
      <c r="D16" s="346"/>
      <c r="E16" s="346"/>
      <c r="F16" s="346"/>
      <c r="G16" s="346"/>
      <c r="H16" s="346"/>
      <c r="I16" s="346"/>
      <c r="J16" s="346"/>
      <c r="K16" s="346"/>
      <c r="L16" s="346"/>
      <c r="M16" s="346"/>
      <c r="N16" s="346"/>
    </row>
    <row r="17" spans="1:14">
      <c r="A17" s="346"/>
      <c r="B17" s="346"/>
      <c r="C17" s="346"/>
      <c r="D17" s="346"/>
      <c r="E17" s="346"/>
      <c r="F17" s="346"/>
      <c r="G17" s="346"/>
      <c r="H17" s="346"/>
      <c r="I17" s="346"/>
      <c r="J17" s="346"/>
      <c r="K17" s="346"/>
      <c r="L17" s="346"/>
      <c r="M17" s="346"/>
      <c r="N17" s="346"/>
    </row>
    <row r="18" spans="1:14">
      <c r="A18" s="346"/>
      <c r="B18" s="346"/>
      <c r="C18" s="346"/>
      <c r="D18" s="346"/>
      <c r="E18" s="346"/>
      <c r="F18" s="346"/>
      <c r="G18" s="346"/>
      <c r="H18" s="346"/>
      <c r="I18" s="346"/>
      <c r="J18" s="346"/>
      <c r="K18" s="346"/>
      <c r="L18" s="346"/>
      <c r="M18" s="346"/>
      <c r="N18" s="346"/>
    </row>
    <row r="19" spans="1:14">
      <c r="A19" s="346"/>
      <c r="B19" s="346"/>
      <c r="C19" s="346"/>
      <c r="D19" s="346"/>
      <c r="E19" s="346"/>
      <c r="F19" s="346"/>
      <c r="G19" s="346"/>
      <c r="H19" s="346"/>
      <c r="I19" s="346"/>
      <c r="J19" s="346"/>
      <c r="K19" s="346"/>
      <c r="L19" s="346"/>
      <c r="M19" s="346"/>
      <c r="N19" s="346"/>
    </row>
    <row r="20" spans="1:14">
      <c r="A20" s="346"/>
      <c r="B20" s="346"/>
      <c r="C20" s="346"/>
      <c r="D20" s="346"/>
      <c r="E20" s="346"/>
      <c r="F20" s="346"/>
      <c r="G20" s="346"/>
      <c r="H20" s="346"/>
      <c r="I20" s="346"/>
      <c r="J20" s="346"/>
      <c r="K20" s="346"/>
      <c r="L20" s="346"/>
      <c r="M20" s="346"/>
      <c r="N20" s="346"/>
    </row>
    <row r="21" spans="1:14">
      <c r="A21" s="346"/>
      <c r="B21" s="346"/>
      <c r="C21" s="346"/>
      <c r="D21" s="346"/>
      <c r="E21" s="346"/>
      <c r="F21" s="346"/>
      <c r="G21" s="346"/>
      <c r="H21" s="346"/>
      <c r="I21" s="346"/>
      <c r="J21" s="346"/>
      <c r="K21" s="346"/>
      <c r="L21" s="346"/>
      <c r="M21" s="346"/>
      <c r="N21" s="346"/>
    </row>
    <row r="22" spans="1:14">
      <c r="A22" s="346"/>
      <c r="B22" s="346"/>
      <c r="C22" s="346"/>
      <c r="D22" s="346"/>
      <c r="E22" s="346"/>
      <c r="F22" s="346"/>
      <c r="G22" s="346"/>
      <c r="H22" s="346"/>
      <c r="I22" s="346"/>
      <c r="J22" s="346"/>
      <c r="K22" s="346"/>
      <c r="L22" s="346"/>
      <c r="M22" s="346"/>
      <c r="N22" s="346"/>
    </row>
    <row r="23" spans="1:14">
      <c r="A23" s="346"/>
      <c r="B23" s="346"/>
      <c r="C23" s="346"/>
      <c r="D23" s="346"/>
      <c r="E23" s="346"/>
      <c r="F23" s="346"/>
      <c r="G23" s="346"/>
      <c r="H23" s="346"/>
      <c r="I23" s="346"/>
      <c r="J23" s="346"/>
      <c r="K23" s="346"/>
      <c r="L23" s="346"/>
      <c r="M23" s="346"/>
      <c r="N23" s="346"/>
    </row>
    <row r="24" spans="1:14">
      <c r="A24" s="346"/>
      <c r="B24" s="346"/>
      <c r="C24" s="346"/>
      <c r="D24" s="346"/>
      <c r="E24" s="346"/>
      <c r="F24" s="346"/>
      <c r="G24" s="346"/>
      <c r="H24" s="346"/>
      <c r="I24" s="346"/>
      <c r="J24" s="346"/>
      <c r="K24" s="346"/>
      <c r="L24" s="346"/>
      <c r="M24" s="346"/>
      <c r="N24" s="346"/>
    </row>
    <row r="25" spans="1:14">
      <c r="A25" s="346"/>
      <c r="B25" s="346"/>
      <c r="C25" s="346"/>
      <c r="D25" s="346"/>
      <c r="E25" s="346"/>
      <c r="F25" s="346"/>
      <c r="G25" s="346"/>
      <c r="H25" s="346"/>
      <c r="I25" s="346"/>
      <c r="J25" s="346"/>
      <c r="K25" s="346"/>
      <c r="L25" s="346"/>
      <c r="M25" s="346"/>
      <c r="N25" s="346"/>
    </row>
    <row r="26" spans="1:14">
      <c r="A26" s="346"/>
      <c r="B26" s="346"/>
      <c r="C26" s="346"/>
      <c r="D26" s="346"/>
      <c r="E26" s="346"/>
      <c r="F26" s="346"/>
      <c r="G26" s="346"/>
      <c r="H26" s="346"/>
      <c r="I26" s="346"/>
      <c r="J26" s="346"/>
      <c r="K26" s="346"/>
      <c r="L26" s="346"/>
      <c r="M26" s="346"/>
      <c r="N26" s="346"/>
    </row>
    <row r="27" spans="1:14">
      <c r="A27" s="346"/>
      <c r="B27" s="346"/>
      <c r="C27" s="346"/>
      <c r="D27" s="346"/>
      <c r="E27" s="346"/>
      <c r="F27" s="346"/>
      <c r="G27" s="346"/>
      <c r="H27" s="346"/>
      <c r="I27" s="346"/>
      <c r="J27" s="346"/>
      <c r="K27" s="346"/>
      <c r="L27" s="346"/>
      <c r="M27" s="346"/>
      <c r="N27" s="346"/>
    </row>
    <row r="28" spans="1:14">
      <c r="A28" s="346"/>
      <c r="B28" s="346"/>
      <c r="C28" s="346"/>
      <c r="D28" s="346"/>
      <c r="E28" s="346"/>
      <c r="F28" s="346"/>
      <c r="G28" s="346"/>
      <c r="H28" s="346"/>
      <c r="I28" s="346"/>
      <c r="J28" s="346"/>
      <c r="K28" s="346"/>
      <c r="L28" s="346"/>
      <c r="M28" s="346"/>
      <c r="N28" s="346"/>
    </row>
    <row r="29" spans="1:14">
      <c r="A29" s="346"/>
      <c r="B29" s="346"/>
      <c r="C29" s="346"/>
      <c r="D29" s="346"/>
      <c r="E29" s="346"/>
      <c r="F29" s="346"/>
      <c r="G29" s="346"/>
      <c r="H29" s="346"/>
      <c r="I29" s="346"/>
      <c r="J29" s="346"/>
      <c r="K29" s="346"/>
      <c r="L29" s="346"/>
      <c r="M29" s="346"/>
      <c r="N29" s="346"/>
    </row>
    <row r="30" spans="1:14">
      <c r="A30" s="346"/>
      <c r="B30" s="346"/>
      <c r="C30" s="346"/>
      <c r="D30" s="346"/>
      <c r="E30" s="346"/>
      <c r="F30" s="346"/>
      <c r="G30" s="346"/>
      <c r="H30" s="346"/>
      <c r="I30" s="346"/>
      <c r="J30" s="346"/>
      <c r="K30" s="346"/>
      <c r="L30" s="346"/>
      <c r="M30" s="346"/>
      <c r="N30" s="346"/>
    </row>
    <row r="31" spans="1:14">
      <c r="A31" s="346"/>
      <c r="B31" s="346"/>
      <c r="C31" s="346"/>
      <c r="D31" s="346"/>
      <c r="E31" s="346"/>
      <c r="F31" s="346"/>
      <c r="G31" s="346"/>
      <c r="H31" s="346"/>
      <c r="I31" s="346"/>
      <c r="J31" s="346"/>
      <c r="K31" s="346"/>
      <c r="L31" s="346"/>
      <c r="M31" s="346"/>
      <c r="N31" s="346"/>
    </row>
    <row r="32" spans="1:14">
      <c r="A32" s="346"/>
      <c r="B32" s="346"/>
      <c r="C32" s="346"/>
      <c r="D32" s="346"/>
      <c r="E32" s="346"/>
      <c r="F32" s="346"/>
      <c r="G32" s="346"/>
      <c r="H32" s="346"/>
      <c r="I32" s="346"/>
      <c r="J32" s="346"/>
      <c r="K32" s="346"/>
      <c r="L32" s="346"/>
      <c r="M32" s="346"/>
      <c r="N32" s="346"/>
    </row>
    <row r="33" spans="1:14">
      <c r="A33" s="346"/>
      <c r="B33" s="346"/>
      <c r="C33" s="346"/>
      <c r="D33" s="346"/>
      <c r="E33" s="346"/>
      <c r="F33" s="346"/>
      <c r="G33" s="346"/>
      <c r="H33" s="346"/>
      <c r="I33" s="346"/>
      <c r="J33" s="346"/>
      <c r="K33" s="346"/>
      <c r="L33" s="346"/>
      <c r="M33" s="346"/>
      <c r="N33" s="346"/>
    </row>
    <row r="34" spans="1:14">
      <c r="A34" s="346"/>
      <c r="B34" s="346"/>
      <c r="C34" s="346"/>
      <c r="D34" s="346"/>
      <c r="E34" s="346"/>
      <c r="F34" s="346"/>
      <c r="G34" s="346"/>
      <c r="H34" s="346"/>
      <c r="I34" s="346"/>
      <c r="J34" s="346"/>
      <c r="K34" s="346"/>
      <c r="L34" s="346"/>
      <c r="M34" s="346"/>
      <c r="N34" s="346"/>
    </row>
    <row r="35" spans="1:14">
      <c r="A35" s="346"/>
      <c r="B35" s="346"/>
      <c r="C35" s="346"/>
      <c r="D35" s="346"/>
      <c r="E35" s="346"/>
      <c r="F35" s="346"/>
      <c r="G35" s="346"/>
      <c r="H35" s="346"/>
      <c r="I35" s="346"/>
      <c r="J35" s="346"/>
      <c r="K35" s="346"/>
      <c r="L35" s="346"/>
      <c r="M35" s="346"/>
      <c r="N35" s="346"/>
    </row>
    <row r="36" spans="1:14">
      <c r="A36" s="346"/>
      <c r="B36" s="346"/>
      <c r="C36" s="346"/>
      <c r="D36" s="346"/>
      <c r="E36" s="346"/>
      <c r="F36" s="346"/>
      <c r="G36" s="346"/>
      <c r="H36" s="346"/>
      <c r="I36" s="346"/>
      <c r="J36" s="346"/>
      <c r="K36" s="346"/>
      <c r="L36" s="346"/>
      <c r="M36" s="346"/>
      <c r="N36" s="346"/>
    </row>
    <row r="37" spans="1:14">
      <c r="A37" s="346"/>
      <c r="B37" s="346"/>
      <c r="C37" s="346"/>
      <c r="D37" s="346"/>
      <c r="E37" s="346"/>
      <c r="F37" s="346"/>
      <c r="G37" s="346"/>
      <c r="H37" s="346"/>
      <c r="I37" s="346"/>
      <c r="J37" s="346"/>
      <c r="K37" s="346"/>
      <c r="L37" s="346"/>
      <c r="M37" s="346"/>
      <c r="N37" s="346"/>
    </row>
    <row r="38" spans="1:14">
      <c r="A38" s="346"/>
      <c r="B38" s="346"/>
      <c r="C38" s="346"/>
      <c r="D38" s="346"/>
      <c r="E38" s="346"/>
      <c r="F38" s="346"/>
      <c r="G38" s="346"/>
      <c r="H38" s="346"/>
      <c r="I38" s="346"/>
      <c r="J38" s="346"/>
      <c r="K38" s="346"/>
      <c r="L38" s="346"/>
      <c r="M38" s="346"/>
      <c r="N38" s="346"/>
    </row>
    <row r="39" spans="1:14">
      <c r="A39" s="346"/>
      <c r="B39" s="346"/>
      <c r="C39" s="346"/>
      <c r="D39" s="346"/>
      <c r="E39" s="346"/>
      <c r="F39" s="346"/>
      <c r="G39" s="346"/>
      <c r="H39" s="346"/>
      <c r="I39" s="346"/>
      <c r="J39" s="346"/>
      <c r="K39" s="346"/>
      <c r="L39" s="346"/>
      <c r="M39" s="346"/>
      <c r="N39" s="346"/>
    </row>
    <row r="40" spans="1:14">
      <c r="A40" s="346"/>
      <c r="B40" s="346"/>
      <c r="C40" s="346"/>
      <c r="D40" s="346"/>
      <c r="E40" s="346"/>
      <c r="F40" s="346"/>
      <c r="G40" s="346"/>
      <c r="H40" s="346"/>
      <c r="I40" s="346"/>
      <c r="J40" s="346"/>
      <c r="K40" s="346"/>
      <c r="L40" s="346"/>
      <c r="M40" s="346"/>
      <c r="N40" s="346"/>
    </row>
    <row r="41" spans="1:14">
      <c r="A41" s="346"/>
      <c r="B41" s="346"/>
      <c r="C41" s="346"/>
      <c r="D41" s="346"/>
      <c r="E41" s="346"/>
      <c r="F41" s="346"/>
      <c r="G41" s="346"/>
      <c r="H41" s="346"/>
      <c r="I41" s="346"/>
      <c r="J41" s="346"/>
      <c r="K41" s="346"/>
      <c r="L41" s="346"/>
      <c r="M41" s="346"/>
      <c r="N41" s="346"/>
    </row>
    <row r="42" spans="1:14">
      <c r="A42" s="346"/>
      <c r="B42" s="346"/>
      <c r="C42" s="346"/>
      <c r="D42" s="346"/>
      <c r="E42" s="346"/>
      <c r="F42" s="346"/>
      <c r="G42" s="346"/>
      <c r="H42" s="346"/>
      <c r="I42" s="346"/>
      <c r="J42" s="346"/>
      <c r="K42" s="346"/>
      <c r="L42" s="346"/>
      <c r="M42" s="346"/>
      <c r="N42" s="346"/>
    </row>
    <row r="43" spans="1:14">
      <c r="A43" s="346"/>
      <c r="B43" s="346"/>
      <c r="C43" s="346"/>
      <c r="D43" s="346"/>
      <c r="E43" s="346"/>
      <c r="F43" s="346"/>
      <c r="G43" s="346"/>
      <c r="H43" s="346"/>
      <c r="I43" s="346"/>
      <c r="J43" s="346"/>
      <c r="K43" s="346"/>
      <c r="L43" s="346"/>
      <c r="M43" s="346"/>
      <c r="N43" s="346"/>
    </row>
    <row r="44" spans="1:14">
      <c r="A44" s="346"/>
      <c r="B44" s="346"/>
      <c r="C44" s="346"/>
      <c r="D44" s="346"/>
      <c r="E44" s="346"/>
      <c r="F44" s="346"/>
      <c r="G44" s="346"/>
      <c r="H44" s="346"/>
      <c r="I44" s="346"/>
      <c r="J44" s="346"/>
      <c r="K44" s="346"/>
      <c r="L44" s="346"/>
      <c r="M44" s="346"/>
      <c r="N44" s="346"/>
    </row>
    <row r="45" spans="1:14">
      <c r="A45" s="346"/>
      <c r="B45" s="346"/>
      <c r="C45" s="346"/>
      <c r="D45" s="346"/>
      <c r="E45" s="346"/>
      <c r="F45" s="346"/>
      <c r="G45" s="346"/>
      <c r="H45" s="346"/>
      <c r="I45" s="346"/>
      <c r="J45" s="346"/>
      <c r="K45" s="346"/>
      <c r="L45" s="346"/>
      <c r="M45" s="346"/>
      <c r="N45" s="346"/>
    </row>
    <row r="46" spans="1:14">
      <c r="A46" s="346"/>
      <c r="B46" s="346"/>
      <c r="C46" s="346"/>
      <c r="D46" s="346"/>
      <c r="E46" s="346"/>
      <c r="F46" s="346"/>
      <c r="G46" s="346"/>
      <c r="H46" s="346"/>
      <c r="I46" s="346"/>
      <c r="J46" s="346"/>
      <c r="K46" s="346"/>
      <c r="L46" s="346"/>
      <c r="M46" s="346"/>
      <c r="N46" s="346"/>
    </row>
    <row r="47" spans="1:14">
      <c r="A47" s="346"/>
      <c r="B47" s="346"/>
      <c r="C47" s="346"/>
      <c r="D47" s="346"/>
      <c r="E47" s="346"/>
      <c r="F47" s="346"/>
      <c r="G47" s="346"/>
      <c r="H47" s="346"/>
      <c r="I47" s="346"/>
      <c r="J47" s="346"/>
      <c r="K47" s="346"/>
      <c r="L47" s="346"/>
      <c r="M47" s="346"/>
      <c r="N47" s="346"/>
    </row>
    <row r="48" spans="1:14">
      <c r="A48" s="346"/>
      <c r="B48" s="346"/>
      <c r="C48" s="346"/>
      <c r="D48" s="346"/>
      <c r="E48" s="346"/>
      <c r="F48" s="346"/>
      <c r="G48" s="346"/>
      <c r="H48" s="346"/>
      <c r="I48" s="346"/>
      <c r="J48" s="346"/>
      <c r="K48" s="346"/>
      <c r="L48" s="346"/>
      <c r="M48" s="346"/>
      <c r="N48" s="346"/>
    </row>
    <row r="49" spans="1:14">
      <c r="A49" s="346"/>
      <c r="B49" s="346"/>
      <c r="C49" s="346"/>
      <c r="D49" s="346"/>
      <c r="E49" s="346"/>
      <c r="F49" s="346"/>
      <c r="G49" s="346"/>
      <c r="H49" s="346"/>
      <c r="I49" s="346"/>
      <c r="J49" s="346"/>
      <c r="K49" s="346"/>
      <c r="L49" s="346"/>
      <c r="M49" s="346"/>
      <c r="N49" s="346"/>
    </row>
    <row r="50" spans="1:14">
      <c r="A50" s="346"/>
      <c r="B50" s="346"/>
      <c r="C50" s="346"/>
      <c r="D50" s="346"/>
      <c r="E50" s="346"/>
      <c r="F50" s="346"/>
      <c r="G50" s="346"/>
      <c r="H50" s="346"/>
      <c r="I50" s="346"/>
      <c r="J50" s="346"/>
      <c r="K50" s="346"/>
      <c r="L50" s="346"/>
      <c r="M50" s="346"/>
      <c r="N50" s="346"/>
    </row>
    <row r="51" spans="1:14">
      <c r="A51" s="346"/>
      <c r="B51" s="346"/>
      <c r="C51" s="346"/>
      <c r="D51" s="346"/>
      <c r="E51" s="346"/>
      <c r="F51" s="346"/>
      <c r="G51" s="346"/>
      <c r="H51" s="346"/>
      <c r="I51" s="346"/>
      <c r="J51" s="346"/>
      <c r="K51" s="346"/>
      <c r="L51" s="346"/>
      <c r="M51" s="346"/>
      <c r="N51" s="346"/>
    </row>
    <row r="52" spans="1:14">
      <c r="A52" s="346"/>
      <c r="B52" s="346"/>
      <c r="C52" s="346"/>
      <c r="D52" s="346"/>
      <c r="E52" s="346"/>
      <c r="F52" s="346"/>
      <c r="G52" s="346"/>
      <c r="H52" s="346"/>
      <c r="I52" s="346"/>
      <c r="J52" s="346"/>
      <c r="K52" s="346"/>
      <c r="L52" s="346"/>
      <c r="M52" s="346"/>
      <c r="N52" s="346"/>
    </row>
    <row r="53" spans="1:14">
      <c r="A53" s="346"/>
      <c r="B53" s="346"/>
      <c r="C53" s="346"/>
      <c r="D53" s="346"/>
      <c r="E53" s="346"/>
      <c r="F53" s="346"/>
      <c r="G53" s="346"/>
      <c r="H53" s="346"/>
      <c r="I53" s="346"/>
      <c r="J53" s="346"/>
      <c r="K53" s="346"/>
      <c r="L53" s="346"/>
      <c r="M53" s="346"/>
      <c r="N53" s="346"/>
    </row>
    <row r="54" spans="1:14">
      <c r="A54" s="346"/>
      <c r="B54" s="346"/>
      <c r="C54" s="346"/>
      <c r="D54" s="346"/>
      <c r="E54" s="346"/>
      <c r="F54" s="346"/>
      <c r="G54" s="346"/>
      <c r="H54" s="346"/>
      <c r="I54" s="346"/>
      <c r="J54" s="346"/>
      <c r="K54" s="346"/>
      <c r="L54" s="346"/>
      <c r="M54" s="346"/>
      <c r="N54" s="346"/>
    </row>
    <row r="55" spans="1:14">
      <c r="A55" s="346"/>
      <c r="B55" s="346"/>
      <c r="C55" s="346"/>
      <c r="D55" s="346"/>
      <c r="E55" s="346"/>
      <c r="F55" s="346"/>
      <c r="G55" s="346"/>
      <c r="H55" s="346"/>
      <c r="I55" s="346"/>
      <c r="J55" s="346"/>
      <c r="K55" s="346"/>
      <c r="L55" s="346"/>
      <c r="M55" s="346"/>
      <c r="N55" s="346"/>
    </row>
    <row r="56" spans="1:14">
      <c r="A56" s="346"/>
      <c r="B56" s="346"/>
      <c r="C56" s="346"/>
      <c r="D56" s="346"/>
      <c r="E56" s="346"/>
      <c r="F56" s="346"/>
      <c r="G56" s="346"/>
      <c r="H56" s="346"/>
      <c r="I56" s="346"/>
      <c r="J56" s="346"/>
      <c r="K56" s="346"/>
      <c r="L56" s="346"/>
      <c r="M56" s="346"/>
      <c r="N56" s="346"/>
    </row>
    <row r="57" spans="1:14">
      <c r="A57" s="346"/>
      <c r="B57" s="346"/>
      <c r="C57" s="346"/>
      <c r="D57" s="346"/>
      <c r="E57" s="346"/>
      <c r="F57" s="346"/>
      <c r="G57" s="346"/>
      <c r="H57" s="346"/>
      <c r="I57" s="346"/>
      <c r="J57" s="346"/>
      <c r="K57" s="346"/>
      <c r="L57" s="346"/>
      <c r="M57" s="346"/>
      <c r="N57" s="346"/>
    </row>
    <row r="58" spans="1:14">
      <c r="A58" s="346"/>
      <c r="B58" s="346"/>
      <c r="C58" s="346"/>
      <c r="D58" s="346"/>
      <c r="E58" s="346"/>
      <c r="F58" s="346"/>
      <c r="G58" s="346"/>
      <c r="H58" s="346"/>
      <c r="I58" s="346"/>
      <c r="J58" s="346"/>
      <c r="K58" s="346"/>
      <c r="L58" s="346"/>
      <c r="M58" s="346"/>
      <c r="N58" s="346"/>
    </row>
    <row r="59" spans="1:14">
      <c r="A59" s="346"/>
      <c r="B59" s="346"/>
      <c r="C59" s="346"/>
      <c r="D59" s="346"/>
      <c r="E59" s="346"/>
      <c r="F59" s="346"/>
      <c r="G59" s="346"/>
      <c r="H59" s="346"/>
      <c r="I59" s="346"/>
      <c r="J59" s="346"/>
      <c r="K59" s="346"/>
      <c r="L59" s="346"/>
      <c r="M59" s="346"/>
      <c r="N59" s="346"/>
    </row>
    <row r="60" spans="1:14">
      <c r="A60" s="346"/>
      <c r="B60" s="346"/>
      <c r="C60" s="346"/>
      <c r="D60" s="346"/>
      <c r="E60" s="346"/>
      <c r="F60" s="346"/>
      <c r="G60" s="346"/>
      <c r="H60" s="346"/>
      <c r="I60" s="346"/>
      <c r="J60" s="346"/>
      <c r="K60" s="346"/>
      <c r="L60" s="346"/>
      <c r="M60" s="346"/>
      <c r="N60" s="346"/>
    </row>
    <row r="61" spans="1:14">
      <c r="A61" s="346"/>
      <c r="B61" s="346"/>
      <c r="C61" s="346"/>
      <c r="D61" s="346"/>
      <c r="E61" s="346"/>
      <c r="F61" s="346"/>
      <c r="G61" s="346"/>
      <c r="H61" s="346"/>
      <c r="I61" s="346"/>
      <c r="J61" s="346"/>
      <c r="K61" s="346"/>
      <c r="L61" s="346"/>
      <c r="M61" s="346"/>
      <c r="N61" s="346"/>
    </row>
    <row r="62" spans="1:14">
      <c r="A62" s="346"/>
      <c r="B62" s="346"/>
      <c r="C62" s="346"/>
      <c r="D62" s="346"/>
      <c r="E62" s="346"/>
      <c r="F62" s="346"/>
      <c r="G62" s="346"/>
      <c r="H62" s="346"/>
      <c r="I62" s="346"/>
      <c r="J62" s="346"/>
      <c r="K62" s="346"/>
      <c r="L62" s="346"/>
      <c r="M62" s="346"/>
      <c r="N62" s="346"/>
    </row>
    <row r="63" spans="1:14">
      <c r="A63" s="346"/>
      <c r="B63" s="346"/>
      <c r="C63" s="346"/>
      <c r="D63" s="346"/>
      <c r="E63" s="346"/>
      <c r="F63" s="346"/>
      <c r="G63" s="346"/>
      <c r="H63" s="346"/>
      <c r="I63" s="346"/>
      <c r="J63" s="346"/>
      <c r="K63" s="346"/>
      <c r="L63" s="346"/>
      <c r="M63" s="346"/>
      <c r="N63" s="346"/>
    </row>
    <row r="64" spans="1:14">
      <c r="A64" s="346"/>
      <c r="B64" s="346"/>
      <c r="C64" s="346"/>
      <c r="D64" s="346"/>
      <c r="E64" s="346"/>
      <c r="F64" s="346"/>
      <c r="G64" s="346"/>
      <c r="H64" s="346"/>
      <c r="I64" s="346"/>
      <c r="J64" s="346"/>
      <c r="K64" s="346"/>
      <c r="L64" s="346"/>
      <c r="M64" s="346"/>
      <c r="N64" s="346"/>
    </row>
    <row r="65" spans="1:14">
      <c r="A65" s="346"/>
      <c r="B65" s="346"/>
      <c r="C65" s="346"/>
      <c r="D65" s="346"/>
      <c r="E65" s="346"/>
      <c r="F65" s="346"/>
      <c r="G65" s="346"/>
      <c r="H65" s="346"/>
      <c r="I65" s="346"/>
      <c r="J65" s="346"/>
      <c r="K65" s="346"/>
      <c r="L65" s="346"/>
      <c r="M65" s="346"/>
      <c r="N65" s="346"/>
    </row>
    <row r="66" spans="1:14">
      <c r="A66" s="346"/>
      <c r="B66" s="346"/>
      <c r="C66" s="346"/>
      <c r="D66" s="346"/>
      <c r="E66" s="346"/>
      <c r="F66" s="346"/>
      <c r="G66" s="346"/>
      <c r="H66" s="346"/>
      <c r="I66" s="346"/>
      <c r="J66" s="346"/>
      <c r="K66" s="346"/>
      <c r="L66" s="346"/>
      <c r="M66" s="346"/>
      <c r="N66" s="346"/>
    </row>
    <row r="67" spans="1:14">
      <c r="A67" s="346"/>
      <c r="B67" s="346"/>
      <c r="C67" s="346"/>
      <c r="D67" s="346"/>
      <c r="E67" s="346"/>
      <c r="F67" s="346"/>
      <c r="G67" s="346"/>
      <c r="H67" s="346"/>
      <c r="I67" s="346"/>
      <c r="J67" s="346"/>
      <c r="K67" s="346"/>
      <c r="L67" s="346"/>
      <c r="M67" s="346"/>
      <c r="N67" s="346"/>
    </row>
    <row r="68" spans="1:14">
      <c r="A68" s="346"/>
      <c r="B68" s="346"/>
      <c r="C68" s="346"/>
      <c r="D68" s="346"/>
      <c r="E68" s="346"/>
      <c r="F68" s="346"/>
      <c r="G68" s="346"/>
      <c r="H68" s="346"/>
      <c r="I68" s="346"/>
      <c r="J68" s="346"/>
      <c r="K68" s="346"/>
      <c r="L68" s="346"/>
      <c r="M68" s="346"/>
      <c r="N68" s="346"/>
    </row>
    <row r="69" spans="1:14">
      <c r="A69" s="346"/>
      <c r="B69" s="346"/>
      <c r="C69" s="346"/>
      <c r="D69" s="346"/>
      <c r="E69" s="346"/>
      <c r="F69" s="346"/>
      <c r="G69" s="346"/>
      <c r="H69" s="346"/>
      <c r="I69" s="346"/>
      <c r="J69" s="346"/>
      <c r="K69" s="346"/>
      <c r="L69" s="346"/>
      <c r="M69" s="346"/>
      <c r="N69" s="346"/>
    </row>
  </sheetData>
  <pageMargins left="0.70866141732283461" right="0.31496062992125984" top="0.39370078740157483" bottom="0.39370078740157483" header="0.31496062992125984" footer="0.31496062992125984"/>
  <pageSetup scale="65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N69"/>
  <sheetViews>
    <sheetView view="pageLayout" zoomScale="70" zoomScaleNormal="100" zoomScalePageLayoutView="70" workbookViewId="0">
      <selection activeCell="N8" sqref="N8"/>
    </sheetView>
  </sheetViews>
  <sheetFormatPr defaultRowHeight="15"/>
  <sheetData>
    <row r="1" spans="1:14">
      <c r="A1" s="346"/>
      <c r="B1" s="346"/>
      <c r="C1" s="346"/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</row>
    <row r="2" spans="1:14">
      <c r="A2" s="346"/>
      <c r="B2" s="346"/>
      <c r="C2" s="346"/>
      <c r="D2" s="346"/>
      <c r="E2" s="346"/>
      <c r="F2" s="346"/>
      <c r="G2" s="346"/>
      <c r="H2" s="346"/>
      <c r="I2" s="346"/>
      <c r="J2" s="346"/>
      <c r="K2" s="346"/>
      <c r="L2" s="346"/>
      <c r="M2" s="346"/>
      <c r="N2" s="346"/>
    </row>
    <row r="3" spans="1:14">
      <c r="A3" s="346"/>
      <c r="B3" s="346"/>
      <c r="C3" s="346"/>
      <c r="D3" s="346"/>
      <c r="E3" s="346"/>
      <c r="F3" s="346"/>
      <c r="G3" s="346"/>
      <c r="H3" s="346"/>
      <c r="I3" s="346"/>
      <c r="J3" s="346"/>
      <c r="K3" s="346"/>
      <c r="L3" s="346"/>
      <c r="M3" s="346"/>
      <c r="N3" s="346"/>
    </row>
    <row r="4" spans="1:14">
      <c r="A4" s="346"/>
      <c r="B4" s="346"/>
      <c r="C4" s="346"/>
      <c r="D4" s="346"/>
      <c r="E4" s="346"/>
      <c r="F4" s="346"/>
      <c r="G4" s="346"/>
      <c r="H4" s="346"/>
      <c r="I4" s="346"/>
      <c r="J4" s="346"/>
      <c r="K4" s="346"/>
      <c r="L4" s="346"/>
      <c r="M4" s="346"/>
      <c r="N4" s="346"/>
    </row>
    <row r="5" spans="1:14">
      <c r="A5" s="346"/>
      <c r="B5" s="346"/>
      <c r="C5" s="346"/>
      <c r="D5" s="346"/>
      <c r="E5" s="346"/>
      <c r="F5" s="346"/>
      <c r="G5" s="346"/>
      <c r="H5" s="346"/>
      <c r="I5" s="346"/>
      <c r="J5" s="346"/>
      <c r="K5" s="346"/>
      <c r="L5" s="346"/>
      <c r="M5" s="346"/>
      <c r="N5" s="346"/>
    </row>
    <row r="6" spans="1:14">
      <c r="A6" s="346"/>
      <c r="B6" s="346"/>
      <c r="C6" s="346"/>
      <c r="D6" s="346"/>
      <c r="E6" s="346"/>
      <c r="F6" s="346"/>
      <c r="G6" s="346"/>
      <c r="H6" s="346"/>
      <c r="I6" s="346"/>
      <c r="J6" s="346"/>
      <c r="K6" s="346"/>
      <c r="L6" s="346"/>
      <c r="M6" s="346"/>
      <c r="N6" s="346"/>
    </row>
    <row r="7" spans="1:14">
      <c r="A7" s="346"/>
      <c r="B7" s="346"/>
      <c r="C7" s="346"/>
      <c r="D7" s="346"/>
      <c r="E7" s="346"/>
      <c r="F7" s="346"/>
      <c r="G7" s="346"/>
      <c r="H7" s="346"/>
      <c r="I7" s="346"/>
      <c r="J7" s="346"/>
      <c r="K7" s="346"/>
      <c r="L7" s="346"/>
      <c r="M7" s="346"/>
      <c r="N7" s="346"/>
    </row>
    <row r="8" spans="1:14">
      <c r="A8" s="346"/>
      <c r="B8" s="346"/>
      <c r="C8" s="346"/>
      <c r="D8" s="346"/>
      <c r="E8" s="346"/>
      <c r="F8" s="346"/>
      <c r="G8" s="346"/>
      <c r="H8" s="346"/>
      <c r="I8" s="346"/>
      <c r="J8" s="346"/>
      <c r="K8" s="346"/>
      <c r="L8" s="346"/>
      <c r="M8" s="346"/>
      <c r="N8" s="346"/>
    </row>
    <row r="9" spans="1:14">
      <c r="A9" s="346"/>
      <c r="B9" s="346"/>
      <c r="C9" s="346"/>
      <c r="D9" s="346"/>
      <c r="E9" s="346"/>
      <c r="F9" s="346"/>
      <c r="G9" s="346"/>
      <c r="H9" s="346"/>
      <c r="I9" s="346"/>
      <c r="J9" s="346"/>
      <c r="K9" s="346"/>
      <c r="L9" s="346"/>
      <c r="M9" s="346"/>
      <c r="N9" s="346"/>
    </row>
    <row r="10" spans="1:14">
      <c r="A10" s="346"/>
      <c r="B10" s="346"/>
      <c r="C10" s="346"/>
      <c r="D10" s="346"/>
      <c r="E10" s="346"/>
      <c r="F10" s="346"/>
      <c r="G10" s="346"/>
      <c r="H10" s="346"/>
      <c r="I10" s="346"/>
      <c r="J10" s="346"/>
      <c r="K10" s="346"/>
      <c r="L10" s="346"/>
      <c r="M10" s="346"/>
      <c r="N10" s="346"/>
    </row>
    <row r="11" spans="1:14">
      <c r="A11" s="346"/>
      <c r="B11" s="346"/>
      <c r="C11" s="346"/>
      <c r="D11" s="346"/>
      <c r="E11" s="346"/>
      <c r="F11" s="346"/>
      <c r="G11" s="346"/>
      <c r="H11" s="346"/>
      <c r="I11" s="346"/>
      <c r="J11" s="346"/>
      <c r="K11" s="346"/>
      <c r="L11" s="346"/>
      <c r="M11" s="346"/>
      <c r="N11" s="346"/>
    </row>
    <row r="12" spans="1:14">
      <c r="A12" s="346"/>
      <c r="B12" s="346"/>
      <c r="C12" s="346"/>
      <c r="D12" s="346"/>
      <c r="E12" s="346"/>
      <c r="F12" s="346"/>
      <c r="G12" s="346"/>
      <c r="H12" s="346"/>
      <c r="I12" s="346"/>
      <c r="J12" s="346"/>
      <c r="K12" s="346"/>
      <c r="L12" s="346"/>
      <c r="M12" s="346"/>
      <c r="N12" s="346"/>
    </row>
    <row r="13" spans="1:14">
      <c r="A13" s="346"/>
      <c r="B13" s="346"/>
      <c r="C13" s="346"/>
      <c r="D13" s="346"/>
      <c r="E13" s="346"/>
      <c r="F13" s="346"/>
      <c r="G13" s="346"/>
      <c r="H13" s="346"/>
      <c r="I13" s="346"/>
      <c r="J13" s="346"/>
      <c r="K13" s="346"/>
      <c r="L13" s="346"/>
      <c r="M13" s="346"/>
      <c r="N13" s="346"/>
    </row>
    <row r="14" spans="1:14">
      <c r="A14" s="346"/>
      <c r="B14" s="346"/>
      <c r="C14" s="346"/>
      <c r="D14" s="346"/>
      <c r="E14" s="346"/>
      <c r="F14" s="346"/>
      <c r="G14" s="346"/>
      <c r="H14" s="346"/>
      <c r="I14" s="346"/>
      <c r="J14" s="346"/>
      <c r="K14" s="346"/>
      <c r="L14" s="346"/>
      <c r="M14" s="346"/>
      <c r="N14" s="346"/>
    </row>
    <row r="15" spans="1:14">
      <c r="A15" s="346"/>
      <c r="B15" s="346"/>
      <c r="C15" s="346"/>
      <c r="D15" s="346"/>
      <c r="E15" s="346"/>
      <c r="F15" s="346"/>
      <c r="G15" s="346"/>
      <c r="H15" s="346"/>
      <c r="I15" s="346"/>
      <c r="J15" s="346"/>
      <c r="K15" s="346"/>
      <c r="L15" s="346"/>
      <c r="M15" s="346"/>
      <c r="N15" s="346"/>
    </row>
    <row r="16" spans="1:14">
      <c r="A16" s="346"/>
      <c r="B16" s="346"/>
      <c r="C16" s="346"/>
      <c r="D16" s="346"/>
      <c r="E16" s="346"/>
      <c r="F16" s="346"/>
      <c r="G16" s="346"/>
      <c r="H16" s="346"/>
      <c r="I16" s="346"/>
      <c r="J16" s="346"/>
      <c r="K16" s="346"/>
      <c r="L16" s="346"/>
      <c r="M16" s="346"/>
      <c r="N16" s="346"/>
    </row>
    <row r="17" spans="1:14">
      <c r="A17" s="346"/>
      <c r="B17" s="346"/>
      <c r="C17" s="346"/>
      <c r="D17" s="346"/>
      <c r="E17" s="346"/>
      <c r="F17" s="346"/>
      <c r="G17" s="346"/>
      <c r="H17" s="346"/>
      <c r="I17" s="346"/>
      <c r="J17" s="346"/>
      <c r="K17" s="346"/>
      <c r="L17" s="346"/>
      <c r="M17" s="346"/>
      <c r="N17" s="346"/>
    </row>
    <row r="18" spans="1:14">
      <c r="A18" s="346"/>
      <c r="B18" s="346"/>
      <c r="C18" s="346"/>
      <c r="D18" s="346"/>
      <c r="E18" s="346"/>
      <c r="F18" s="346"/>
      <c r="G18" s="346"/>
      <c r="H18" s="346"/>
      <c r="I18" s="346"/>
      <c r="J18" s="346"/>
      <c r="K18" s="346"/>
      <c r="L18" s="346"/>
      <c r="M18" s="346"/>
      <c r="N18" s="346"/>
    </row>
    <row r="19" spans="1:14">
      <c r="A19" s="346"/>
      <c r="B19" s="346"/>
      <c r="C19" s="346"/>
      <c r="D19" s="346"/>
      <c r="E19" s="346"/>
      <c r="F19" s="346"/>
      <c r="G19" s="346"/>
      <c r="H19" s="346"/>
      <c r="I19" s="346"/>
      <c r="J19" s="346"/>
      <c r="K19" s="346"/>
      <c r="L19" s="346"/>
      <c r="M19" s="346"/>
      <c r="N19" s="346"/>
    </row>
    <row r="20" spans="1:14">
      <c r="A20" s="346"/>
      <c r="B20" s="346"/>
      <c r="C20" s="346"/>
      <c r="D20" s="346"/>
      <c r="E20" s="346"/>
      <c r="F20" s="346"/>
      <c r="G20" s="346"/>
      <c r="H20" s="346"/>
      <c r="I20" s="346"/>
      <c r="J20" s="346"/>
      <c r="K20" s="346"/>
      <c r="L20" s="346"/>
      <c r="M20" s="346"/>
      <c r="N20" s="346"/>
    </row>
    <row r="21" spans="1:14">
      <c r="A21" s="346"/>
      <c r="B21" s="346"/>
      <c r="C21" s="346"/>
      <c r="D21" s="346"/>
      <c r="E21" s="346"/>
      <c r="F21" s="346"/>
      <c r="G21" s="346"/>
      <c r="H21" s="346"/>
      <c r="I21" s="346"/>
      <c r="J21" s="346"/>
      <c r="K21" s="346"/>
      <c r="L21" s="346"/>
      <c r="M21" s="346"/>
      <c r="N21" s="346"/>
    </row>
    <row r="22" spans="1:14">
      <c r="A22" s="346"/>
      <c r="B22" s="346"/>
      <c r="C22" s="346"/>
      <c r="D22" s="346"/>
      <c r="E22" s="346"/>
      <c r="F22" s="346"/>
      <c r="G22" s="346"/>
      <c r="H22" s="346"/>
      <c r="I22" s="346"/>
      <c r="J22" s="346"/>
      <c r="K22" s="346"/>
      <c r="L22" s="346"/>
      <c r="M22" s="346"/>
      <c r="N22" s="346"/>
    </row>
    <row r="23" spans="1:14">
      <c r="A23" s="346"/>
      <c r="B23" s="346"/>
      <c r="C23" s="346"/>
      <c r="D23" s="346"/>
      <c r="E23" s="346"/>
      <c r="F23" s="346"/>
      <c r="G23" s="346"/>
      <c r="H23" s="346"/>
      <c r="I23" s="346"/>
      <c r="J23" s="346"/>
      <c r="K23" s="346"/>
      <c r="L23" s="346"/>
      <c r="M23" s="346"/>
      <c r="N23" s="346"/>
    </row>
    <row r="24" spans="1:14">
      <c r="A24" s="346"/>
      <c r="B24" s="346"/>
      <c r="C24" s="346"/>
      <c r="D24" s="346"/>
      <c r="E24" s="346"/>
      <c r="F24" s="346"/>
      <c r="G24" s="346"/>
      <c r="H24" s="346"/>
      <c r="I24" s="346"/>
      <c r="J24" s="346"/>
      <c r="K24" s="346"/>
      <c r="L24" s="346"/>
      <c r="M24" s="346"/>
      <c r="N24" s="346"/>
    </row>
    <row r="25" spans="1:14">
      <c r="A25" s="346"/>
      <c r="B25" s="346"/>
      <c r="C25" s="346"/>
      <c r="D25" s="346"/>
      <c r="E25" s="346"/>
      <c r="F25" s="346"/>
      <c r="G25" s="346"/>
      <c r="H25" s="346"/>
      <c r="I25" s="346"/>
      <c r="J25" s="346"/>
      <c r="K25" s="346"/>
      <c r="L25" s="346"/>
      <c r="M25" s="346"/>
      <c r="N25" s="346"/>
    </row>
    <row r="26" spans="1:14">
      <c r="A26" s="346"/>
      <c r="B26" s="346"/>
      <c r="C26" s="346"/>
      <c r="D26" s="346"/>
      <c r="E26" s="346"/>
      <c r="F26" s="346"/>
      <c r="G26" s="346"/>
      <c r="H26" s="346"/>
      <c r="I26" s="346"/>
      <c r="J26" s="346"/>
      <c r="K26" s="346"/>
      <c r="L26" s="346"/>
      <c r="M26" s="346"/>
      <c r="N26" s="346"/>
    </row>
    <row r="27" spans="1:14">
      <c r="A27" s="346"/>
      <c r="B27" s="346"/>
      <c r="C27" s="346"/>
      <c r="D27" s="346"/>
      <c r="E27" s="346"/>
      <c r="F27" s="346"/>
      <c r="G27" s="346"/>
      <c r="H27" s="346"/>
      <c r="I27" s="346"/>
      <c r="J27" s="346"/>
      <c r="K27" s="346"/>
      <c r="L27" s="346"/>
      <c r="M27" s="346"/>
      <c r="N27" s="346"/>
    </row>
    <row r="28" spans="1:14">
      <c r="A28" s="346"/>
      <c r="B28" s="346"/>
      <c r="C28" s="346"/>
      <c r="D28" s="346"/>
      <c r="E28" s="346"/>
      <c r="F28" s="346"/>
      <c r="G28" s="346"/>
      <c r="H28" s="346"/>
      <c r="I28" s="346"/>
      <c r="J28" s="346"/>
      <c r="K28" s="346"/>
      <c r="L28" s="346"/>
      <c r="M28" s="346"/>
      <c r="N28" s="346"/>
    </row>
    <row r="29" spans="1:14">
      <c r="A29" s="346"/>
      <c r="B29" s="346"/>
      <c r="C29" s="346"/>
      <c r="D29" s="346"/>
      <c r="E29" s="346"/>
      <c r="F29" s="346"/>
      <c r="G29" s="346"/>
      <c r="H29" s="346"/>
      <c r="I29" s="346"/>
      <c r="J29" s="346"/>
      <c r="K29" s="346"/>
      <c r="L29" s="346"/>
      <c r="M29" s="346"/>
      <c r="N29" s="346"/>
    </row>
    <row r="30" spans="1:14">
      <c r="A30" s="346"/>
      <c r="B30" s="346"/>
      <c r="C30" s="346"/>
      <c r="D30" s="346"/>
      <c r="E30" s="346"/>
      <c r="F30" s="346"/>
      <c r="G30" s="346"/>
      <c r="H30" s="346"/>
      <c r="I30" s="346"/>
      <c r="J30" s="346"/>
      <c r="K30" s="346"/>
      <c r="L30" s="346"/>
      <c r="M30" s="346"/>
      <c r="N30" s="346"/>
    </row>
    <row r="31" spans="1:14">
      <c r="A31" s="346"/>
      <c r="B31" s="346"/>
      <c r="C31" s="346"/>
      <c r="D31" s="346"/>
      <c r="E31" s="346"/>
      <c r="F31" s="346"/>
      <c r="G31" s="346"/>
      <c r="H31" s="346"/>
      <c r="I31" s="346"/>
      <c r="J31" s="346"/>
      <c r="K31" s="346"/>
      <c r="L31" s="346"/>
      <c r="M31" s="346"/>
      <c r="N31" s="346"/>
    </row>
    <row r="32" spans="1:14">
      <c r="A32" s="346"/>
      <c r="B32" s="346"/>
      <c r="C32" s="346"/>
      <c r="D32" s="346"/>
      <c r="E32" s="346"/>
      <c r="F32" s="346"/>
      <c r="G32" s="346"/>
      <c r="H32" s="346"/>
      <c r="I32" s="346"/>
      <c r="J32" s="346"/>
      <c r="K32" s="346"/>
      <c r="L32" s="346"/>
      <c r="M32" s="346"/>
      <c r="N32" s="346"/>
    </row>
    <row r="33" spans="1:14">
      <c r="A33" s="346"/>
      <c r="B33" s="346"/>
      <c r="C33" s="346"/>
      <c r="D33" s="346"/>
      <c r="E33" s="346"/>
      <c r="F33" s="346"/>
      <c r="G33" s="346"/>
      <c r="H33" s="346"/>
      <c r="I33" s="346"/>
      <c r="J33" s="346"/>
      <c r="K33" s="346"/>
      <c r="L33" s="346"/>
      <c r="M33" s="346"/>
      <c r="N33" s="346"/>
    </row>
    <row r="34" spans="1:14">
      <c r="A34" s="346"/>
      <c r="B34" s="346"/>
      <c r="C34" s="346"/>
      <c r="D34" s="346"/>
      <c r="E34" s="346"/>
      <c r="F34" s="346"/>
      <c r="G34" s="346"/>
      <c r="H34" s="346"/>
      <c r="I34" s="346"/>
      <c r="J34" s="346"/>
      <c r="K34" s="346"/>
      <c r="L34" s="346"/>
      <c r="M34" s="346"/>
      <c r="N34" s="346"/>
    </row>
    <row r="35" spans="1:14">
      <c r="A35" s="346"/>
      <c r="B35" s="346"/>
      <c r="C35" s="346"/>
      <c r="D35" s="346"/>
      <c r="E35" s="346"/>
      <c r="F35" s="346"/>
      <c r="G35" s="346"/>
      <c r="H35" s="346"/>
      <c r="I35" s="346"/>
      <c r="J35" s="346"/>
      <c r="K35" s="346"/>
      <c r="L35" s="346"/>
      <c r="M35" s="346"/>
      <c r="N35" s="346"/>
    </row>
    <row r="36" spans="1:14">
      <c r="A36" s="346"/>
      <c r="B36" s="346"/>
      <c r="C36" s="346"/>
      <c r="D36" s="346"/>
      <c r="E36" s="346"/>
      <c r="F36" s="346"/>
      <c r="G36" s="346"/>
      <c r="H36" s="346"/>
      <c r="I36" s="346"/>
      <c r="J36" s="346"/>
      <c r="K36" s="346"/>
      <c r="L36" s="346"/>
      <c r="M36" s="346"/>
      <c r="N36" s="346"/>
    </row>
    <row r="37" spans="1:14">
      <c r="A37" s="346"/>
      <c r="B37" s="346"/>
      <c r="C37" s="346"/>
      <c r="D37" s="346"/>
      <c r="E37" s="346"/>
      <c r="F37" s="346"/>
      <c r="G37" s="346"/>
      <c r="H37" s="346"/>
      <c r="I37" s="346"/>
      <c r="J37" s="346"/>
      <c r="K37" s="346"/>
      <c r="L37" s="346"/>
      <c r="M37" s="346"/>
      <c r="N37" s="346"/>
    </row>
    <row r="38" spans="1:14">
      <c r="A38" s="346"/>
      <c r="B38" s="346"/>
      <c r="C38" s="346"/>
      <c r="D38" s="346"/>
      <c r="E38" s="346"/>
      <c r="F38" s="346"/>
      <c r="G38" s="346"/>
      <c r="H38" s="346"/>
      <c r="I38" s="346"/>
      <c r="J38" s="346"/>
      <c r="K38" s="346"/>
      <c r="L38" s="346"/>
      <c r="M38" s="346"/>
      <c r="N38" s="346"/>
    </row>
    <row r="39" spans="1:14">
      <c r="A39" s="346"/>
      <c r="B39" s="346"/>
      <c r="C39" s="346"/>
      <c r="D39" s="346"/>
      <c r="E39" s="346"/>
      <c r="F39" s="346"/>
      <c r="G39" s="346"/>
      <c r="H39" s="346"/>
      <c r="I39" s="346"/>
      <c r="J39" s="346"/>
      <c r="K39" s="346"/>
      <c r="L39" s="346"/>
      <c r="M39" s="346"/>
      <c r="N39" s="346"/>
    </row>
    <row r="40" spans="1:14">
      <c r="A40" s="346"/>
      <c r="B40" s="346"/>
      <c r="C40" s="346"/>
      <c r="D40" s="346"/>
      <c r="E40" s="346"/>
      <c r="F40" s="346"/>
      <c r="G40" s="346"/>
      <c r="H40" s="346"/>
      <c r="I40" s="346"/>
      <c r="J40" s="346"/>
      <c r="K40" s="346"/>
      <c r="L40" s="346"/>
      <c r="M40" s="346"/>
      <c r="N40" s="346"/>
    </row>
    <row r="41" spans="1:14">
      <c r="A41" s="346"/>
      <c r="B41" s="346"/>
      <c r="C41" s="346"/>
      <c r="D41" s="346"/>
      <c r="E41" s="346"/>
      <c r="F41" s="346"/>
      <c r="G41" s="346"/>
      <c r="H41" s="346"/>
      <c r="I41" s="346"/>
      <c r="J41" s="346"/>
      <c r="K41" s="346"/>
      <c r="L41" s="346"/>
      <c r="M41" s="346"/>
      <c r="N41" s="346"/>
    </row>
    <row r="42" spans="1:14">
      <c r="A42" s="346"/>
      <c r="B42" s="346"/>
      <c r="C42" s="346"/>
      <c r="D42" s="346"/>
      <c r="E42" s="346"/>
      <c r="F42" s="346"/>
      <c r="G42" s="346"/>
      <c r="H42" s="346"/>
      <c r="I42" s="346"/>
      <c r="J42" s="346"/>
      <c r="K42" s="346"/>
      <c r="L42" s="346"/>
      <c r="M42" s="346"/>
      <c r="N42" s="346"/>
    </row>
    <row r="43" spans="1:14">
      <c r="A43" s="346"/>
      <c r="B43" s="346"/>
      <c r="C43" s="346"/>
      <c r="D43" s="346"/>
      <c r="E43" s="346"/>
      <c r="F43" s="346"/>
      <c r="G43" s="346"/>
      <c r="H43" s="346"/>
      <c r="I43" s="346"/>
      <c r="J43" s="346"/>
      <c r="K43" s="346"/>
      <c r="L43" s="346"/>
      <c r="M43" s="346"/>
      <c r="N43" s="346"/>
    </row>
    <row r="44" spans="1:14">
      <c r="A44" s="346"/>
      <c r="B44" s="346"/>
      <c r="C44" s="346"/>
      <c r="D44" s="346"/>
      <c r="E44" s="346"/>
      <c r="F44" s="346"/>
      <c r="G44" s="346"/>
      <c r="H44" s="346"/>
      <c r="I44" s="346"/>
      <c r="J44" s="346"/>
      <c r="K44" s="346"/>
      <c r="L44" s="346"/>
      <c r="M44" s="346"/>
      <c r="N44" s="346"/>
    </row>
    <row r="45" spans="1:14">
      <c r="A45" s="346"/>
      <c r="B45" s="346"/>
      <c r="C45" s="346"/>
      <c r="D45" s="346"/>
      <c r="E45" s="346"/>
      <c r="F45" s="346"/>
      <c r="G45" s="346"/>
      <c r="H45" s="346"/>
      <c r="I45" s="346"/>
      <c r="J45" s="346"/>
      <c r="K45" s="346"/>
      <c r="L45" s="346"/>
      <c r="M45" s="346"/>
      <c r="N45" s="346"/>
    </row>
    <row r="46" spans="1:14">
      <c r="A46" s="346"/>
      <c r="B46" s="346"/>
      <c r="C46" s="346"/>
      <c r="D46" s="346"/>
      <c r="E46" s="346"/>
      <c r="F46" s="346"/>
      <c r="G46" s="346"/>
      <c r="H46" s="346"/>
      <c r="I46" s="346"/>
      <c r="J46" s="346"/>
      <c r="K46" s="346"/>
      <c r="L46" s="346"/>
      <c r="M46" s="346"/>
      <c r="N46" s="346"/>
    </row>
    <row r="47" spans="1:14">
      <c r="A47" s="346"/>
      <c r="B47" s="346"/>
      <c r="C47" s="346"/>
      <c r="D47" s="346"/>
      <c r="E47" s="346"/>
      <c r="F47" s="346"/>
      <c r="G47" s="346"/>
      <c r="H47" s="346"/>
      <c r="I47" s="346"/>
      <c r="J47" s="346"/>
      <c r="K47" s="346"/>
      <c r="L47" s="346"/>
      <c r="M47" s="346"/>
      <c r="N47" s="346"/>
    </row>
    <row r="48" spans="1:14">
      <c r="A48" s="346"/>
      <c r="B48" s="346"/>
      <c r="C48" s="346"/>
      <c r="D48" s="346"/>
      <c r="E48" s="346"/>
      <c r="F48" s="346"/>
      <c r="G48" s="346"/>
      <c r="H48" s="346"/>
      <c r="I48" s="346"/>
      <c r="J48" s="346"/>
      <c r="K48" s="346"/>
      <c r="L48" s="346"/>
      <c r="M48" s="346"/>
      <c r="N48" s="346"/>
    </row>
    <row r="49" spans="1:14">
      <c r="A49" s="346"/>
      <c r="B49" s="346"/>
      <c r="C49" s="346"/>
      <c r="D49" s="346"/>
      <c r="E49" s="346"/>
      <c r="F49" s="346"/>
      <c r="G49" s="346"/>
      <c r="H49" s="346"/>
      <c r="I49" s="346"/>
      <c r="J49" s="346"/>
      <c r="K49" s="346"/>
      <c r="L49" s="346"/>
      <c r="M49" s="346"/>
      <c r="N49" s="346"/>
    </row>
    <row r="50" spans="1:14">
      <c r="A50" s="346"/>
      <c r="B50" s="346"/>
      <c r="C50" s="346"/>
      <c r="D50" s="346"/>
      <c r="E50" s="346"/>
      <c r="F50" s="346"/>
      <c r="G50" s="346"/>
      <c r="H50" s="346"/>
      <c r="I50" s="346"/>
      <c r="J50" s="346"/>
      <c r="K50" s="346"/>
      <c r="L50" s="346"/>
      <c r="M50" s="346"/>
      <c r="N50" s="346"/>
    </row>
    <row r="51" spans="1:14">
      <c r="A51" s="346"/>
      <c r="B51" s="346"/>
      <c r="C51" s="346"/>
      <c r="D51" s="346"/>
      <c r="E51" s="346"/>
      <c r="F51" s="346"/>
      <c r="G51" s="346"/>
      <c r="H51" s="346"/>
      <c r="I51" s="346"/>
      <c r="J51" s="346"/>
      <c r="K51" s="346"/>
      <c r="L51" s="346"/>
      <c r="M51" s="346"/>
      <c r="N51" s="346"/>
    </row>
    <row r="52" spans="1:14">
      <c r="A52" s="346"/>
      <c r="B52" s="346"/>
      <c r="C52" s="346"/>
      <c r="D52" s="346"/>
      <c r="E52" s="346"/>
      <c r="F52" s="346"/>
      <c r="G52" s="346"/>
      <c r="H52" s="346"/>
      <c r="I52" s="346"/>
      <c r="J52" s="346"/>
      <c r="K52" s="346"/>
      <c r="L52" s="346"/>
      <c r="M52" s="346"/>
      <c r="N52" s="346"/>
    </row>
    <row r="53" spans="1:14">
      <c r="A53" s="346"/>
      <c r="B53" s="346"/>
      <c r="C53" s="346"/>
      <c r="D53" s="346"/>
      <c r="E53" s="346"/>
      <c r="F53" s="346"/>
      <c r="G53" s="346"/>
      <c r="H53" s="346"/>
      <c r="I53" s="346"/>
      <c r="J53" s="346"/>
      <c r="K53" s="346"/>
      <c r="L53" s="346"/>
      <c r="M53" s="346"/>
      <c r="N53" s="346"/>
    </row>
    <row r="54" spans="1:14">
      <c r="A54" s="346"/>
      <c r="B54" s="346"/>
      <c r="C54" s="346"/>
      <c r="D54" s="346"/>
      <c r="E54" s="346"/>
      <c r="F54" s="346"/>
      <c r="G54" s="346"/>
      <c r="H54" s="346"/>
      <c r="I54" s="346"/>
      <c r="J54" s="346"/>
      <c r="K54" s="346"/>
      <c r="L54" s="346"/>
      <c r="M54" s="346"/>
      <c r="N54" s="346"/>
    </row>
    <row r="55" spans="1:14">
      <c r="A55" s="346"/>
      <c r="B55" s="346"/>
      <c r="C55" s="346"/>
      <c r="D55" s="346"/>
      <c r="E55" s="346"/>
      <c r="F55" s="346"/>
      <c r="G55" s="346"/>
      <c r="H55" s="346"/>
      <c r="I55" s="346"/>
      <c r="J55" s="346"/>
      <c r="K55" s="346"/>
      <c r="L55" s="346"/>
      <c r="M55" s="346"/>
      <c r="N55" s="346"/>
    </row>
    <row r="56" spans="1:14">
      <c r="A56" s="346"/>
      <c r="B56" s="346"/>
      <c r="C56" s="346"/>
      <c r="D56" s="346"/>
      <c r="E56" s="346"/>
      <c r="F56" s="346"/>
      <c r="G56" s="346"/>
      <c r="H56" s="346"/>
      <c r="I56" s="346"/>
      <c r="J56" s="346"/>
      <c r="K56" s="346"/>
      <c r="L56" s="346"/>
      <c r="M56" s="346"/>
      <c r="N56" s="346"/>
    </row>
    <row r="57" spans="1:14">
      <c r="A57" s="346"/>
      <c r="B57" s="346"/>
      <c r="C57" s="346"/>
      <c r="D57" s="346"/>
      <c r="E57" s="346"/>
      <c r="F57" s="346"/>
      <c r="G57" s="346"/>
      <c r="H57" s="346"/>
      <c r="I57" s="346"/>
      <c r="J57" s="346"/>
      <c r="K57" s="346"/>
      <c r="L57" s="346"/>
      <c r="M57" s="346"/>
      <c r="N57" s="346"/>
    </row>
    <row r="58" spans="1:14">
      <c r="A58" s="346"/>
      <c r="B58" s="346"/>
      <c r="C58" s="346"/>
      <c r="D58" s="346"/>
      <c r="E58" s="346"/>
      <c r="F58" s="346"/>
      <c r="G58" s="346"/>
      <c r="H58" s="346"/>
      <c r="I58" s="346"/>
      <c r="J58" s="346"/>
      <c r="K58" s="346"/>
      <c r="L58" s="346"/>
      <c r="M58" s="346"/>
      <c r="N58" s="346"/>
    </row>
    <row r="59" spans="1:14">
      <c r="A59" s="346"/>
      <c r="B59" s="346"/>
      <c r="C59" s="346"/>
      <c r="D59" s="346"/>
      <c r="E59" s="346"/>
      <c r="F59" s="346"/>
      <c r="G59" s="346"/>
      <c r="H59" s="346"/>
      <c r="I59" s="346"/>
      <c r="J59" s="346"/>
      <c r="K59" s="346"/>
      <c r="L59" s="346"/>
      <c r="M59" s="346"/>
      <c r="N59" s="346"/>
    </row>
    <row r="60" spans="1:14">
      <c r="A60" s="346"/>
      <c r="B60" s="346"/>
      <c r="C60" s="346"/>
      <c r="D60" s="346"/>
      <c r="E60" s="346"/>
      <c r="F60" s="346"/>
      <c r="G60" s="346"/>
      <c r="H60" s="346"/>
      <c r="I60" s="346"/>
      <c r="J60" s="346"/>
      <c r="K60" s="346"/>
      <c r="L60" s="346"/>
      <c r="M60" s="346"/>
      <c r="N60" s="346"/>
    </row>
    <row r="61" spans="1:14">
      <c r="A61" s="346"/>
      <c r="B61" s="346"/>
      <c r="C61" s="346"/>
      <c r="D61" s="346"/>
      <c r="E61" s="346"/>
      <c r="F61" s="346"/>
      <c r="G61" s="346"/>
      <c r="H61" s="346"/>
      <c r="I61" s="346"/>
      <c r="J61" s="346"/>
      <c r="K61" s="346"/>
      <c r="L61" s="346"/>
      <c r="M61" s="346"/>
      <c r="N61" s="346"/>
    </row>
    <row r="62" spans="1:14">
      <c r="A62" s="346"/>
      <c r="B62" s="346"/>
      <c r="C62" s="346"/>
      <c r="D62" s="346"/>
      <c r="E62" s="346"/>
      <c r="F62" s="346"/>
      <c r="G62" s="346"/>
      <c r="H62" s="346"/>
      <c r="I62" s="346"/>
      <c r="J62" s="346"/>
      <c r="K62" s="346"/>
      <c r="L62" s="346"/>
      <c r="M62" s="346"/>
      <c r="N62" s="346"/>
    </row>
    <row r="63" spans="1:14">
      <c r="A63" s="346"/>
      <c r="B63" s="346"/>
      <c r="C63" s="346"/>
      <c r="D63" s="346"/>
      <c r="E63" s="346"/>
      <c r="F63" s="346"/>
      <c r="G63" s="346"/>
      <c r="H63" s="346"/>
      <c r="I63" s="346"/>
      <c r="J63" s="346"/>
      <c r="K63" s="346"/>
      <c r="L63" s="346"/>
      <c r="M63" s="346"/>
      <c r="N63" s="346"/>
    </row>
    <row r="64" spans="1:14">
      <c r="A64" s="346"/>
      <c r="B64" s="346"/>
      <c r="C64" s="346"/>
      <c r="D64" s="346"/>
      <c r="E64" s="346"/>
      <c r="F64" s="346"/>
      <c r="G64" s="346"/>
      <c r="H64" s="346"/>
      <c r="I64" s="346"/>
      <c r="J64" s="346"/>
      <c r="K64" s="346"/>
      <c r="L64" s="346"/>
      <c r="M64" s="346"/>
      <c r="N64" s="346"/>
    </row>
    <row r="65" spans="1:14">
      <c r="A65" s="346"/>
      <c r="B65" s="346"/>
      <c r="C65" s="346"/>
      <c r="D65" s="346"/>
      <c r="E65" s="346"/>
      <c r="F65" s="346"/>
      <c r="G65" s="346"/>
      <c r="H65" s="346"/>
      <c r="I65" s="346"/>
      <c r="J65" s="346"/>
      <c r="K65" s="346"/>
      <c r="L65" s="346"/>
      <c r="M65" s="346"/>
      <c r="N65" s="346"/>
    </row>
    <row r="66" spans="1:14">
      <c r="A66" s="346"/>
      <c r="B66" s="346"/>
      <c r="C66" s="346"/>
      <c r="D66" s="346"/>
      <c r="E66" s="346"/>
      <c r="F66" s="346"/>
      <c r="G66" s="346"/>
      <c r="H66" s="346"/>
      <c r="I66" s="346"/>
      <c r="J66" s="346"/>
      <c r="K66" s="346"/>
      <c r="L66" s="346"/>
      <c r="M66" s="346"/>
      <c r="N66" s="346"/>
    </row>
    <row r="67" spans="1:14">
      <c r="A67" s="346"/>
      <c r="B67" s="346"/>
      <c r="C67" s="346"/>
      <c r="D67" s="346"/>
      <c r="E67" s="346"/>
      <c r="F67" s="346"/>
      <c r="G67" s="346"/>
      <c r="H67" s="346"/>
      <c r="I67" s="346"/>
      <c r="J67" s="346"/>
      <c r="K67" s="346"/>
      <c r="L67" s="346"/>
      <c r="M67" s="346"/>
      <c r="N67" s="346"/>
    </row>
    <row r="68" spans="1:14">
      <c r="A68" s="346"/>
      <c r="B68" s="346"/>
      <c r="C68" s="346"/>
      <c r="D68" s="346"/>
      <c r="E68" s="346"/>
      <c r="F68" s="346"/>
      <c r="G68" s="346"/>
      <c r="H68" s="346"/>
      <c r="I68" s="346"/>
      <c r="J68" s="346"/>
      <c r="K68" s="346"/>
      <c r="L68" s="346"/>
      <c r="M68" s="346"/>
      <c r="N68" s="346"/>
    </row>
    <row r="69" spans="1:14">
      <c r="A69" s="346"/>
      <c r="B69" s="346"/>
      <c r="C69" s="346"/>
      <c r="D69" s="346"/>
      <c r="E69" s="346"/>
      <c r="F69" s="346"/>
      <c r="G69" s="346"/>
      <c r="H69" s="346"/>
      <c r="I69" s="346"/>
      <c r="J69" s="346"/>
      <c r="K69" s="346"/>
      <c r="L69" s="346"/>
      <c r="M69" s="346"/>
      <c r="N69" s="346"/>
    </row>
  </sheetData>
  <pageMargins left="0.70866141732283461" right="0.31496062992125984" top="0.39370078740157483" bottom="0.39370078740157483" header="0.31496062992125984" footer="0.31496062992125984"/>
  <pageSetup scale="65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N69"/>
  <sheetViews>
    <sheetView view="pageLayout" zoomScale="55" zoomScaleNormal="100" zoomScalePageLayoutView="55" workbookViewId="0">
      <selection activeCell="N8" sqref="N8"/>
    </sheetView>
  </sheetViews>
  <sheetFormatPr defaultRowHeight="15"/>
  <sheetData>
    <row r="1" spans="1:14">
      <c r="A1" s="346"/>
      <c r="B1" s="346"/>
      <c r="C1" s="346"/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</row>
    <row r="2" spans="1:14">
      <c r="A2" s="346"/>
      <c r="B2" s="346"/>
      <c r="C2" s="346"/>
      <c r="D2" s="346"/>
      <c r="E2" s="346"/>
      <c r="F2" s="346"/>
      <c r="G2" s="346"/>
      <c r="H2" s="346"/>
      <c r="I2" s="346"/>
      <c r="J2" s="346"/>
      <c r="K2" s="346"/>
      <c r="L2" s="346"/>
      <c r="M2" s="346"/>
      <c r="N2" s="346"/>
    </row>
    <row r="3" spans="1:14">
      <c r="A3" s="346"/>
      <c r="B3" s="346"/>
      <c r="C3" s="346"/>
      <c r="D3" s="346"/>
      <c r="E3" s="346"/>
      <c r="F3" s="346"/>
      <c r="G3" s="346"/>
      <c r="H3" s="346"/>
      <c r="I3" s="346"/>
      <c r="J3" s="346"/>
      <c r="K3" s="346"/>
      <c r="L3" s="346"/>
      <c r="M3" s="346"/>
      <c r="N3" s="346"/>
    </row>
    <row r="4" spans="1:14">
      <c r="A4" s="346"/>
      <c r="B4" s="346"/>
      <c r="C4" s="346"/>
      <c r="D4" s="346"/>
      <c r="E4" s="346"/>
      <c r="F4" s="346"/>
      <c r="G4" s="346"/>
      <c r="H4" s="346"/>
      <c r="I4" s="346"/>
      <c r="J4" s="346"/>
      <c r="K4" s="346"/>
      <c r="L4" s="346"/>
      <c r="M4" s="346"/>
      <c r="N4" s="346"/>
    </row>
    <row r="5" spans="1:14">
      <c r="A5" s="346"/>
      <c r="B5" s="346"/>
      <c r="C5" s="346"/>
      <c r="D5" s="346"/>
      <c r="E5" s="346"/>
      <c r="F5" s="346"/>
      <c r="G5" s="346"/>
      <c r="H5" s="346"/>
      <c r="I5" s="346"/>
      <c r="J5" s="346"/>
      <c r="K5" s="346"/>
      <c r="L5" s="346"/>
      <c r="M5" s="346"/>
      <c r="N5" s="346"/>
    </row>
    <row r="6" spans="1:14">
      <c r="A6" s="346"/>
      <c r="B6" s="346"/>
      <c r="C6" s="346"/>
      <c r="D6" s="346"/>
      <c r="E6" s="346"/>
      <c r="F6" s="346"/>
      <c r="G6" s="346"/>
      <c r="H6" s="346"/>
      <c r="I6" s="346"/>
      <c r="J6" s="346"/>
      <c r="K6" s="346"/>
      <c r="L6" s="346"/>
      <c r="M6" s="346"/>
      <c r="N6" s="346"/>
    </row>
    <row r="7" spans="1:14">
      <c r="A7" s="346"/>
      <c r="B7" s="346"/>
      <c r="C7" s="346"/>
      <c r="D7" s="346"/>
      <c r="E7" s="346"/>
      <c r="F7" s="346"/>
      <c r="G7" s="346"/>
      <c r="H7" s="346"/>
      <c r="I7" s="346"/>
      <c r="J7" s="346"/>
      <c r="K7" s="346"/>
      <c r="L7" s="346"/>
      <c r="M7" s="346"/>
      <c r="N7" s="346"/>
    </row>
    <row r="8" spans="1:14">
      <c r="A8" s="346"/>
      <c r="B8" s="346"/>
      <c r="C8" s="346"/>
      <c r="D8" s="346"/>
      <c r="E8" s="346"/>
      <c r="F8" s="346"/>
      <c r="G8" s="346"/>
      <c r="H8" s="346"/>
      <c r="I8" s="346"/>
      <c r="J8" s="346"/>
      <c r="K8" s="346"/>
      <c r="L8" s="346"/>
      <c r="M8" s="346"/>
      <c r="N8" s="346"/>
    </row>
    <row r="9" spans="1:14">
      <c r="A9" s="346"/>
      <c r="B9" s="346"/>
      <c r="C9" s="346"/>
      <c r="D9" s="346"/>
      <c r="E9" s="346"/>
      <c r="F9" s="346"/>
      <c r="G9" s="346"/>
      <c r="H9" s="346"/>
      <c r="I9" s="346"/>
      <c r="J9" s="346"/>
      <c r="K9" s="346"/>
      <c r="L9" s="346"/>
      <c r="M9" s="346"/>
      <c r="N9" s="346"/>
    </row>
    <row r="10" spans="1:14">
      <c r="A10" s="346"/>
      <c r="B10" s="346"/>
      <c r="C10" s="346"/>
      <c r="D10" s="346"/>
      <c r="E10" s="346"/>
      <c r="F10" s="346"/>
      <c r="G10" s="346"/>
      <c r="H10" s="346"/>
      <c r="I10" s="346"/>
      <c r="J10" s="346"/>
      <c r="K10" s="346"/>
      <c r="L10" s="346"/>
      <c r="M10" s="346"/>
      <c r="N10" s="346"/>
    </row>
    <row r="11" spans="1:14">
      <c r="A11" s="346"/>
      <c r="B11" s="346"/>
      <c r="C11" s="346"/>
      <c r="D11" s="346"/>
      <c r="E11" s="346"/>
      <c r="F11" s="346"/>
      <c r="G11" s="346"/>
      <c r="H11" s="346"/>
      <c r="I11" s="346"/>
      <c r="J11" s="346"/>
      <c r="K11" s="346"/>
      <c r="L11" s="346"/>
      <c r="M11" s="346"/>
      <c r="N11" s="346"/>
    </row>
    <row r="12" spans="1:14">
      <c r="A12" s="346"/>
      <c r="B12" s="346"/>
      <c r="C12" s="346"/>
      <c r="D12" s="346"/>
      <c r="E12" s="346"/>
      <c r="F12" s="346"/>
      <c r="G12" s="346"/>
      <c r="H12" s="346"/>
      <c r="I12" s="346"/>
      <c r="J12" s="346"/>
      <c r="K12" s="346"/>
      <c r="L12" s="346"/>
      <c r="M12" s="346"/>
      <c r="N12" s="346"/>
    </row>
    <row r="13" spans="1:14">
      <c r="A13" s="346"/>
      <c r="B13" s="346"/>
      <c r="C13" s="346"/>
      <c r="D13" s="346"/>
      <c r="E13" s="346"/>
      <c r="F13" s="346"/>
      <c r="G13" s="346"/>
      <c r="H13" s="346"/>
      <c r="I13" s="346"/>
      <c r="J13" s="346"/>
      <c r="K13" s="346"/>
      <c r="L13" s="346"/>
      <c r="M13" s="346"/>
      <c r="N13" s="346"/>
    </row>
    <row r="14" spans="1:14">
      <c r="A14" s="346"/>
      <c r="B14" s="346"/>
      <c r="C14" s="346"/>
      <c r="D14" s="346"/>
      <c r="E14" s="346"/>
      <c r="F14" s="346"/>
      <c r="G14" s="346"/>
      <c r="H14" s="346"/>
      <c r="I14" s="346"/>
      <c r="J14" s="346"/>
      <c r="K14" s="346"/>
      <c r="L14" s="346"/>
      <c r="M14" s="346"/>
      <c r="N14" s="346"/>
    </row>
    <row r="15" spans="1:14">
      <c r="A15" s="346"/>
      <c r="B15" s="346"/>
      <c r="C15" s="346"/>
      <c r="D15" s="346"/>
      <c r="E15" s="346"/>
      <c r="F15" s="346"/>
      <c r="G15" s="346"/>
      <c r="H15" s="346"/>
      <c r="I15" s="346"/>
      <c r="J15" s="346"/>
      <c r="K15" s="346"/>
      <c r="L15" s="346"/>
      <c r="M15" s="346"/>
      <c r="N15" s="346"/>
    </row>
    <row r="16" spans="1:14">
      <c r="A16" s="346"/>
      <c r="B16" s="346"/>
      <c r="C16" s="346"/>
      <c r="D16" s="346"/>
      <c r="E16" s="346"/>
      <c r="F16" s="346"/>
      <c r="G16" s="346"/>
      <c r="H16" s="346"/>
      <c r="I16" s="346"/>
      <c r="J16" s="346"/>
      <c r="K16" s="346"/>
      <c r="L16" s="346"/>
      <c r="M16" s="346"/>
      <c r="N16" s="346"/>
    </row>
    <row r="17" spans="1:14">
      <c r="A17" s="346"/>
      <c r="B17" s="346"/>
      <c r="C17" s="346"/>
      <c r="D17" s="346"/>
      <c r="E17" s="346"/>
      <c r="F17" s="346"/>
      <c r="G17" s="346"/>
      <c r="H17" s="346"/>
      <c r="I17" s="346"/>
      <c r="J17" s="346"/>
      <c r="K17" s="346"/>
      <c r="L17" s="346"/>
      <c r="M17" s="346"/>
      <c r="N17" s="346"/>
    </row>
    <row r="18" spans="1:14">
      <c r="A18" s="346"/>
      <c r="B18" s="346"/>
      <c r="C18" s="346"/>
      <c r="D18" s="346"/>
      <c r="E18" s="346"/>
      <c r="F18" s="346"/>
      <c r="G18" s="346"/>
      <c r="H18" s="346"/>
      <c r="I18" s="346"/>
      <c r="J18" s="346"/>
      <c r="K18" s="346"/>
      <c r="L18" s="346"/>
      <c r="M18" s="346"/>
      <c r="N18" s="346"/>
    </row>
    <row r="19" spans="1:14">
      <c r="A19" s="346"/>
      <c r="B19" s="346"/>
      <c r="C19" s="346"/>
      <c r="D19" s="346"/>
      <c r="E19" s="346"/>
      <c r="F19" s="346"/>
      <c r="G19" s="346"/>
      <c r="H19" s="346"/>
      <c r="I19" s="346"/>
      <c r="J19" s="346"/>
      <c r="K19" s="346"/>
      <c r="L19" s="346"/>
      <c r="M19" s="346"/>
      <c r="N19" s="346"/>
    </row>
    <row r="20" spans="1:14">
      <c r="A20" s="346"/>
      <c r="B20" s="346"/>
      <c r="C20" s="346"/>
      <c r="D20" s="346"/>
      <c r="E20" s="346"/>
      <c r="F20" s="346"/>
      <c r="G20" s="346"/>
      <c r="H20" s="346"/>
      <c r="I20" s="346"/>
      <c r="J20" s="346"/>
      <c r="K20" s="346"/>
      <c r="L20" s="346"/>
      <c r="M20" s="346"/>
      <c r="N20" s="346"/>
    </row>
    <row r="21" spans="1:14">
      <c r="A21" s="346"/>
      <c r="B21" s="346"/>
      <c r="C21" s="346"/>
      <c r="D21" s="346"/>
      <c r="E21" s="346"/>
      <c r="F21" s="346"/>
      <c r="G21" s="346"/>
      <c r="H21" s="346"/>
      <c r="I21" s="346"/>
      <c r="J21" s="346"/>
      <c r="K21" s="346"/>
      <c r="L21" s="346"/>
      <c r="M21" s="346"/>
      <c r="N21" s="346"/>
    </row>
    <row r="22" spans="1:14">
      <c r="A22" s="346"/>
      <c r="B22" s="346"/>
      <c r="C22" s="346"/>
      <c r="D22" s="346"/>
      <c r="E22" s="346"/>
      <c r="F22" s="346"/>
      <c r="G22" s="346"/>
      <c r="H22" s="346"/>
      <c r="I22" s="346"/>
      <c r="J22" s="346"/>
      <c r="K22" s="346"/>
      <c r="L22" s="346"/>
      <c r="M22" s="346"/>
      <c r="N22" s="346"/>
    </row>
    <row r="23" spans="1:14">
      <c r="A23" s="346"/>
      <c r="B23" s="346"/>
      <c r="C23" s="346"/>
      <c r="D23" s="346"/>
      <c r="E23" s="346"/>
      <c r="F23" s="346"/>
      <c r="G23" s="346"/>
      <c r="H23" s="346"/>
      <c r="I23" s="346"/>
      <c r="J23" s="346"/>
      <c r="K23" s="346"/>
      <c r="L23" s="346"/>
      <c r="M23" s="346"/>
      <c r="N23" s="346"/>
    </row>
    <row r="24" spans="1:14">
      <c r="A24" s="346"/>
      <c r="B24" s="346"/>
      <c r="C24" s="346"/>
      <c r="D24" s="346"/>
      <c r="E24" s="346"/>
      <c r="F24" s="346"/>
      <c r="G24" s="346"/>
      <c r="H24" s="346"/>
      <c r="I24" s="346"/>
      <c r="J24" s="346"/>
      <c r="K24" s="346"/>
      <c r="L24" s="346"/>
      <c r="M24" s="346"/>
      <c r="N24" s="346"/>
    </row>
    <row r="25" spans="1:14">
      <c r="A25" s="346"/>
      <c r="B25" s="346"/>
      <c r="C25" s="346"/>
      <c r="D25" s="346"/>
      <c r="E25" s="346"/>
      <c r="F25" s="346"/>
      <c r="G25" s="346"/>
      <c r="H25" s="346"/>
      <c r="I25" s="346"/>
      <c r="J25" s="346"/>
      <c r="K25" s="346"/>
      <c r="L25" s="346"/>
      <c r="M25" s="346"/>
      <c r="N25" s="346"/>
    </row>
    <row r="26" spans="1:14">
      <c r="A26" s="346"/>
      <c r="B26" s="346"/>
      <c r="C26" s="346"/>
      <c r="D26" s="346"/>
      <c r="E26" s="346"/>
      <c r="F26" s="346"/>
      <c r="G26" s="346"/>
      <c r="H26" s="346"/>
      <c r="I26" s="346"/>
      <c r="J26" s="346"/>
      <c r="K26" s="346"/>
      <c r="L26" s="346"/>
      <c r="M26" s="346"/>
      <c r="N26" s="346"/>
    </row>
    <row r="27" spans="1:14">
      <c r="A27" s="346"/>
      <c r="B27" s="346"/>
      <c r="C27" s="346"/>
      <c r="D27" s="346"/>
      <c r="E27" s="346"/>
      <c r="F27" s="346"/>
      <c r="G27" s="346"/>
      <c r="H27" s="346"/>
      <c r="I27" s="346"/>
      <c r="J27" s="346"/>
      <c r="K27" s="346"/>
      <c r="L27" s="346"/>
      <c r="M27" s="346"/>
      <c r="N27" s="346"/>
    </row>
    <row r="28" spans="1:14">
      <c r="A28" s="346"/>
      <c r="B28" s="346"/>
      <c r="C28" s="346"/>
      <c r="D28" s="346"/>
      <c r="E28" s="346"/>
      <c r="F28" s="346"/>
      <c r="G28" s="346"/>
      <c r="H28" s="346"/>
      <c r="I28" s="346"/>
      <c r="J28" s="346"/>
      <c r="K28" s="346"/>
      <c r="L28" s="346"/>
      <c r="M28" s="346"/>
      <c r="N28" s="346"/>
    </row>
    <row r="29" spans="1:14">
      <c r="A29" s="346"/>
      <c r="B29" s="346"/>
      <c r="C29" s="346"/>
      <c r="D29" s="346"/>
      <c r="E29" s="346"/>
      <c r="F29" s="346"/>
      <c r="G29" s="346"/>
      <c r="H29" s="346"/>
      <c r="I29" s="346"/>
      <c r="J29" s="346"/>
      <c r="K29" s="346"/>
      <c r="L29" s="346"/>
      <c r="M29" s="346"/>
      <c r="N29" s="346"/>
    </row>
    <row r="30" spans="1:14">
      <c r="A30" s="346"/>
      <c r="B30" s="346"/>
      <c r="C30" s="346"/>
      <c r="D30" s="346"/>
      <c r="E30" s="346"/>
      <c r="F30" s="346"/>
      <c r="G30" s="346"/>
      <c r="H30" s="346"/>
      <c r="I30" s="346"/>
      <c r="J30" s="346"/>
      <c r="K30" s="346"/>
      <c r="L30" s="346"/>
      <c r="M30" s="346"/>
      <c r="N30" s="346"/>
    </row>
    <row r="31" spans="1:14">
      <c r="A31" s="346"/>
      <c r="B31" s="346"/>
      <c r="C31" s="346"/>
      <c r="D31" s="346"/>
      <c r="E31" s="346"/>
      <c r="F31" s="346"/>
      <c r="G31" s="346"/>
      <c r="H31" s="346"/>
      <c r="I31" s="346"/>
      <c r="J31" s="346"/>
      <c r="K31" s="346"/>
      <c r="L31" s="346"/>
      <c r="M31" s="346"/>
      <c r="N31" s="346"/>
    </row>
    <row r="32" spans="1:14">
      <c r="A32" s="346"/>
      <c r="B32" s="346"/>
      <c r="C32" s="346"/>
      <c r="D32" s="346"/>
      <c r="E32" s="346"/>
      <c r="F32" s="346"/>
      <c r="G32" s="346"/>
      <c r="H32" s="346"/>
      <c r="I32" s="346"/>
      <c r="J32" s="346"/>
      <c r="K32" s="346"/>
      <c r="L32" s="346"/>
      <c r="M32" s="346"/>
      <c r="N32" s="346"/>
    </row>
    <row r="33" spans="1:14">
      <c r="A33" s="346"/>
      <c r="B33" s="346"/>
      <c r="C33" s="346"/>
      <c r="D33" s="346"/>
      <c r="E33" s="346"/>
      <c r="F33" s="346"/>
      <c r="G33" s="346"/>
      <c r="H33" s="346"/>
      <c r="I33" s="346"/>
      <c r="J33" s="346"/>
      <c r="K33" s="346"/>
      <c r="L33" s="346"/>
      <c r="M33" s="346"/>
      <c r="N33" s="346"/>
    </row>
    <row r="34" spans="1:14">
      <c r="A34" s="346"/>
      <c r="B34" s="346"/>
      <c r="C34" s="346"/>
      <c r="D34" s="346"/>
      <c r="E34" s="346"/>
      <c r="F34" s="346"/>
      <c r="G34" s="346"/>
      <c r="H34" s="346"/>
      <c r="I34" s="346"/>
      <c r="J34" s="346"/>
      <c r="K34" s="346"/>
      <c r="L34" s="346"/>
      <c r="M34" s="346"/>
      <c r="N34" s="346"/>
    </row>
    <row r="35" spans="1:14">
      <c r="A35" s="346"/>
      <c r="B35" s="346"/>
      <c r="C35" s="346"/>
      <c r="D35" s="346"/>
      <c r="E35" s="346"/>
      <c r="F35" s="346"/>
      <c r="G35" s="346"/>
      <c r="H35" s="346"/>
      <c r="I35" s="346"/>
      <c r="J35" s="346"/>
      <c r="K35" s="346"/>
      <c r="L35" s="346"/>
      <c r="M35" s="346"/>
      <c r="N35" s="346"/>
    </row>
    <row r="36" spans="1:14">
      <c r="A36" s="346"/>
      <c r="B36" s="346"/>
      <c r="C36" s="346"/>
      <c r="D36" s="346"/>
      <c r="E36" s="346"/>
      <c r="F36" s="346"/>
      <c r="G36" s="346"/>
      <c r="H36" s="346"/>
      <c r="I36" s="346"/>
      <c r="J36" s="346"/>
      <c r="K36" s="346"/>
      <c r="L36" s="346"/>
      <c r="M36" s="346"/>
      <c r="N36" s="346"/>
    </row>
    <row r="37" spans="1:14">
      <c r="A37" s="346"/>
      <c r="B37" s="346"/>
      <c r="C37" s="346"/>
      <c r="D37" s="346"/>
      <c r="E37" s="346"/>
      <c r="F37" s="346"/>
      <c r="G37" s="346"/>
      <c r="H37" s="346"/>
      <c r="I37" s="346"/>
      <c r="J37" s="346"/>
      <c r="K37" s="346"/>
      <c r="L37" s="346"/>
      <c r="M37" s="346"/>
      <c r="N37" s="346"/>
    </row>
    <row r="38" spans="1:14">
      <c r="A38" s="346"/>
      <c r="B38" s="346"/>
      <c r="C38" s="346"/>
      <c r="D38" s="346"/>
      <c r="E38" s="346"/>
      <c r="F38" s="346"/>
      <c r="G38" s="346"/>
      <c r="H38" s="346"/>
      <c r="I38" s="346"/>
      <c r="J38" s="346"/>
      <c r="K38" s="346"/>
      <c r="L38" s="346"/>
      <c r="M38" s="346"/>
      <c r="N38" s="346"/>
    </row>
    <row r="39" spans="1:14">
      <c r="A39" s="346"/>
      <c r="B39" s="346"/>
      <c r="C39" s="346"/>
      <c r="D39" s="346"/>
      <c r="E39" s="346"/>
      <c r="F39" s="346"/>
      <c r="G39" s="346"/>
      <c r="H39" s="346"/>
      <c r="I39" s="346"/>
      <c r="J39" s="346"/>
      <c r="K39" s="346"/>
      <c r="L39" s="346"/>
      <c r="M39" s="346"/>
      <c r="N39" s="346"/>
    </row>
    <row r="40" spans="1:14">
      <c r="A40" s="346"/>
      <c r="B40" s="346"/>
      <c r="C40" s="346"/>
      <c r="D40" s="346"/>
      <c r="E40" s="346"/>
      <c r="F40" s="346"/>
      <c r="G40" s="346"/>
      <c r="H40" s="346"/>
      <c r="I40" s="346"/>
      <c r="J40" s="346"/>
      <c r="K40" s="346"/>
      <c r="L40" s="346"/>
      <c r="M40" s="346"/>
      <c r="N40" s="346"/>
    </row>
    <row r="41" spans="1:14">
      <c r="A41" s="346"/>
      <c r="B41" s="346"/>
      <c r="C41" s="346"/>
      <c r="D41" s="346"/>
      <c r="E41" s="346"/>
      <c r="F41" s="346"/>
      <c r="G41" s="346"/>
      <c r="H41" s="346"/>
      <c r="I41" s="346"/>
      <c r="J41" s="346"/>
      <c r="K41" s="346"/>
      <c r="L41" s="346"/>
      <c r="M41" s="346"/>
      <c r="N41" s="346"/>
    </row>
    <row r="42" spans="1:14">
      <c r="A42" s="346"/>
      <c r="B42" s="346"/>
      <c r="C42" s="346"/>
      <c r="D42" s="346"/>
      <c r="E42" s="346"/>
      <c r="F42" s="346"/>
      <c r="G42" s="346"/>
      <c r="H42" s="346"/>
      <c r="I42" s="346"/>
      <c r="J42" s="346"/>
      <c r="K42" s="346"/>
      <c r="L42" s="346"/>
      <c r="M42" s="346"/>
      <c r="N42" s="346"/>
    </row>
    <row r="43" spans="1:14">
      <c r="A43" s="346"/>
      <c r="B43" s="346"/>
      <c r="C43" s="346"/>
      <c r="D43" s="346"/>
      <c r="E43" s="346"/>
      <c r="F43" s="346"/>
      <c r="G43" s="346"/>
      <c r="H43" s="346"/>
      <c r="I43" s="346"/>
      <c r="J43" s="346"/>
      <c r="K43" s="346"/>
      <c r="L43" s="346"/>
      <c r="M43" s="346"/>
      <c r="N43" s="346"/>
    </row>
    <row r="44" spans="1:14">
      <c r="A44" s="346"/>
      <c r="B44" s="346"/>
      <c r="C44" s="346"/>
      <c r="D44" s="346"/>
      <c r="E44" s="346"/>
      <c r="F44" s="346"/>
      <c r="G44" s="346"/>
      <c r="H44" s="346"/>
      <c r="I44" s="346"/>
      <c r="J44" s="346"/>
      <c r="K44" s="346"/>
      <c r="L44" s="346"/>
      <c r="M44" s="346"/>
      <c r="N44" s="346"/>
    </row>
    <row r="45" spans="1:14">
      <c r="A45" s="346"/>
      <c r="B45" s="346"/>
      <c r="C45" s="346"/>
      <c r="D45" s="346"/>
      <c r="E45" s="346"/>
      <c r="F45" s="346"/>
      <c r="G45" s="346"/>
      <c r="H45" s="346"/>
      <c r="I45" s="346"/>
      <c r="J45" s="346"/>
      <c r="K45" s="346"/>
      <c r="L45" s="346"/>
      <c r="M45" s="346"/>
      <c r="N45" s="346"/>
    </row>
    <row r="46" spans="1:14">
      <c r="A46" s="346"/>
      <c r="B46" s="346"/>
      <c r="C46" s="346"/>
      <c r="D46" s="346"/>
      <c r="E46" s="346"/>
      <c r="F46" s="346"/>
      <c r="G46" s="346"/>
      <c r="H46" s="346"/>
      <c r="I46" s="346"/>
      <c r="J46" s="346"/>
      <c r="K46" s="346"/>
      <c r="L46" s="346"/>
      <c r="M46" s="346"/>
      <c r="N46" s="346"/>
    </row>
    <row r="47" spans="1:14">
      <c r="A47" s="346"/>
      <c r="B47" s="346"/>
      <c r="C47" s="346"/>
      <c r="D47" s="346"/>
      <c r="E47" s="346"/>
      <c r="F47" s="346"/>
      <c r="G47" s="346"/>
      <c r="H47" s="346"/>
      <c r="I47" s="346"/>
      <c r="J47" s="346"/>
      <c r="K47" s="346"/>
      <c r="L47" s="346"/>
      <c r="M47" s="346"/>
      <c r="N47" s="346"/>
    </row>
    <row r="48" spans="1:14">
      <c r="A48" s="346"/>
      <c r="B48" s="346"/>
      <c r="C48" s="346"/>
      <c r="D48" s="346"/>
      <c r="E48" s="346"/>
      <c r="F48" s="346"/>
      <c r="G48" s="346"/>
      <c r="H48" s="346"/>
      <c r="I48" s="346"/>
      <c r="J48" s="346"/>
      <c r="K48" s="346"/>
      <c r="L48" s="346"/>
      <c r="M48" s="346"/>
      <c r="N48" s="346"/>
    </row>
    <row r="49" spans="1:14">
      <c r="A49" s="346"/>
      <c r="B49" s="346"/>
      <c r="C49" s="346"/>
      <c r="D49" s="346"/>
      <c r="E49" s="346"/>
      <c r="F49" s="346"/>
      <c r="G49" s="346"/>
      <c r="H49" s="346"/>
      <c r="I49" s="346"/>
      <c r="J49" s="346"/>
      <c r="K49" s="346"/>
      <c r="L49" s="346"/>
      <c r="M49" s="346"/>
      <c r="N49" s="346"/>
    </row>
    <row r="50" spans="1:14">
      <c r="A50" s="346"/>
      <c r="B50" s="346"/>
      <c r="C50" s="346"/>
      <c r="D50" s="346"/>
      <c r="E50" s="346"/>
      <c r="F50" s="346"/>
      <c r="G50" s="346"/>
      <c r="H50" s="346"/>
      <c r="I50" s="346"/>
      <c r="J50" s="346"/>
      <c r="K50" s="346"/>
      <c r="L50" s="346"/>
      <c r="M50" s="346"/>
      <c r="N50" s="346"/>
    </row>
    <row r="51" spans="1:14">
      <c r="A51" s="346"/>
      <c r="B51" s="346"/>
      <c r="C51" s="346"/>
      <c r="D51" s="346"/>
      <c r="E51" s="346"/>
      <c r="F51" s="346"/>
      <c r="G51" s="346"/>
      <c r="H51" s="346"/>
      <c r="I51" s="346"/>
      <c r="J51" s="346"/>
      <c r="K51" s="346"/>
      <c r="L51" s="346"/>
      <c r="M51" s="346"/>
      <c r="N51" s="346"/>
    </row>
    <row r="52" spans="1:14">
      <c r="A52" s="346"/>
      <c r="B52" s="346"/>
      <c r="C52" s="346"/>
      <c r="D52" s="346"/>
      <c r="E52" s="346"/>
      <c r="F52" s="346"/>
      <c r="G52" s="346"/>
      <c r="H52" s="346"/>
      <c r="I52" s="346"/>
      <c r="J52" s="346"/>
      <c r="K52" s="346"/>
      <c r="L52" s="346"/>
      <c r="M52" s="346"/>
      <c r="N52" s="346"/>
    </row>
    <row r="53" spans="1:14">
      <c r="A53" s="346"/>
      <c r="B53" s="346"/>
      <c r="C53" s="346"/>
      <c r="D53" s="346"/>
      <c r="E53" s="346"/>
      <c r="F53" s="346"/>
      <c r="G53" s="346"/>
      <c r="H53" s="346"/>
      <c r="I53" s="346"/>
      <c r="J53" s="346"/>
      <c r="K53" s="346"/>
      <c r="L53" s="346"/>
      <c r="M53" s="346"/>
      <c r="N53" s="346"/>
    </row>
    <row r="54" spans="1:14">
      <c r="A54" s="346"/>
      <c r="B54" s="346"/>
      <c r="C54" s="346"/>
      <c r="D54" s="346"/>
      <c r="E54" s="346"/>
      <c r="F54" s="346"/>
      <c r="G54" s="346"/>
      <c r="H54" s="346"/>
      <c r="I54" s="346"/>
      <c r="J54" s="346"/>
      <c r="K54" s="346"/>
      <c r="L54" s="346"/>
      <c r="M54" s="346"/>
      <c r="N54" s="346"/>
    </row>
    <row r="55" spans="1:14">
      <c r="A55" s="346"/>
      <c r="B55" s="346"/>
      <c r="C55" s="346"/>
      <c r="D55" s="346"/>
      <c r="E55" s="346"/>
      <c r="F55" s="346"/>
      <c r="G55" s="346"/>
      <c r="H55" s="346"/>
      <c r="I55" s="346"/>
      <c r="J55" s="346"/>
      <c r="K55" s="346"/>
      <c r="L55" s="346"/>
      <c r="M55" s="346"/>
      <c r="N55" s="346"/>
    </row>
    <row r="56" spans="1:14">
      <c r="A56" s="346"/>
      <c r="B56" s="346"/>
      <c r="C56" s="346"/>
      <c r="D56" s="346"/>
      <c r="E56" s="346"/>
      <c r="F56" s="346"/>
      <c r="G56" s="346"/>
      <c r="H56" s="346"/>
      <c r="I56" s="346"/>
      <c r="J56" s="346"/>
      <c r="K56" s="346"/>
      <c r="L56" s="346"/>
      <c r="M56" s="346"/>
      <c r="N56" s="346"/>
    </row>
    <row r="57" spans="1:14">
      <c r="A57" s="346"/>
      <c r="B57" s="346"/>
      <c r="C57" s="346"/>
      <c r="D57" s="346"/>
      <c r="E57" s="346"/>
      <c r="F57" s="346"/>
      <c r="G57" s="346"/>
      <c r="H57" s="346"/>
      <c r="I57" s="346"/>
      <c r="J57" s="346"/>
      <c r="K57" s="346"/>
      <c r="L57" s="346"/>
      <c r="M57" s="346"/>
      <c r="N57" s="346"/>
    </row>
    <row r="58" spans="1:14">
      <c r="A58" s="346"/>
      <c r="B58" s="346"/>
      <c r="C58" s="346"/>
      <c r="D58" s="346"/>
      <c r="E58" s="346"/>
      <c r="F58" s="346"/>
      <c r="G58" s="346"/>
      <c r="H58" s="346"/>
      <c r="I58" s="346"/>
      <c r="J58" s="346"/>
      <c r="K58" s="346"/>
      <c r="L58" s="346"/>
      <c r="M58" s="346"/>
      <c r="N58" s="346"/>
    </row>
    <row r="59" spans="1:14">
      <c r="A59" s="346"/>
      <c r="B59" s="346"/>
      <c r="C59" s="346"/>
      <c r="D59" s="346"/>
      <c r="E59" s="346"/>
      <c r="F59" s="346"/>
      <c r="G59" s="346"/>
      <c r="H59" s="346"/>
      <c r="I59" s="346"/>
      <c r="J59" s="346"/>
      <c r="K59" s="346"/>
      <c r="L59" s="346"/>
      <c r="M59" s="346"/>
      <c r="N59" s="346"/>
    </row>
    <row r="60" spans="1:14">
      <c r="A60" s="346"/>
      <c r="B60" s="346"/>
      <c r="C60" s="346"/>
      <c r="D60" s="346"/>
      <c r="E60" s="346"/>
      <c r="F60" s="346"/>
      <c r="G60" s="346"/>
      <c r="H60" s="346"/>
      <c r="I60" s="346"/>
      <c r="J60" s="346"/>
      <c r="K60" s="346"/>
      <c r="L60" s="346"/>
      <c r="M60" s="346"/>
      <c r="N60" s="346"/>
    </row>
    <row r="61" spans="1:14">
      <c r="A61" s="346"/>
      <c r="B61" s="346"/>
      <c r="C61" s="346"/>
      <c r="D61" s="346"/>
      <c r="E61" s="346"/>
      <c r="F61" s="346"/>
      <c r="G61" s="346"/>
      <c r="H61" s="346"/>
      <c r="I61" s="346"/>
      <c r="J61" s="346"/>
      <c r="K61" s="346"/>
      <c r="L61" s="346"/>
      <c r="M61" s="346"/>
      <c r="N61" s="346"/>
    </row>
    <row r="62" spans="1:14">
      <c r="A62" s="346"/>
      <c r="B62" s="346"/>
      <c r="C62" s="346"/>
      <c r="D62" s="346"/>
      <c r="E62" s="346"/>
      <c r="F62" s="346"/>
      <c r="G62" s="346"/>
      <c r="H62" s="346"/>
      <c r="I62" s="346"/>
      <c r="J62" s="346"/>
      <c r="K62" s="346"/>
      <c r="L62" s="346"/>
      <c r="M62" s="346"/>
      <c r="N62" s="346"/>
    </row>
    <row r="63" spans="1:14">
      <c r="A63" s="346"/>
      <c r="B63" s="346"/>
      <c r="C63" s="346"/>
      <c r="D63" s="346"/>
      <c r="E63" s="346"/>
      <c r="F63" s="346"/>
      <c r="G63" s="346"/>
      <c r="H63" s="346"/>
      <c r="I63" s="346"/>
      <c r="J63" s="346"/>
      <c r="K63" s="346"/>
      <c r="L63" s="346"/>
      <c r="M63" s="346"/>
      <c r="N63" s="346"/>
    </row>
    <row r="64" spans="1:14">
      <c r="A64" s="346"/>
      <c r="B64" s="346"/>
      <c r="C64" s="346"/>
      <c r="D64" s="346"/>
      <c r="E64" s="346"/>
      <c r="F64" s="346"/>
      <c r="G64" s="346"/>
      <c r="H64" s="346"/>
      <c r="I64" s="346"/>
      <c r="J64" s="346"/>
      <c r="K64" s="346"/>
      <c r="L64" s="346"/>
      <c r="M64" s="346"/>
      <c r="N64" s="346"/>
    </row>
    <row r="65" spans="1:14">
      <c r="A65" s="346"/>
      <c r="B65" s="346"/>
      <c r="C65" s="346"/>
      <c r="D65" s="346"/>
      <c r="E65" s="346"/>
      <c r="F65" s="346"/>
      <c r="G65" s="346"/>
      <c r="H65" s="346"/>
      <c r="I65" s="346"/>
      <c r="J65" s="346"/>
      <c r="K65" s="346"/>
      <c r="L65" s="346"/>
      <c r="M65" s="346"/>
      <c r="N65" s="346"/>
    </row>
    <row r="66" spans="1:14">
      <c r="A66" s="346"/>
      <c r="B66" s="346"/>
      <c r="C66" s="346"/>
      <c r="D66" s="346"/>
      <c r="E66" s="346"/>
      <c r="F66" s="346"/>
      <c r="G66" s="346"/>
      <c r="H66" s="346"/>
      <c r="I66" s="346"/>
      <c r="J66" s="346"/>
      <c r="K66" s="346"/>
      <c r="L66" s="346"/>
      <c r="M66" s="346"/>
      <c r="N66" s="346"/>
    </row>
    <row r="67" spans="1:14">
      <c r="A67" s="346"/>
      <c r="B67" s="346"/>
      <c r="C67" s="346"/>
      <c r="D67" s="346"/>
      <c r="E67" s="346"/>
      <c r="F67" s="346"/>
      <c r="G67" s="346"/>
      <c r="H67" s="346"/>
      <c r="I67" s="346"/>
      <c r="J67" s="346"/>
      <c r="K67" s="346"/>
      <c r="L67" s="346"/>
      <c r="M67" s="346"/>
      <c r="N67" s="346"/>
    </row>
    <row r="68" spans="1:14">
      <c r="A68" s="346"/>
      <c r="B68" s="346"/>
      <c r="C68" s="346"/>
      <c r="D68" s="346"/>
      <c r="E68" s="346"/>
      <c r="F68" s="346"/>
      <c r="G68" s="346"/>
      <c r="H68" s="346"/>
      <c r="I68" s="346"/>
      <c r="J68" s="346"/>
      <c r="K68" s="346"/>
      <c r="L68" s="346"/>
      <c r="M68" s="346"/>
      <c r="N68" s="346"/>
    </row>
    <row r="69" spans="1:14">
      <c r="A69" s="346"/>
      <c r="B69" s="346"/>
      <c r="C69" s="346"/>
      <c r="D69" s="346"/>
      <c r="E69" s="346"/>
      <c r="F69" s="346"/>
      <c r="G69" s="346"/>
      <c r="H69" s="346"/>
      <c r="I69" s="346"/>
      <c r="J69" s="346"/>
      <c r="K69" s="346"/>
      <c r="L69" s="346"/>
      <c r="M69" s="346"/>
      <c r="N69" s="346"/>
    </row>
  </sheetData>
  <pageMargins left="0.70866141732283461" right="0.31496062992125984" top="0.39370078740157483" bottom="0.39370078740157483" header="0.31496062992125984" footer="0.31496062992125984"/>
  <pageSetup scale="65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9"/>
  <dimension ref="A2:G34"/>
  <sheetViews>
    <sheetView view="pageLayout" zoomScale="70" zoomScaleNormal="30" zoomScaleSheetLayoutView="55" zoomScalePageLayoutView="70" workbookViewId="0">
      <selection activeCell="N8" sqref="N8"/>
    </sheetView>
  </sheetViews>
  <sheetFormatPr defaultColWidth="8.85546875" defaultRowHeight="15"/>
  <cols>
    <col min="1" max="3" width="17.7109375" style="346" customWidth="1"/>
    <col min="4" max="4" width="26.7109375" style="346" customWidth="1"/>
    <col min="5" max="7" width="17.7109375" style="346" customWidth="1"/>
    <col min="8" max="10" width="10.42578125" style="346" customWidth="1"/>
    <col min="11" max="16384" width="8.85546875" style="346"/>
  </cols>
  <sheetData>
    <row r="2" spans="1:7" ht="45.75">
      <c r="D2" s="366" t="s">
        <v>586</v>
      </c>
    </row>
    <row r="3" spans="1:7" ht="22.5" customHeight="1">
      <c r="D3" s="366"/>
    </row>
    <row r="4" spans="1:7" ht="22.5">
      <c r="A4" s="430" t="s">
        <v>578</v>
      </c>
      <c r="B4" s="430"/>
      <c r="C4" s="430"/>
      <c r="D4" s="349"/>
      <c r="E4" s="430" t="s">
        <v>578</v>
      </c>
      <c r="F4" s="430"/>
      <c r="G4" s="430"/>
    </row>
    <row r="5" spans="1:7" ht="23.25" thickBot="1">
      <c r="A5" s="430" t="s">
        <v>580</v>
      </c>
      <c r="B5" s="430"/>
      <c r="C5" s="430"/>
      <c r="D5" s="350"/>
      <c r="E5" s="430" t="s">
        <v>587</v>
      </c>
      <c r="F5" s="430"/>
      <c r="G5" s="430"/>
    </row>
    <row r="6" spans="1:7" ht="105" customHeight="1" thickBot="1">
      <c r="A6" s="351">
        <f>pos_L3</f>
        <v>1</v>
      </c>
      <c r="B6" s="352">
        <f>pos_M3</f>
        <v>1</v>
      </c>
      <c r="C6" s="353">
        <f>pos_R3</f>
        <v>2</v>
      </c>
      <c r="D6" s="354" t="s">
        <v>581</v>
      </c>
      <c r="E6" s="351">
        <f>neg_L3</f>
        <v>1</v>
      </c>
      <c r="F6" s="352">
        <f>neg_M3</f>
        <v>5</v>
      </c>
      <c r="G6" s="353">
        <f>neg_R3</f>
        <v>1</v>
      </c>
    </row>
    <row r="7" spans="1:7" ht="71.099999999999994" customHeight="1">
      <c r="A7" s="355">
        <f>pos_L22</f>
        <v>2</v>
      </c>
      <c r="B7" s="356">
        <f>pos_M22</f>
        <v>1</v>
      </c>
      <c r="C7" s="357">
        <f>pos_R22</f>
        <v>0</v>
      </c>
      <c r="D7" s="365" t="s">
        <v>588</v>
      </c>
      <c r="E7" s="355">
        <f>neg_L22</f>
        <v>1</v>
      </c>
      <c r="F7" s="356">
        <f>neg_M22</f>
        <v>4</v>
      </c>
      <c r="G7" s="357">
        <f>neg_R22</f>
        <v>1</v>
      </c>
    </row>
    <row r="8" spans="1:7" ht="71.099999999999994" customHeight="1" thickBot="1">
      <c r="A8" s="358">
        <f>pos_L21</f>
        <v>2</v>
      </c>
      <c r="B8" s="359">
        <f>pos_M21</f>
        <v>1</v>
      </c>
      <c r="C8" s="360">
        <f>pos_R21</f>
        <v>1</v>
      </c>
      <c r="D8" s="354" t="s">
        <v>589</v>
      </c>
      <c r="E8" s="358">
        <f>neg_L21</f>
        <v>3</v>
      </c>
      <c r="F8" s="359">
        <f>neg_M21</f>
        <v>3</v>
      </c>
      <c r="G8" s="360">
        <f>neg_R21</f>
        <v>1</v>
      </c>
    </row>
    <row r="9" spans="1:7" ht="105" customHeight="1" thickBot="1">
      <c r="A9" s="361">
        <f>pos_L1</f>
        <v>3</v>
      </c>
      <c r="B9" s="362">
        <f>pos_M1</f>
        <v>0</v>
      </c>
      <c r="C9" s="363">
        <f>pos_R1</f>
        <v>0</v>
      </c>
      <c r="D9" s="354" t="s">
        <v>582</v>
      </c>
      <c r="E9" s="361">
        <f>neg_L1</f>
        <v>2</v>
      </c>
      <c r="F9" s="362">
        <f>neg_M1</f>
        <v>3</v>
      </c>
      <c r="G9" s="363">
        <f>neg_R1</f>
        <v>3</v>
      </c>
    </row>
    <row r="10" spans="1:7" ht="18">
      <c r="A10" s="354" t="s">
        <v>583</v>
      </c>
      <c r="B10" s="354" t="s">
        <v>584</v>
      </c>
      <c r="C10" s="354" t="s">
        <v>585</v>
      </c>
      <c r="D10" s="364"/>
      <c r="E10" s="354" t="s">
        <v>583</v>
      </c>
      <c r="F10" s="354" t="s">
        <v>584</v>
      </c>
      <c r="G10" s="354" t="s">
        <v>585</v>
      </c>
    </row>
    <row r="11" spans="1:7" ht="18">
      <c r="A11" s="354"/>
      <c r="B11" s="354"/>
      <c r="C11" s="354"/>
      <c r="D11" s="364"/>
      <c r="E11" s="354"/>
      <c r="F11" s="354"/>
      <c r="G11" s="354"/>
    </row>
    <row r="12" spans="1:7" ht="18">
      <c r="A12" s="354"/>
      <c r="B12" s="354"/>
      <c r="C12" s="354"/>
      <c r="D12" s="364"/>
      <c r="E12" s="354"/>
      <c r="F12" s="354"/>
      <c r="G12" s="354"/>
    </row>
    <row r="13" spans="1:7" ht="18">
      <c r="A13" s="354"/>
      <c r="B13" s="354"/>
      <c r="C13" s="354"/>
      <c r="D13" s="364"/>
      <c r="E13" s="354"/>
      <c r="F13" s="354"/>
      <c r="G13" s="354"/>
    </row>
    <row r="15" spans="1:7" ht="22.5">
      <c r="A15" s="430" t="s">
        <v>579</v>
      </c>
      <c r="B15" s="430"/>
      <c r="C15" s="430"/>
      <c r="D15" s="349"/>
      <c r="E15" s="430" t="s">
        <v>579</v>
      </c>
      <c r="F15" s="430"/>
      <c r="G15" s="430"/>
    </row>
    <row r="16" spans="1:7" ht="23.25" thickBot="1">
      <c r="A16" s="430" t="s">
        <v>580</v>
      </c>
      <c r="B16" s="430"/>
      <c r="C16" s="430"/>
      <c r="D16" s="350"/>
      <c r="E16" s="430" t="s">
        <v>587</v>
      </c>
      <c r="F16" s="430"/>
      <c r="G16" s="430"/>
    </row>
    <row r="17" spans="1:7" ht="105" customHeight="1" thickBot="1">
      <c r="A17" s="351">
        <f>pos_L3_2p</f>
        <v>1</v>
      </c>
      <c r="B17" s="352">
        <f>pos_M3_2p</f>
        <v>2</v>
      </c>
      <c r="C17" s="353">
        <f>pos_R3_2p</f>
        <v>2</v>
      </c>
      <c r="D17" s="354" t="s">
        <v>581</v>
      </c>
      <c r="E17" s="351">
        <f>neg_L3_2p</f>
        <v>0</v>
      </c>
      <c r="F17" s="352">
        <f>neg_M3_2p</f>
        <v>5</v>
      </c>
      <c r="G17" s="353">
        <f>neg_R3_2p</f>
        <v>2</v>
      </c>
    </row>
    <row r="18" spans="1:7" ht="71.099999999999994" customHeight="1">
      <c r="A18" s="355">
        <f>pos_L22_2p</f>
        <v>1</v>
      </c>
      <c r="B18" s="356">
        <f>pos_M22_2p</f>
        <v>2</v>
      </c>
      <c r="C18" s="357">
        <f>pos_R22_2p</f>
        <v>1</v>
      </c>
      <c r="D18" s="365" t="s">
        <v>588</v>
      </c>
      <c r="E18" s="355">
        <f>neg_L22_2p</f>
        <v>1</v>
      </c>
      <c r="F18" s="356">
        <f>neg_M22_2p</f>
        <v>3</v>
      </c>
      <c r="G18" s="357">
        <f>neg_R22_2p</f>
        <v>1</v>
      </c>
    </row>
    <row r="19" spans="1:7" ht="71.099999999999994" customHeight="1" thickBot="1">
      <c r="A19" s="358">
        <f>pos_L21_2p</f>
        <v>0</v>
      </c>
      <c r="B19" s="359">
        <f>pos_M21_2p</f>
        <v>1</v>
      </c>
      <c r="C19" s="360">
        <f>pos_R21_2p</f>
        <v>0</v>
      </c>
      <c r="D19" s="354" t="s">
        <v>589</v>
      </c>
      <c r="E19" s="358">
        <f>neg_L21_2p</f>
        <v>1</v>
      </c>
      <c r="F19" s="359">
        <f>neg_M21_2p</f>
        <v>3</v>
      </c>
      <c r="G19" s="360">
        <f>neg_R21_2p</f>
        <v>0</v>
      </c>
    </row>
    <row r="20" spans="1:7" ht="105" customHeight="1" thickBot="1">
      <c r="A20" s="361">
        <f>pos_L1_2p</f>
        <v>0</v>
      </c>
      <c r="B20" s="362">
        <f>pos_M1_2p</f>
        <v>3</v>
      </c>
      <c r="C20" s="363">
        <f>pos_R1_2p</f>
        <v>1</v>
      </c>
      <c r="D20" s="354" t="s">
        <v>582</v>
      </c>
      <c r="E20" s="361">
        <f>neg_L1_2p</f>
        <v>2</v>
      </c>
      <c r="F20" s="362">
        <f>neg_M1_2p</f>
        <v>4</v>
      </c>
      <c r="G20" s="363">
        <f>neg_R1_2p</f>
        <v>1</v>
      </c>
    </row>
    <row r="21" spans="1:7" ht="18">
      <c r="A21" s="354" t="s">
        <v>583</v>
      </c>
      <c r="B21" s="354" t="s">
        <v>584</v>
      </c>
      <c r="C21" s="354" t="s">
        <v>585</v>
      </c>
      <c r="D21" s="364"/>
      <c r="E21" s="354" t="s">
        <v>583</v>
      </c>
      <c r="F21" s="354" t="s">
        <v>584</v>
      </c>
      <c r="G21" s="354" t="s">
        <v>585</v>
      </c>
    </row>
    <row r="26" spans="1:7" ht="45.75">
      <c r="D26" s="366" t="s">
        <v>586</v>
      </c>
    </row>
    <row r="27" spans="1:7" ht="45.75">
      <c r="D27" s="366"/>
    </row>
    <row r="28" spans="1:7" ht="22.5">
      <c r="A28" s="430" t="s">
        <v>45</v>
      </c>
      <c r="B28" s="430"/>
      <c r="C28" s="430"/>
      <c r="D28" s="349"/>
      <c r="E28" s="430" t="s">
        <v>45</v>
      </c>
      <c r="F28" s="430"/>
      <c r="G28" s="430"/>
    </row>
    <row r="29" spans="1:7" ht="23.25" thickBot="1">
      <c r="A29" s="430" t="s">
        <v>580</v>
      </c>
      <c r="B29" s="430"/>
      <c r="C29" s="430"/>
      <c r="D29" s="350"/>
      <c r="E29" s="430" t="s">
        <v>587</v>
      </c>
      <c r="F29" s="430"/>
      <c r="G29" s="430"/>
    </row>
    <row r="30" spans="1:7" ht="105" customHeight="1" thickBot="1">
      <c r="A30" s="351">
        <f>pos_L3+pos_L3_2p</f>
        <v>2</v>
      </c>
      <c r="B30" s="352">
        <f>pos_M3+pos_M3_2p</f>
        <v>3</v>
      </c>
      <c r="C30" s="353">
        <f>pos_R3+pos_R3_2p</f>
        <v>4</v>
      </c>
      <c r="D30" s="354" t="s">
        <v>581</v>
      </c>
      <c r="E30" s="351">
        <f>neg_L3+neg_L3_2p</f>
        <v>1</v>
      </c>
      <c r="F30" s="352">
        <f>neg_M3+neg_M3_2p</f>
        <v>10</v>
      </c>
      <c r="G30" s="353">
        <f>neg_R3+neg_R3_2p</f>
        <v>3</v>
      </c>
    </row>
    <row r="31" spans="1:7" ht="71.099999999999994" customHeight="1">
      <c r="A31" s="355">
        <f>pos_L22+pos_L22_2p</f>
        <v>3</v>
      </c>
      <c r="B31" s="356">
        <f>pos_M22+pos_M22_2p</f>
        <v>3</v>
      </c>
      <c r="C31" s="357">
        <f>pos_R22+pos_R22_2p</f>
        <v>1</v>
      </c>
      <c r="D31" s="365" t="s">
        <v>588</v>
      </c>
      <c r="E31" s="355">
        <f>neg_L22+neg_L22_2p</f>
        <v>2</v>
      </c>
      <c r="F31" s="356">
        <f>neg_M22+neg_M22_2p</f>
        <v>7</v>
      </c>
      <c r="G31" s="357">
        <f>neg_R22+neg_R22_2p</f>
        <v>2</v>
      </c>
    </row>
    <row r="32" spans="1:7" ht="71.099999999999994" customHeight="1" thickBot="1">
      <c r="A32" s="358">
        <f>pos_L21+pos_L21_2p</f>
        <v>2</v>
      </c>
      <c r="B32" s="359">
        <f>pos_M21+pos_M21_2p</f>
        <v>2</v>
      </c>
      <c r="C32" s="360">
        <f>pos_R21+pos_R21_2p</f>
        <v>1</v>
      </c>
      <c r="D32" s="354" t="s">
        <v>589</v>
      </c>
      <c r="E32" s="358">
        <f>neg_L21+neg_L21_2p</f>
        <v>4</v>
      </c>
      <c r="F32" s="359">
        <f>neg_M21+neg_M21_2p</f>
        <v>6</v>
      </c>
      <c r="G32" s="360">
        <f>neg_R21+neg_R21_2p</f>
        <v>1</v>
      </c>
    </row>
    <row r="33" spans="1:7" ht="105" customHeight="1" thickBot="1">
      <c r="A33" s="361">
        <f>pos_L1+pos_L1_2p</f>
        <v>3</v>
      </c>
      <c r="B33" s="362">
        <f>pos_M1+pos_M1_2p</f>
        <v>3</v>
      </c>
      <c r="C33" s="363">
        <f>pos_R1+pos_R1_2p</f>
        <v>1</v>
      </c>
      <c r="D33" s="354" t="s">
        <v>582</v>
      </c>
      <c r="E33" s="361">
        <f>neg_L1+neg_L1_2p</f>
        <v>4</v>
      </c>
      <c r="F33" s="362">
        <f>neg_M1+neg_M1_2p</f>
        <v>7</v>
      </c>
      <c r="G33" s="363">
        <f>neg_R1+neg_R1_2p</f>
        <v>4</v>
      </c>
    </row>
    <row r="34" spans="1:7" ht="18">
      <c r="A34" s="354" t="s">
        <v>583</v>
      </c>
      <c r="B34" s="354" t="s">
        <v>584</v>
      </c>
      <c r="C34" s="354" t="s">
        <v>585</v>
      </c>
      <c r="D34" s="364"/>
      <c r="E34" s="354" t="s">
        <v>583</v>
      </c>
      <c r="F34" s="354" t="s">
        <v>584</v>
      </c>
      <c r="G34" s="354" t="s">
        <v>585</v>
      </c>
    </row>
  </sheetData>
  <mergeCells count="12">
    <mergeCell ref="A4:C4"/>
    <mergeCell ref="E4:G4"/>
    <mergeCell ref="A28:C28"/>
    <mergeCell ref="E28:G28"/>
    <mergeCell ref="A29:C29"/>
    <mergeCell ref="E29:G29"/>
    <mergeCell ref="A5:C5"/>
    <mergeCell ref="E5:G5"/>
    <mergeCell ref="A15:C15"/>
    <mergeCell ref="E15:G15"/>
    <mergeCell ref="A16:C16"/>
    <mergeCell ref="E16:G16"/>
  </mergeCells>
  <conditionalFormatting sqref="A6:C7 A9:C13">
    <cfRule type="colorScale" priority="39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42">
      <colorScale>
        <cfvo type="min" val="0"/>
        <cfvo type="max" val="0"/>
        <color rgb="FFFFEF9C"/>
        <color rgb="FF63BE7B"/>
      </colorScale>
    </cfRule>
  </conditionalFormatting>
  <conditionalFormatting sqref="E6:G7 E9:G9">
    <cfRule type="colorScale" priority="38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41">
      <colorScale>
        <cfvo type="min" val="0"/>
        <cfvo type="max" val="0"/>
        <color rgb="FFFFEF9C"/>
        <color rgb="FF63BE7B"/>
      </colorScale>
    </cfRule>
  </conditionalFormatting>
  <conditionalFormatting sqref="E6:G7 E9:G9">
    <cfRule type="colorScale" priority="40">
      <colorScale>
        <cfvo type="min" val="0"/>
        <cfvo type="max" val="0"/>
        <color rgb="FFFFEF9C"/>
        <color rgb="FF63BE7B"/>
      </colorScale>
    </cfRule>
  </conditionalFormatting>
  <conditionalFormatting sqref="E10:G13">
    <cfRule type="colorScale" priority="36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37">
      <colorScale>
        <cfvo type="min" val="0"/>
        <cfvo type="max" val="0"/>
        <color rgb="FFFFEF9C"/>
        <color rgb="FF63BE7B"/>
      </colorScale>
    </cfRule>
  </conditionalFormatting>
  <conditionalFormatting sqref="A8:C8">
    <cfRule type="colorScale" priority="32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35">
      <colorScale>
        <cfvo type="min" val="0"/>
        <cfvo type="max" val="0"/>
        <color rgb="FFFFEF9C"/>
        <color rgb="FF63BE7B"/>
      </colorScale>
    </cfRule>
  </conditionalFormatting>
  <conditionalFormatting sqref="E8:G8">
    <cfRule type="colorScale" priority="31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34">
      <colorScale>
        <cfvo type="min" val="0"/>
        <cfvo type="max" val="0"/>
        <color rgb="FFFFEF9C"/>
        <color rgb="FF63BE7B"/>
      </colorScale>
    </cfRule>
  </conditionalFormatting>
  <conditionalFormatting sqref="E8:G8">
    <cfRule type="colorScale" priority="33">
      <colorScale>
        <cfvo type="min" val="0"/>
        <cfvo type="max" val="0"/>
        <color rgb="FFFFEF9C"/>
        <color rgb="FF63BE7B"/>
      </colorScale>
    </cfRule>
  </conditionalFormatting>
  <conditionalFormatting sqref="E6:G9">
    <cfRule type="colorScale" priority="30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A6:C9">
    <cfRule type="colorScale" priority="2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A17:C18 A20:C21">
    <cfRule type="colorScale" priority="25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28">
      <colorScale>
        <cfvo type="min" val="0"/>
        <cfvo type="max" val="0"/>
        <color rgb="FFFFEF9C"/>
        <color rgb="FF63BE7B"/>
      </colorScale>
    </cfRule>
  </conditionalFormatting>
  <conditionalFormatting sqref="E17:G18 E20:G20">
    <cfRule type="colorScale" priority="24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27">
      <colorScale>
        <cfvo type="min" val="0"/>
        <cfvo type="max" val="0"/>
        <color rgb="FFFFEF9C"/>
        <color rgb="FF63BE7B"/>
      </colorScale>
    </cfRule>
  </conditionalFormatting>
  <conditionalFormatting sqref="E17:G18 E20:G20">
    <cfRule type="colorScale" priority="26">
      <colorScale>
        <cfvo type="min" val="0"/>
        <cfvo type="max" val="0"/>
        <color rgb="FFFFEF9C"/>
        <color rgb="FF63BE7B"/>
      </colorScale>
    </cfRule>
  </conditionalFormatting>
  <conditionalFormatting sqref="E21:G21">
    <cfRule type="colorScale" priority="22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23">
      <colorScale>
        <cfvo type="min" val="0"/>
        <cfvo type="max" val="0"/>
        <color rgb="FFFFEF9C"/>
        <color rgb="FF63BE7B"/>
      </colorScale>
    </cfRule>
  </conditionalFormatting>
  <conditionalFormatting sqref="A19:C19">
    <cfRule type="colorScale" priority="18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21">
      <colorScale>
        <cfvo type="min" val="0"/>
        <cfvo type="max" val="0"/>
        <color rgb="FFFFEF9C"/>
        <color rgb="FF63BE7B"/>
      </colorScale>
    </cfRule>
  </conditionalFormatting>
  <conditionalFormatting sqref="E19:G19">
    <cfRule type="colorScale" priority="17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20">
      <colorScale>
        <cfvo type="min" val="0"/>
        <cfvo type="max" val="0"/>
        <color rgb="FFFFEF9C"/>
        <color rgb="FF63BE7B"/>
      </colorScale>
    </cfRule>
  </conditionalFormatting>
  <conditionalFormatting sqref="E19:G19">
    <cfRule type="colorScale" priority="19">
      <colorScale>
        <cfvo type="min" val="0"/>
        <cfvo type="max" val="0"/>
        <color rgb="FFFFEF9C"/>
        <color rgb="FF63BE7B"/>
      </colorScale>
    </cfRule>
  </conditionalFormatting>
  <conditionalFormatting sqref="E17:G20">
    <cfRule type="colorScale" priority="16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A17:C20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A30:C31 A33:C34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14">
      <colorScale>
        <cfvo type="min" val="0"/>
        <cfvo type="max" val="0"/>
        <color rgb="FFFFEF9C"/>
        <color rgb="FF63BE7B"/>
      </colorScale>
    </cfRule>
  </conditionalFormatting>
  <conditionalFormatting sqref="E30:G31 E33:G33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13">
      <colorScale>
        <cfvo type="min" val="0"/>
        <cfvo type="max" val="0"/>
        <color rgb="FFFFEF9C"/>
        <color rgb="FF63BE7B"/>
      </colorScale>
    </cfRule>
  </conditionalFormatting>
  <conditionalFormatting sqref="E30:G31 E33:G33">
    <cfRule type="colorScale" priority="12">
      <colorScale>
        <cfvo type="min" val="0"/>
        <cfvo type="max" val="0"/>
        <color rgb="FFFFEF9C"/>
        <color rgb="FF63BE7B"/>
      </colorScale>
    </cfRule>
  </conditionalFormatting>
  <conditionalFormatting sqref="E34:G34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9">
      <colorScale>
        <cfvo type="min" val="0"/>
        <cfvo type="max" val="0"/>
        <color rgb="FFFFEF9C"/>
        <color rgb="FF63BE7B"/>
      </colorScale>
    </cfRule>
  </conditionalFormatting>
  <conditionalFormatting sqref="A32:C32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7">
      <colorScale>
        <cfvo type="min" val="0"/>
        <cfvo type="max" val="0"/>
        <color rgb="FFFFEF9C"/>
        <color rgb="FF63BE7B"/>
      </colorScale>
    </cfRule>
  </conditionalFormatting>
  <conditionalFormatting sqref="E32:G32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6">
      <colorScale>
        <cfvo type="min" val="0"/>
        <cfvo type="max" val="0"/>
        <color rgb="FFFFEF9C"/>
        <color rgb="FF63BE7B"/>
      </colorScale>
    </cfRule>
  </conditionalFormatting>
  <conditionalFormatting sqref="E32:G32">
    <cfRule type="colorScale" priority="5">
      <colorScale>
        <cfvo type="min" val="0"/>
        <cfvo type="max" val="0"/>
        <color rgb="FFFFEF9C"/>
        <color rgb="FF63BE7B"/>
      </colorScale>
    </cfRule>
  </conditionalFormatting>
  <conditionalFormatting sqref="E30:G33">
    <cfRule type="colorScale" priority="2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A30:C33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orizontalCentered="1" verticalCentered="1"/>
  <pageMargins left="0.25" right="0.25" top="0.75" bottom="0.75" header="0.3" footer="0.3"/>
  <pageSetup paperSize="9" scale="73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51</vt:i4>
      </vt:variant>
    </vt:vector>
  </HeadingPairs>
  <TitlesOfParts>
    <vt:vector size="67" baseType="lpstr">
      <vt:lpstr>Algandmed</vt:lpstr>
      <vt:lpstr>Settings</vt:lpstr>
      <vt:lpstr>Esitlus</vt:lpstr>
      <vt:lpstr>Lõppandmed</vt:lpstr>
      <vt:lpstr>Intensity</vt:lpstr>
      <vt:lpstr>ATT </vt:lpstr>
      <vt:lpstr>ATT DATA</vt:lpstr>
      <vt:lpstr>Esitlus1</vt:lpstr>
      <vt:lpstr>Esitlus2</vt:lpstr>
      <vt:lpstr>Esitlus3</vt:lpstr>
      <vt:lpstr>Esitlus4</vt:lpstr>
      <vt:lpstr>Esitlus5</vt:lpstr>
      <vt:lpstr>Esitlus6</vt:lpstr>
      <vt:lpstr>Esitlus7</vt:lpstr>
      <vt:lpstr>Esitlus8</vt:lpstr>
      <vt:lpstr>Üleminekud</vt:lpstr>
      <vt:lpstr>neg_L1</vt:lpstr>
      <vt:lpstr>neg_L1_2p</vt:lpstr>
      <vt:lpstr>neg_L21</vt:lpstr>
      <vt:lpstr>neg_L21_2p</vt:lpstr>
      <vt:lpstr>neg_L22</vt:lpstr>
      <vt:lpstr>neg_L22_2p</vt:lpstr>
      <vt:lpstr>neg_L3</vt:lpstr>
      <vt:lpstr>neg_L3_2p</vt:lpstr>
      <vt:lpstr>neg_M1</vt:lpstr>
      <vt:lpstr>neg_M1_2p</vt:lpstr>
      <vt:lpstr>neg_M21</vt:lpstr>
      <vt:lpstr>neg_M21_2p</vt:lpstr>
      <vt:lpstr>neg_M22</vt:lpstr>
      <vt:lpstr>neg_M22_2p</vt:lpstr>
      <vt:lpstr>neg_M3</vt:lpstr>
      <vt:lpstr>neg_M3_2p</vt:lpstr>
      <vt:lpstr>neg_R1</vt:lpstr>
      <vt:lpstr>neg_R1_2p</vt:lpstr>
      <vt:lpstr>neg_R21</vt:lpstr>
      <vt:lpstr>neg_R21_2p</vt:lpstr>
      <vt:lpstr>neg_R22</vt:lpstr>
      <vt:lpstr>neg_R22_2p</vt:lpstr>
      <vt:lpstr>neg_R3</vt:lpstr>
      <vt:lpstr>neg_R3_2p</vt:lpstr>
      <vt:lpstr>pos_L1</vt:lpstr>
      <vt:lpstr>pos_L1_2p</vt:lpstr>
      <vt:lpstr>pos_L21</vt:lpstr>
      <vt:lpstr>pos_L21_2p</vt:lpstr>
      <vt:lpstr>pos_L22</vt:lpstr>
      <vt:lpstr>pos_L22_2p</vt:lpstr>
      <vt:lpstr>pos_L3</vt:lpstr>
      <vt:lpstr>pos_L3_2p</vt:lpstr>
      <vt:lpstr>pos_M1</vt:lpstr>
      <vt:lpstr>pos_M1_2p</vt:lpstr>
      <vt:lpstr>pos_M21</vt:lpstr>
      <vt:lpstr>pos_M21_2p</vt:lpstr>
      <vt:lpstr>pos_M22</vt:lpstr>
      <vt:lpstr>pos_M22_2p</vt:lpstr>
      <vt:lpstr>pos_M3</vt:lpstr>
      <vt:lpstr>pos_M3_2p</vt:lpstr>
      <vt:lpstr>pos_R1</vt:lpstr>
      <vt:lpstr>pos_R1_2p</vt:lpstr>
      <vt:lpstr>pos_R21</vt:lpstr>
      <vt:lpstr>pos_R21_2p</vt:lpstr>
      <vt:lpstr>pos_R22</vt:lpstr>
      <vt:lpstr>pos_R22_2p</vt:lpstr>
      <vt:lpstr>pos_R3</vt:lpstr>
      <vt:lpstr>pos_R3_2p</vt:lpstr>
      <vt:lpstr>Esitlus!Print_Area</vt:lpstr>
      <vt:lpstr>Esitlus2!Print_Area</vt:lpstr>
      <vt:lpstr>Üleminekud!Print_Area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Rain</dc:creator>
  <cp:lastModifiedBy>Tarmo</cp:lastModifiedBy>
  <cp:lastPrinted>2020-06-07T08:07:24Z</cp:lastPrinted>
  <dcterms:created xsi:type="dcterms:W3CDTF">2013-07-03T16:14:19Z</dcterms:created>
  <dcterms:modified xsi:type="dcterms:W3CDTF">2020-06-07T08:16:55Z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cecff5d0-cb60-4979-9117-e155ba539512</vt:lpwstr>
  </property>
</Properties>
</file>